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3.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5.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6.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7.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11"/>
  <workbookPr defaultThemeVersion="124226"/>
  <mc:AlternateContent xmlns:mc="http://schemas.openxmlformats.org/markup-compatibility/2006">
    <mc:Choice Requires="x15">
      <x15ac:absPath xmlns:x15ac="http://schemas.microsoft.com/office/spreadsheetml/2010/11/ac" url="/Users/jeff/Desktop/"/>
    </mc:Choice>
  </mc:AlternateContent>
  <xr:revisionPtr revIDLastSave="0" documentId="13_ncr:1_{15E6EE2E-5845-B14D-8DC6-B23AA905E363}" xr6:coauthVersionLast="46" xr6:coauthVersionMax="47" xr10:uidLastSave="{00000000-0000-0000-0000-000000000000}"/>
  <bookViews>
    <workbookView xWindow="0" yWindow="0" windowWidth="25900" windowHeight="21000" activeTab="3" xr2:uid="{00000000-000D-0000-FFFF-FFFF00000000}"/>
  </bookViews>
  <sheets>
    <sheet name="Data" sheetId="1" r:id="rId1"/>
    <sheet name="Notes" sheetId="13" r:id="rId2"/>
    <sheet name="Electrical System Specification" sheetId="12" r:id="rId3"/>
    <sheet name="Hybrid System" sheetId="14" r:id="rId4"/>
    <sheet name="Regen Braking" sheetId="15" r:id="rId5"/>
    <sheet name="Fuel Use" sheetId="8" r:id="rId6"/>
    <sheet name="Power" sheetId="11" r:id="rId7"/>
    <sheet name="Sheet3" sheetId="4" r:id="rId8"/>
    <sheet name="Acceleration" sheetId="10" r:id="rId9"/>
    <sheet name="Resistive Forces" sheetId="9" r:id="rId10"/>
    <sheet name="Vehicle Data" sheetId="2" r:id="rId11"/>
    <sheet name="Gradient" sheetId="7" r:id="rId12"/>
    <sheet name="BSFC" sheetId="3" r:id="rId13"/>
    <sheet name="Drive Cycle" sheetId="6"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0" i="14" l="1"/>
  <c r="V11" i="14"/>
  <c r="V12" i="14"/>
  <c r="V13" i="14"/>
  <c r="V14" i="14"/>
  <c r="V15" i="14"/>
  <c r="V16" i="14"/>
  <c r="V17" i="14"/>
  <c r="V18" i="14"/>
  <c r="V19" i="14"/>
  <c r="V20" i="14"/>
  <c r="V21" i="14"/>
  <c r="V22" i="14"/>
  <c r="V23" i="14"/>
  <c r="V24" i="14"/>
  <c r="V25" i="14"/>
  <c r="V26" i="14"/>
  <c r="V27" i="14"/>
  <c r="V28" i="14"/>
  <c r="V29" i="14"/>
  <c r="V30" i="14"/>
  <c r="V31" i="14"/>
  <c r="V32" i="14"/>
  <c r="V33" i="14"/>
  <c r="V34" i="14"/>
  <c r="V35" i="14"/>
  <c r="V36" i="14"/>
  <c r="V37" i="14"/>
  <c r="V38" i="14"/>
  <c r="V39" i="14"/>
  <c r="V40" i="14"/>
  <c r="V41" i="14"/>
  <c r="V42" i="14"/>
  <c r="V43" i="14"/>
  <c r="V44" i="14"/>
  <c r="V45" i="14"/>
  <c r="V46" i="14"/>
  <c r="V47" i="14"/>
  <c r="V48" i="14"/>
  <c r="V49" i="14"/>
  <c r="V50" i="14"/>
  <c r="V51" i="14"/>
  <c r="V52" i="14"/>
  <c r="V53" i="14"/>
  <c r="V54" i="14"/>
  <c r="V55" i="14"/>
  <c r="V56" i="14"/>
  <c r="V57" i="14"/>
  <c r="V58" i="14"/>
  <c r="V59" i="14"/>
  <c r="V60" i="14"/>
  <c r="V61" i="14"/>
  <c r="V62" i="14"/>
  <c r="V63" i="14"/>
  <c r="V64" i="14"/>
  <c r="V65" i="14"/>
  <c r="V66" i="14"/>
  <c r="V67" i="14"/>
  <c r="V68" i="14"/>
  <c r="V69" i="14"/>
  <c r="V70" i="14"/>
  <c r="V71" i="14"/>
  <c r="V72" i="14"/>
  <c r="V73" i="14"/>
  <c r="V74" i="14"/>
  <c r="V75" i="14"/>
  <c r="V76" i="14"/>
  <c r="V77" i="14"/>
  <c r="V78" i="14"/>
  <c r="V79" i="14"/>
  <c r="V80" i="14"/>
  <c r="V81" i="14"/>
  <c r="V82" i="14"/>
  <c r="V83" i="14"/>
  <c r="V84" i="14"/>
  <c r="V85" i="14"/>
  <c r="V86" i="14"/>
  <c r="V87" i="14"/>
  <c r="V88" i="14"/>
  <c r="V89" i="14"/>
  <c r="V90" i="14"/>
  <c r="V91" i="14"/>
  <c r="V92" i="14"/>
  <c r="V93" i="14"/>
  <c r="W93" i="14" s="1"/>
  <c r="V94" i="14"/>
  <c r="V95" i="14"/>
  <c r="V96" i="14"/>
  <c r="V97" i="14"/>
  <c r="V98" i="14"/>
  <c r="V99" i="14"/>
  <c r="V100" i="14"/>
  <c r="V101" i="14"/>
  <c r="V102" i="14"/>
  <c r="V103" i="14"/>
  <c r="V104" i="14"/>
  <c r="V105" i="14"/>
  <c r="V106" i="14"/>
  <c r="V107" i="14"/>
  <c r="V108" i="14"/>
  <c r="V109" i="14"/>
  <c r="V110" i="14"/>
  <c r="V111" i="14"/>
  <c r="V112" i="14"/>
  <c r="V113" i="14"/>
  <c r="V114" i="14"/>
  <c r="V115" i="14"/>
  <c r="V116" i="14"/>
  <c r="V117" i="14"/>
  <c r="V118" i="14"/>
  <c r="V119" i="14"/>
  <c r="V120" i="14"/>
  <c r="V121" i="14"/>
  <c r="V122" i="14"/>
  <c r="V123" i="14"/>
  <c r="V124" i="14"/>
  <c r="V125" i="14"/>
  <c r="V126" i="14"/>
  <c r="V127" i="14"/>
  <c r="V128" i="14"/>
  <c r="V129" i="14"/>
  <c r="V130" i="14"/>
  <c r="V131" i="14"/>
  <c r="V132" i="14"/>
  <c r="V133" i="14"/>
  <c r="V134" i="14"/>
  <c r="V135" i="14"/>
  <c r="V136" i="14"/>
  <c r="V137" i="14"/>
  <c r="V138" i="14"/>
  <c r="V139" i="14"/>
  <c r="V140" i="14"/>
  <c r="V141" i="14"/>
  <c r="V142" i="14"/>
  <c r="V143" i="14"/>
  <c r="V144" i="14"/>
  <c r="V145" i="14"/>
  <c r="V146" i="14"/>
  <c r="V147" i="14"/>
  <c r="V148" i="14"/>
  <c r="V149" i="14"/>
  <c r="V150" i="14"/>
  <c r="V151" i="14"/>
  <c r="V152" i="14"/>
  <c r="V153" i="14"/>
  <c r="V154" i="14"/>
  <c r="V155" i="14"/>
  <c r="V156" i="14"/>
  <c r="V157" i="14"/>
  <c r="V158" i="14"/>
  <c r="V159" i="14"/>
  <c r="V160" i="14"/>
  <c r="V161" i="14"/>
  <c r="V162" i="14"/>
  <c r="V163" i="14"/>
  <c r="V164" i="14"/>
  <c r="V165" i="14"/>
  <c r="V166" i="14"/>
  <c r="V167" i="14"/>
  <c r="V168" i="14"/>
  <c r="V169" i="14"/>
  <c r="V170" i="14"/>
  <c r="V171" i="14"/>
  <c r="V172" i="14"/>
  <c r="V173" i="14"/>
  <c r="V174" i="14"/>
  <c r="V175" i="14"/>
  <c r="V176" i="14"/>
  <c r="V177" i="14"/>
  <c r="W177" i="14" s="1"/>
  <c r="Z177" i="14" s="1"/>
  <c r="V178" i="14"/>
  <c r="V179" i="14"/>
  <c r="V180" i="14"/>
  <c r="V181" i="14"/>
  <c r="V182" i="14"/>
  <c r="V183" i="14"/>
  <c r="V184" i="14"/>
  <c r="V185" i="14"/>
  <c r="V186" i="14"/>
  <c r="V187" i="14"/>
  <c r="V188" i="14"/>
  <c r="V189" i="14"/>
  <c r="V190" i="14"/>
  <c r="V191" i="14"/>
  <c r="V192" i="14"/>
  <c r="V193" i="14"/>
  <c r="V194" i="14"/>
  <c r="V195" i="14"/>
  <c r="V196" i="14"/>
  <c r="V197" i="14"/>
  <c r="V198" i="14"/>
  <c r="V199" i="14"/>
  <c r="V200" i="14"/>
  <c r="V201" i="14"/>
  <c r="V202" i="14"/>
  <c r="V203" i="14"/>
  <c r="V204" i="14"/>
  <c r="V205" i="14"/>
  <c r="V206" i="14"/>
  <c r="V207" i="14"/>
  <c r="V208" i="14"/>
  <c r="V209" i="14"/>
  <c r="V210" i="14"/>
  <c r="V211" i="14"/>
  <c r="V212" i="14"/>
  <c r="V213" i="14"/>
  <c r="V214" i="14"/>
  <c r="V215" i="14"/>
  <c r="V216" i="14"/>
  <c r="V217" i="14"/>
  <c r="V218" i="14"/>
  <c r="V219" i="14"/>
  <c r="V220" i="14"/>
  <c r="V221" i="14"/>
  <c r="V222" i="14"/>
  <c r="V223" i="14"/>
  <c r="V224" i="14"/>
  <c r="V225" i="14"/>
  <c r="V226" i="14"/>
  <c r="V227" i="14"/>
  <c r="V228" i="14"/>
  <c r="V229" i="14"/>
  <c r="V230" i="14"/>
  <c r="V231" i="14"/>
  <c r="V232" i="14"/>
  <c r="V233" i="14"/>
  <c r="V234" i="14"/>
  <c r="V235" i="14"/>
  <c r="V236" i="14"/>
  <c r="V237" i="14"/>
  <c r="V238" i="14"/>
  <c r="V239" i="14"/>
  <c r="V240" i="14"/>
  <c r="V241" i="14"/>
  <c r="V242" i="14"/>
  <c r="V243" i="14"/>
  <c r="V244" i="14"/>
  <c r="V245" i="14"/>
  <c r="V246" i="14"/>
  <c r="V247" i="14"/>
  <c r="V248" i="14"/>
  <c r="V249" i="14"/>
  <c r="W249" i="14" s="1"/>
  <c r="V250" i="14"/>
  <c r="V251" i="14"/>
  <c r="V252" i="14"/>
  <c r="V253" i="14"/>
  <c r="V254" i="14"/>
  <c r="V255" i="14"/>
  <c r="V256" i="14"/>
  <c r="V257" i="14"/>
  <c r="V258" i="14"/>
  <c r="V259" i="14"/>
  <c r="V260" i="14"/>
  <c r="V261" i="14"/>
  <c r="W261" i="14" s="1"/>
  <c r="V262" i="14"/>
  <c r="V263" i="14"/>
  <c r="V264" i="14"/>
  <c r="V265" i="14"/>
  <c r="V266" i="14"/>
  <c r="V267" i="14"/>
  <c r="V268" i="14"/>
  <c r="V269" i="14"/>
  <c r="V270" i="14"/>
  <c r="V271" i="14"/>
  <c r="V272" i="14"/>
  <c r="V273" i="14"/>
  <c r="W273" i="14" s="1"/>
  <c r="V274" i="14"/>
  <c r="V275" i="14"/>
  <c r="V276" i="14"/>
  <c r="V277" i="14"/>
  <c r="V278" i="14"/>
  <c r="V279" i="14"/>
  <c r="V280" i="14"/>
  <c r="V281" i="14"/>
  <c r="V282" i="14"/>
  <c r="V283" i="14"/>
  <c r="V284" i="14"/>
  <c r="V285" i="14"/>
  <c r="W285" i="14" s="1"/>
  <c r="V286" i="14"/>
  <c r="V287" i="14"/>
  <c r="V288" i="14"/>
  <c r="V289" i="14"/>
  <c r="V290" i="14"/>
  <c r="V291" i="14"/>
  <c r="V292" i="14"/>
  <c r="V293" i="14"/>
  <c r="V294" i="14"/>
  <c r="V295" i="14"/>
  <c r="V296" i="14"/>
  <c r="V297" i="14"/>
  <c r="W297" i="14" s="1"/>
  <c r="V298" i="14"/>
  <c r="V299" i="14"/>
  <c r="V300" i="14"/>
  <c r="V301" i="14"/>
  <c r="V302" i="14"/>
  <c r="V303" i="14"/>
  <c r="V304" i="14"/>
  <c r="V305" i="14"/>
  <c r="V306" i="14"/>
  <c r="V307" i="14"/>
  <c r="V308" i="14"/>
  <c r="V309" i="14"/>
  <c r="V310" i="14"/>
  <c r="V311" i="14"/>
  <c r="V312" i="14"/>
  <c r="V313" i="14"/>
  <c r="V314" i="14"/>
  <c r="V315" i="14"/>
  <c r="V316" i="14"/>
  <c r="V317" i="14"/>
  <c r="V318" i="14"/>
  <c r="V319" i="14"/>
  <c r="V320" i="14"/>
  <c r="V321" i="14"/>
  <c r="W321" i="14" s="1"/>
  <c r="V322" i="14"/>
  <c r="V323" i="14"/>
  <c r="V324" i="14"/>
  <c r="V325" i="14"/>
  <c r="V326" i="14"/>
  <c r="V327" i="14"/>
  <c r="V328" i="14"/>
  <c r="V329" i="14"/>
  <c r="V330" i="14"/>
  <c r="V331" i="14"/>
  <c r="V332" i="14"/>
  <c r="V333" i="14"/>
  <c r="W333" i="14" s="1"/>
  <c r="V334" i="14"/>
  <c r="V335" i="14"/>
  <c r="V336" i="14"/>
  <c r="V337" i="14"/>
  <c r="V338" i="14"/>
  <c r="V339" i="14"/>
  <c r="V340" i="14"/>
  <c r="V341" i="14"/>
  <c r="V342" i="14"/>
  <c r="V343" i="14"/>
  <c r="V344" i="14"/>
  <c r="W344" i="14" s="1"/>
  <c r="Z344" i="14" s="1"/>
  <c r="V345" i="14"/>
  <c r="W345" i="14" s="1"/>
  <c r="V346" i="14"/>
  <c r="V347" i="14"/>
  <c r="V348" i="14"/>
  <c r="V349" i="14"/>
  <c r="V350" i="14"/>
  <c r="V351" i="14"/>
  <c r="V352" i="14"/>
  <c r="V353" i="14"/>
  <c r="V354" i="14"/>
  <c r="V355" i="14"/>
  <c r="V356" i="14"/>
  <c r="V357" i="14"/>
  <c r="V358" i="14"/>
  <c r="V359" i="14"/>
  <c r="V360" i="14"/>
  <c r="V361" i="14"/>
  <c r="V362" i="14"/>
  <c r="V363" i="14"/>
  <c r="V364" i="14"/>
  <c r="V365" i="14"/>
  <c r="V366" i="14"/>
  <c r="V367" i="14"/>
  <c r="V368" i="14"/>
  <c r="V369" i="14"/>
  <c r="V370" i="14"/>
  <c r="V371" i="14"/>
  <c r="V372" i="14"/>
  <c r="V373" i="14"/>
  <c r="V374" i="14"/>
  <c r="V375" i="14"/>
  <c r="V376" i="14"/>
  <c r="V377" i="14"/>
  <c r="V378" i="14"/>
  <c r="V379" i="14"/>
  <c r="V380" i="14"/>
  <c r="V381" i="14"/>
  <c r="W381" i="14" s="1"/>
  <c r="V382" i="14"/>
  <c r="V383" i="14"/>
  <c r="V384" i="14"/>
  <c r="V385" i="14"/>
  <c r="V386" i="14"/>
  <c r="V387" i="14"/>
  <c r="V388" i="14"/>
  <c r="V389" i="14"/>
  <c r="V390" i="14"/>
  <c r="V391" i="14"/>
  <c r="V392" i="14"/>
  <c r="V393" i="14"/>
  <c r="V394" i="14"/>
  <c r="V395" i="14"/>
  <c r="V396" i="14"/>
  <c r="V397" i="14"/>
  <c r="V398" i="14"/>
  <c r="V399" i="14"/>
  <c r="V400" i="14"/>
  <c r="V401" i="14"/>
  <c r="V402" i="14"/>
  <c r="V403" i="14"/>
  <c r="V404" i="14"/>
  <c r="V405" i="14"/>
  <c r="W405" i="14" s="1"/>
  <c r="V406" i="14"/>
  <c r="V407" i="14"/>
  <c r="V408" i="14"/>
  <c r="V409" i="14"/>
  <c r="V410" i="14"/>
  <c r="V411" i="14"/>
  <c r="V412" i="14"/>
  <c r="V413" i="14"/>
  <c r="V414" i="14"/>
  <c r="V415" i="14"/>
  <c r="V416" i="14"/>
  <c r="V417" i="14"/>
  <c r="V418" i="14"/>
  <c r="V419" i="14"/>
  <c r="V420" i="14"/>
  <c r="V421" i="14"/>
  <c r="V422" i="14"/>
  <c r="V423" i="14"/>
  <c r="V424" i="14"/>
  <c r="V425" i="14"/>
  <c r="V426" i="14"/>
  <c r="V427" i="14"/>
  <c r="V428" i="14"/>
  <c r="V429" i="14"/>
  <c r="W429" i="14" s="1"/>
  <c r="V430" i="14"/>
  <c r="V431" i="14"/>
  <c r="V432" i="14"/>
  <c r="V433" i="14"/>
  <c r="V434" i="14"/>
  <c r="V435" i="14"/>
  <c r="V436" i="14"/>
  <c r="V437" i="14"/>
  <c r="V438" i="14"/>
  <c r="V439" i="14"/>
  <c r="V440" i="14"/>
  <c r="V441" i="14"/>
  <c r="V442" i="14"/>
  <c r="V443" i="14"/>
  <c r="V444" i="14"/>
  <c r="V445" i="14"/>
  <c r="V446" i="14"/>
  <c r="V447" i="14"/>
  <c r="V448" i="14"/>
  <c r="V449" i="14"/>
  <c r="V450" i="14"/>
  <c r="V451" i="14"/>
  <c r="V452" i="14"/>
  <c r="W452" i="14" s="1"/>
  <c r="Z452" i="14" s="1"/>
  <c r="V453" i="14"/>
  <c r="W453" i="14" s="1"/>
  <c r="V454" i="14"/>
  <c r="V455" i="14"/>
  <c r="V456" i="14"/>
  <c r="V457" i="14"/>
  <c r="V458" i="14"/>
  <c r="V459" i="14"/>
  <c r="V460" i="14"/>
  <c r="V461" i="14"/>
  <c r="V462" i="14"/>
  <c r="V463" i="14"/>
  <c r="V464" i="14"/>
  <c r="V465" i="14"/>
  <c r="V466" i="14"/>
  <c r="V467" i="14"/>
  <c r="V468" i="14"/>
  <c r="V469" i="14"/>
  <c r="V470" i="14"/>
  <c r="V471" i="14"/>
  <c r="V472" i="14"/>
  <c r="V473" i="14"/>
  <c r="V474" i="14"/>
  <c r="V475" i="14"/>
  <c r="V476" i="14"/>
  <c r="W476" i="14" s="1"/>
  <c r="Z476" i="14" s="1"/>
  <c r="V477" i="14"/>
  <c r="V478" i="14"/>
  <c r="V479" i="14"/>
  <c r="V480" i="14"/>
  <c r="V481" i="14"/>
  <c r="V482" i="14"/>
  <c r="V483" i="14"/>
  <c r="V484" i="14"/>
  <c r="V485" i="14"/>
  <c r="V486" i="14"/>
  <c r="V487" i="14"/>
  <c r="V488" i="14"/>
  <c r="W488" i="14" s="1"/>
  <c r="Z488" i="14" s="1"/>
  <c r="V489" i="14"/>
  <c r="W489" i="14" s="1"/>
  <c r="V490" i="14"/>
  <c r="V491" i="14"/>
  <c r="V492" i="14"/>
  <c r="V493" i="14"/>
  <c r="V494" i="14"/>
  <c r="V495" i="14"/>
  <c r="V496" i="14"/>
  <c r="V497" i="14"/>
  <c r="V498" i="14"/>
  <c r="V499" i="14"/>
  <c r="W499" i="14" s="1"/>
  <c r="Z499" i="14" s="1"/>
  <c r="V500" i="14"/>
  <c r="V501" i="14"/>
  <c r="W501" i="14" s="1"/>
  <c r="V502" i="14"/>
  <c r="V503" i="14"/>
  <c r="V504" i="14"/>
  <c r="V505" i="14"/>
  <c r="V506" i="14"/>
  <c r="V507" i="14"/>
  <c r="V508" i="14"/>
  <c r="V509" i="14"/>
  <c r="V510" i="14"/>
  <c r="V511" i="14"/>
  <c r="W511" i="14" s="1"/>
  <c r="Z511" i="14" s="1"/>
  <c r="V512" i="14"/>
  <c r="V513" i="14"/>
  <c r="W513" i="14" s="1"/>
  <c r="V514" i="14"/>
  <c r="V515" i="14"/>
  <c r="V516" i="14"/>
  <c r="V517" i="14"/>
  <c r="V518" i="14"/>
  <c r="V519" i="14"/>
  <c r="V520" i="14"/>
  <c r="V521" i="14"/>
  <c r="V522" i="14"/>
  <c r="V523" i="14"/>
  <c r="V524" i="14"/>
  <c r="V525" i="14"/>
  <c r="W525" i="14" s="1"/>
  <c r="V526" i="14"/>
  <c r="V527" i="14"/>
  <c r="V528" i="14"/>
  <c r="V529" i="14"/>
  <c r="V530" i="14"/>
  <c r="V531" i="14"/>
  <c r="V532" i="14"/>
  <c r="V533" i="14"/>
  <c r="V534" i="14"/>
  <c r="V535" i="14"/>
  <c r="W535" i="14" s="1"/>
  <c r="Z535" i="14" s="1"/>
  <c r="V536" i="14"/>
  <c r="W536" i="14" s="1"/>
  <c r="Z536" i="14" s="1"/>
  <c r="V537" i="14"/>
  <c r="W537" i="14" s="1"/>
  <c r="V538" i="14"/>
  <c r="V539" i="14"/>
  <c r="V9" i="14"/>
  <c r="W105" i="14"/>
  <c r="W140" i="14"/>
  <c r="Z140" i="14" s="1"/>
  <c r="W236" i="14"/>
  <c r="Z236" i="14" s="1"/>
  <c r="W272" i="14"/>
  <c r="Z272" i="14" s="1"/>
  <c r="W284" i="14"/>
  <c r="Z284" i="14" s="1"/>
  <c r="W296" i="14"/>
  <c r="Z296" i="14" s="1"/>
  <c r="W332" i="14"/>
  <c r="Z332" i="14" s="1"/>
  <c r="W368" i="14"/>
  <c r="Z368" i="14" s="1"/>
  <c r="W404" i="14"/>
  <c r="Z404" i="14" s="1"/>
  <c r="W417" i="14"/>
  <c r="W428" i="14"/>
  <c r="Z428" i="14" s="1"/>
  <c r="W464" i="14"/>
  <c r="Z464" i="14" s="1"/>
  <c r="W498" i="14"/>
  <c r="Z498" i="14" s="1"/>
  <c r="W500" i="14"/>
  <c r="Z500" i="14" s="1"/>
  <c r="W512" i="14"/>
  <c r="Z512" i="14" s="1"/>
  <c r="AG3" i="14"/>
  <c r="X10" i="14"/>
  <c r="X11" i="14"/>
  <c r="X12" i="14"/>
  <c r="X13" i="14"/>
  <c r="X14" i="14"/>
  <c r="X15" i="14"/>
  <c r="X16" i="14"/>
  <c r="X17" i="14"/>
  <c r="X18" i="14"/>
  <c r="X19" i="14"/>
  <c r="X20" i="14"/>
  <c r="X21" i="14"/>
  <c r="X22" i="14"/>
  <c r="X23" i="14"/>
  <c r="X24" i="14"/>
  <c r="X25" i="14"/>
  <c r="X26" i="14"/>
  <c r="X27" i="14"/>
  <c r="X28" i="14"/>
  <c r="X29" i="14"/>
  <c r="X30" i="14"/>
  <c r="X31" i="14"/>
  <c r="X32" i="14"/>
  <c r="X33" i="14"/>
  <c r="X34" i="14"/>
  <c r="X35" i="14"/>
  <c r="X36" i="14"/>
  <c r="X37" i="14"/>
  <c r="X38" i="14"/>
  <c r="X39" i="14"/>
  <c r="X40" i="14"/>
  <c r="X41" i="14"/>
  <c r="X42" i="14"/>
  <c r="X43" i="14"/>
  <c r="X44" i="14"/>
  <c r="X45" i="14"/>
  <c r="X46" i="14"/>
  <c r="X47" i="14"/>
  <c r="X48" i="14"/>
  <c r="X49" i="14"/>
  <c r="X50" i="14"/>
  <c r="X51" i="14"/>
  <c r="X52" i="14"/>
  <c r="X53" i="14"/>
  <c r="X54" i="14"/>
  <c r="X55" i="14"/>
  <c r="X56" i="14"/>
  <c r="X57" i="14"/>
  <c r="X58" i="14"/>
  <c r="X59" i="14"/>
  <c r="X60" i="14"/>
  <c r="X61" i="14"/>
  <c r="X62" i="14"/>
  <c r="X63" i="14"/>
  <c r="X64" i="14"/>
  <c r="X65" i="14"/>
  <c r="X66" i="14"/>
  <c r="X67" i="14"/>
  <c r="X68" i="14"/>
  <c r="X69" i="14"/>
  <c r="X70" i="14"/>
  <c r="X71" i="14"/>
  <c r="X72" i="14"/>
  <c r="X73" i="14"/>
  <c r="X74" i="14"/>
  <c r="X75" i="14"/>
  <c r="X76" i="14"/>
  <c r="X77" i="14"/>
  <c r="X78" i="14"/>
  <c r="X79" i="14"/>
  <c r="X80" i="14"/>
  <c r="X81" i="14"/>
  <c r="X82" i="14"/>
  <c r="X83" i="14"/>
  <c r="X84" i="14"/>
  <c r="X85" i="14"/>
  <c r="X86" i="14"/>
  <c r="X87" i="14"/>
  <c r="X88" i="14"/>
  <c r="X89" i="14"/>
  <c r="X90" i="14"/>
  <c r="X91" i="14"/>
  <c r="X92" i="14"/>
  <c r="X93" i="14"/>
  <c r="X94" i="14"/>
  <c r="X95" i="14"/>
  <c r="X96" i="14"/>
  <c r="X97" i="14"/>
  <c r="X98" i="14"/>
  <c r="X99" i="14"/>
  <c r="X100" i="14"/>
  <c r="X101" i="14"/>
  <c r="X102" i="14"/>
  <c r="X103" i="14"/>
  <c r="X104" i="14"/>
  <c r="X105" i="14"/>
  <c r="X106" i="14"/>
  <c r="X107" i="14"/>
  <c r="X108" i="14"/>
  <c r="X109" i="14"/>
  <c r="X110" i="14"/>
  <c r="X111" i="14"/>
  <c r="X112" i="14"/>
  <c r="X113" i="14"/>
  <c r="X114" i="14"/>
  <c r="X115" i="14"/>
  <c r="X116" i="14"/>
  <c r="X117" i="14"/>
  <c r="X118" i="14"/>
  <c r="X119" i="14"/>
  <c r="X120" i="14"/>
  <c r="X121" i="14"/>
  <c r="X122" i="14"/>
  <c r="X123" i="14"/>
  <c r="X124" i="14"/>
  <c r="X125" i="14"/>
  <c r="X126" i="14"/>
  <c r="X127" i="14"/>
  <c r="X128" i="14"/>
  <c r="X129" i="14"/>
  <c r="X130" i="14"/>
  <c r="X131" i="14"/>
  <c r="X132" i="14"/>
  <c r="X133" i="14"/>
  <c r="X134" i="14"/>
  <c r="X135" i="14"/>
  <c r="X136" i="14"/>
  <c r="X137" i="14"/>
  <c r="X138" i="14"/>
  <c r="X139" i="14"/>
  <c r="X140" i="14"/>
  <c r="X141" i="14"/>
  <c r="X142" i="14"/>
  <c r="X143" i="14"/>
  <c r="X144" i="14"/>
  <c r="X145" i="14"/>
  <c r="X146" i="14"/>
  <c r="X147" i="14"/>
  <c r="X148" i="14"/>
  <c r="X149" i="14"/>
  <c r="X150" i="14"/>
  <c r="X151" i="14"/>
  <c r="X152" i="14"/>
  <c r="X153" i="14"/>
  <c r="X154" i="14"/>
  <c r="X155" i="14"/>
  <c r="X156" i="14"/>
  <c r="X157" i="14"/>
  <c r="X158" i="14"/>
  <c r="X159" i="14"/>
  <c r="X160" i="14"/>
  <c r="X161" i="14"/>
  <c r="X162" i="14"/>
  <c r="X163" i="14"/>
  <c r="X164" i="14"/>
  <c r="X165" i="14"/>
  <c r="X166" i="14"/>
  <c r="X167" i="14"/>
  <c r="X168" i="14"/>
  <c r="X169" i="14"/>
  <c r="X170" i="14"/>
  <c r="X171" i="14"/>
  <c r="X172" i="14"/>
  <c r="X173" i="14"/>
  <c r="X174" i="14"/>
  <c r="X175" i="14"/>
  <c r="X176" i="14"/>
  <c r="X177" i="14"/>
  <c r="X178" i="14"/>
  <c r="X179" i="14"/>
  <c r="X180" i="14"/>
  <c r="X181" i="14"/>
  <c r="X182" i="14"/>
  <c r="X183" i="14"/>
  <c r="X184" i="14"/>
  <c r="X185" i="14"/>
  <c r="X186" i="14"/>
  <c r="X187" i="14"/>
  <c r="X188" i="14"/>
  <c r="X189" i="14"/>
  <c r="X190" i="14"/>
  <c r="X191" i="14"/>
  <c r="X192" i="14"/>
  <c r="X193" i="14"/>
  <c r="X194" i="14"/>
  <c r="X195" i="14"/>
  <c r="X196" i="14"/>
  <c r="X197" i="14"/>
  <c r="X198" i="14"/>
  <c r="X199" i="14"/>
  <c r="X200" i="14"/>
  <c r="X201" i="14"/>
  <c r="X202" i="14"/>
  <c r="X203" i="14"/>
  <c r="X204" i="14"/>
  <c r="X205" i="14"/>
  <c r="X206" i="14"/>
  <c r="X207" i="14"/>
  <c r="X208" i="14"/>
  <c r="X209" i="14"/>
  <c r="X210" i="14"/>
  <c r="X211" i="14"/>
  <c r="X212" i="14"/>
  <c r="X213" i="14"/>
  <c r="X214" i="14"/>
  <c r="X215" i="14"/>
  <c r="X216" i="14"/>
  <c r="X217" i="14"/>
  <c r="X218" i="14"/>
  <c r="X219" i="14"/>
  <c r="X220" i="14"/>
  <c r="X221" i="14"/>
  <c r="X222" i="14"/>
  <c r="X223" i="14"/>
  <c r="X224" i="14"/>
  <c r="X225" i="14"/>
  <c r="X226" i="14"/>
  <c r="X227" i="14"/>
  <c r="X228" i="14"/>
  <c r="X229" i="14"/>
  <c r="X230" i="14"/>
  <c r="X231" i="14"/>
  <c r="X232" i="14"/>
  <c r="X233" i="14"/>
  <c r="X234" i="14"/>
  <c r="X235" i="14"/>
  <c r="X236" i="14"/>
  <c r="X237" i="14"/>
  <c r="X238" i="14"/>
  <c r="X239" i="14"/>
  <c r="X240" i="14"/>
  <c r="X241" i="14"/>
  <c r="X242" i="14"/>
  <c r="X243" i="14"/>
  <c r="X244" i="14"/>
  <c r="X245" i="14"/>
  <c r="X246" i="14"/>
  <c r="X247" i="14"/>
  <c r="X248" i="14"/>
  <c r="X249" i="14"/>
  <c r="X250" i="14"/>
  <c r="X251" i="14"/>
  <c r="X252" i="14"/>
  <c r="X253" i="14"/>
  <c r="X254" i="14"/>
  <c r="X255" i="14"/>
  <c r="X256" i="14"/>
  <c r="X257" i="14"/>
  <c r="X258" i="14"/>
  <c r="X259" i="14"/>
  <c r="X260" i="14"/>
  <c r="X261" i="14"/>
  <c r="X262" i="14"/>
  <c r="X263" i="14"/>
  <c r="X264" i="14"/>
  <c r="X265" i="14"/>
  <c r="X266" i="14"/>
  <c r="X267" i="14"/>
  <c r="X268" i="14"/>
  <c r="X269" i="14"/>
  <c r="X270" i="14"/>
  <c r="X271" i="14"/>
  <c r="X272" i="14"/>
  <c r="X273" i="14"/>
  <c r="X274" i="14"/>
  <c r="X275" i="14"/>
  <c r="X276" i="14"/>
  <c r="X277" i="14"/>
  <c r="X278" i="14"/>
  <c r="X279" i="14"/>
  <c r="X280" i="14"/>
  <c r="X281" i="14"/>
  <c r="X282" i="14"/>
  <c r="X283" i="14"/>
  <c r="X284" i="14"/>
  <c r="X285" i="14"/>
  <c r="X286" i="14"/>
  <c r="X287" i="14"/>
  <c r="X288" i="14"/>
  <c r="X289" i="14"/>
  <c r="X290" i="14"/>
  <c r="X291" i="14"/>
  <c r="X292" i="14"/>
  <c r="X293" i="14"/>
  <c r="X294" i="14"/>
  <c r="X295" i="14"/>
  <c r="X296" i="14"/>
  <c r="X297" i="14"/>
  <c r="X298" i="14"/>
  <c r="X299" i="14"/>
  <c r="X300" i="14"/>
  <c r="X301" i="14"/>
  <c r="X302" i="14"/>
  <c r="X303" i="14"/>
  <c r="X304" i="14"/>
  <c r="X305" i="14"/>
  <c r="X306" i="14"/>
  <c r="X307" i="14"/>
  <c r="X308" i="14"/>
  <c r="X309" i="14"/>
  <c r="X310" i="14"/>
  <c r="X311" i="14"/>
  <c r="X312" i="14"/>
  <c r="X313" i="14"/>
  <c r="X314" i="14"/>
  <c r="X315" i="14"/>
  <c r="X316" i="14"/>
  <c r="X317" i="14"/>
  <c r="X318" i="14"/>
  <c r="X319" i="14"/>
  <c r="X320" i="14"/>
  <c r="X321" i="14"/>
  <c r="X322" i="14"/>
  <c r="X323" i="14"/>
  <c r="X324" i="14"/>
  <c r="X325" i="14"/>
  <c r="X326" i="14"/>
  <c r="X327" i="14"/>
  <c r="X328" i="14"/>
  <c r="X329" i="14"/>
  <c r="X330" i="14"/>
  <c r="X331" i="14"/>
  <c r="X332" i="14"/>
  <c r="X333" i="14"/>
  <c r="X334" i="14"/>
  <c r="X335" i="14"/>
  <c r="X336" i="14"/>
  <c r="X337" i="14"/>
  <c r="X338" i="14"/>
  <c r="X339" i="14"/>
  <c r="X340" i="14"/>
  <c r="X341" i="14"/>
  <c r="X342" i="14"/>
  <c r="X343" i="14"/>
  <c r="X344" i="14"/>
  <c r="X345" i="14"/>
  <c r="X346" i="14"/>
  <c r="X347" i="14"/>
  <c r="X348" i="14"/>
  <c r="X349" i="14"/>
  <c r="X350" i="14"/>
  <c r="X351" i="14"/>
  <c r="X352" i="14"/>
  <c r="X353" i="14"/>
  <c r="X354" i="14"/>
  <c r="X355" i="14"/>
  <c r="X356" i="14"/>
  <c r="X357" i="14"/>
  <c r="X358" i="14"/>
  <c r="X359" i="14"/>
  <c r="X360" i="14"/>
  <c r="X361" i="14"/>
  <c r="X362" i="14"/>
  <c r="X363" i="14"/>
  <c r="X364" i="14"/>
  <c r="X365" i="14"/>
  <c r="X366" i="14"/>
  <c r="X367" i="14"/>
  <c r="X368" i="14"/>
  <c r="X369" i="14"/>
  <c r="X370" i="14"/>
  <c r="X371" i="14"/>
  <c r="X372" i="14"/>
  <c r="X373" i="14"/>
  <c r="X374" i="14"/>
  <c r="X375" i="14"/>
  <c r="X376" i="14"/>
  <c r="X377" i="14"/>
  <c r="X378" i="14"/>
  <c r="X379" i="14"/>
  <c r="X380" i="14"/>
  <c r="X381" i="14"/>
  <c r="X382" i="14"/>
  <c r="X383" i="14"/>
  <c r="X384" i="14"/>
  <c r="X385" i="14"/>
  <c r="X386" i="14"/>
  <c r="X387" i="14"/>
  <c r="X388" i="14"/>
  <c r="X389" i="14"/>
  <c r="X390" i="14"/>
  <c r="X391" i="14"/>
  <c r="X392" i="14"/>
  <c r="X393" i="14"/>
  <c r="X394" i="14"/>
  <c r="X395" i="14"/>
  <c r="X396" i="14"/>
  <c r="X397" i="14"/>
  <c r="X398" i="14"/>
  <c r="X399" i="14"/>
  <c r="X400" i="14"/>
  <c r="X401" i="14"/>
  <c r="X402" i="14"/>
  <c r="X403" i="14"/>
  <c r="X404" i="14"/>
  <c r="X405" i="14"/>
  <c r="X406" i="14"/>
  <c r="X407" i="14"/>
  <c r="X408" i="14"/>
  <c r="X409" i="14"/>
  <c r="X410" i="14"/>
  <c r="X411" i="14"/>
  <c r="X412" i="14"/>
  <c r="X413" i="14"/>
  <c r="X414" i="14"/>
  <c r="X415" i="14"/>
  <c r="X416" i="14"/>
  <c r="X417" i="14"/>
  <c r="X418" i="14"/>
  <c r="X419" i="14"/>
  <c r="X420" i="14"/>
  <c r="X421" i="14"/>
  <c r="Y421" i="14" s="1"/>
  <c r="X422" i="14"/>
  <c r="X423" i="14"/>
  <c r="X424" i="14"/>
  <c r="X425" i="14"/>
  <c r="X426" i="14"/>
  <c r="X427" i="14"/>
  <c r="X428" i="14"/>
  <c r="X429" i="14"/>
  <c r="X430" i="14"/>
  <c r="X431" i="14"/>
  <c r="X432" i="14"/>
  <c r="X433" i="14"/>
  <c r="Y433" i="14" s="1"/>
  <c r="X434" i="14"/>
  <c r="X435" i="14"/>
  <c r="X436" i="14"/>
  <c r="X437" i="14"/>
  <c r="X438" i="14"/>
  <c r="X439" i="14"/>
  <c r="X440" i="14"/>
  <c r="X441" i="14"/>
  <c r="X442" i="14"/>
  <c r="X443" i="14"/>
  <c r="X444" i="14"/>
  <c r="X445" i="14"/>
  <c r="Y445" i="14" s="1"/>
  <c r="X446" i="14"/>
  <c r="X447" i="14"/>
  <c r="X448" i="14"/>
  <c r="X449" i="14"/>
  <c r="X450" i="14"/>
  <c r="X451" i="14"/>
  <c r="X452" i="14"/>
  <c r="X453" i="14"/>
  <c r="X454" i="14"/>
  <c r="X455" i="14"/>
  <c r="X456" i="14"/>
  <c r="X457" i="14"/>
  <c r="Y457" i="14" s="1"/>
  <c r="X458" i="14"/>
  <c r="X459" i="14"/>
  <c r="X460" i="14"/>
  <c r="X461" i="14"/>
  <c r="X462" i="14"/>
  <c r="X463" i="14"/>
  <c r="X464" i="14"/>
  <c r="X465" i="14"/>
  <c r="X466" i="14"/>
  <c r="X467" i="14"/>
  <c r="X468" i="14"/>
  <c r="X469" i="14"/>
  <c r="Y469" i="14" s="1"/>
  <c r="X470" i="14"/>
  <c r="X471" i="14"/>
  <c r="X472" i="14"/>
  <c r="X473" i="14"/>
  <c r="X474" i="14"/>
  <c r="X475" i="14"/>
  <c r="X476" i="14"/>
  <c r="X477" i="14"/>
  <c r="X478" i="14"/>
  <c r="X479" i="14"/>
  <c r="X480" i="14"/>
  <c r="X481" i="14"/>
  <c r="Y481" i="14" s="1"/>
  <c r="X482" i="14"/>
  <c r="X483" i="14"/>
  <c r="X484" i="14"/>
  <c r="X485" i="14"/>
  <c r="X486" i="14"/>
  <c r="X487" i="14"/>
  <c r="X488" i="14"/>
  <c r="X489" i="14"/>
  <c r="X490" i="14"/>
  <c r="X491" i="14"/>
  <c r="X492" i="14"/>
  <c r="X493" i="14"/>
  <c r="Y493" i="14" s="1"/>
  <c r="X494" i="14"/>
  <c r="X495" i="14"/>
  <c r="X496" i="14"/>
  <c r="X497" i="14"/>
  <c r="X498" i="14"/>
  <c r="X499" i="14"/>
  <c r="X500" i="14"/>
  <c r="X501" i="14"/>
  <c r="X502" i="14"/>
  <c r="X503" i="14"/>
  <c r="X504" i="14"/>
  <c r="X505" i="14"/>
  <c r="Y505" i="14" s="1"/>
  <c r="X506" i="14"/>
  <c r="X507" i="14"/>
  <c r="X508" i="14"/>
  <c r="X509" i="14"/>
  <c r="X510" i="14"/>
  <c r="X511" i="14"/>
  <c r="X512" i="14"/>
  <c r="X513" i="14"/>
  <c r="X514" i="14"/>
  <c r="X515" i="14"/>
  <c r="X516" i="14"/>
  <c r="X517" i="14"/>
  <c r="Y517" i="14" s="1"/>
  <c r="X518" i="14"/>
  <c r="X519" i="14"/>
  <c r="X520" i="14"/>
  <c r="X521" i="14"/>
  <c r="X522" i="14"/>
  <c r="X523" i="14"/>
  <c r="X524" i="14"/>
  <c r="X525" i="14"/>
  <c r="X526" i="14"/>
  <c r="X527" i="14"/>
  <c r="X528" i="14"/>
  <c r="X529" i="14"/>
  <c r="Y529" i="14" s="1"/>
  <c r="X530" i="14"/>
  <c r="X531" i="14"/>
  <c r="X532" i="14"/>
  <c r="X533" i="14"/>
  <c r="X534" i="14"/>
  <c r="X535" i="14"/>
  <c r="X536" i="14"/>
  <c r="X537" i="14"/>
  <c r="X538" i="14"/>
  <c r="X539" i="14"/>
  <c r="Y9" i="14"/>
  <c r="X9" i="14"/>
  <c r="Y10" i="14"/>
  <c r="Y11" i="14"/>
  <c r="Y12" i="14"/>
  <c r="Y13" i="14"/>
  <c r="Y14" i="14"/>
  <c r="Y15" i="14"/>
  <c r="Y16" i="14"/>
  <c r="Y17" i="14"/>
  <c r="Y18" i="14"/>
  <c r="Y19" i="14"/>
  <c r="Y20" i="14"/>
  <c r="Y21" i="14"/>
  <c r="AC5" i="14" s="1"/>
  <c r="Y22" i="14"/>
  <c r="Y23" i="14"/>
  <c r="Y24" i="14"/>
  <c r="Y25" i="14"/>
  <c r="Y26" i="14"/>
  <c r="Y27" i="14"/>
  <c r="Y28" i="14"/>
  <c r="Y29" i="14"/>
  <c r="Y30" i="14"/>
  <c r="Y31" i="14"/>
  <c r="Y32" i="14"/>
  <c r="Y33" i="14"/>
  <c r="Y34" i="14"/>
  <c r="Y35" i="14"/>
  <c r="Y36" i="14"/>
  <c r="Y37" i="14"/>
  <c r="Y38" i="14"/>
  <c r="Y39" i="14"/>
  <c r="Y40" i="14"/>
  <c r="Y41" i="14"/>
  <c r="Y42" i="14"/>
  <c r="Y43" i="14"/>
  <c r="Y44" i="14"/>
  <c r="Y45" i="14"/>
  <c r="Y46" i="14"/>
  <c r="Y47" i="14"/>
  <c r="Y48" i="14"/>
  <c r="Y49" i="14"/>
  <c r="Y50" i="14"/>
  <c r="Y51" i="14"/>
  <c r="Y52" i="14"/>
  <c r="Y53" i="14"/>
  <c r="Y54" i="14"/>
  <c r="Y55" i="14"/>
  <c r="Y56" i="14"/>
  <c r="Y57" i="14"/>
  <c r="Y58" i="14"/>
  <c r="Y59" i="14"/>
  <c r="Y60" i="14"/>
  <c r="Y61" i="14"/>
  <c r="Y62" i="14"/>
  <c r="Y63" i="14"/>
  <c r="Y64" i="14"/>
  <c r="Y65" i="14"/>
  <c r="Y66" i="14"/>
  <c r="Y67" i="14"/>
  <c r="Y68" i="14"/>
  <c r="Y69" i="14"/>
  <c r="Y70" i="14"/>
  <c r="Y71" i="14"/>
  <c r="Y72" i="14"/>
  <c r="Y73" i="14"/>
  <c r="Y74" i="14"/>
  <c r="Y75" i="14"/>
  <c r="Y76" i="14"/>
  <c r="Y77" i="14"/>
  <c r="Y78" i="14"/>
  <c r="Y79" i="14"/>
  <c r="Y80" i="14"/>
  <c r="Y81" i="14"/>
  <c r="Y82" i="14"/>
  <c r="Y83" i="14"/>
  <c r="Y84" i="14"/>
  <c r="Y85" i="14"/>
  <c r="Y86" i="14"/>
  <c r="Y87" i="14"/>
  <c r="Y88" i="14"/>
  <c r="Y89" i="14"/>
  <c r="Y90" i="14"/>
  <c r="Y91" i="14"/>
  <c r="Y92" i="14"/>
  <c r="Y93" i="14"/>
  <c r="Y94" i="14"/>
  <c r="Y95" i="14"/>
  <c r="Y96" i="14"/>
  <c r="Y97" i="14"/>
  <c r="Y98" i="14"/>
  <c r="Y99" i="14"/>
  <c r="Y100" i="14"/>
  <c r="Y101" i="14"/>
  <c r="Y102" i="14"/>
  <c r="Y103" i="14"/>
  <c r="Y104" i="14"/>
  <c r="Y105" i="14"/>
  <c r="Y106" i="14"/>
  <c r="Y107" i="14"/>
  <c r="Y108" i="14"/>
  <c r="Y109" i="14"/>
  <c r="Y110" i="14"/>
  <c r="Y111" i="14"/>
  <c r="Y112" i="14"/>
  <c r="Y113" i="14"/>
  <c r="Y114" i="14"/>
  <c r="Y115" i="14"/>
  <c r="Y116" i="14"/>
  <c r="Y117" i="14"/>
  <c r="Y118" i="14"/>
  <c r="Y119" i="14"/>
  <c r="Y120" i="14"/>
  <c r="Y121" i="14"/>
  <c r="Y122" i="14"/>
  <c r="Y123" i="14"/>
  <c r="Y124" i="14"/>
  <c r="Y125" i="14"/>
  <c r="Y126" i="14"/>
  <c r="Y127" i="14"/>
  <c r="Y128" i="14"/>
  <c r="Y129" i="14"/>
  <c r="Y130" i="14"/>
  <c r="Y131" i="14"/>
  <c r="Y132" i="14"/>
  <c r="Y133" i="14"/>
  <c r="Y134" i="14"/>
  <c r="Y135" i="14"/>
  <c r="Y136" i="14"/>
  <c r="Y137" i="14"/>
  <c r="Y138" i="14"/>
  <c r="Y139" i="14"/>
  <c r="Y140" i="14"/>
  <c r="Y141" i="14"/>
  <c r="Y142" i="14"/>
  <c r="Y143" i="14"/>
  <c r="Y144" i="14"/>
  <c r="Y145" i="14"/>
  <c r="Y146" i="14"/>
  <c r="Y147" i="14"/>
  <c r="Y148" i="14"/>
  <c r="Y149" i="14"/>
  <c r="Y150" i="14"/>
  <c r="Y151" i="14"/>
  <c r="Y152" i="14"/>
  <c r="Y153" i="14"/>
  <c r="Y154" i="14"/>
  <c r="Y155" i="14"/>
  <c r="Y156" i="14"/>
  <c r="Y157" i="14"/>
  <c r="Y158" i="14"/>
  <c r="Y159" i="14"/>
  <c r="Y160" i="14"/>
  <c r="Y161" i="14"/>
  <c r="Y162" i="14"/>
  <c r="Y163" i="14"/>
  <c r="Y164" i="14"/>
  <c r="Y165" i="14"/>
  <c r="Y166" i="14"/>
  <c r="Y167" i="14"/>
  <c r="Y168" i="14"/>
  <c r="Y169" i="14"/>
  <c r="Y170" i="14"/>
  <c r="Y171" i="14"/>
  <c r="Y172" i="14"/>
  <c r="Y173" i="14"/>
  <c r="Y174" i="14"/>
  <c r="Y175" i="14"/>
  <c r="Y176" i="14"/>
  <c r="Y177" i="14"/>
  <c r="Y178" i="14"/>
  <c r="Y179" i="14"/>
  <c r="Y180" i="14"/>
  <c r="Y181" i="14"/>
  <c r="Y182" i="14"/>
  <c r="Y183" i="14"/>
  <c r="Y184" i="14"/>
  <c r="Y185" i="14"/>
  <c r="Y186" i="14"/>
  <c r="Y187" i="14"/>
  <c r="Y188" i="14"/>
  <c r="Y189" i="14"/>
  <c r="Y190" i="14"/>
  <c r="Y191" i="14"/>
  <c r="Y192" i="14"/>
  <c r="Y193" i="14"/>
  <c r="Y194" i="14"/>
  <c r="Y195" i="14"/>
  <c r="Y196" i="14"/>
  <c r="Y197" i="14"/>
  <c r="Y198" i="14"/>
  <c r="Y199" i="14"/>
  <c r="Y200" i="14"/>
  <c r="Y201" i="14"/>
  <c r="Y202" i="14"/>
  <c r="Y203" i="14"/>
  <c r="Y204" i="14"/>
  <c r="Y205" i="14"/>
  <c r="Y206" i="14"/>
  <c r="Y207" i="14"/>
  <c r="Y208" i="14"/>
  <c r="Y209" i="14"/>
  <c r="Y210" i="14"/>
  <c r="Y211" i="14"/>
  <c r="Y212" i="14"/>
  <c r="Y213" i="14"/>
  <c r="Y214" i="14"/>
  <c r="Y215" i="14"/>
  <c r="Y216" i="14"/>
  <c r="Y217" i="14"/>
  <c r="Y218" i="14"/>
  <c r="Y219" i="14"/>
  <c r="Y220" i="14"/>
  <c r="Y221" i="14"/>
  <c r="Y222" i="14"/>
  <c r="Y223" i="14"/>
  <c r="Y224" i="14"/>
  <c r="Y225" i="14"/>
  <c r="Y226" i="14"/>
  <c r="Y227" i="14"/>
  <c r="Y228" i="14"/>
  <c r="Y229" i="14"/>
  <c r="Y230" i="14"/>
  <c r="Y231" i="14"/>
  <c r="Y232" i="14"/>
  <c r="Y233" i="14"/>
  <c r="Y234" i="14"/>
  <c r="Y235" i="14"/>
  <c r="Y236" i="14"/>
  <c r="Y237" i="14"/>
  <c r="Y238" i="14"/>
  <c r="Y239" i="14"/>
  <c r="Y240" i="14"/>
  <c r="Y241" i="14"/>
  <c r="Y242" i="14"/>
  <c r="Y243" i="14"/>
  <c r="Y244" i="14"/>
  <c r="Y245" i="14"/>
  <c r="Y246" i="14"/>
  <c r="Y247" i="14"/>
  <c r="Y248" i="14"/>
  <c r="Y249" i="14"/>
  <c r="Y250" i="14"/>
  <c r="Y251" i="14"/>
  <c r="Y252" i="14"/>
  <c r="Y253" i="14"/>
  <c r="Y254" i="14"/>
  <c r="Y255" i="14"/>
  <c r="Y256" i="14"/>
  <c r="Y257" i="14"/>
  <c r="Y258" i="14"/>
  <c r="Y259" i="14"/>
  <c r="Y260" i="14"/>
  <c r="Y261" i="14"/>
  <c r="Y262" i="14"/>
  <c r="Y263" i="14"/>
  <c r="Y264" i="14"/>
  <c r="Y265" i="14"/>
  <c r="Y266" i="14"/>
  <c r="Y267" i="14"/>
  <c r="Y268" i="14"/>
  <c r="Y269" i="14"/>
  <c r="Y270" i="14"/>
  <c r="Y271" i="14"/>
  <c r="Y272" i="14"/>
  <c r="Y273" i="14"/>
  <c r="Y274" i="14"/>
  <c r="Y275" i="14"/>
  <c r="Y276" i="14"/>
  <c r="Y277" i="14"/>
  <c r="Y278" i="14"/>
  <c r="Y279" i="14"/>
  <c r="Y280" i="14"/>
  <c r="Y281" i="14"/>
  <c r="Y282" i="14"/>
  <c r="Y283" i="14"/>
  <c r="Y284" i="14"/>
  <c r="Y285" i="14"/>
  <c r="Y286" i="14"/>
  <c r="Y287" i="14"/>
  <c r="Y288" i="14"/>
  <c r="Y289" i="14"/>
  <c r="Y290" i="14"/>
  <c r="Y291" i="14"/>
  <c r="Y292" i="14"/>
  <c r="Y293" i="14"/>
  <c r="Y294" i="14"/>
  <c r="Y295" i="14"/>
  <c r="Y296" i="14"/>
  <c r="Y297" i="14"/>
  <c r="Y298" i="14"/>
  <c r="Y299" i="14"/>
  <c r="Y300" i="14"/>
  <c r="Y301" i="14"/>
  <c r="Y302" i="14"/>
  <c r="Y303" i="14"/>
  <c r="Y304" i="14"/>
  <c r="Y305" i="14"/>
  <c r="Y306" i="14"/>
  <c r="Y307" i="14"/>
  <c r="Y308" i="14"/>
  <c r="Y309" i="14"/>
  <c r="Y310" i="14"/>
  <c r="Y311" i="14"/>
  <c r="Y312" i="14"/>
  <c r="Y313" i="14"/>
  <c r="Y314" i="14"/>
  <c r="Y315" i="14"/>
  <c r="Y316" i="14"/>
  <c r="Y317" i="14"/>
  <c r="Y318" i="14"/>
  <c r="Y319" i="14"/>
  <c r="Y320" i="14"/>
  <c r="Y321" i="14"/>
  <c r="Y322" i="14"/>
  <c r="Y323" i="14"/>
  <c r="Y324" i="14"/>
  <c r="Y325" i="14"/>
  <c r="Y326" i="14"/>
  <c r="Y327" i="14"/>
  <c r="Y328" i="14"/>
  <c r="Y329" i="14"/>
  <c r="Y330" i="14"/>
  <c r="Y331" i="14"/>
  <c r="Y332" i="14"/>
  <c r="Y333" i="14"/>
  <c r="Y334" i="14"/>
  <c r="Y335" i="14"/>
  <c r="Y336" i="14"/>
  <c r="Y337" i="14"/>
  <c r="Y338" i="14"/>
  <c r="Y339" i="14"/>
  <c r="Y340" i="14"/>
  <c r="Y341" i="14"/>
  <c r="Y342" i="14"/>
  <c r="Y343" i="14"/>
  <c r="Y344" i="14"/>
  <c r="Y345" i="14"/>
  <c r="Y346" i="14"/>
  <c r="Y347" i="14"/>
  <c r="Y348" i="14"/>
  <c r="Y349" i="14"/>
  <c r="Y350" i="14"/>
  <c r="Y351" i="14"/>
  <c r="Y352" i="14"/>
  <c r="Y353" i="14"/>
  <c r="Y354" i="14"/>
  <c r="Y355" i="14"/>
  <c r="Y356" i="14"/>
  <c r="Y357" i="14"/>
  <c r="Y358" i="14"/>
  <c r="Y359" i="14"/>
  <c r="Y360" i="14"/>
  <c r="Y361" i="14"/>
  <c r="Y362" i="14"/>
  <c r="Y363" i="14"/>
  <c r="Y364" i="14"/>
  <c r="Y365" i="14"/>
  <c r="Y366" i="14"/>
  <c r="Y367" i="14"/>
  <c r="Y368" i="14"/>
  <c r="Y369" i="14"/>
  <c r="Y370" i="14"/>
  <c r="Y371" i="14"/>
  <c r="Y372" i="14"/>
  <c r="Y373" i="14"/>
  <c r="Y374" i="14"/>
  <c r="Y375" i="14"/>
  <c r="Y376" i="14"/>
  <c r="Y377" i="14"/>
  <c r="Y378" i="14"/>
  <c r="Y379" i="14"/>
  <c r="Y380" i="14"/>
  <c r="Y381" i="14"/>
  <c r="Y382" i="14"/>
  <c r="Y383" i="14"/>
  <c r="Y384" i="14"/>
  <c r="Y385" i="14"/>
  <c r="Y386" i="14"/>
  <c r="Y387" i="14"/>
  <c r="Y388" i="14"/>
  <c r="Y389" i="14"/>
  <c r="Y390" i="14"/>
  <c r="Y391" i="14"/>
  <c r="Y392" i="14"/>
  <c r="Y393" i="14"/>
  <c r="Y394" i="14"/>
  <c r="Y395" i="14"/>
  <c r="Y396" i="14"/>
  <c r="Y397" i="14"/>
  <c r="Y398" i="14"/>
  <c r="Y399" i="14"/>
  <c r="Y400" i="14"/>
  <c r="Y401" i="14"/>
  <c r="Y402" i="14"/>
  <c r="Y403" i="14"/>
  <c r="Y404" i="14"/>
  <c r="Y405" i="14"/>
  <c r="Y406" i="14"/>
  <c r="Y407" i="14"/>
  <c r="Y408" i="14"/>
  <c r="Y409" i="14"/>
  <c r="Y410" i="14"/>
  <c r="Y411" i="14"/>
  <c r="Y412" i="14"/>
  <c r="Y413" i="14"/>
  <c r="Y414" i="14"/>
  <c r="Y415" i="14"/>
  <c r="Y416" i="14"/>
  <c r="Y417" i="14"/>
  <c r="Y418" i="14"/>
  <c r="Y419" i="14"/>
  <c r="Y420" i="14"/>
  <c r="Y422" i="14"/>
  <c r="Y423" i="14"/>
  <c r="Y424" i="14"/>
  <c r="Y425" i="14"/>
  <c r="Y426" i="14"/>
  <c r="Y427" i="14"/>
  <c r="Y428" i="14"/>
  <c r="Y429" i="14"/>
  <c r="Y430" i="14"/>
  <c r="Y431" i="14"/>
  <c r="Y432" i="14"/>
  <c r="Y434" i="14"/>
  <c r="Y435" i="14"/>
  <c r="Y436" i="14"/>
  <c r="Y437" i="14"/>
  <c r="Y438" i="14"/>
  <c r="Y439" i="14"/>
  <c r="Y440" i="14"/>
  <c r="Y441" i="14"/>
  <c r="Y442" i="14"/>
  <c r="Y443" i="14"/>
  <c r="Y444" i="14"/>
  <c r="Y446" i="14"/>
  <c r="Y447" i="14"/>
  <c r="Y448" i="14"/>
  <c r="Y449" i="14"/>
  <c r="Y450" i="14"/>
  <c r="Y451" i="14"/>
  <c r="Y452" i="14"/>
  <c r="Y453" i="14"/>
  <c r="Y454" i="14"/>
  <c r="Y455" i="14"/>
  <c r="Y456" i="14"/>
  <c r="Y458" i="14"/>
  <c r="Y459" i="14"/>
  <c r="Y460" i="14"/>
  <c r="Y461" i="14"/>
  <c r="Y462" i="14"/>
  <c r="Y463" i="14"/>
  <c r="Y464" i="14"/>
  <c r="Y465" i="14"/>
  <c r="Y466" i="14"/>
  <c r="Y467" i="14"/>
  <c r="Y468" i="14"/>
  <c r="Y470" i="14"/>
  <c r="Y471" i="14"/>
  <c r="Y472" i="14"/>
  <c r="Y473" i="14"/>
  <c r="Y474" i="14"/>
  <c r="Y475" i="14"/>
  <c r="Y476" i="14"/>
  <c r="Y477" i="14"/>
  <c r="Y478" i="14"/>
  <c r="Y479" i="14"/>
  <c r="Y480" i="14"/>
  <c r="Y482" i="14"/>
  <c r="Y483" i="14"/>
  <c r="Y484" i="14"/>
  <c r="Y485" i="14"/>
  <c r="Y486" i="14"/>
  <c r="Y487" i="14"/>
  <c r="Y488" i="14"/>
  <c r="Y489" i="14"/>
  <c r="Y490" i="14"/>
  <c r="Y491" i="14"/>
  <c r="Y492" i="14"/>
  <c r="Y494" i="14"/>
  <c r="Y495" i="14"/>
  <c r="Y496" i="14"/>
  <c r="Y497" i="14"/>
  <c r="Y498" i="14"/>
  <c r="Y499" i="14"/>
  <c r="Y500" i="14"/>
  <c r="Y501" i="14"/>
  <c r="Y502" i="14"/>
  <c r="Y503" i="14"/>
  <c r="Y504" i="14"/>
  <c r="Y506" i="14"/>
  <c r="Y507" i="14"/>
  <c r="Y508" i="14"/>
  <c r="Y509" i="14"/>
  <c r="Y510" i="14"/>
  <c r="Y511" i="14"/>
  <c r="Y512" i="14"/>
  <c r="Y513" i="14"/>
  <c r="Y514" i="14"/>
  <c r="Y515" i="14"/>
  <c r="Y516" i="14"/>
  <c r="Y518" i="14"/>
  <c r="Y519" i="14"/>
  <c r="Y520" i="14"/>
  <c r="Y521" i="14"/>
  <c r="Y522" i="14"/>
  <c r="Y523" i="14"/>
  <c r="Y524" i="14"/>
  <c r="Y525" i="14"/>
  <c r="Y526" i="14"/>
  <c r="Y527" i="14"/>
  <c r="Y528" i="14"/>
  <c r="Y530" i="14"/>
  <c r="Y531" i="14"/>
  <c r="Y532" i="14"/>
  <c r="Y533" i="14"/>
  <c r="Y534" i="14"/>
  <c r="Y535" i="14"/>
  <c r="Y536" i="14"/>
  <c r="Y537" i="14"/>
  <c r="Y538" i="14"/>
  <c r="Y539" i="14"/>
  <c r="Z192" i="14"/>
  <c r="Z288" i="14"/>
  <c r="W164" i="14"/>
  <c r="Z164" i="14" s="1"/>
  <c r="W165" i="14"/>
  <c r="W188" i="14"/>
  <c r="Z188" i="14" s="1"/>
  <c r="W189" i="14"/>
  <c r="W392" i="14"/>
  <c r="Z392" i="14" s="1"/>
  <c r="W393" i="14"/>
  <c r="W21" i="14"/>
  <c r="W33" i="14"/>
  <c r="W45" i="14"/>
  <c r="W67" i="14"/>
  <c r="Z67" i="14" s="1"/>
  <c r="W69" i="14"/>
  <c r="W81" i="14"/>
  <c r="W139" i="14"/>
  <c r="Z139" i="14" s="1"/>
  <c r="W163" i="14"/>
  <c r="Z163" i="14" s="1"/>
  <c r="W187" i="14"/>
  <c r="Z187" i="14" s="1"/>
  <c r="W213" i="14"/>
  <c r="W224" i="14"/>
  <c r="Z224" i="14" s="1"/>
  <c r="W225" i="14"/>
  <c r="W295" i="14"/>
  <c r="Z295" i="14" s="1"/>
  <c r="W343" i="14"/>
  <c r="Z343" i="14" s="1"/>
  <c r="W355" i="14"/>
  <c r="Z355" i="14" s="1"/>
  <c r="W367" i="14"/>
  <c r="Z367" i="14" s="1"/>
  <c r="W379" i="14"/>
  <c r="Z379" i="14" s="1"/>
  <c r="W413" i="14"/>
  <c r="Z413" i="14" s="1"/>
  <c r="W415" i="14"/>
  <c r="Z415" i="14" s="1"/>
  <c r="W421" i="14"/>
  <c r="W451" i="14"/>
  <c r="Z451" i="14" s="1"/>
  <c r="W481" i="14"/>
  <c r="W487" i="14"/>
  <c r="Z487" i="14" s="1"/>
  <c r="W497" i="14"/>
  <c r="Z497" i="14" s="1"/>
  <c r="W509" i="14"/>
  <c r="Z509" i="14" s="1"/>
  <c r="W32" i="14"/>
  <c r="Z32" i="14" s="1"/>
  <c r="W116" i="14"/>
  <c r="Z116" i="14" s="1"/>
  <c r="W117" i="14"/>
  <c r="W319" i="14"/>
  <c r="Z319" i="14" s="1"/>
  <c r="W329" i="14"/>
  <c r="Z329" i="14" s="1"/>
  <c r="W12" i="14"/>
  <c r="Z12" i="14" s="1"/>
  <c r="W25" i="14"/>
  <c r="Z25" i="14" s="1"/>
  <c r="W36" i="14"/>
  <c r="Z36" i="14" s="1"/>
  <c r="W41" i="14"/>
  <c r="Z41" i="14" s="1"/>
  <c r="W60" i="14"/>
  <c r="Z60" i="14" s="1"/>
  <c r="W72" i="14"/>
  <c r="Z72" i="14" s="1"/>
  <c r="W85" i="14"/>
  <c r="Z85" i="14" s="1"/>
  <c r="W96" i="14"/>
  <c r="Z96" i="14" s="1"/>
  <c r="W108" i="14"/>
  <c r="Z108" i="14" s="1"/>
  <c r="W113" i="14"/>
  <c r="Z113" i="14" s="1"/>
  <c r="W120" i="14"/>
  <c r="Z120" i="14" s="1"/>
  <c r="W144" i="14"/>
  <c r="Z144" i="14" s="1"/>
  <c r="W169" i="14"/>
  <c r="Z169" i="14" s="1"/>
  <c r="W168" i="14"/>
  <c r="Z168" i="14" s="1"/>
  <c r="W180" i="14"/>
  <c r="Z180" i="14" s="1"/>
  <c r="W181" i="14"/>
  <c r="Z181" i="14" s="1"/>
  <c r="W192" i="14"/>
  <c r="W202" i="14"/>
  <c r="Z202" i="14" s="1"/>
  <c r="W214" i="14"/>
  <c r="Z214" i="14" s="1"/>
  <c r="W217" i="14"/>
  <c r="Z217" i="14" s="1"/>
  <c r="W228" i="14"/>
  <c r="Z228" i="14" s="1"/>
  <c r="W240" i="14"/>
  <c r="Z240" i="14" s="1"/>
  <c r="W241" i="14"/>
  <c r="Z241" i="14" s="1"/>
  <c r="W252" i="14"/>
  <c r="Z252" i="14" s="1"/>
  <c r="W264" i="14"/>
  <c r="Z264" i="14" s="1"/>
  <c r="W276" i="14"/>
  <c r="Z276" i="14" s="1"/>
  <c r="W277" i="14"/>
  <c r="Z277" i="14" s="1"/>
  <c r="W281" i="14"/>
  <c r="Z281" i="14" s="1"/>
  <c r="W288" i="14"/>
  <c r="W293" i="14"/>
  <c r="Z293" i="14" s="1"/>
  <c r="W300" i="14"/>
  <c r="Z300" i="14" s="1"/>
  <c r="W310" i="14"/>
  <c r="Z310" i="14" s="1"/>
  <c r="W325" i="14"/>
  <c r="Z325" i="14" s="1"/>
  <c r="W324" i="14"/>
  <c r="Z324" i="14" s="1"/>
  <c r="W336" i="14"/>
  <c r="Z336" i="14" s="1"/>
  <c r="W348" i="14"/>
  <c r="Z348" i="14" s="1"/>
  <c r="W372" i="14"/>
  <c r="Z372" i="14" s="1"/>
  <c r="W396" i="14"/>
  <c r="Z396" i="14" s="1"/>
  <c r="W408" i="14"/>
  <c r="Z408" i="14" s="1"/>
  <c r="W430" i="14"/>
  <c r="Z430" i="14" s="1"/>
  <c r="W432" i="14"/>
  <c r="Z432" i="14" s="1"/>
  <c r="W444" i="14"/>
  <c r="Z444" i="14" s="1"/>
  <c r="W456" i="14"/>
  <c r="Z456" i="14" s="1"/>
  <c r="W468" i="14"/>
  <c r="Z468" i="14" s="1"/>
  <c r="W480" i="14"/>
  <c r="Z480" i="14" s="1"/>
  <c r="W493" i="14"/>
  <c r="W492" i="14"/>
  <c r="Z492" i="14" s="1"/>
  <c r="W504" i="14"/>
  <c r="Z504" i="14" s="1"/>
  <c r="W516" i="14"/>
  <c r="Z516" i="14" s="1"/>
  <c r="W526" i="14"/>
  <c r="Z526" i="14" s="1"/>
  <c r="W527" i="14"/>
  <c r="W10" i="14"/>
  <c r="Z10" i="14" s="1"/>
  <c r="W11" i="14"/>
  <c r="Z11" i="14" s="1"/>
  <c r="W13" i="14"/>
  <c r="Z13" i="14" s="1"/>
  <c r="W14" i="14"/>
  <c r="Z14" i="14" s="1"/>
  <c r="W15" i="14"/>
  <c r="Z15" i="14" s="1"/>
  <c r="W17" i="14"/>
  <c r="Z17" i="14" s="1"/>
  <c r="W18" i="14"/>
  <c r="Z18" i="14" s="1"/>
  <c r="W29" i="14"/>
  <c r="Z29" i="14" s="1"/>
  <c r="W30" i="14"/>
  <c r="Z30" i="14" s="1"/>
  <c r="W31" i="14"/>
  <c r="Z31" i="14" s="1"/>
  <c r="W34" i="14"/>
  <c r="Z34" i="14" s="1"/>
  <c r="W35" i="14"/>
  <c r="W37" i="14"/>
  <c r="Z37" i="14" s="1"/>
  <c r="W38" i="14"/>
  <c r="Z38" i="14" s="1"/>
  <c r="W39" i="14"/>
  <c r="Z39" i="14" s="1"/>
  <c r="W42" i="14"/>
  <c r="Z42" i="14" s="1"/>
  <c r="W59" i="14"/>
  <c r="W61" i="14"/>
  <c r="Z61" i="14" s="1"/>
  <c r="W62" i="14"/>
  <c r="Z62" i="14" s="1"/>
  <c r="W63" i="14"/>
  <c r="Z63" i="14" s="1"/>
  <c r="W64" i="14"/>
  <c r="Z64" i="14" s="1"/>
  <c r="W65" i="14"/>
  <c r="Z65" i="14" s="1"/>
  <c r="W66" i="14"/>
  <c r="Z66" i="14" s="1"/>
  <c r="W68" i="14"/>
  <c r="Z68" i="14" s="1"/>
  <c r="W70" i="14"/>
  <c r="Z70" i="14" s="1"/>
  <c r="W71" i="14"/>
  <c r="Z71" i="14" s="1"/>
  <c r="W73" i="14"/>
  <c r="Z73" i="14" s="1"/>
  <c r="W74" i="14"/>
  <c r="Z74" i="14" s="1"/>
  <c r="W75" i="14"/>
  <c r="Z75" i="14" s="1"/>
  <c r="W77" i="14"/>
  <c r="Z77" i="14" s="1"/>
  <c r="W78" i="14"/>
  <c r="Z78" i="14" s="1"/>
  <c r="W87" i="14"/>
  <c r="Z87" i="14" s="1"/>
  <c r="W88" i="14"/>
  <c r="Z88" i="14" s="1"/>
  <c r="W89" i="14"/>
  <c r="Z89" i="14" s="1"/>
  <c r="W90" i="14"/>
  <c r="Z90" i="14" s="1"/>
  <c r="W91" i="14"/>
  <c r="Z91" i="14" s="1"/>
  <c r="W92" i="14"/>
  <c r="Z92" i="14" s="1"/>
  <c r="W94" i="14"/>
  <c r="Z94" i="14" s="1"/>
  <c r="W95" i="14"/>
  <c r="W97" i="14"/>
  <c r="Z97" i="14" s="1"/>
  <c r="W98" i="14"/>
  <c r="Z98" i="14" s="1"/>
  <c r="W99" i="14"/>
  <c r="Z99" i="14" s="1"/>
  <c r="W102" i="14"/>
  <c r="Z102" i="14" s="1"/>
  <c r="W103" i="14"/>
  <c r="Z103" i="14" s="1"/>
  <c r="W104" i="14"/>
  <c r="Z104" i="14" s="1"/>
  <c r="W106" i="14"/>
  <c r="Z106" i="14" s="1"/>
  <c r="W107" i="14"/>
  <c r="W109" i="14"/>
  <c r="Z109" i="14" s="1"/>
  <c r="W110" i="14"/>
  <c r="Z110" i="14" s="1"/>
  <c r="W111" i="14"/>
  <c r="Z111" i="14" s="1"/>
  <c r="W112" i="14"/>
  <c r="Z112" i="14" s="1"/>
  <c r="W114" i="14"/>
  <c r="Z114" i="14" s="1"/>
  <c r="W115" i="14"/>
  <c r="Z115" i="14" s="1"/>
  <c r="W118" i="14"/>
  <c r="Z118" i="14" s="1"/>
  <c r="W119" i="14"/>
  <c r="W122" i="14"/>
  <c r="Z122" i="14" s="1"/>
  <c r="W123" i="14"/>
  <c r="Z123" i="14" s="1"/>
  <c r="W126" i="14"/>
  <c r="Z126" i="14" s="1"/>
  <c r="W142" i="14"/>
  <c r="Z142" i="14" s="1"/>
  <c r="W143" i="14"/>
  <c r="W146" i="14"/>
  <c r="Z146" i="14" s="1"/>
  <c r="W147" i="14"/>
  <c r="Z147" i="14" s="1"/>
  <c r="W150" i="14"/>
  <c r="Z150" i="14" s="1"/>
  <c r="W162" i="14"/>
  <c r="Z162" i="14" s="1"/>
  <c r="W166" i="14"/>
  <c r="Z166" i="14" s="1"/>
  <c r="W167" i="14"/>
  <c r="Z167" i="14" s="1"/>
  <c r="W170" i="14"/>
  <c r="Z170" i="14" s="1"/>
  <c r="W171" i="14"/>
  <c r="Z171" i="14" s="1"/>
  <c r="W172" i="14"/>
  <c r="Z172" i="14" s="1"/>
  <c r="W173" i="14"/>
  <c r="Z173" i="14" s="1"/>
  <c r="W174" i="14"/>
  <c r="Z174" i="14" s="1"/>
  <c r="W175" i="14"/>
  <c r="Z175" i="14" s="1"/>
  <c r="W176" i="14"/>
  <c r="Z176" i="14" s="1"/>
  <c r="W178" i="14"/>
  <c r="Z178" i="14" s="1"/>
  <c r="W179" i="14"/>
  <c r="W182" i="14"/>
  <c r="Z182" i="14" s="1"/>
  <c r="W183" i="14"/>
  <c r="Z183" i="14" s="1"/>
  <c r="W184" i="14"/>
  <c r="Z184" i="14" s="1"/>
  <c r="W185" i="14"/>
  <c r="Z185" i="14" s="1"/>
  <c r="W186" i="14"/>
  <c r="Z186" i="14" s="1"/>
  <c r="W190" i="14"/>
  <c r="Z190" i="14" s="1"/>
  <c r="W193" i="14"/>
  <c r="Z193" i="14" s="1"/>
  <c r="W194" i="14"/>
  <c r="Z194" i="14" s="1"/>
  <c r="W198" i="14"/>
  <c r="Z198" i="14" s="1"/>
  <c r="W205" i="14"/>
  <c r="Z205" i="14" s="1"/>
  <c r="W206" i="14"/>
  <c r="Z206" i="14" s="1"/>
  <c r="W208" i="14"/>
  <c r="Z208" i="14" s="1"/>
  <c r="W209" i="14"/>
  <c r="Z209" i="14" s="1"/>
  <c r="W210" i="14"/>
  <c r="Z210" i="14" s="1"/>
  <c r="W218" i="14"/>
  <c r="Z218" i="14" s="1"/>
  <c r="W219" i="14"/>
  <c r="Z219" i="14" s="1"/>
  <c r="W220" i="14"/>
  <c r="Z220" i="14" s="1"/>
  <c r="W221" i="14"/>
  <c r="Z221" i="14" s="1"/>
  <c r="W222" i="14"/>
  <c r="Z222" i="14" s="1"/>
  <c r="W223" i="14"/>
  <c r="Z223" i="14" s="1"/>
  <c r="W226" i="14"/>
  <c r="Z226" i="14" s="1"/>
  <c r="W227" i="14"/>
  <c r="W229" i="14"/>
  <c r="Z229" i="14" s="1"/>
  <c r="W230" i="14"/>
  <c r="Z230" i="14" s="1"/>
  <c r="W231" i="14"/>
  <c r="Z231" i="14" s="1"/>
  <c r="W232" i="14"/>
  <c r="Z232" i="14" s="1"/>
  <c r="W233" i="14"/>
  <c r="Z233" i="14" s="1"/>
  <c r="W234" i="14"/>
  <c r="Z234" i="14" s="1"/>
  <c r="W235" i="14"/>
  <c r="Z235" i="14" s="1"/>
  <c r="W237" i="14"/>
  <c r="W238" i="14"/>
  <c r="Z238" i="14" s="1"/>
  <c r="W239" i="14"/>
  <c r="W242" i="14"/>
  <c r="Z242" i="14" s="1"/>
  <c r="W243" i="14"/>
  <c r="Z243" i="14" s="1"/>
  <c r="W244" i="14"/>
  <c r="Z244" i="14" s="1"/>
  <c r="W245" i="14"/>
  <c r="Z245" i="14" s="1"/>
  <c r="W246" i="14"/>
  <c r="Z246" i="14" s="1"/>
  <c r="W248" i="14"/>
  <c r="Z248" i="14" s="1"/>
  <c r="W262" i="14"/>
  <c r="Z262" i="14" s="1"/>
  <c r="W266" i="14"/>
  <c r="Z266" i="14" s="1"/>
  <c r="W268" i="14"/>
  <c r="Z268" i="14" s="1"/>
  <c r="W270" i="14"/>
  <c r="Z270" i="14" s="1"/>
  <c r="W271" i="14"/>
  <c r="Z271" i="14" s="1"/>
  <c r="W274" i="14"/>
  <c r="Z274" i="14" s="1"/>
  <c r="W275" i="14"/>
  <c r="W278" i="14"/>
  <c r="Z278" i="14" s="1"/>
  <c r="W279" i="14"/>
  <c r="Z279" i="14" s="1"/>
  <c r="W280" i="14"/>
  <c r="Z280" i="14" s="1"/>
  <c r="W282" i="14"/>
  <c r="Z282" i="14" s="1"/>
  <c r="W283" i="14"/>
  <c r="Z283" i="14" s="1"/>
  <c r="W286" i="14"/>
  <c r="Z286" i="14" s="1"/>
  <c r="W287" i="14"/>
  <c r="W289" i="14"/>
  <c r="Z289" i="14" s="1"/>
  <c r="W290" i="14"/>
  <c r="Z290" i="14" s="1"/>
  <c r="W291" i="14"/>
  <c r="Z291" i="14" s="1"/>
  <c r="W292" i="14"/>
  <c r="Z292" i="14" s="1"/>
  <c r="W294" i="14"/>
  <c r="Z294" i="14" s="1"/>
  <c r="W298" i="14"/>
  <c r="Z298" i="14" s="1"/>
  <c r="W299" i="14"/>
  <c r="W301" i="14"/>
  <c r="Z301" i="14" s="1"/>
  <c r="W302" i="14"/>
  <c r="Z302" i="14" s="1"/>
  <c r="W303" i="14"/>
  <c r="Z303" i="14" s="1"/>
  <c r="W306" i="14"/>
  <c r="Z306" i="14" s="1"/>
  <c r="W314" i="14"/>
  <c r="Z314" i="14" s="1"/>
  <c r="W315" i="14"/>
  <c r="Z315" i="14" s="1"/>
  <c r="W317" i="14"/>
  <c r="Z317" i="14" s="1"/>
  <c r="W318" i="14"/>
  <c r="Z318" i="14" s="1"/>
  <c r="W323" i="14"/>
  <c r="W327" i="14"/>
  <c r="Z327" i="14" s="1"/>
  <c r="W328" i="14"/>
  <c r="Z328" i="14" s="1"/>
  <c r="W330" i="14"/>
  <c r="Z330" i="14" s="1"/>
  <c r="W331" i="14"/>
  <c r="Z331" i="14" s="1"/>
  <c r="W334" i="14"/>
  <c r="Z334" i="14" s="1"/>
  <c r="W335" i="14"/>
  <c r="W337" i="14"/>
  <c r="Z337" i="14" s="1"/>
  <c r="W338" i="14"/>
  <c r="Z338" i="14" s="1"/>
  <c r="W339" i="14"/>
  <c r="Z339" i="14" s="1"/>
  <c r="W340" i="14"/>
  <c r="Z340" i="14" s="1"/>
  <c r="W341" i="14"/>
  <c r="Z341" i="14" s="1"/>
  <c r="W342" i="14"/>
  <c r="Z342" i="14" s="1"/>
  <c r="W346" i="14"/>
  <c r="Z346" i="14" s="1"/>
  <c r="W347" i="14"/>
  <c r="W349" i="14"/>
  <c r="Z349" i="14" s="1"/>
  <c r="W350" i="14"/>
  <c r="Z350" i="14" s="1"/>
  <c r="W351" i="14"/>
  <c r="Z351" i="14" s="1"/>
  <c r="W352" i="14"/>
  <c r="Z352" i="14" s="1"/>
  <c r="W353" i="14"/>
  <c r="Z353" i="14" s="1"/>
  <c r="W354" i="14"/>
  <c r="Z354" i="14" s="1"/>
  <c r="W370" i="14"/>
  <c r="Z370" i="14" s="1"/>
  <c r="W374" i="14"/>
  <c r="Z374" i="14" s="1"/>
  <c r="W376" i="14"/>
  <c r="Z376" i="14" s="1"/>
  <c r="W377" i="14"/>
  <c r="Z377" i="14" s="1"/>
  <c r="W378" i="14"/>
  <c r="Z378" i="14" s="1"/>
  <c r="W391" i="14"/>
  <c r="Z391" i="14" s="1"/>
  <c r="W394" i="14"/>
  <c r="Z394" i="14" s="1"/>
  <c r="W395" i="14"/>
  <c r="W397" i="14"/>
  <c r="Z397" i="14" s="1"/>
  <c r="W398" i="14"/>
  <c r="Z398" i="14" s="1"/>
  <c r="W399" i="14"/>
  <c r="Z399" i="14" s="1"/>
  <c r="W400" i="14"/>
  <c r="Z400" i="14" s="1"/>
  <c r="W401" i="14"/>
  <c r="Z401" i="14" s="1"/>
  <c r="W402" i="14"/>
  <c r="Z402" i="14" s="1"/>
  <c r="W403" i="14"/>
  <c r="Z403" i="14" s="1"/>
  <c r="W406" i="14"/>
  <c r="Z406" i="14" s="1"/>
  <c r="W407" i="14"/>
  <c r="W409" i="14"/>
  <c r="Z409" i="14" s="1"/>
  <c r="W410" i="14"/>
  <c r="Z410" i="14" s="1"/>
  <c r="W411" i="14"/>
  <c r="Z411" i="14" s="1"/>
  <c r="W412" i="14"/>
  <c r="Z412" i="14" s="1"/>
  <c r="W414" i="14"/>
  <c r="Z414" i="14" s="1"/>
  <c r="W425" i="14"/>
  <c r="Z425" i="14" s="1"/>
  <c r="W426" i="14"/>
  <c r="Z426" i="14" s="1"/>
  <c r="W434" i="14"/>
  <c r="Z434" i="14" s="1"/>
  <c r="W435" i="14"/>
  <c r="Z435" i="14" s="1"/>
  <c r="W438" i="14"/>
  <c r="Z438" i="14" s="1"/>
  <c r="W439" i="14"/>
  <c r="Z439" i="14" s="1"/>
  <c r="W442" i="14"/>
  <c r="Z442" i="14" s="1"/>
  <c r="W443" i="14"/>
  <c r="W445" i="14"/>
  <c r="W446" i="14"/>
  <c r="Z446" i="14" s="1"/>
  <c r="W447" i="14"/>
  <c r="Z447" i="14" s="1"/>
  <c r="W448" i="14"/>
  <c r="Z448" i="14" s="1"/>
  <c r="W449" i="14"/>
  <c r="Z449" i="14" s="1"/>
  <c r="W450" i="14"/>
  <c r="Z450" i="14" s="1"/>
  <c r="W454" i="14"/>
  <c r="Z454" i="14" s="1"/>
  <c r="W455" i="14"/>
  <c r="W457" i="14"/>
  <c r="W458" i="14"/>
  <c r="Z458" i="14" s="1"/>
  <c r="W459" i="14"/>
  <c r="Z459" i="14" s="1"/>
  <c r="W460" i="14"/>
  <c r="Z460" i="14" s="1"/>
  <c r="W461" i="14"/>
  <c r="Z461" i="14" s="1"/>
  <c r="W462" i="14"/>
  <c r="Z462" i="14" s="1"/>
  <c r="W463" i="14"/>
  <c r="Z463" i="14" s="1"/>
  <c r="W479" i="14"/>
  <c r="W483" i="14"/>
  <c r="Z483" i="14" s="1"/>
  <c r="W485" i="14"/>
  <c r="Z485" i="14" s="1"/>
  <c r="W486" i="14"/>
  <c r="Z486" i="14" s="1"/>
  <c r="W496" i="14"/>
  <c r="Z496" i="14" s="1"/>
  <c r="W502" i="14"/>
  <c r="Z502" i="14" s="1"/>
  <c r="W503" i="14"/>
  <c r="W505" i="14"/>
  <c r="W506" i="14"/>
  <c r="Z506" i="14" s="1"/>
  <c r="W507" i="14"/>
  <c r="Z507" i="14" s="1"/>
  <c r="W508" i="14"/>
  <c r="Z508" i="14" s="1"/>
  <c r="W510" i="14"/>
  <c r="Z510" i="14" s="1"/>
  <c r="W514" i="14"/>
  <c r="Z514" i="14" s="1"/>
  <c r="W515" i="14"/>
  <c r="W517" i="14"/>
  <c r="W518" i="14"/>
  <c r="Z518" i="14" s="1"/>
  <c r="W519" i="14"/>
  <c r="Z519" i="14" s="1"/>
  <c r="W522" i="14"/>
  <c r="Z522" i="14" s="1"/>
  <c r="W523" i="14"/>
  <c r="Z523" i="14" s="1"/>
  <c r="W529" i="14"/>
  <c r="W530" i="14"/>
  <c r="Z530" i="14" s="1"/>
  <c r="W531" i="14"/>
  <c r="Z531" i="14" s="1"/>
  <c r="W532" i="14"/>
  <c r="Z532" i="14" s="1"/>
  <c r="W533" i="14"/>
  <c r="Z533" i="14" s="1"/>
  <c r="W534" i="14"/>
  <c r="Z534" i="14" s="1"/>
  <c r="W538" i="14"/>
  <c r="Z538" i="14" s="1"/>
  <c r="W539" i="14"/>
  <c r="W9" i="14"/>
  <c r="Z9" i="14" s="1"/>
  <c r="AA9" i="14" s="1"/>
  <c r="R30" i="14"/>
  <c r="R31" i="14"/>
  <c r="R32" i="14"/>
  <c r="R33" i="14"/>
  <c r="R34" i="14"/>
  <c r="R35" i="14"/>
  <c r="R36" i="14"/>
  <c r="R37" i="14"/>
  <c r="R38" i="14"/>
  <c r="R39" i="14"/>
  <c r="R40" i="14"/>
  <c r="R41" i="14"/>
  <c r="R42" i="14"/>
  <c r="R43" i="14"/>
  <c r="R44" i="14"/>
  <c r="R45" i="14"/>
  <c r="R46" i="14"/>
  <c r="R47" i="14"/>
  <c r="R48" i="14"/>
  <c r="R49" i="14"/>
  <c r="R50" i="14"/>
  <c r="R51" i="14"/>
  <c r="R52" i="14"/>
  <c r="R53" i="14"/>
  <c r="R54" i="14"/>
  <c r="R55" i="14"/>
  <c r="R56" i="14"/>
  <c r="R57" i="14"/>
  <c r="R58" i="14"/>
  <c r="R59" i="14"/>
  <c r="R60" i="14"/>
  <c r="R61" i="14"/>
  <c r="R62" i="14"/>
  <c r="R63" i="14"/>
  <c r="R64" i="14"/>
  <c r="R65" i="14"/>
  <c r="R66" i="14"/>
  <c r="R67" i="14"/>
  <c r="R68" i="14"/>
  <c r="R69" i="14"/>
  <c r="R70" i="14"/>
  <c r="R71" i="14"/>
  <c r="R72" i="14"/>
  <c r="R73" i="14"/>
  <c r="R74" i="14"/>
  <c r="R75" i="14"/>
  <c r="R76" i="14"/>
  <c r="R77" i="14"/>
  <c r="R78" i="14"/>
  <c r="R79" i="14"/>
  <c r="R80" i="14"/>
  <c r="R81" i="14"/>
  <c r="R82" i="14"/>
  <c r="R83" i="14"/>
  <c r="R84" i="14"/>
  <c r="R85" i="14"/>
  <c r="R86" i="14"/>
  <c r="R87" i="14"/>
  <c r="R88" i="14"/>
  <c r="R89" i="14"/>
  <c r="R90" i="14"/>
  <c r="R91" i="14"/>
  <c r="R92" i="14"/>
  <c r="R93" i="14"/>
  <c r="R94" i="14"/>
  <c r="R95" i="14"/>
  <c r="R96" i="14"/>
  <c r="R97" i="14"/>
  <c r="R98" i="14"/>
  <c r="R99" i="14"/>
  <c r="R100" i="14"/>
  <c r="R101" i="14"/>
  <c r="R102" i="14"/>
  <c r="R103" i="14"/>
  <c r="R104" i="14"/>
  <c r="R105" i="14"/>
  <c r="R106" i="14"/>
  <c r="R107" i="14"/>
  <c r="R108" i="14"/>
  <c r="R109" i="14"/>
  <c r="R110" i="14"/>
  <c r="R111" i="14"/>
  <c r="R112" i="14"/>
  <c r="R113" i="14"/>
  <c r="R114" i="14"/>
  <c r="R115" i="14"/>
  <c r="R116" i="14"/>
  <c r="R117" i="14"/>
  <c r="R118" i="14"/>
  <c r="R119" i="14"/>
  <c r="R120" i="14"/>
  <c r="R121" i="14"/>
  <c r="R122" i="14"/>
  <c r="R123" i="14"/>
  <c r="R124" i="14"/>
  <c r="R125" i="14"/>
  <c r="R126" i="14"/>
  <c r="R127" i="14"/>
  <c r="R128" i="14"/>
  <c r="R129" i="14"/>
  <c r="R130" i="14"/>
  <c r="R131" i="14"/>
  <c r="R132" i="14"/>
  <c r="R133" i="14"/>
  <c r="R134" i="14"/>
  <c r="R135" i="14"/>
  <c r="R136" i="14"/>
  <c r="R137" i="14"/>
  <c r="R138" i="14"/>
  <c r="R139" i="14"/>
  <c r="R140" i="14"/>
  <c r="R141" i="14"/>
  <c r="R142" i="14"/>
  <c r="R143" i="14"/>
  <c r="R144" i="14"/>
  <c r="R145" i="14"/>
  <c r="R146" i="14"/>
  <c r="R147" i="14"/>
  <c r="R148" i="14"/>
  <c r="R149" i="14"/>
  <c r="R150" i="14"/>
  <c r="R151" i="14"/>
  <c r="R152" i="14"/>
  <c r="R153" i="14"/>
  <c r="R154" i="14"/>
  <c r="R155" i="14"/>
  <c r="R156" i="14"/>
  <c r="R157" i="14"/>
  <c r="R158" i="14"/>
  <c r="R159" i="14"/>
  <c r="R160" i="14"/>
  <c r="R161" i="14"/>
  <c r="R162" i="14"/>
  <c r="R163" i="14"/>
  <c r="R164" i="14"/>
  <c r="R165" i="14"/>
  <c r="R166" i="14"/>
  <c r="R167" i="14"/>
  <c r="R168" i="14"/>
  <c r="R169" i="14"/>
  <c r="R170" i="14"/>
  <c r="R171" i="14"/>
  <c r="R172" i="14"/>
  <c r="R173" i="14"/>
  <c r="R174" i="14"/>
  <c r="R175" i="14"/>
  <c r="R176" i="14"/>
  <c r="R177" i="14"/>
  <c r="R178" i="14"/>
  <c r="R179" i="14"/>
  <c r="R180" i="14"/>
  <c r="R181" i="14"/>
  <c r="R182" i="14"/>
  <c r="R183" i="14"/>
  <c r="R184" i="14"/>
  <c r="R185" i="14"/>
  <c r="R186" i="14"/>
  <c r="R187" i="14"/>
  <c r="R188" i="14"/>
  <c r="R189" i="14"/>
  <c r="R190" i="14"/>
  <c r="R191" i="14"/>
  <c r="R192" i="14"/>
  <c r="R193" i="14"/>
  <c r="R194" i="14"/>
  <c r="R195" i="14"/>
  <c r="R196" i="14"/>
  <c r="R197" i="14"/>
  <c r="R198" i="14"/>
  <c r="R199" i="14"/>
  <c r="R200" i="14"/>
  <c r="R201" i="14"/>
  <c r="R202" i="14"/>
  <c r="R203" i="14"/>
  <c r="R204" i="14"/>
  <c r="R205" i="14"/>
  <c r="R206" i="14"/>
  <c r="R207" i="14"/>
  <c r="R208" i="14"/>
  <c r="R209" i="14"/>
  <c r="R210" i="14"/>
  <c r="R211" i="14"/>
  <c r="R212" i="14"/>
  <c r="R213" i="14"/>
  <c r="R214" i="14"/>
  <c r="R215" i="14"/>
  <c r="R216" i="14"/>
  <c r="R217" i="14"/>
  <c r="R218" i="14"/>
  <c r="R219" i="14"/>
  <c r="R220" i="14"/>
  <c r="R221" i="14"/>
  <c r="R222" i="14"/>
  <c r="R223" i="14"/>
  <c r="R224" i="14"/>
  <c r="R225" i="14"/>
  <c r="R226" i="14"/>
  <c r="R227" i="14"/>
  <c r="R228" i="14"/>
  <c r="R229" i="14"/>
  <c r="R230" i="14"/>
  <c r="R231" i="14"/>
  <c r="R232" i="14"/>
  <c r="R233" i="14"/>
  <c r="R234" i="14"/>
  <c r="R235" i="14"/>
  <c r="R236" i="14"/>
  <c r="R237" i="14"/>
  <c r="R238" i="14"/>
  <c r="R239" i="14"/>
  <c r="R240" i="14"/>
  <c r="R241" i="14"/>
  <c r="R242" i="14"/>
  <c r="R243" i="14"/>
  <c r="R244" i="14"/>
  <c r="R245" i="14"/>
  <c r="R246" i="14"/>
  <c r="R247" i="14"/>
  <c r="R248" i="14"/>
  <c r="R249" i="14"/>
  <c r="R250" i="14"/>
  <c r="R251" i="14"/>
  <c r="R252" i="14"/>
  <c r="R253" i="14"/>
  <c r="R254" i="14"/>
  <c r="R255" i="14"/>
  <c r="R256" i="14"/>
  <c r="R257" i="14"/>
  <c r="R258" i="14"/>
  <c r="R259" i="14"/>
  <c r="R260" i="14"/>
  <c r="R261" i="14"/>
  <c r="R262" i="14"/>
  <c r="R263" i="14"/>
  <c r="R264" i="14"/>
  <c r="R265" i="14"/>
  <c r="R266" i="14"/>
  <c r="R267" i="14"/>
  <c r="R268" i="14"/>
  <c r="R269" i="14"/>
  <c r="R270" i="14"/>
  <c r="R271" i="14"/>
  <c r="R272" i="14"/>
  <c r="R273" i="14"/>
  <c r="R274" i="14"/>
  <c r="R275" i="14"/>
  <c r="R276" i="14"/>
  <c r="R277" i="14"/>
  <c r="R278" i="14"/>
  <c r="R279" i="14"/>
  <c r="R280" i="14"/>
  <c r="R281" i="14"/>
  <c r="R282" i="14"/>
  <c r="R283" i="14"/>
  <c r="R284" i="14"/>
  <c r="R285" i="14"/>
  <c r="R286" i="14"/>
  <c r="R287" i="14"/>
  <c r="R288" i="14"/>
  <c r="R289" i="14"/>
  <c r="R290" i="14"/>
  <c r="R291" i="14"/>
  <c r="R292" i="14"/>
  <c r="R293" i="14"/>
  <c r="R294" i="14"/>
  <c r="R295" i="14"/>
  <c r="R296" i="14"/>
  <c r="R297" i="14"/>
  <c r="R298" i="14"/>
  <c r="R299" i="14"/>
  <c r="R300" i="14"/>
  <c r="R301" i="14"/>
  <c r="R302" i="14"/>
  <c r="R303" i="14"/>
  <c r="R304" i="14"/>
  <c r="R305" i="14"/>
  <c r="R306" i="14"/>
  <c r="R307" i="14"/>
  <c r="R308" i="14"/>
  <c r="R309" i="14"/>
  <c r="R310" i="14"/>
  <c r="R311" i="14"/>
  <c r="R312" i="14"/>
  <c r="R313" i="14"/>
  <c r="R314" i="14"/>
  <c r="R315" i="14"/>
  <c r="R316" i="14"/>
  <c r="R317" i="14"/>
  <c r="R318" i="14"/>
  <c r="R319" i="14"/>
  <c r="R320" i="14"/>
  <c r="R321" i="14"/>
  <c r="R322" i="14"/>
  <c r="R323" i="14"/>
  <c r="R324" i="14"/>
  <c r="R325" i="14"/>
  <c r="R326" i="14"/>
  <c r="R327" i="14"/>
  <c r="R328" i="14"/>
  <c r="R329" i="14"/>
  <c r="R330" i="14"/>
  <c r="R331" i="14"/>
  <c r="R332" i="14"/>
  <c r="R333" i="14"/>
  <c r="R334" i="14"/>
  <c r="R335" i="14"/>
  <c r="R336" i="14"/>
  <c r="R337" i="14"/>
  <c r="R338" i="14"/>
  <c r="R339" i="14"/>
  <c r="R340" i="14"/>
  <c r="R341" i="14"/>
  <c r="R342" i="14"/>
  <c r="R343" i="14"/>
  <c r="R344" i="14"/>
  <c r="R345" i="14"/>
  <c r="R346" i="14"/>
  <c r="R347" i="14"/>
  <c r="R348" i="14"/>
  <c r="R349" i="14"/>
  <c r="R350" i="14"/>
  <c r="R351" i="14"/>
  <c r="R352" i="14"/>
  <c r="R353" i="14"/>
  <c r="R354" i="14"/>
  <c r="R355" i="14"/>
  <c r="R356" i="14"/>
  <c r="R357" i="14"/>
  <c r="R358" i="14"/>
  <c r="R359" i="14"/>
  <c r="R360" i="14"/>
  <c r="R361" i="14"/>
  <c r="R362" i="14"/>
  <c r="R363" i="14"/>
  <c r="R364" i="14"/>
  <c r="R365" i="14"/>
  <c r="R366" i="14"/>
  <c r="R367" i="14"/>
  <c r="R368" i="14"/>
  <c r="R369" i="14"/>
  <c r="R370" i="14"/>
  <c r="R371" i="14"/>
  <c r="R372" i="14"/>
  <c r="R373" i="14"/>
  <c r="R374" i="14"/>
  <c r="R375" i="14"/>
  <c r="R376" i="14"/>
  <c r="R377" i="14"/>
  <c r="R378" i="14"/>
  <c r="R379" i="14"/>
  <c r="R380" i="14"/>
  <c r="R381" i="14"/>
  <c r="R382" i="14"/>
  <c r="R383" i="14"/>
  <c r="R384" i="14"/>
  <c r="R385" i="14"/>
  <c r="R386" i="14"/>
  <c r="R387" i="14"/>
  <c r="R388" i="14"/>
  <c r="R389" i="14"/>
  <c r="R390" i="14"/>
  <c r="R391" i="14"/>
  <c r="R392" i="14"/>
  <c r="R393" i="14"/>
  <c r="R394" i="14"/>
  <c r="R395" i="14"/>
  <c r="R396" i="14"/>
  <c r="R397" i="14"/>
  <c r="R398" i="14"/>
  <c r="R399" i="14"/>
  <c r="R400" i="14"/>
  <c r="R401" i="14"/>
  <c r="R402" i="14"/>
  <c r="R403" i="14"/>
  <c r="R404" i="14"/>
  <c r="R405" i="14"/>
  <c r="R406" i="14"/>
  <c r="R407" i="14"/>
  <c r="R408" i="14"/>
  <c r="R409" i="14"/>
  <c r="R410" i="14"/>
  <c r="R411" i="14"/>
  <c r="R412" i="14"/>
  <c r="R413" i="14"/>
  <c r="R414" i="14"/>
  <c r="R415" i="14"/>
  <c r="R416" i="14"/>
  <c r="R417" i="14"/>
  <c r="R418" i="14"/>
  <c r="R419" i="14"/>
  <c r="R420" i="14"/>
  <c r="R421" i="14"/>
  <c r="R422" i="14"/>
  <c r="R423" i="14"/>
  <c r="R424" i="14"/>
  <c r="R425" i="14"/>
  <c r="R426" i="14"/>
  <c r="R427" i="14"/>
  <c r="R428" i="14"/>
  <c r="R429" i="14"/>
  <c r="R430" i="14"/>
  <c r="R431" i="14"/>
  <c r="R432" i="14"/>
  <c r="R433" i="14"/>
  <c r="R434" i="14"/>
  <c r="R435" i="14"/>
  <c r="R436" i="14"/>
  <c r="R437" i="14"/>
  <c r="R438" i="14"/>
  <c r="R439" i="14"/>
  <c r="R440" i="14"/>
  <c r="R441" i="14"/>
  <c r="R442" i="14"/>
  <c r="R443" i="14"/>
  <c r="R444" i="14"/>
  <c r="R445" i="14"/>
  <c r="R446" i="14"/>
  <c r="R447" i="14"/>
  <c r="R448" i="14"/>
  <c r="R449" i="14"/>
  <c r="R450" i="14"/>
  <c r="R451" i="14"/>
  <c r="R452" i="14"/>
  <c r="R453" i="14"/>
  <c r="R454" i="14"/>
  <c r="R455" i="14"/>
  <c r="R456" i="14"/>
  <c r="R457" i="14"/>
  <c r="R458" i="14"/>
  <c r="R459" i="14"/>
  <c r="R460" i="14"/>
  <c r="R461" i="14"/>
  <c r="R462" i="14"/>
  <c r="R463" i="14"/>
  <c r="R464" i="14"/>
  <c r="R465" i="14"/>
  <c r="R466" i="14"/>
  <c r="R467" i="14"/>
  <c r="R468" i="14"/>
  <c r="R469" i="14"/>
  <c r="R470" i="14"/>
  <c r="R471" i="14"/>
  <c r="R472" i="14"/>
  <c r="R473" i="14"/>
  <c r="R474" i="14"/>
  <c r="R475" i="14"/>
  <c r="R476" i="14"/>
  <c r="R477" i="14"/>
  <c r="R478" i="14"/>
  <c r="R479" i="14"/>
  <c r="R480" i="14"/>
  <c r="R481" i="14"/>
  <c r="R482" i="14"/>
  <c r="R483" i="14"/>
  <c r="R484" i="14"/>
  <c r="R485" i="14"/>
  <c r="R486" i="14"/>
  <c r="R487" i="14"/>
  <c r="R488" i="14"/>
  <c r="R489" i="14"/>
  <c r="R490" i="14"/>
  <c r="R491" i="14"/>
  <c r="R492" i="14"/>
  <c r="R493" i="14"/>
  <c r="R494" i="14"/>
  <c r="R495" i="14"/>
  <c r="R496" i="14"/>
  <c r="R497" i="14"/>
  <c r="R498" i="14"/>
  <c r="R499" i="14"/>
  <c r="R500" i="14"/>
  <c r="R501" i="14"/>
  <c r="R502" i="14"/>
  <c r="R503" i="14"/>
  <c r="R504" i="14"/>
  <c r="R505" i="14"/>
  <c r="R506" i="14"/>
  <c r="R507" i="14"/>
  <c r="R508" i="14"/>
  <c r="R509" i="14"/>
  <c r="R510" i="14"/>
  <c r="R511" i="14"/>
  <c r="R512" i="14"/>
  <c r="R513" i="14"/>
  <c r="R514" i="14"/>
  <c r="R515" i="14"/>
  <c r="R516" i="14"/>
  <c r="R517" i="14"/>
  <c r="R518" i="14"/>
  <c r="R519" i="14"/>
  <c r="R520" i="14"/>
  <c r="R521" i="14"/>
  <c r="R522" i="14"/>
  <c r="R523" i="14"/>
  <c r="R524" i="14"/>
  <c r="R525" i="14"/>
  <c r="R526" i="14"/>
  <c r="R527" i="14"/>
  <c r="R528" i="14"/>
  <c r="R529" i="14"/>
  <c r="R530" i="14"/>
  <c r="R531" i="14"/>
  <c r="R532" i="14"/>
  <c r="R533" i="14"/>
  <c r="R534" i="14"/>
  <c r="R535" i="14"/>
  <c r="R536" i="14"/>
  <c r="R537" i="14"/>
  <c r="R538" i="14"/>
  <c r="R539" i="14"/>
  <c r="R21" i="14"/>
  <c r="R22" i="14"/>
  <c r="R23" i="14"/>
  <c r="R24" i="14"/>
  <c r="R25" i="14"/>
  <c r="R26" i="14"/>
  <c r="R27" i="14"/>
  <c r="R28" i="14"/>
  <c r="R29" i="14"/>
  <c r="Q30" i="14"/>
  <c r="Q31" i="14"/>
  <c r="Q32" i="14"/>
  <c r="Q33" i="14"/>
  <c r="Q34" i="14"/>
  <c r="Q35" i="14"/>
  <c r="Q36" i="14"/>
  <c r="Q37" i="14"/>
  <c r="Q38" i="14"/>
  <c r="Q39" i="14"/>
  <c r="Q40" i="14"/>
  <c r="Q41" i="14"/>
  <c r="Q42" i="14"/>
  <c r="Q43" i="14"/>
  <c r="Q44" i="14"/>
  <c r="Q45" i="14"/>
  <c r="Q46" i="14"/>
  <c r="Q47" i="14"/>
  <c r="Q48" i="14"/>
  <c r="Q49" i="14"/>
  <c r="Q50" i="14"/>
  <c r="Q51" i="14"/>
  <c r="Q52" i="14"/>
  <c r="Q53" i="14"/>
  <c r="Q54" i="14"/>
  <c r="Q55" i="14"/>
  <c r="Q56" i="14"/>
  <c r="Q57" i="14"/>
  <c r="Q58" i="14"/>
  <c r="Q59" i="14"/>
  <c r="Q60" i="14"/>
  <c r="Q61" i="14"/>
  <c r="Q62" i="14"/>
  <c r="Q63" i="14"/>
  <c r="Q64" i="14"/>
  <c r="Q65" i="14"/>
  <c r="Q66" i="14"/>
  <c r="Q67" i="14"/>
  <c r="Q68" i="14"/>
  <c r="Q69" i="14"/>
  <c r="Q70" i="14"/>
  <c r="Q71" i="14"/>
  <c r="Q72" i="14"/>
  <c r="Q73" i="14"/>
  <c r="Q74" i="14"/>
  <c r="Q75" i="14"/>
  <c r="Q76" i="14"/>
  <c r="Q77" i="14"/>
  <c r="Q78" i="14"/>
  <c r="Q79" i="14"/>
  <c r="Q80" i="14"/>
  <c r="Q81" i="14"/>
  <c r="Q82" i="14"/>
  <c r="Q83" i="14"/>
  <c r="Q84" i="14"/>
  <c r="Q85" i="14"/>
  <c r="Q86" i="14"/>
  <c r="Q87" i="14"/>
  <c r="Q88" i="14"/>
  <c r="Q89" i="14"/>
  <c r="Q90" i="14"/>
  <c r="Q91" i="14"/>
  <c r="Q92" i="14"/>
  <c r="Q93" i="14"/>
  <c r="Q94" i="14"/>
  <c r="Q95" i="14"/>
  <c r="Q96" i="14"/>
  <c r="Q97" i="14"/>
  <c r="Q98" i="14"/>
  <c r="Q99" i="14"/>
  <c r="Q100" i="14"/>
  <c r="Q101" i="14"/>
  <c r="Q102" i="14"/>
  <c r="Q103" i="14"/>
  <c r="Q104" i="14"/>
  <c r="Q105" i="14"/>
  <c r="Q106" i="14"/>
  <c r="Q107" i="14"/>
  <c r="Q108" i="14"/>
  <c r="Q109" i="14"/>
  <c r="Q110" i="14"/>
  <c r="Q111" i="14"/>
  <c r="Q112" i="14"/>
  <c r="Q113" i="14"/>
  <c r="Q114" i="14"/>
  <c r="Q115" i="14"/>
  <c r="Q116" i="14"/>
  <c r="Q117" i="14"/>
  <c r="Q118" i="14"/>
  <c r="Q119" i="14"/>
  <c r="Q120" i="14"/>
  <c r="Q121" i="14"/>
  <c r="Q122" i="14"/>
  <c r="Q123" i="14"/>
  <c r="Q124" i="14"/>
  <c r="Q125" i="14"/>
  <c r="Q126" i="14"/>
  <c r="Q127" i="14"/>
  <c r="Q128" i="14"/>
  <c r="Q129" i="14"/>
  <c r="Q130" i="14"/>
  <c r="Q131" i="14"/>
  <c r="Q132" i="14"/>
  <c r="Q133" i="14"/>
  <c r="Q134" i="14"/>
  <c r="Q135" i="14"/>
  <c r="Q136" i="14"/>
  <c r="Q137" i="14"/>
  <c r="Q138" i="14"/>
  <c r="Q139" i="14"/>
  <c r="Q140" i="14"/>
  <c r="Q141" i="14"/>
  <c r="Q142" i="14"/>
  <c r="Q143" i="14"/>
  <c r="Q144" i="14"/>
  <c r="Q145" i="14"/>
  <c r="Q146" i="14"/>
  <c r="Q147" i="14"/>
  <c r="Q148" i="14"/>
  <c r="Q149" i="14"/>
  <c r="Q150" i="14"/>
  <c r="Q151" i="14"/>
  <c r="Q152" i="14"/>
  <c r="Q153" i="14"/>
  <c r="Q154" i="14"/>
  <c r="Q155" i="14"/>
  <c r="Q156" i="14"/>
  <c r="Q157" i="14"/>
  <c r="Q158" i="14"/>
  <c r="Q159" i="14"/>
  <c r="Q160" i="14"/>
  <c r="Q161" i="14"/>
  <c r="Q162" i="14"/>
  <c r="Q163" i="14"/>
  <c r="Q164" i="14"/>
  <c r="Q165" i="14"/>
  <c r="Q166" i="14"/>
  <c r="Q167" i="14"/>
  <c r="Q168" i="14"/>
  <c r="Q169" i="14"/>
  <c r="Q170" i="14"/>
  <c r="Q171" i="14"/>
  <c r="Q172" i="14"/>
  <c r="Q173" i="14"/>
  <c r="Q174" i="14"/>
  <c r="Q175" i="14"/>
  <c r="Q176" i="14"/>
  <c r="Q177" i="14"/>
  <c r="Q178" i="14"/>
  <c r="Q179" i="14"/>
  <c r="Q180" i="14"/>
  <c r="Q181" i="14"/>
  <c r="Q182" i="14"/>
  <c r="Q183" i="14"/>
  <c r="Q184" i="14"/>
  <c r="Q185" i="14"/>
  <c r="Q186" i="14"/>
  <c r="Q187" i="14"/>
  <c r="Q188" i="14"/>
  <c r="Q189" i="14"/>
  <c r="Q190" i="14"/>
  <c r="Q191" i="14"/>
  <c r="Q192" i="14"/>
  <c r="Q193" i="14"/>
  <c r="Q194" i="14"/>
  <c r="Q195" i="14"/>
  <c r="Q196" i="14"/>
  <c r="Q197" i="14"/>
  <c r="Q198" i="14"/>
  <c r="Q199" i="14"/>
  <c r="Q200" i="14"/>
  <c r="Q201" i="14"/>
  <c r="Q202" i="14"/>
  <c r="Q203" i="14"/>
  <c r="Q204" i="14"/>
  <c r="Q205" i="14"/>
  <c r="Q206" i="14"/>
  <c r="Q207" i="14"/>
  <c r="Q208" i="14"/>
  <c r="Q209" i="14"/>
  <c r="Q210" i="14"/>
  <c r="Q211" i="14"/>
  <c r="Q212" i="14"/>
  <c r="Q213" i="14"/>
  <c r="Q214" i="14"/>
  <c r="Q215" i="14"/>
  <c r="Q216" i="14"/>
  <c r="Q217" i="14"/>
  <c r="Q218" i="14"/>
  <c r="Q219" i="14"/>
  <c r="Q220" i="14"/>
  <c r="Q221" i="14"/>
  <c r="Q222" i="14"/>
  <c r="Q223" i="14"/>
  <c r="Q224" i="14"/>
  <c r="Q225" i="14"/>
  <c r="Q226" i="14"/>
  <c r="Q227" i="14"/>
  <c r="Q228" i="14"/>
  <c r="Q229" i="14"/>
  <c r="Q230" i="14"/>
  <c r="Q231" i="14"/>
  <c r="Q232" i="14"/>
  <c r="Q233" i="14"/>
  <c r="Q234" i="14"/>
  <c r="Q235" i="14"/>
  <c r="Q236" i="14"/>
  <c r="Q237" i="14"/>
  <c r="Q238" i="14"/>
  <c r="Q239" i="14"/>
  <c r="Q240" i="14"/>
  <c r="Q241" i="14"/>
  <c r="Q242" i="14"/>
  <c r="Q243" i="14"/>
  <c r="Q244" i="14"/>
  <c r="Q245" i="14"/>
  <c r="Q246" i="14"/>
  <c r="Q247" i="14"/>
  <c r="Q248" i="14"/>
  <c r="Q249" i="14"/>
  <c r="Q250" i="14"/>
  <c r="Q251" i="14"/>
  <c r="Q252" i="14"/>
  <c r="Q253" i="14"/>
  <c r="Q254" i="14"/>
  <c r="Q255" i="14"/>
  <c r="Q256" i="14"/>
  <c r="Q257" i="14"/>
  <c r="Q258" i="14"/>
  <c r="Q259" i="14"/>
  <c r="Q260" i="14"/>
  <c r="Q261" i="14"/>
  <c r="Q262" i="14"/>
  <c r="Q263" i="14"/>
  <c r="Q264" i="14"/>
  <c r="Q265" i="14"/>
  <c r="Q266" i="14"/>
  <c r="Q267" i="14"/>
  <c r="Q268" i="14"/>
  <c r="Q269" i="14"/>
  <c r="Q270" i="14"/>
  <c r="Q271" i="14"/>
  <c r="Q272" i="14"/>
  <c r="Q273" i="14"/>
  <c r="Q274" i="14"/>
  <c r="Q275" i="14"/>
  <c r="Q276" i="14"/>
  <c r="Q277" i="14"/>
  <c r="Q278" i="14"/>
  <c r="Q279" i="14"/>
  <c r="Q280" i="14"/>
  <c r="Q281" i="14"/>
  <c r="Q282" i="14"/>
  <c r="Q283" i="14"/>
  <c r="Q284" i="14"/>
  <c r="Q285" i="14"/>
  <c r="Q286" i="14"/>
  <c r="Q287" i="14"/>
  <c r="Q288" i="14"/>
  <c r="Q289" i="14"/>
  <c r="Q290" i="14"/>
  <c r="Q291" i="14"/>
  <c r="Q292" i="14"/>
  <c r="Q293" i="14"/>
  <c r="Q294" i="14"/>
  <c r="Q295" i="14"/>
  <c r="Q296" i="14"/>
  <c r="Q297" i="14"/>
  <c r="Q298" i="14"/>
  <c r="Q299" i="14"/>
  <c r="Q300" i="14"/>
  <c r="Q301" i="14"/>
  <c r="Q302" i="14"/>
  <c r="Q303" i="14"/>
  <c r="Q304" i="14"/>
  <c r="Q305" i="14"/>
  <c r="Q306" i="14"/>
  <c r="Q307" i="14"/>
  <c r="Q308" i="14"/>
  <c r="Q309" i="14"/>
  <c r="Q310" i="14"/>
  <c r="Q311" i="14"/>
  <c r="Q312" i="14"/>
  <c r="Q313" i="14"/>
  <c r="Q314" i="14"/>
  <c r="Q315" i="14"/>
  <c r="Q316" i="14"/>
  <c r="Q317" i="14"/>
  <c r="Q318" i="14"/>
  <c r="Q319" i="14"/>
  <c r="Q320" i="14"/>
  <c r="Q321" i="14"/>
  <c r="Q322" i="14"/>
  <c r="Q323" i="14"/>
  <c r="Q324" i="14"/>
  <c r="Q325" i="14"/>
  <c r="Q326" i="14"/>
  <c r="Q327" i="14"/>
  <c r="Q328" i="14"/>
  <c r="Q329" i="14"/>
  <c r="Q330" i="14"/>
  <c r="Q331" i="14"/>
  <c r="Q332" i="14"/>
  <c r="Q333" i="14"/>
  <c r="Q334" i="14"/>
  <c r="Q335" i="14"/>
  <c r="Q336" i="14"/>
  <c r="Q337" i="14"/>
  <c r="Q338" i="14"/>
  <c r="Q339" i="14"/>
  <c r="Q340" i="14"/>
  <c r="Q341" i="14"/>
  <c r="Q342" i="14"/>
  <c r="Q343" i="14"/>
  <c r="Q344" i="14"/>
  <c r="Q345" i="14"/>
  <c r="Q346" i="14"/>
  <c r="Q347" i="14"/>
  <c r="Q348" i="14"/>
  <c r="Q349" i="14"/>
  <c r="Q350" i="14"/>
  <c r="Q351" i="14"/>
  <c r="Q352" i="14"/>
  <c r="Q353" i="14"/>
  <c r="Q354" i="14"/>
  <c r="Q355" i="14"/>
  <c r="Q356" i="14"/>
  <c r="Q357" i="14"/>
  <c r="Q358" i="14"/>
  <c r="Q359" i="14"/>
  <c r="Q360" i="14"/>
  <c r="Q361" i="14"/>
  <c r="Q362" i="14"/>
  <c r="Q363" i="14"/>
  <c r="Q364" i="14"/>
  <c r="Q365" i="14"/>
  <c r="Q366" i="14"/>
  <c r="Q367" i="14"/>
  <c r="Q368" i="14"/>
  <c r="Q369" i="14"/>
  <c r="Q370" i="14"/>
  <c r="Q371" i="14"/>
  <c r="Q372" i="14"/>
  <c r="Q373" i="14"/>
  <c r="Q374" i="14"/>
  <c r="Q375" i="14"/>
  <c r="Q376" i="14"/>
  <c r="Q377" i="14"/>
  <c r="Q378" i="14"/>
  <c r="Q379" i="14"/>
  <c r="Q380" i="14"/>
  <c r="Q381" i="14"/>
  <c r="Q382" i="14"/>
  <c r="Q383" i="14"/>
  <c r="Q384" i="14"/>
  <c r="Q385" i="14"/>
  <c r="Q386" i="14"/>
  <c r="Q387" i="14"/>
  <c r="Q388" i="14"/>
  <c r="Q389" i="14"/>
  <c r="Q390" i="14"/>
  <c r="Q391" i="14"/>
  <c r="Q392" i="14"/>
  <c r="Q393" i="14"/>
  <c r="Q394" i="14"/>
  <c r="Q395" i="14"/>
  <c r="Q396" i="14"/>
  <c r="Q397" i="14"/>
  <c r="Q398" i="14"/>
  <c r="Q399" i="14"/>
  <c r="Q400" i="14"/>
  <c r="Q401" i="14"/>
  <c r="Q402" i="14"/>
  <c r="Q403" i="14"/>
  <c r="Q404" i="14"/>
  <c r="Q405" i="14"/>
  <c r="Q406" i="14"/>
  <c r="Q407" i="14"/>
  <c r="Q408" i="14"/>
  <c r="Q409" i="14"/>
  <c r="Q410" i="14"/>
  <c r="Q411" i="14"/>
  <c r="Q412" i="14"/>
  <c r="Q413" i="14"/>
  <c r="Q414" i="14"/>
  <c r="Q415" i="14"/>
  <c r="Q416" i="14"/>
  <c r="Q417" i="14"/>
  <c r="Q418" i="14"/>
  <c r="Q419" i="14"/>
  <c r="Q420" i="14"/>
  <c r="Q421" i="14"/>
  <c r="Q422" i="14"/>
  <c r="Q423" i="14"/>
  <c r="Q424" i="14"/>
  <c r="Q425" i="14"/>
  <c r="Q426" i="14"/>
  <c r="Q427" i="14"/>
  <c r="Q428" i="14"/>
  <c r="Q429" i="14"/>
  <c r="Q430" i="14"/>
  <c r="Q431" i="14"/>
  <c r="Q432" i="14"/>
  <c r="Q433" i="14"/>
  <c r="Q434" i="14"/>
  <c r="Q435" i="14"/>
  <c r="Q436" i="14"/>
  <c r="Q437" i="14"/>
  <c r="Q438" i="14"/>
  <c r="Q439" i="14"/>
  <c r="Q440" i="14"/>
  <c r="Q441" i="14"/>
  <c r="Q442" i="14"/>
  <c r="Q443" i="14"/>
  <c r="Q444" i="14"/>
  <c r="Q445" i="14"/>
  <c r="Q446" i="14"/>
  <c r="Q447" i="14"/>
  <c r="Q448" i="14"/>
  <c r="Q449" i="14"/>
  <c r="Q450" i="14"/>
  <c r="Q451" i="14"/>
  <c r="Q452" i="14"/>
  <c r="Q453" i="14"/>
  <c r="Q454" i="14"/>
  <c r="Q455" i="14"/>
  <c r="Q456" i="14"/>
  <c r="Q457" i="14"/>
  <c r="Q458" i="14"/>
  <c r="Q459" i="14"/>
  <c r="Q460" i="14"/>
  <c r="Q461" i="14"/>
  <c r="Q462" i="14"/>
  <c r="Q463" i="14"/>
  <c r="Q464" i="14"/>
  <c r="Q465" i="14"/>
  <c r="Q466" i="14"/>
  <c r="Q467" i="14"/>
  <c r="Q468" i="14"/>
  <c r="Q469" i="14"/>
  <c r="Q470" i="14"/>
  <c r="Q471" i="14"/>
  <c r="Q472" i="14"/>
  <c r="Q473" i="14"/>
  <c r="Q474" i="14"/>
  <c r="Q475" i="14"/>
  <c r="Q476" i="14"/>
  <c r="Q477" i="14"/>
  <c r="Q478" i="14"/>
  <c r="Q479" i="14"/>
  <c r="Q480" i="14"/>
  <c r="Q481" i="14"/>
  <c r="Q482" i="14"/>
  <c r="Q483" i="14"/>
  <c r="Q484" i="14"/>
  <c r="Q485" i="14"/>
  <c r="Q486" i="14"/>
  <c r="Q487" i="14"/>
  <c r="Q488" i="14"/>
  <c r="Q489" i="14"/>
  <c r="Q490" i="14"/>
  <c r="Q491" i="14"/>
  <c r="Q492" i="14"/>
  <c r="Q493" i="14"/>
  <c r="Q494" i="14"/>
  <c r="Q495" i="14"/>
  <c r="Q496" i="14"/>
  <c r="Q497" i="14"/>
  <c r="Q498" i="14"/>
  <c r="Q499" i="14"/>
  <c r="Q500" i="14"/>
  <c r="Q501" i="14"/>
  <c r="Q502" i="14"/>
  <c r="Q503" i="14"/>
  <c r="Q504" i="14"/>
  <c r="Q505" i="14"/>
  <c r="Q506" i="14"/>
  <c r="Q507" i="14"/>
  <c r="Q508" i="14"/>
  <c r="Q509" i="14"/>
  <c r="Q510" i="14"/>
  <c r="Q511" i="14"/>
  <c r="Q512" i="14"/>
  <c r="Q513" i="14"/>
  <c r="Q514" i="14"/>
  <c r="Q515" i="14"/>
  <c r="Q516" i="14"/>
  <c r="Q517" i="14"/>
  <c r="Q518" i="14"/>
  <c r="Q519" i="14"/>
  <c r="Q520" i="14"/>
  <c r="Q521" i="14"/>
  <c r="Q522" i="14"/>
  <c r="Q523" i="14"/>
  <c r="Q524" i="14"/>
  <c r="Q525" i="14"/>
  <c r="Q526" i="14"/>
  <c r="Q527" i="14"/>
  <c r="Q528" i="14"/>
  <c r="Q529" i="14"/>
  <c r="Q530" i="14"/>
  <c r="Q531" i="14"/>
  <c r="Q532" i="14"/>
  <c r="Q533" i="14"/>
  <c r="Q534" i="14"/>
  <c r="Q535" i="14"/>
  <c r="Q536" i="14"/>
  <c r="Q537" i="14"/>
  <c r="Q538" i="14"/>
  <c r="Q539" i="14"/>
  <c r="Q29" i="14"/>
  <c r="Z513" i="14" l="1"/>
  <c r="Z525" i="14"/>
  <c r="Z537" i="14"/>
  <c r="Z407" i="14"/>
  <c r="Z395" i="14"/>
  <c r="Z347" i="14"/>
  <c r="Z323" i="14"/>
  <c r="Z539" i="14"/>
  <c r="Z335" i="14"/>
  <c r="Z299" i="14"/>
  <c r="Z287" i="14"/>
  <c r="Z275" i="14"/>
  <c r="Z239" i="14"/>
  <c r="Z227" i="14"/>
  <c r="Z179" i="14"/>
  <c r="Z143" i="14"/>
  <c r="Z119" i="14"/>
  <c r="Z107" i="14"/>
  <c r="Z95" i="14"/>
  <c r="Z59" i="14"/>
  <c r="Z35" i="14"/>
  <c r="Z443" i="14"/>
  <c r="Z417" i="14"/>
  <c r="Z405" i="14"/>
  <c r="Z393" i="14"/>
  <c r="Z381" i="14"/>
  <c r="Z345" i="14"/>
  <c r="Z333" i="14"/>
  <c r="Z321" i="14"/>
  <c r="Z297" i="14"/>
  <c r="Z285" i="14"/>
  <c r="Z273" i="14"/>
  <c r="Z261" i="14"/>
  <c r="Z249" i="14"/>
  <c r="Z237" i="14"/>
  <c r="Z225" i="14"/>
  <c r="Z213" i="14"/>
  <c r="Z189" i="14"/>
  <c r="Z165" i="14"/>
  <c r="Z117" i="14"/>
  <c r="Z105" i="14"/>
  <c r="Z93" i="14"/>
  <c r="Z81" i="14"/>
  <c r="Z69" i="14"/>
  <c r="Z45" i="14"/>
  <c r="Z33" i="14"/>
  <c r="Z529" i="14"/>
  <c r="Z517" i="14"/>
  <c r="Z505" i="14"/>
  <c r="Z493" i="14"/>
  <c r="Z481" i="14"/>
  <c r="Z457" i="14"/>
  <c r="Z445" i="14"/>
  <c r="Z421" i="14"/>
  <c r="Z455" i="14"/>
  <c r="Z429" i="14"/>
  <c r="Z479" i="14"/>
  <c r="Z453" i="14"/>
  <c r="Z503" i="14"/>
  <c r="Z515" i="14"/>
  <c r="Z489" i="14"/>
  <c r="Z527" i="14"/>
  <c r="Z501" i="14"/>
  <c r="Z21" i="14"/>
  <c r="AA10" i="14"/>
  <c r="W197" i="14"/>
  <c r="Z197" i="14" s="1"/>
  <c r="W201" i="14"/>
  <c r="Z201" i="14" s="1"/>
  <c r="W305" i="14"/>
  <c r="Z305" i="14" s="1"/>
  <c r="W477" i="14"/>
  <c r="Z477" i="14" s="1"/>
  <c r="W465" i="14"/>
  <c r="Z465" i="14" s="1"/>
  <c r="W101" i="14"/>
  <c r="Z101" i="14" s="1"/>
  <c r="W141" i="14"/>
  <c r="Z141" i="14" s="1"/>
  <c r="W357" i="14"/>
  <c r="Z357" i="14" s="1"/>
  <c r="W521" i="14"/>
  <c r="Z521" i="14" s="1"/>
  <c r="W361" i="14"/>
  <c r="Z361" i="14" s="1"/>
  <c r="W419" i="14"/>
  <c r="Z419" i="14" s="1"/>
  <c r="W359" i="14"/>
  <c r="Z359" i="14" s="1"/>
  <c r="W363" i="14"/>
  <c r="Z363" i="14" s="1"/>
  <c r="W247" i="14"/>
  <c r="Z247" i="14" s="1"/>
  <c r="W145" i="14"/>
  <c r="Z145" i="14" s="1"/>
  <c r="W46" i="14"/>
  <c r="Z46" i="14" s="1"/>
  <c r="W418" i="14"/>
  <c r="Z418" i="14" s="1"/>
  <c r="W422" i="14"/>
  <c r="Z422" i="14" s="1"/>
  <c r="W385" i="14"/>
  <c r="Z385" i="14" s="1"/>
  <c r="W389" i="14"/>
  <c r="Z389" i="14" s="1"/>
  <c r="W358" i="14"/>
  <c r="Z358" i="14" s="1"/>
  <c r="W469" i="14"/>
  <c r="Z469" i="14" s="1"/>
  <c r="W473" i="14"/>
  <c r="Z473" i="14" s="1"/>
  <c r="W383" i="14"/>
  <c r="Z383" i="14" s="1"/>
  <c r="W387" i="14"/>
  <c r="Z387" i="14" s="1"/>
  <c r="W43" i="14"/>
  <c r="Z43" i="14" s="1"/>
  <c r="W22" i="14"/>
  <c r="Z22" i="14" s="1"/>
  <c r="W26" i="14"/>
  <c r="Z26" i="14" s="1"/>
  <c r="W49" i="14"/>
  <c r="Z49" i="14" s="1"/>
  <c r="W416" i="14"/>
  <c r="Z416" i="14" s="1"/>
  <c r="W382" i="14"/>
  <c r="Z382" i="14" s="1"/>
  <c r="W356" i="14"/>
  <c r="Z356" i="14" s="1"/>
  <c r="W307" i="14"/>
  <c r="Z307" i="14" s="1"/>
  <c r="W311" i="14"/>
  <c r="Z311" i="14" s="1"/>
  <c r="W130" i="14"/>
  <c r="Z130" i="14" s="1"/>
  <c r="W371" i="14"/>
  <c r="Z371" i="14" s="1"/>
  <c r="W375" i="14"/>
  <c r="Z375" i="14" s="1"/>
  <c r="W467" i="14"/>
  <c r="Z467" i="14" s="1"/>
  <c r="W127" i="14"/>
  <c r="Z127" i="14" s="1"/>
  <c r="W82" i="14"/>
  <c r="Z82" i="14" s="1"/>
  <c r="W86" i="14"/>
  <c r="Z86" i="14" s="1"/>
  <c r="W19" i="14"/>
  <c r="Z19" i="14" s="1"/>
  <c r="W491" i="14"/>
  <c r="Z491" i="14" s="1"/>
  <c r="W495" i="14"/>
  <c r="Z495" i="14" s="1"/>
  <c r="W466" i="14"/>
  <c r="Z466" i="14" s="1"/>
  <c r="W380" i="14"/>
  <c r="Z380" i="14" s="1"/>
  <c r="W265" i="14"/>
  <c r="Z265" i="14" s="1"/>
  <c r="W269" i="14"/>
  <c r="Z269" i="14" s="1"/>
  <c r="W216" i="14"/>
  <c r="Z216" i="14" s="1"/>
  <c r="W212" i="14"/>
  <c r="Z212" i="14" s="1"/>
  <c r="W191" i="14"/>
  <c r="Z191" i="14" s="1"/>
  <c r="W490" i="14"/>
  <c r="Z490" i="14" s="1"/>
  <c r="W494" i="14"/>
  <c r="Z494" i="14" s="1"/>
  <c r="W154" i="14"/>
  <c r="Z154" i="14" s="1"/>
  <c r="W158" i="14"/>
  <c r="Z158" i="14" s="1"/>
  <c r="W79" i="14"/>
  <c r="Z79" i="14" s="1"/>
  <c r="W83" i="14"/>
  <c r="Z83" i="14" s="1"/>
  <c r="W433" i="14"/>
  <c r="Z433" i="14" s="1"/>
  <c r="W253" i="14"/>
  <c r="Z253" i="14" s="1"/>
  <c r="W257" i="14"/>
  <c r="Z257" i="14" s="1"/>
  <c r="W151" i="14"/>
  <c r="Z151" i="14" s="1"/>
  <c r="W322" i="14"/>
  <c r="Z322" i="14" s="1"/>
  <c r="W326" i="14"/>
  <c r="Z326" i="14" s="1"/>
  <c r="W250" i="14"/>
  <c r="Z250" i="14" s="1"/>
  <c r="W121" i="14"/>
  <c r="Z121" i="14" s="1"/>
  <c r="W484" i="14"/>
  <c r="Z484" i="14" s="1"/>
  <c r="W472" i="14"/>
  <c r="Z472" i="14" s="1"/>
  <c r="W100" i="14"/>
  <c r="Z100" i="14" s="1"/>
  <c r="AA11" i="14" l="1"/>
  <c r="AA12" i="14" s="1"/>
  <c r="AA13" i="14" s="1"/>
  <c r="AA14" i="14" s="1"/>
  <c r="AA15" i="14" s="1"/>
  <c r="W313" i="14"/>
  <c r="Z313" i="14" s="1"/>
  <c r="W309" i="14"/>
  <c r="Z309" i="14" s="1"/>
  <c r="W195" i="14"/>
  <c r="Z195" i="14" s="1"/>
  <c r="W441" i="14"/>
  <c r="Z441" i="14" s="1"/>
  <c r="W437" i="14"/>
  <c r="Z437" i="14" s="1"/>
  <c r="W47" i="14"/>
  <c r="Z47" i="14" s="1"/>
  <c r="W251" i="14"/>
  <c r="Z251" i="14" s="1"/>
  <c r="W386" i="14"/>
  <c r="Z386" i="14" s="1"/>
  <c r="W390" i="14"/>
  <c r="Z390" i="14" s="1"/>
  <c r="W76" i="14"/>
  <c r="Z76" i="14" s="1"/>
  <c r="W155" i="14"/>
  <c r="Z155" i="14" s="1"/>
  <c r="W159" i="14"/>
  <c r="Z159" i="14" s="1"/>
  <c r="W304" i="14"/>
  <c r="Z304" i="14" s="1"/>
  <c r="W436" i="14"/>
  <c r="Z436" i="14" s="1"/>
  <c r="W440" i="14"/>
  <c r="Z440" i="14" s="1"/>
  <c r="W420" i="14"/>
  <c r="Z420" i="14" s="1"/>
  <c r="W424" i="14"/>
  <c r="Z424" i="14" s="1"/>
  <c r="W254" i="14"/>
  <c r="Z254" i="14" s="1"/>
  <c r="W258" i="14"/>
  <c r="Z258" i="14" s="1"/>
  <c r="W57" i="14"/>
  <c r="Z57" i="14" s="1"/>
  <c r="W53" i="14"/>
  <c r="Z53" i="14" s="1"/>
  <c r="W423" i="14"/>
  <c r="Z423" i="14" s="1"/>
  <c r="W23" i="14"/>
  <c r="Z23" i="14" s="1"/>
  <c r="W27" i="14"/>
  <c r="Z27" i="14" s="1"/>
  <c r="W131" i="14"/>
  <c r="Z131" i="14" s="1"/>
  <c r="W135" i="14"/>
  <c r="Z135" i="14" s="1"/>
  <c r="W384" i="14"/>
  <c r="Z384" i="14" s="1"/>
  <c r="W388" i="14"/>
  <c r="Z388" i="14" s="1"/>
  <c r="W50" i="14"/>
  <c r="Z50" i="14" s="1"/>
  <c r="W149" i="14"/>
  <c r="Z149" i="14" s="1"/>
  <c r="W16" i="14"/>
  <c r="Z16" i="14" s="1"/>
  <c r="W40" i="14"/>
  <c r="Z40" i="14" s="1"/>
  <c r="W471" i="14"/>
  <c r="Z471" i="14" s="1"/>
  <c r="W475" i="14"/>
  <c r="Z475" i="14" s="1"/>
  <c r="W148" i="14"/>
  <c r="Z148" i="14" s="1"/>
  <c r="W134" i="14"/>
  <c r="Z134" i="14" s="1"/>
  <c r="W138" i="14"/>
  <c r="Z138" i="14" s="1"/>
  <c r="W365" i="14"/>
  <c r="Z365" i="14" s="1"/>
  <c r="W256" i="14"/>
  <c r="Z256" i="14" s="1"/>
  <c r="W260" i="14"/>
  <c r="Z260" i="14" s="1"/>
  <c r="W360" i="14"/>
  <c r="Z360" i="14" s="1"/>
  <c r="W364" i="14"/>
  <c r="Z364" i="14" s="1"/>
  <c r="W520" i="14"/>
  <c r="Z520" i="14" s="1"/>
  <c r="W125" i="14"/>
  <c r="Z125" i="14" s="1"/>
  <c r="W362" i="14"/>
  <c r="Z362" i="14" s="1"/>
  <c r="W366" i="14"/>
  <c r="Z366" i="14" s="1"/>
  <c r="W470" i="14"/>
  <c r="Z470" i="14" s="1"/>
  <c r="W124" i="14"/>
  <c r="Z124" i="14" s="1"/>
  <c r="W196" i="14"/>
  <c r="Z196" i="14" s="1"/>
  <c r="AA16" i="14" l="1"/>
  <c r="AA17" i="14" s="1"/>
  <c r="AA18" i="14" s="1"/>
  <c r="AA19" i="14" s="1"/>
  <c r="W80" i="14"/>
  <c r="Z80" i="14" s="1"/>
  <c r="W84" i="14"/>
  <c r="Z84" i="14" s="1"/>
  <c r="W369" i="14"/>
  <c r="Z369" i="14" s="1"/>
  <c r="W373" i="14"/>
  <c r="Z373" i="14" s="1"/>
  <c r="W129" i="14"/>
  <c r="Z129" i="14" s="1"/>
  <c r="W51" i="14"/>
  <c r="Z51" i="14" s="1"/>
  <c r="W55" i="14"/>
  <c r="Z55" i="14" s="1"/>
  <c r="W44" i="14"/>
  <c r="Z44" i="14" s="1"/>
  <c r="W58" i="14"/>
  <c r="Z58" i="14" s="1"/>
  <c r="W54" i="14"/>
  <c r="Z54" i="14" s="1"/>
  <c r="W152" i="14"/>
  <c r="Z152" i="14" s="1"/>
  <c r="W474" i="14"/>
  <c r="Z474" i="14" s="1"/>
  <c r="W200" i="14"/>
  <c r="Z200" i="14" s="1"/>
  <c r="W204" i="14"/>
  <c r="Z204" i="14" s="1"/>
  <c r="W308" i="14"/>
  <c r="Z308" i="14" s="1"/>
  <c r="W20" i="14"/>
  <c r="Z20" i="14" s="1"/>
  <c r="W199" i="14"/>
  <c r="Z199" i="14" s="1"/>
  <c r="W153" i="14"/>
  <c r="Z153" i="14" s="1"/>
  <c r="W255" i="14"/>
  <c r="Z255" i="14" s="1"/>
  <c r="W528" i="14"/>
  <c r="Z528" i="14" s="1"/>
  <c r="W524" i="14"/>
  <c r="Z524" i="14" s="1"/>
  <c r="W128" i="14"/>
  <c r="Z128" i="14" s="1"/>
  <c r="W427" i="14"/>
  <c r="Z427" i="14" s="1"/>
  <c r="W431" i="14"/>
  <c r="Z431" i="14" s="1"/>
  <c r="AA20" i="14" l="1"/>
  <c r="W203" i="14"/>
  <c r="Z203" i="14" s="1"/>
  <c r="W24" i="14"/>
  <c r="Z24" i="14" s="1"/>
  <c r="W28" i="14"/>
  <c r="Z28" i="14" s="1"/>
  <c r="W48" i="14"/>
  <c r="Z48" i="14" s="1"/>
  <c r="W133" i="14"/>
  <c r="Z133" i="14" s="1"/>
  <c r="W137" i="14"/>
  <c r="Z137" i="14" s="1"/>
  <c r="W259" i="14"/>
  <c r="Z259" i="14" s="1"/>
  <c r="W157" i="14"/>
  <c r="Z157" i="14" s="1"/>
  <c r="W161" i="14"/>
  <c r="Z161" i="14" s="1"/>
  <c r="W132" i="14"/>
  <c r="Z132" i="14" s="1"/>
  <c r="W136" i="14"/>
  <c r="Z136" i="14" s="1"/>
  <c r="W312" i="14"/>
  <c r="Z312" i="14" s="1"/>
  <c r="W478" i="14"/>
  <c r="Z478" i="14" s="1"/>
  <c r="W482" i="14"/>
  <c r="Z482" i="14" s="1"/>
  <c r="W156" i="14"/>
  <c r="Z156" i="14" s="1"/>
  <c r="W160" i="14"/>
  <c r="Z160" i="14" s="1"/>
  <c r="AA21" i="14" l="1"/>
  <c r="AA22" i="14" s="1"/>
  <c r="AA23" i="14" s="1"/>
  <c r="AA24" i="14" s="1"/>
  <c r="AA25" i="14" s="1"/>
  <c r="AA26" i="14" s="1"/>
  <c r="AA27" i="14" s="1"/>
  <c r="AA28" i="14" s="1"/>
  <c r="AA29" i="14" s="1"/>
  <c r="AA30" i="14" s="1"/>
  <c r="AA31" i="14" s="1"/>
  <c r="AA32" i="14" s="1"/>
  <c r="AA33" i="14" s="1"/>
  <c r="AA34" i="14" s="1"/>
  <c r="AA35" i="14" s="1"/>
  <c r="AA36" i="14" s="1"/>
  <c r="AA37" i="14" s="1"/>
  <c r="AA38" i="14" s="1"/>
  <c r="AA39" i="14" s="1"/>
  <c r="AA40" i="14" s="1"/>
  <c r="AA41" i="14" s="1"/>
  <c r="AA42" i="14" s="1"/>
  <c r="AA43" i="14" s="1"/>
  <c r="AA44" i="14" s="1"/>
  <c r="AA45" i="14" s="1"/>
  <c r="AA46" i="14" s="1"/>
  <c r="AA47" i="14" s="1"/>
  <c r="AA48" i="14" s="1"/>
  <c r="AA49" i="14" s="1"/>
  <c r="AA50" i="14" s="1"/>
  <c r="AA51" i="14" s="1"/>
  <c r="W52" i="14"/>
  <c r="Z52" i="14" s="1"/>
  <c r="W56" i="14"/>
  <c r="Z56" i="14" s="1"/>
  <c r="W316" i="14"/>
  <c r="Z316" i="14" s="1"/>
  <c r="W320" i="14"/>
  <c r="Z320" i="14" s="1"/>
  <c r="W263" i="14"/>
  <c r="Z263" i="14" s="1"/>
  <c r="W267" i="14"/>
  <c r="Z267" i="14" s="1"/>
  <c r="W207" i="14"/>
  <c r="Z207" i="14" s="1"/>
  <c r="AA52" i="14" l="1"/>
  <c r="W211" i="14"/>
  <c r="Z211" i="14" s="1"/>
  <c r="W215" i="14"/>
  <c r="Z215" i="14" s="1"/>
  <c r="AA53" i="14" l="1"/>
  <c r="AA54" i="14" s="1"/>
  <c r="AA55" i="14" s="1"/>
  <c r="AA56" i="14" s="1"/>
  <c r="AA57" i="14" s="1"/>
  <c r="AA58" i="14" s="1"/>
  <c r="AA59" i="14" s="1"/>
  <c r="AA60" i="14" s="1"/>
  <c r="AA61" i="14" s="1"/>
  <c r="AA62" i="14" s="1"/>
  <c r="AA63" i="14" s="1"/>
  <c r="AA64" i="14" s="1"/>
  <c r="AA65" i="14" s="1"/>
  <c r="AA66" i="14" s="1"/>
  <c r="AA67" i="14" s="1"/>
  <c r="AA68" i="14" s="1"/>
  <c r="AA69" i="14" s="1"/>
  <c r="AA70" i="14" s="1"/>
  <c r="AA71" i="14" s="1"/>
  <c r="AA72" i="14" s="1"/>
  <c r="AA73" i="14" s="1"/>
  <c r="AA74" i="14" s="1"/>
  <c r="AA75" i="14" s="1"/>
  <c r="AA76" i="14" s="1"/>
  <c r="AA77" i="14" s="1"/>
  <c r="AA78" i="14" s="1"/>
  <c r="AA79" i="14" s="1"/>
  <c r="AA80" i="14" s="1"/>
  <c r="AA81" i="14" s="1"/>
  <c r="AA82" i="14" s="1"/>
  <c r="AA83" i="14" s="1"/>
  <c r="AA84" i="14" s="1"/>
  <c r="AA85" i="14" s="1"/>
  <c r="AA86" i="14" s="1"/>
  <c r="AA87" i="14" s="1"/>
  <c r="AA88" i="14" s="1"/>
  <c r="AA89" i="14" s="1"/>
  <c r="AA90" i="14" s="1"/>
  <c r="AA91" i="14" s="1"/>
  <c r="AA92" i="14" s="1"/>
  <c r="AA93" i="14" s="1"/>
  <c r="AA94" i="14" s="1"/>
  <c r="AA95" i="14" s="1"/>
  <c r="AA96" i="14" s="1"/>
  <c r="AA97" i="14" s="1"/>
  <c r="AA98" i="14" s="1"/>
  <c r="AA99" i="14" s="1"/>
  <c r="AA100" i="14" s="1"/>
  <c r="AA101" i="14" s="1"/>
  <c r="AA102" i="14" s="1"/>
  <c r="AA103" i="14" s="1"/>
  <c r="AA104" i="14" s="1"/>
  <c r="AA105" i="14" s="1"/>
  <c r="AA106" i="14" s="1"/>
  <c r="AA107" i="14" s="1"/>
  <c r="AA108" i="14" s="1"/>
  <c r="AA109" i="14" s="1"/>
  <c r="AA110" i="14" s="1"/>
  <c r="AA111" i="14" s="1"/>
  <c r="AA112" i="14" s="1"/>
  <c r="AA113" i="14" s="1"/>
  <c r="AA114" i="14" s="1"/>
  <c r="AA115" i="14" s="1"/>
  <c r="AA116" i="14" s="1"/>
  <c r="AA117" i="14" s="1"/>
  <c r="AA118" i="14" s="1"/>
  <c r="AA119" i="14" s="1"/>
  <c r="AA120" i="14" s="1"/>
  <c r="AA121" i="14" s="1"/>
  <c r="AA122" i="14" s="1"/>
  <c r="AA123" i="14" s="1"/>
  <c r="AA124" i="14" s="1"/>
  <c r="AA125" i="14" s="1"/>
  <c r="AA126" i="14" s="1"/>
  <c r="AA127" i="14" s="1"/>
  <c r="AA128" i="14" s="1"/>
  <c r="AA129" i="14" s="1"/>
  <c r="AA130" i="14" s="1"/>
  <c r="AA131" i="14" s="1"/>
  <c r="AA132" i="14" s="1"/>
  <c r="AA133" i="14" s="1"/>
  <c r="AA134" i="14" s="1"/>
  <c r="AA135" i="14" s="1"/>
  <c r="AA136" i="14" s="1"/>
  <c r="AA137" i="14" s="1"/>
  <c r="AA138" i="14" s="1"/>
  <c r="AA139" i="14" s="1"/>
  <c r="AA140" i="14" s="1"/>
  <c r="AA141" i="14" s="1"/>
  <c r="AA142" i="14" s="1"/>
  <c r="AA143" i="14" s="1"/>
  <c r="AA144" i="14" s="1"/>
  <c r="AA145" i="14" s="1"/>
  <c r="AA146" i="14" s="1"/>
  <c r="AA147" i="14" s="1"/>
  <c r="AA148" i="14" s="1"/>
  <c r="AA149" i="14" s="1"/>
  <c r="AA150" i="14" s="1"/>
  <c r="AA151" i="14" s="1"/>
  <c r="AA152" i="14" s="1"/>
  <c r="AA153" i="14" s="1"/>
  <c r="AA154" i="14" s="1"/>
  <c r="AA155" i="14" s="1"/>
  <c r="AA156" i="14" s="1"/>
  <c r="AA157" i="14" s="1"/>
  <c r="AA158" i="14" s="1"/>
  <c r="AA159" i="14" s="1"/>
  <c r="AA160" i="14" s="1"/>
  <c r="AA161" i="14" s="1"/>
  <c r="AA162" i="14" s="1"/>
  <c r="AA163" i="14" s="1"/>
  <c r="AA164" i="14" s="1"/>
  <c r="AA165" i="14" s="1"/>
  <c r="AA166" i="14" s="1"/>
  <c r="AA167" i="14" s="1"/>
  <c r="AA168" i="14" s="1"/>
  <c r="AA169" i="14" s="1"/>
  <c r="AA170" i="14" s="1"/>
  <c r="AA171" i="14" s="1"/>
  <c r="AA172" i="14" s="1"/>
  <c r="AA173" i="14" s="1"/>
  <c r="AA174" i="14" s="1"/>
  <c r="AA175" i="14" s="1"/>
  <c r="AA176" i="14" s="1"/>
  <c r="AA177" i="14" s="1"/>
  <c r="AA178" i="14" s="1"/>
  <c r="AA179" i="14" s="1"/>
  <c r="AA180" i="14" s="1"/>
  <c r="AA181" i="14" s="1"/>
  <c r="AA182" i="14" s="1"/>
  <c r="AA183" i="14" s="1"/>
  <c r="AA184" i="14" s="1"/>
  <c r="AA185" i="14" s="1"/>
  <c r="AA186" i="14" s="1"/>
  <c r="AA187" i="14" s="1"/>
  <c r="AA188" i="14" s="1"/>
  <c r="AA189" i="14" s="1"/>
  <c r="AA190" i="14" s="1"/>
  <c r="AA191" i="14" s="1"/>
  <c r="AA192" i="14" s="1"/>
  <c r="AA193" i="14" s="1"/>
  <c r="AA194" i="14" s="1"/>
  <c r="AA195" i="14" s="1"/>
  <c r="AA196" i="14" s="1"/>
  <c r="AA197" i="14" s="1"/>
  <c r="AA198" i="14" s="1"/>
  <c r="AA199" i="14" s="1"/>
  <c r="AA200" i="14" s="1"/>
  <c r="AA201" i="14" s="1"/>
  <c r="AA202" i="14" s="1"/>
  <c r="AA203" i="14" s="1"/>
  <c r="AA204" i="14" s="1"/>
  <c r="AA205" i="14" s="1"/>
  <c r="AA206" i="14" s="1"/>
  <c r="AA207" i="14" s="1"/>
  <c r="AA208" i="14" s="1"/>
  <c r="AA209" i="14" s="1"/>
  <c r="AA210" i="14" s="1"/>
  <c r="AA211" i="14" s="1"/>
  <c r="AA212" i="14" s="1"/>
  <c r="AA213" i="14" s="1"/>
  <c r="AA214" i="14" s="1"/>
  <c r="AA215" i="14" s="1"/>
  <c r="AA216" i="14" s="1"/>
  <c r="AA217" i="14" s="1"/>
  <c r="AA218" i="14" s="1"/>
  <c r="AA219" i="14" s="1"/>
  <c r="AA220" i="14" s="1"/>
  <c r="AA221" i="14" s="1"/>
  <c r="AA222" i="14" s="1"/>
  <c r="AA223" i="14" s="1"/>
  <c r="AA224" i="14" s="1"/>
  <c r="AA225" i="14" s="1"/>
  <c r="AA226" i="14" s="1"/>
  <c r="AA227" i="14" s="1"/>
  <c r="AA228" i="14" s="1"/>
  <c r="AA229" i="14" s="1"/>
  <c r="AA230" i="14" s="1"/>
  <c r="AA231" i="14" s="1"/>
  <c r="AA232" i="14" s="1"/>
  <c r="AA233" i="14" s="1"/>
  <c r="AA234" i="14" s="1"/>
  <c r="AA235" i="14" s="1"/>
  <c r="AA236" i="14" s="1"/>
  <c r="AA237" i="14" s="1"/>
  <c r="AA238" i="14" s="1"/>
  <c r="AA239" i="14" s="1"/>
  <c r="AA240" i="14" s="1"/>
  <c r="AA241" i="14" s="1"/>
  <c r="AA242" i="14" s="1"/>
  <c r="AA243" i="14" s="1"/>
  <c r="AA244" i="14" s="1"/>
  <c r="AA245" i="14" s="1"/>
  <c r="AA246" i="14" s="1"/>
  <c r="AA247" i="14" s="1"/>
  <c r="AA248" i="14" s="1"/>
  <c r="AA249" i="14" s="1"/>
  <c r="AA250" i="14" s="1"/>
  <c r="AA251" i="14" s="1"/>
  <c r="AA252" i="14" s="1"/>
  <c r="AA253" i="14" s="1"/>
  <c r="AA254" i="14" s="1"/>
  <c r="AA255" i="14" s="1"/>
  <c r="AA256" i="14" s="1"/>
  <c r="AA257" i="14" s="1"/>
  <c r="AA258" i="14" s="1"/>
  <c r="AA259" i="14" s="1"/>
  <c r="AA260" i="14" s="1"/>
  <c r="AA261" i="14" s="1"/>
  <c r="AA262" i="14" s="1"/>
  <c r="AA263" i="14" s="1"/>
  <c r="AA264" i="14" s="1"/>
  <c r="AA265" i="14" s="1"/>
  <c r="AA266" i="14" s="1"/>
  <c r="AA267" i="14" s="1"/>
  <c r="AA268" i="14" s="1"/>
  <c r="AA269" i="14" s="1"/>
  <c r="AA270" i="14" s="1"/>
  <c r="AA271" i="14" s="1"/>
  <c r="AA272" i="14" s="1"/>
  <c r="AA273" i="14" s="1"/>
  <c r="AA274" i="14" s="1"/>
  <c r="AA275" i="14" s="1"/>
  <c r="AA276" i="14" s="1"/>
  <c r="AA277" i="14" s="1"/>
  <c r="AA278" i="14" s="1"/>
  <c r="AA279" i="14" s="1"/>
  <c r="AA280" i="14" s="1"/>
  <c r="AA281" i="14" s="1"/>
  <c r="AA282" i="14" s="1"/>
  <c r="AA283" i="14" s="1"/>
  <c r="AA284" i="14" s="1"/>
  <c r="AA285" i="14" s="1"/>
  <c r="AA286" i="14" s="1"/>
  <c r="AA287" i="14" s="1"/>
  <c r="AA288" i="14" s="1"/>
  <c r="AA289" i="14" s="1"/>
  <c r="AA290" i="14" s="1"/>
  <c r="AA291" i="14" s="1"/>
  <c r="AA292" i="14" s="1"/>
  <c r="AA293" i="14" s="1"/>
  <c r="AA294" i="14" s="1"/>
  <c r="AA295" i="14" s="1"/>
  <c r="AA296" i="14" s="1"/>
  <c r="AA297" i="14" s="1"/>
  <c r="AA298" i="14" s="1"/>
  <c r="AA299" i="14" s="1"/>
  <c r="AA300" i="14" s="1"/>
  <c r="AA301" i="14" s="1"/>
  <c r="AA302" i="14" s="1"/>
  <c r="AA303" i="14" s="1"/>
  <c r="AA304" i="14" s="1"/>
  <c r="AA305" i="14" s="1"/>
  <c r="AA306" i="14" s="1"/>
  <c r="AA307" i="14" s="1"/>
  <c r="AA308" i="14" s="1"/>
  <c r="AA309" i="14" s="1"/>
  <c r="AA310" i="14" s="1"/>
  <c r="AA311" i="14" s="1"/>
  <c r="AA312" i="14" s="1"/>
  <c r="AA313" i="14" s="1"/>
  <c r="AA314" i="14" s="1"/>
  <c r="AA315" i="14" s="1"/>
  <c r="AA316" i="14" s="1"/>
  <c r="AA317" i="14" s="1"/>
  <c r="AA318" i="14" s="1"/>
  <c r="AA319" i="14" s="1"/>
  <c r="AA320" i="14" s="1"/>
  <c r="AA321" i="14" s="1"/>
  <c r="AA322" i="14" s="1"/>
  <c r="AA323" i="14" s="1"/>
  <c r="AA324" i="14" s="1"/>
  <c r="AA325" i="14" s="1"/>
  <c r="AA326" i="14" s="1"/>
  <c r="AA327" i="14" s="1"/>
  <c r="AA328" i="14" s="1"/>
  <c r="AA329" i="14" s="1"/>
  <c r="AA330" i="14" s="1"/>
  <c r="AA331" i="14" s="1"/>
  <c r="AA332" i="14" s="1"/>
  <c r="AA333" i="14" s="1"/>
  <c r="AA334" i="14" s="1"/>
  <c r="AA335" i="14" s="1"/>
  <c r="AA336" i="14" s="1"/>
  <c r="AA337" i="14" s="1"/>
  <c r="AA338" i="14" s="1"/>
  <c r="AA339" i="14" s="1"/>
  <c r="AA340" i="14" s="1"/>
  <c r="AA341" i="14" s="1"/>
  <c r="AA342" i="14" s="1"/>
  <c r="AA343" i="14" s="1"/>
  <c r="AA344" i="14" s="1"/>
  <c r="AA345" i="14" s="1"/>
  <c r="AA346" i="14" s="1"/>
  <c r="AA347" i="14" s="1"/>
  <c r="AA348" i="14" s="1"/>
  <c r="AA349" i="14" s="1"/>
  <c r="AA350" i="14" s="1"/>
  <c r="AA351" i="14" s="1"/>
  <c r="AA352" i="14" s="1"/>
  <c r="AA353" i="14" s="1"/>
  <c r="AA354" i="14" s="1"/>
  <c r="AA355" i="14" s="1"/>
  <c r="AA356" i="14" s="1"/>
  <c r="AA357" i="14" s="1"/>
  <c r="AA358" i="14" s="1"/>
  <c r="AA359" i="14" s="1"/>
  <c r="AA360" i="14" s="1"/>
  <c r="AA361" i="14" s="1"/>
  <c r="AA362" i="14" s="1"/>
  <c r="AA363" i="14" s="1"/>
  <c r="AA364" i="14" s="1"/>
  <c r="AA365" i="14" s="1"/>
  <c r="AA366" i="14" s="1"/>
  <c r="AA367" i="14" s="1"/>
  <c r="AA368" i="14" s="1"/>
  <c r="AA369" i="14" s="1"/>
  <c r="AA370" i="14" s="1"/>
  <c r="AA371" i="14" s="1"/>
  <c r="AA372" i="14" s="1"/>
  <c r="AA373" i="14" s="1"/>
  <c r="AA374" i="14" s="1"/>
  <c r="AA375" i="14" s="1"/>
  <c r="AA376" i="14" s="1"/>
  <c r="AA377" i="14" s="1"/>
  <c r="AA378" i="14" s="1"/>
  <c r="AA379" i="14" s="1"/>
  <c r="AA380" i="14" s="1"/>
  <c r="AA381" i="14" s="1"/>
  <c r="AA382" i="14" s="1"/>
  <c r="AA383" i="14" s="1"/>
  <c r="AA384" i="14" s="1"/>
  <c r="AA385" i="14" s="1"/>
  <c r="AA386" i="14" s="1"/>
  <c r="AA387" i="14" s="1"/>
  <c r="AA388" i="14" s="1"/>
  <c r="AA389" i="14" s="1"/>
  <c r="AA390" i="14" s="1"/>
  <c r="AA391" i="14" s="1"/>
  <c r="AA392" i="14" s="1"/>
  <c r="AA393" i="14" s="1"/>
  <c r="AA394" i="14" s="1"/>
  <c r="AA395" i="14" s="1"/>
  <c r="AA396" i="14" s="1"/>
  <c r="AA397" i="14" s="1"/>
  <c r="AA398" i="14" s="1"/>
  <c r="AA399" i="14" s="1"/>
  <c r="AA400" i="14" s="1"/>
  <c r="AA401" i="14" s="1"/>
  <c r="AA402" i="14" s="1"/>
  <c r="AA403" i="14" s="1"/>
  <c r="AA404" i="14" s="1"/>
  <c r="AA405" i="14" s="1"/>
  <c r="AA406" i="14" s="1"/>
  <c r="AA407" i="14" s="1"/>
  <c r="AA408" i="14" s="1"/>
  <c r="AA409" i="14" s="1"/>
  <c r="AA410" i="14" s="1"/>
  <c r="AA411" i="14" s="1"/>
  <c r="AA412" i="14" s="1"/>
  <c r="AA413" i="14" s="1"/>
  <c r="AA414" i="14" s="1"/>
  <c r="AA415" i="14" s="1"/>
  <c r="AA416" i="14" s="1"/>
  <c r="AA417" i="14" s="1"/>
  <c r="AA418" i="14" s="1"/>
  <c r="AA419" i="14" s="1"/>
  <c r="AA420" i="14" s="1"/>
  <c r="AA421" i="14" s="1"/>
  <c r="AA422" i="14" s="1"/>
  <c r="AA423" i="14" s="1"/>
  <c r="AA424" i="14" s="1"/>
  <c r="AA425" i="14" s="1"/>
  <c r="AA426" i="14" s="1"/>
  <c r="AA427" i="14" s="1"/>
  <c r="AA428" i="14" s="1"/>
  <c r="AA429" i="14" s="1"/>
  <c r="AA430" i="14" s="1"/>
  <c r="AA431" i="14" s="1"/>
  <c r="AA432" i="14" s="1"/>
  <c r="AA433" i="14" s="1"/>
  <c r="AA434" i="14" s="1"/>
  <c r="AA435" i="14" s="1"/>
  <c r="AA436" i="14" s="1"/>
  <c r="AA437" i="14" s="1"/>
  <c r="AA438" i="14" s="1"/>
  <c r="AA439" i="14" s="1"/>
  <c r="AA440" i="14" s="1"/>
  <c r="AA441" i="14" s="1"/>
  <c r="AA442" i="14" s="1"/>
  <c r="AA443" i="14" s="1"/>
  <c r="AA444" i="14" s="1"/>
  <c r="AA445" i="14" s="1"/>
  <c r="AA446" i="14" s="1"/>
  <c r="AA447" i="14" s="1"/>
  <c r="AA448" i="14" s="1"/>
  <c r="AA449" i="14" s="1"/>
  <c r="AA450" i="14" s="1"/>
  <c r="AA451" i="14" s="1"/>
  <c r="AA452" i="14" s="1"/>
  <c r="AA453" i="14" s="1"/>
  <c r="AA454" i="14" s="1"/>
  <c r="AA455" i="14" s="1"/>
  <c r="AA456" i="14" s="1"/>
  <c r="AA457" i="14" s="1"/>
  <c r="AA458" i="14" s="1"/>
  <c r="AA459" i="14" s="1"/>
  <c r="AA460" i="14" s="1"/>
  <c r="AA461" i="14" s="1"/>
  <c r="AA462" i="14" s="1"/>
  <c r="AA463" i="14" s="1"/>
  <c r="AA464" i="14" s="1"/>
  <c r="AA465" i="14" s="1"/>
  <c r="AA466" i="14" s="1"/>
  <c r="AA467" i="14" s="1"/>
  <c r="AA468" i="14" s="1"/>
  <c r="AA469" i="14" s="1"/>
  <c r="AA470" i="14" s="1"/>
  <c r="AA471" i="14" s="1"/>
  <c r="AA472" i="14" s="1"/>
  <c r="AA473" i="14" s="1"/>
  <c r="AA474" i="14" s="1"/>
  <c r="AA475" i="14" s="1"/>
  <c r="AA476" i="14" s="1"/>
  <c r="AA477" i="14" s="1"/>
  <c r="AA478" i="14" s="1"/>
  <c r="AA479" i="14" s="1"/>
  <c r="AA480" i="14" s="1"/>
  <c r="AA481" i="14" s="1"/>
  <c r="AA482" i="14" s="1"/>
  <c r="AA483" i="14" s="1"/>
  <c r="AA484" i="14" s="1"/>
  <c r="AA485" i="14" s="1"/>
  <c r="AA486" i="14" s="1"/>
  <c r="AA487" i="14" s="1"/>
  <c r="AA488" i="14" s="1"/>
  <c r="AA489" i="14" s="1"/>
  <c r="AA490" i="14" s="1"/>
  <c r="AA491" i="14" s="1"/>
  <c r="AA492" i="14" s="1"/>
  <c r="AA493" i="14" s="1"/>
  <c r="AA494" i="14" s="1"/>
  <c r="AA495" i="14" s="1"/>
  <c r="AA496" i="14" s="1"/>
  <c r="AA497" i="14" s="1"/>
  <c r="AA498" i="14" s="1"/>
  <c r="AA499" i="14" s="1"/>
  <c r="AA500" i="14" s="1"/>
  <c r="AA501" i="14" s="1"/>
  <c r="AA502" i="14" s="1"/>
  <c r="AA503" i="14" s="1"/>
  <c r="AA504" i="14" s="1"/>
  <c r="AA505" i="14" s="1"/>
  <c r="AA506" i="14" s="1"/>
  <c r="AA507" i="14" s="1"/>
  <c r="AA508" i="14" s="1"/>
  <c r="AA509" i="14" s="1"/>
  <c r="AA510" i="14" s="1"/>
  <c r="AA511" i="14" s="1"/>
  <c r="AA512" i="14" s="1"/>
  <c r="AA513" i="14" s="1"/>
  <c r="AA514" i="14" s="1"/>
  <c r="AA515" i="14" s="1"/>
  <c r="AA516" i="14" s="1"/>
  <c r="AA517" i="14" s="1"/>
  <c r="AA518" i="14" s="1"/>
  <c r="AA519" i="14" s="1"/>
  <c r="AA520" i="14" s="1"/>
  <c r="AA521" i="14" s="1"/>
  <c r="AA522" i="14" s="1"/>
  <c r="AA523" i="14" s="1"/>
  <c r="AA524" i="14" s="1"/>
  <c r="AA525" i="14" s="1"/>
  <c r="AA526" i="14" s="1"/>
  <c r="AA527" i="14" s="1"/>
  <c r="AA528" i="14" s="1"/>
  <c r="AA529" i="14" s="1"/>
  <c r="AA530" i="14" s="1"/>
  <c r="AA531" i="14" s="1"/>
  <c r="AA532" i="14" s="1"/>
  <c r="AA533" i="14" s="1"/>
  <c r="AA534" i="14" s="1"/>
  <c r="AA535" i="14" s="1"/>
  <c r="AA536" i="14" s="1"/>
  <c r="AA537" i="14" s="1"/>
  <c r="AA538" i="14" s="1"/>
  <c r="AA539" i="14" s="1"/>
  <c r="AB5" i="14"/>
  <c r="AE5" i="14" s="1"/>
  <c r="AC3" i="14" l="1"/>
  <c r="AB3" i="14"/>
  <c r="E5" i="15"/>
  <c r="E6" i="15"/>
  <c r="E7" i="15"/>
  <c r="E8" i="15"/>
  <c r="E9" i="15"/>
  <c r="E10" i="15"/>
  <c r="E11" i="15"/>
  <c r="E12" i="15"/>
  <c r="E13" i="15"/>
  <c r="E14" i="15"/>
  <c r="E15" i="15"/>
  <c r="E16" i="15"/>
  <c r="E17" i="15"/>
  <c r="E18" i="15"/>
  <c r="E19" i="15"/>
  <c r="E20" i="15"/>
  <c r="E21" i="15"/>
  <c r="E22" i="15"/>
  <c r="E23" i="15"/>
  <c r="E24" i="15"/>
  <c r="E25" i="15"/>
  <c r="E26" i="15"/>
  <c r="E27" i="15"/>
  <c r="E28" i="15"/>
  <c r="E29" i="15"/>
  <c r="E30" i="15"/>
  <c r="E31" i="15"/>
  <c r="E32" i="15"/>
  <c r="E33" i="15"/>
  <c r="E34" i="15"/>
  <c r="E35" i="15"/>
  <c r="E36" i="15"/>
  <c r="E37" i="15"/>
  <c r="E38" i="15"/>
  <c r="E39" i="15"/>
  <c r="E40" i="15"/>
  <c r="E41" i="15"/>
  <c r="E42" i="15"/>
  <c r="E43" i="15"/>
  <c r="E44" i="15"/>
  <c r="E45" i="15"/>
  <c r="E46" i="15"/>
  <c r="E47" i="15"/>
  <c r="E48" i="15"/>
  <c r="E49" i="15"/>
  <c r="E50" i="15"/>
  <c r="E51" i="15"/>
  <c r="E52" i="15"/>
  <c r="E53" i="15"/>
  <c r="E54" i="15"/>
  <c r="E55" i="15"/>
  <c r="E56" i="15"/>
  <c r="E57" i="15"/>
  <c r="E58" i="15"/>
  <c r="E59" i="15"/>
  <c r="E60" i="15"/>
  <c r="E61" i="15"/>
  <c r="E62" i="15"/>
  <c r="E63" i="15"/>
  <c r="E64" i="15"/>
  <c r="E65" i="15"/>
  <c r="E66" i="15"/>
  <c r="E67" i="15"/>
  <c r="E68" i="15"/>
  <c r="E69" i="15"/>
  <c r="E70" i="15"/>
  <c r="E71" i="15"/>
  <c r="E72" i="15"/>
  <c r="E73" i="15"/>
  <c r="E74" i="15"/>
  <c r="E75" i="15"/>
  <c r="E76" i="15"/>
  <c r="E77" i="15"/>
  <c r="E78" i="15"/>
  <c r="E79" i="15"/>
  <c r="E80" i="15"/>
  <c r="E81" i="15"/>
  <c r="E82" i="15"/>
  <c r="E83" i="15"/>
  <c r="E84" i="15"/>
  <c r="E85" i="15"/>
  <c r="E86" i="15"/>
  <c r="E87" i="15"/>
  <c r="E88" i="15"/>
  <c r="E89" i="15"/>
  <c r="E90" i="15"/>
  <c r="E91" i="15"/>
  <c r="E92" i="15"/>
  <c r="E93" i="15"/>
  <c r="E94" i="15"/>
  <c r="E95" i="15"/>
  <c r="E96" i="15"/>
  <c r="E97" i="15"/>
  <c r="E98" i="15"/>
  <c r="E99" i="15"/>
  <c r="E100" i="15"/>
  <c r="E101" i="15"/>
  <c r="E102" i="15"/>
  <c r="E103" i="15"/>
  <c r="E104" i="15"/>
  <c r="E105" i="15"/>
  <c r="E106" i="15"/>
  <c r="E107" i="15"/>
  <c r="E108" i="15"/>
  <c r="E109" i="15"/>
  <c r="E110" i="15"/>
  <c r="E111" i="15"/>
  <c r="E112" i="15"/>
  <c r="E113" i="15"/>
  <c r="E114" i="15"/>
  <c r="E115" i="15"/>
  <c r="E116" i="15"/>
  <c r="E117" i="15"/>
  <c r="E118" i="15"/>
  <c r="E119" i="15"/>
  <c r="E120" i="15"/>
  <c r="E121" i="15"/>
  <c r="E122" i="15"/>
  <c r="E123" i="15"/>
  <c r="E124" i="15"/>
  <c r="E125" i="15"/>
  <c r="E126" i="15"/>
  <c r="E127" i="15"/>
  <c r="E128" i="15"/>
  <c r="E129" i="15"/>
  <c r="E130" i="15"/>
  <c r="E131" i="15"/>
  <c r="E132" i="15"/>
  <c r="E133" i="15"/>
  <c r="E134" i="15"/>
  <c r="E135" i="15"/>
  <c r="E136" i="15"/>
  <c r="E137" i="15"/>
  <c r="E138" i="15"/>
  <c r="E139" i="15"/>
  <c r="E140" i="15"/>
  <c r="E141" i="15"/>
  <c r="E142" i="15"/>
  <c r="E143" i="15"/>
  <c r="E144" i="15"/>
  <c r="E145" i="15"/>
  <c r="E146" i="15"/>
  <c r="E147" i="15"/>
  <c r="E148" i="15"/>
  <c r="E149" i="15"/>
  <c r="E150" i="15"/>
  <c r="E151" i="15"/>
  <c r="E152" i="15"/>
  <c r="E153" i="15"/>
  <c r="E154" i="15"/>
  <c r="E155" i="15"/>
  <c r="E156" i="15"/>
  <c r="E157" i="15"/>
  <c r="E158" i="15"/>
  <c r="E159" i="15"/>
  <c r="E160" i="15"/>
  <c r="E161" i="15"/>
  <c r="E162" i="15"/>
  <c r="E163" i="15"/>
  <c r="E164" i="15"/>
  <c r="E165" i="15"/>
  <c r="E166" i="15"/>
  <c r="E167" i="15"/>
  <c r="E168" i="15"/>
  <c r="E169" i="15"/>
  <c r="E170" i="15"/>
  <c r="E171" i="15"/>
  <c r="E172" i="15"/>
  <c r="E173" i="15"/>
  <c r="E174" i="15"/>
  <c r="E175" i="15"/>
  <c r="E176" i="15"/>
  <c r="E177" i="15"/>
  <c r="E178" i="15"/>
  <c r="E179" i="15"/>
  <c r="E180" i="15"/>
  <c r="E181" i="15"/>
  <c r="E182" i="15"/>
  <c r="E183" i="15"/>
  <c r="E184" i="15"/>
  <c r="E185" i="15"/>
  <c r="E186" i="15"/>
  <c r="E187" i="15"/>
  <c r="E188" i="15"/>
  <c r="E189" i="15"/>
  <c r="E190" i="15"/>
  <c r="E191" i="15"/>
  <c r="E192" i="15"/>
  <c r="E193" i="15"/>
  <c r="E194" i="15"/>
  <c r="E195" i="15"/>
  <c r="E196" i="15"/>
  <c r="E197" i="15"/>
  <c r="E198" i="15"/>
  <c r="E199" i="15"/>
  <c r="E200" i="15"/>
  <c r="E201" i="15"/>
  <c r="E202" i="15"/>
  <c r="E203" i="15"/>
  <c r="E204" i="15"/>
  <c r="E205" i="15"/>
  <c r="E206" i="15"/>
  <c r="E207" i="15"/>
  <c r="E208" i="15"/>
  <c r="E209" i="15"/>
  <c r="E210" i="15"/>
  <c r="E211" i="15"/>
  <c r="E212" i="15"/>
  <c r="E213" i="15"/>
  <c r="E214" i="15"/>
  <c r="E215" i="15"/>
  <c r="E216" i="15"/>
  <c r="E217" i="15"/>
  <c r="E218" i="15"/>
  <c r="E219" i="15"/>
  <c r="E220" i="15"/>
  <c r="E221" i="15"/>
  <c r="E222" i="15"/>
  <c r="E223" i="15"/>
  <c r="E224" i="15"/>
  <c r="E225" i="15"/>
  <c r="E226" i="15"/>
  <c r="E227" i="15"/>
  <c r="E228" i="15"/>
  <c r="E229" i="15"/>
  <c r="E230" i="15"/>
  <c r="E231" i="15"/>
  <c r="E232" i="15"/>
  <c r="E233" i="15"/>
  <c r="E234" i="15"/>
  <c r="E235" i="15"/>
  <c r="E236" i="15"/>
  <c r="E237" i="15"/>
  <c r="E238" i="15"/>
  <c r="E239" i="15"/>
  <c r="E240" i="15"/>
  <c r="E241" i="15"/>
  <c r="E242" i="15"/>
  <c r="E243" i="15"/>
  <c r="E244" i="15"/>
  <c r="E245" i="15"/>
  <c r="E246" i="15"/>
  <c r="E247" i="15"/>
  <c r="E248" i="15"/>
  <c r="E249" i="15"/>
  <c r="E250" i="15"/>
  <c r="E251" i="15"/>
  <c r="E252" i="15"/>
  <c r="E253" i="15"/>
  <c r="E254" i="15"/>
  <c r="E255" i="15"/>
  <c r="E256" i="15"/>
  <c r="E257" i="15"/>
  <c r="E258" i="15"/>
  <c r="E259" i="15"/>
  <c r="E260" i="15"/>
  <c r="E261" i="15"/>
  <c r="E262" i="15"/>
  <c r="E263" i="15"/>
  <c r="E264" i="15"/>
  <c r="E265" i="15"/>
  <c r="E266" i="15"/>
  <c r="E267" i="15"/>
  <c r="E268" i="15"/>
  <c r="E269" i="15"/>
  <c r="E270" i="15"/>
  <c r="E271" i="15"/>
  <c r="E272" i="15"/>
  <c r="E273" i="15"/>
  <c r="E274" i="15"/>
  <c r="E275" i="15"/>
  <c r="E276" i="15"/>
  <c r="E277" i="15"/>
  <c r="E278" i="15"/>
  <c r="E279" i="15"/>
  <c r="E280" i="15"/>
  <c r="E281" i="15"/>
  <c r="E282" i="15"/>
  <c r="E283" i="15"/>
  <c r="E284" i="15"/>
  <c r="E285" i="15"/>
  <c r="E286" i="15"/>
  <c r="E287" i="15"/>
  <c r="E288" i="15"/>
  <c r="E289" i="15"/>
  <c r="E290" i="15"/>
  <c r="E291" i="15"/>
  <c r="E292" i="15"/>
  <c r="E293" i="15"/>
  <c r="E294" i="15"/>
  <c r="E295" i="15"/>
  <c r="E296" i="15"/>
  <c r="E297" i="15"/>
  <c r="E298" i="15"/>
  <c r="E299" i="15"/>
  <c r="E300" i="15"/>
  <c r="E301" i="15"/>
  <c r="E302" i="15"/>
  <c r="E303" i="15"/>
  <c r="E304" i="15"/>
  <c r="E305" i="15"/>
  <c r="E306" i="15"/>
  <c r="E307" i="15"/>
  <c r="E308" i="15"/>
  <c r="E309" i="15"/>
  <c r="E310" i="15"/>
  <c r="E311" i="15"/>
  <c r="E312" i="15"/>
  <c r="E313" i="15"/>
  <c r="E314" i="15"/>
  <c r="E315" i="15"/>
  <c r="E316" i="15"/>
  <c r="E317" i="15"/>
  <c r="E318" i="15"/>
  <c r="E319" i="15"/>
  <c r="E320" i="15"/>
  <c r="E321" i="15"/>
  <c r="E322" i="15"/>
  <c r="E323" i="15"/>
  <c r="E324" i="15"/>
  <c r="E325" i="15"/>
  <c r="E326" i="15"/>
  <c r="E327" i="15"/>
  <c r="E328" i="15"/>
  <c r="E329" i="15"/>
  <c r="E330" i="15"/>
  <c r="E331" i="15"/>
  <c r="E332" i="15"/>
  <c r="E333" i="15"/>
  <c r="E334" i="15"/>
  <c r="E335" i="15"/>
  <c r="E336" i="15"/>
  <c r="E337" i="15"/>
  <c r="E338" i="15"/>
  <c r="E339" i="15"/>
  <c r="E340" i="15"/>
  <c r="E341" i="15"/>
  <c r="E342" i="15"/>
  <c r="E343" i="15"/>
  <c r="E344" i="15"/>
  <c r="E345" i="15"/>
  <c r="E346" i="15"/>
  <c r="E347" i="15"/>
  <c r="E348" i="15"/>
  <c r="E349" i="15"/>
  <c r="E350" i="15"/>
  <c r="E351" i="15"/>
  <c r="E352" i="15"/>
  <c r="E353" i="15"/>
  <c r="E354" i="15"/>
  <c r="E355" i="15"/>
  <c r="E356" i="15"/>
  <c r="E357" i="15"/>
  <c r="E358" i="15"/>
  <c r="E359" i="15"/>
  <c r="E360" i="15"/>
  <c r="E361" i="15"/>
  <c r="E362" i="15"/>
  <c r="E363" i="15"/>
  <c r="E364" i="15"/>
  <c r="E365" i="15"/>
  <c r="E366" i="15"/>
  <c r="E367" i="15"/>
  <c r="E368" i="15"/>
  <c r="E369" i="15"/>
  <c r="E370" i="15"/>
  <c r="E371" i="15"/>
  <c r="E372" i="15"/>
  <c r="E373" i="15"/>
  <c r="E374" i="15"/>
  <c r="E375" i="15"/>
  <c r="E376" i="15"/>
  <c r="E377" i="15"/>
  <c r="E378" i="15"/>
  <c r="E379" i="15"/>
  <c r="E380" i="15"/>
  <c r="E381" i="15"/>
  <c r="E382" i="15"/>
  <c r="E383" i="15"/>
  <c r="E384" i="15"/>
  <c r="E385" i="15"/>
  <c r="E386" i="15"/>
  <c r="E387" i="15"/>
  <c r="E388" i="15"/>
  <c r="E389" i="15"/>
  <c r="E390" i="15"/>
  <c r="E391" i="15"/>
  <c r="E392" i="15"/>
  <c r="E393" i="15"/>
  <c r="E394" i="15"/>
  <c r="E395" i="15"/>
  <c r="E396" i="15"/>
  <c r="E397" i="15"/>
  <c r="E398" i="15"/>
  <c r="E399" i="15"/>
  <c r="E400" i="15"/>
  <c r="E401" i="15"/>
  <c r="E402" i="15"/>
  <c r="E403" i="15"/>
  <c r="E404" i="15"/>
  <c r="E405" i="15"/>
  <c r="E406" i="15"/>
  <c r="E407" i="15"/>
  <c r="E408" i="15"/>
  <c r="E409" i="15"/>
  <c r="E410" i="15"/>
  <c r="E411" i="15"/>
  <c r="E412" i="15"/>
  <c r="E413" i="15"/>
  <c r="E414" i="15"/>
  <c r="E415" i="15"/>
  <c r="E416" i="15"/>
  <c r="E417" i="15"/>
  <c r="E418" i="15"/>
  <c r="E419" i="15"/>
  <c r="E420" i="15"/>
  <c r="E421" i="15"/>
  <c r="E422" i="15"/>
  <c r="E423" i="15"/>
  <c r="E424" i="15"/>
  <c r="E425" i="15"/>
  <c r="E426" i="15"/>
  <c r="E427" i="15"/>
  <c r="E428" i="15"/>
  <c r="E429" i="15"/>
  <c r="E430" i="15"/>
  <c r="E431" i="15"/>
  <c r="E432" i="15"/>
  <c r="E433" i="15"/>
  <c r="E434" i="15"/>
  <c r="E435" i="15"/>
  <c r="E436" i="15"/>
  <c r="E437" i="15"/>
  <c r="E438" i="15"/>
  <c r="E439" i="15"/>
  <c r="E440" i="15"/>
  <c r="E441" i="15"/>
  <c r="E442" i="15"/>
  <c r="E443" i="15"/>
  <c r="E444" i="15"/>
  <c r="E445" i="15"/>
  <c r="E446" i="15"/>
  <c r="E447" i="15"/>
  <c r="E448" i="15"/>
  <c r="E449" i="15"/>
  <c r="E450" i="15"/>
  <c r="E451" i="15"/>
  <c r="E452" i="15"/>
  <c r="E453" i="15"/>
  <c r="E454" i="15"/>
  <c r="E455" i="15"/>
  <c r="E456" i="15"/>
  <c r="E457" i="15"/>
  <c r="E458" i="15"/>
  <c r="E459" i="15"/>
  <c r="E460" i="15"/>
  <c r="E461" i="15"/>
  <c r="E462" i="15"/>
  <c r="E463" i="15"/>
  <c r="E464" i="15"/>
  <c r="E465" i="15"/>
  <c r="E466" i="15"/>
  <c r="E467" i="15"/>
  <c r="E468" i="15"/>
  <c r="E469" i="15"/>
  <c r="E470" i="15"/>
  <c r="E471" i="15"/>
  <c r="E472" i="15"/>
  <c r="E473" i="15"/>
  <c r="E474" i="15"/>
  <c r="E475" i="15"/>
  <c r="E476" i="15"/>
  <c r="E477" i="15"/>
  <c r="E478" i="15"/>
  <c r="E479" i="15"/>
  <c r="E480" i="15"/>
  <c r="E481" i="15"/>
  <c r="E482" i="15"/>
  <c r="E483" i="15"/>
  <c r="E484" i="15"/>
  <c r="E485" i="15"/>
  <c r="E486" i="15"/>
  <c r="E487" i="15"/>
  <c r="E488" i="15"/>
  <c r="E489" i="15"/>
  <c r="E490" i="15"/>
  <c r="E491" i="15"/>
  <c r="E492" i="15"/>
  <c r="E493" i="15"/>
  <c r="E494" i="15"/>
  <c r="E495" i="15"/>
  <c r="E496" i="15"/>
  <c r="E497" i="15"/>
  <c r="E498" i="15"/>
  <c r="E499" i="15"/>
  <c r="E500" i="15"/>
  <c r="E501" i="15"/>
  <c r="E502" i="15"/>
  <c r="E503" i="15"/>
  <c r="E504" i="15"/>
  <c r="E505" i="15"/>
  <c r="E506" i="15"/>
  <c r="E507" i="15"/>
  <c r="E508" i="15"/>
  <c r="E509" i="15"/>
  <c r="E510" i="15"/>
  <c r="E511" i="15"/>
  <c r="E512" i="15"/>
  <c r="E513" i="15"/>
  <c r="E514" i="15"/>
  <c r="E515" i="15"/>
  <c r="E516" i="15"/>
  <c r="E517" i="15"/>
  <c r="E518" i="15"/>
  <c r="E519" i="15"/>
  <c r="E520" i="15"/>
  <c r="E521" i="15"/>
  <c r="E522" i="15"/>
  <c r="E523" i="15"/>
  <c r="E524" i="15"/>
  <c r="E525" i="15"/>
  <c r="E526" i="15"/>
  <c r="E527" i="15"/>
  <c r="E528" i="15"/>
  <c r="E529" i="15"/>
  <c r="E530" i="15"/>
  <c r="E531" i="15"/>
  <c r="E532" i="15"/>
  <c r="E533" i="15"/>
  <c r="E534" i="15"/>
  <c r="E4" i="15"/>
  <c r="D5" i="15"/>
  <c r="D6" i="15"/>
  <c r="D7" i="15"/>
  <c r="D8" i="15"/>
  <c r="D9" i="15"/>
  <c r="D10" i="15"/>
  <c r="D11" i="15"/>
  <c r="D12" i="15"/>
  <c r="D13" i="15"/>
  <c r="D14" i="15"/>
  <c r="D15" i="15"/>
  <c r="D16" i="15"/>
  <c r="D17" i="15"/>
  <c r="D18" i="15"/>
  <c r="D19" i="15"/>
  <c r="D20" i="15"/>
  <c r="D21" i="15"/>
  <c r="D22" i="15"/>
  <c r="D23" i="15"/>
  <c r="D24" i="15"/>
  <c r="D25" i="15"/>
  <c r="D26" i="15"/>
  <c r="D27" i="15"/>
  <c r="D28" i="15"/>
  <c r="D29" i="15"/>
  <c r="D30" i="15"/>
  <c r="D31" i="15"/>
  <c r="D32" i="15"/>
  <c r="D33" i="15"/>
  <c r="D34" i="15"/>
  <c r="D35" i="15"/>
  <c r="D36" i="15"/>
  <c r="D37" i="15"/>
  <c r="D38" i="15"/>
  <c r="D39" i="15"/>
  <c r="D40" i="15"/>
  <c r="D41" i="15"/>
  <c r="D42" i="15"/>
  <c r="D43" i="15"/>
  <c r="D44" i="15"/>
  <c r="D45" i="15"/>
  <c r="D46" i="15"/>
  <c r="D47" i="15"/>
  <c r="D48" i="15"/>
  <c r="D49" i="15"/>
  <c r="D50" i="15"/>
  <c r="D51" i="15"/>
  <c r="D52" i="15"/>
  <c r="D53" i="15"/>
  <c r="D54" i="15"/>
  <c r="D55" i="15"/>
  <c r="D56" i="15"/>
  <c r="D57" i="15"/>
  <c r="D58" i="15"/>
  <c r="D59" i="15"/>
  <c r="D60" i="15"/>
  <c r="D61" i="15"/>
  <c r="D62" i="15"/>
  <c r="D63" i="15"/>
  <c r="D64" i="15"/>
  <c r="D65" i="15"/>
  <c r="D66" i="15"/>
  <c r="D67" i="15"/>
  <c r="D68" i="15"/>
  <c r="D69" i="15"/>
  <c r="D70" i="15"/>
  <c r="D71" i="15"/>
  <c r="D72" i="15"/>
  <c r="D73" i="15"/>
  <c r="D74" i="15"/>
  <c r="D75" i="15"/>
  <c r="D76" i="15"/>
  <c r="D77" i="15"/>
  <c r="D78" i="15"/>
  <c r="D79" i="15"/>
  <c r="D80" i="15"/>
  <c r="D81" i="15"/>
  <c r="D82" i="15"/>
  <c r="D83" i="15"/>
  <c r="D84" i="15"/>
  <c r="D85" i="15"/>
  <c r="D86" i="15"/>
  <c r="D87" i="15"/>
  <c r="D88" i="15"/>
  <c r="D89" i="15"/>
  <c r="D90" i="15"/>
  <c r="D91" i="15"/>
  <c r="D92" i="15"/>
  <c r="D93" i="15"/>
  <c r="D94" i="15"/>
  <c r="D95" i="15"/>
  <c r="D96" i="15"/>
  <c r="D97" i="15"/>
  <c r="D98" i="15"/>
  <c r="D99" i="15"/>
  <c r="D100" i="15"/>
  <c r="D101" i="15"/>
  <c r="D102" i="15"/>
  <c r="D103" i="15"/>
  <c r="D104" i="15"/>
  <c r="D105" i="15"/>
  <c r="D106" i="15"/>
  <c r="D107" i="15"/>
  <c r="D108" i="15"/>
  <c r="D109" i="15"/>
  <c r="D110" i="15"/>
  <c r="D111" i="15"/>
  <c r="D112" i="15"/>
  <c r="D113" i="15"/>
  <c r="D114" i="15"/>
  <c r="D115" i="15"/>
  <c r="D116" i="15"/>
  <c r="D117" i="15"/>
  <c r="D118" i="15"/>
  <c r="D119" i="15"/>
  <c r="D120" i="15"/>
  <c r="D121" i="15"/>
  <c r="D122" i="15"/>
  <c r="D123" i="15"/>
  <c r="D124" i="15"/>
  <c r="D125" i="15"/>
  <c r="D126" i="15"/>
  <c r="D127" i="15"/>
  <c r="D128" i="15"/>
  <c r="D129" i="15"/>
  <c r="D130" i="15"/>
  <c r="D131" i="15"/>
  <c r="D132" i="15"/>
  <c r="D133" i="15"/>
  <c r="D134" i="15"/>
  <c r="D135" i="15"/>
  <c r="D136" i="15"/>
  <c r="D137" i="15"/>
  <c r="D138" i="15"/>
  <c r="D139" i="15"/>
  <c r="D140" i="15"/>
  <c r="D141" i="15"/>
  <c r="D142" i="15"/>
  <c r="D143" i="15"/>
  <c r="D144" i="15"/>
  <c r="D145" i="15"/>
  <c r="D146" i="15"/>
  <c r="D147" i="15"/>
  <c r="D148" i="15"/>
  <c r="D149" i="15"/>
  <c r="D150" i="15"/>
  <c r="D151" i="15"/>
  <c r="D152" i="15"/>
  <c r="D153" i="15"/>
  <c r="D154" i="15"/>
  <c r="D155" i="15"/>
  <c r="D156" i="15"/>
  <c r="D157" i="15"/>
  <c r="D158" i="15"/>
  <c r="D159" i="15"/>
  <c r="D160" i="15"/>
  <c r="D161" i="15"/>
  <c r="D162" i="15"/>
  <c r="D163" i="15"/>
  <c r="D164" i="15"/>
  <c r="D165" i="15"/>
  <c r="D166" i="15"/>
  <c r="D167" i="15"/>
  <c r="D168" i="15"/>
  <c r="D169" i="15"/>
  <c r="D170" i="15"/>
  <c r="D171" i="15"/>
  <c r="D172" i="15"/>
  <c r="D173" i="15"/>
  <c r="D174" i="15"/>
  <c r="D175" i="15"/>
  <c r="D176" i="15"/>
  <c r="D177" i="15"/>
  <c r="D178" i="15"/>
  <c r="D179" i="15"/>
  <c r="D180" i="15"/>
  <c r="D181" i="15"/>
  <c r="D182" i="15"/>
  <c r="D183" i="15"/>
  <c r="D184" i="15"/>
  <c r="D185" i="15"/>
  <c r="D186" i="15"/>
  <c r="D187" i="15"/>
  <c r="D188" i="15"/>
  <c r="D189" i="15"/>
  <c r="D190" i="15"/>
  <c r="D191" i="15"/>
  <c r="D192" i="15"/>
  <c r="D193" i="15"/>
  <c r="D194" i="15"/>
  <c r="D195" i="15"/>
  <c r="D196" i="15"/>
  <c r="D197" i="15"/>
  <c r="D198" i="15"/>
  <c r="D199" i="15"/>
  <c r="D200" i="15"/>
  <c r="D201" i="15"/>
  <c r="D202" i="15"/>
  <c r="D203" i="15"/>
  <c r="D204" i="15"/>
  <c r="D205" i="15"/>
  <c r="D206" i="15"/>
  <c r="D207" i="15"/>
  <c r="D208" i="15"/>
  <c r="D209" i="15"/>
  <c r="D210" i="15"/>
  <c r="D211" i="15"/>
  <c r="D212" i="15"/>
  <c r="D213" i="15"/>
  <c r="D214" i="15"/>
  <c r="D215" i="15"/>
  <c r="D216" i="15"/>
  <c r="D217" i="15"/>
  <c r="D218" i="15"/>
  <c r="D219" i="15"/>
  <c r="D220" i="15"/>
  <c r="D221" i="15"/>
  <c r="D222" i="15"/>
  <c r="D223" i="15"/>
  <c r="D224" i="15"/>
  <c r="D225" i="15"/>
  <c r="D226" i="15"/>
  <c r="D227" i="15"/>
  <c r="D228" i="15"/>
  <c r="D229" i="15"/>
  <c r="D230" i="15"/>
  <c r="D231" i="15"/>
  <c r="D232" i="15"/>
  <c r="D233" i="15"/>
  <c r="D234" i="15"/>
  <c r="D235" i="15"/>
  <c r="D236" i="15"/>
  <c r="D237" i="15"/>
  <c r="D238" i="15"/>
  <c r="D239" i="15"/>
  <c r="D240" i="15"/>
  <c r="D241" i="15"/>
  <c r="D242" i="15"/>
  <c r="D243" i="15"/>
  <c r="D244" i="15"/>
  <c r="D245" i="15"/>
  <c r="D246" i="15"/>
  <c r="D247" i="15"/>
  <c r="D248" i="15"/>
  <c r="D249" i="15"/>
  <c r="D250" i="15"/>
  <c r="D251" i="15"/>
  <c r="D252" i="15"/>
  <c r="D253" i="15"/>
  <c r="D254" i="15"/>
  <c r="D255" i="15"/>
  <c r="D256" i="15"/>
  <c r="D257" i="15"/>
  <c r="D258" i="15"/>
  <c r="D259" i="15"/>
  <c r="D260" i="15"/>
  <c r="D261" i="15"/>
  <c r="D262" i="15"/>
  <c r="D263" i="15"/>
  <c r="D264" i="15"/>
  <c r="D265" i="15"/>
  <c r="D266" i="15"/>
  <c r="D267" i="15"/>
  <c r="D268" i="15"/>
  <c r="D269" i="15"/>
  <c r="D270" i="15"/>
  <c r="D271" i="15"/>
  <c r="D272" i="15"/>
  <c r="D273" i="15"/>
  <c r="D274" i="15"/>
  <c r="D275" i="15"/>
  <c r="D276" i="15"/>
  <c r="D277" i="15"/>
  <c r="D278" i="15"/>
  <c r="D279" i="15"/>
  <c r="D280" i="15"/>
  <c r="D281" i="15"/>
  <c r="D282" i="15"/>
  <c r="D283" i="15"/>
  <c r="D284" i="15"/>
  <c r="D285" i="15"/>
  <c r="D286" i="15"/>
  <c r="D287" i="15"/>
  <c r="D288" i="15"/>
  <c r="D289" i="15"/>
  <c r="D290" i="15"/>
  <c r="D291" i="15"/>
  <c r="D292" i="15"/>
  <c r="D293" i="15"/>
  <c r="D294" i="15"/>
  <c r="D295" i="15"/>
  <c r="D296" i="15"/>
  <c r="D297" i="15"/>
  <c r="D298" i="15"/>
  <c r="D299" i="15"/>
  <c r="D300" i="15"/>
  <c r="D301" i="15"/>
  <c r="D302" i="15"/>
  <c r="D303" i="15"/>
  <c r="D304" i="15"/>
  <c r="D305" i="15"/>
  <c r="D306" i="15"/>
  <c r="D307" i="15"/>
  <c r="D308" i="15"/>
  <c r="D309" i="15"/>
  <c r="D310" i="15"/>
  <c r="D311" i="15"/>
  <c r="D312" i="15"/>
  <c r="D313" i="15"/>
  <c r="D314" i="15"/>
  <c r="D315" i="15"/>
  <c r="D316" i="15"/>
  <c r="D317" i="15"/>
  <c r="D318" i="15"/>
  <c r="D319" i="15"/>
  <c r="D320" i="15"/>
  <c r="D321" i="15"/>
  <c r="D322" i="15"/>
  <c r="D323" i="15"/>
  <c r="D324" i="15"/>
  <c r="D325" i="15"/>
  <c r="D326" i="15"/>
  <c r="D327" i="15"/>
  <c r="D328" i="15"/>
  <c r="D329" i="15"/>
  <c r="D330" i="15"/>
  <c r="D331" i="15"/>
  <c r="D332" i="15"/>
  <c r="D333" i="15"/>
  <c r="D334" i="15"/>
  <c r="D335" i="15"/>
  <c r="D336" i="15"/>
  <c r="D337" i="15"/>
  <c r="D338" i="15"/>
  <c r="D339" i="15"/>
  <c r="D340" i="15"/>
  <c r="D341" i="15"/>
  <c r="D342" i="15"/>
  <c r="D343" i="15"/>
  <c r="D344" i="15"/>
  <c r="D345" i="15"/>
  <c r="D346" i="15"/>
  <c r="D347" i="15"/>
  <c r="D348" i="15"/>
  <c r="D349" i="15"/>
  <c r="D350" i="15"/>
  <c r="D351" i="15"/>
  <c r="D352" i="15"/>
  <c r="D353" i="15"/>
  <c r="D354" i="15"/>
  <c r="D355" i="15"/>
  <c r="D356" i="15"/>
  <c r="D357" i="15"/>
  <c r="D358" i="15"/>
  <c r="D359" i="15"/>
  <c r="D360" i="15"/>
  <c r="D361" i="15"/>
  <c r="D362" i="15"/>
  <c r="D363" i="15"/>
  <c r="D364" i="15"/>
  <c r="D365" i="15"/>
  <c r="D366" i="15"/>
  <c r="D367" i="15"/>
  <c r="D368" i="15"/>
  <c r="D369" i="15"/>
  <c r="D370" i="15"/>
  <c r="D371" i="15"/>
  <c r="D372" i="15"/>
  <c r="D373" i="15"/>
  <c r="D374" i="15"/>
  <c r="D375" i="15"/>
  <c r="D376" i="15"/>
  <c r="D377" i="15"/>
  <c r="D378" i="15"/>
  <c r="D379" i="15"/>
  <c r="D380" i="15"/>
  <c r="D381" i="15"/>
  <c r="D382" i="15"/>
  <c r="D383" i="15"/>
  <c r="D384" i="15"/>
  <c r="D385" i="15"/>
  <c r="D386" i="15"/>
  <c r="D387" i="15"/>
  <c r="D388" i="15"/>
  <c r="D389" i="15"/>
  <c r="D390" i="15"/>
  <c r="D391" i="15"/>
  <c r="D392" i="15"/>
  <c r="D393" i="15"/>
  <c r="D394" i="15"/>
  <c r="D395" i="15"/>
  <c r="D396" i="15"/>
  <c r="D397" i="15"/>
  <c r="D398" i="15"/>
  <c r="D399" i="15"/>
  <c r="D400" i="15"/>
  <c r="D401" i="15"/>
  <c r="D402" i="15"/>
  <c r="D403" i="15"/>
  <c r="D404" i="15"/>
  <c r="D405" i="15"/>
  <c r="D406" i="15"/>
  <c r="D407" i="15"/>
  <c r="D408" i="15"/>
  <c r="D409" i="15"/>
  <c r="D410" i="15"/>
  <c r="D411" i="15"/>
  <c r="D412" i="15"/>
  <c r="D413" i="15"/>
  <c r="D414" i="15"/>
  <c r="D415" i="15"/>
  <c r="D416" i="15"/>
  <c r="D417" i="15"/>
  <c r="D418" i="15"/>
  <c r="D419" i="15"/>
  <c r="D420" i="15"/>
  <c r="D421" i="15"/>
  <c r="D422" i="15"/>
  <c r="D423" i="15"/>
  <c r="D424" i="15"/>
  <c r="D425" i="15"/>
  <c r="D426" i="15"/>
  <c r="D427" i="15"/>
  <c r="D428" i="15"/>
  <c r="D429" i="15"/>
  <c r="D430" i="15"/>
  <c r="D431" i="15"/>
  <c r="D432" i="15"/>
  <c r="D433" i="15"/>
  <c r="D434" i="15"/>
  <c r="D435" i="15"/>
  <c r="D436" i="15"/>
  <c r="D437" i="15"/>
  <c r="D438" i="15"/>
  <c r="D439" i="15"/>
  <c r="D440" i="15"/>
  <c r="D441" i="15"/>
  <c r="D442" i="15"/>
  <c r="D443" i="15"/>
  <c r="D444" i="15"/>
  <c r="D445" i="15"/>
  <c r="D446" i="15"/>
  <c r="D447" i="15"/>
  <c r="D448" i="15"/>
  <c r="D449" i="15"/>
  <c r="D450" i="15"/>
  <c r="D451" i="15"/>
  <c r="D452" i="15"/>
  <c r="D453" i="15"/>
  <c r="D454" i="15"/>
  <c r="D455" i="15"/>
  <c r="D456" i="15"/>
  <c r="D457" i="15"/>
  <c r="D458" i="15"/>
  <c r="D459" i="15"/>
  <c r="D460" i="15"/>
  <c r="D461" i="15"/>
  <c r="D462" i="15"/>
  <c r="D463" i="15"/>
  <c r="D464" i="15"/>
  <c r="D465" i="15"/>
  <c r="D466" i="15"/>
  <c r="D467" i="15"/>
  <c r="D468" i="15"/>
  <c r="D469" i="15"/>
  <c r="D470" i="15"/>
  <c r="D471" i="15"/>
  <c r="D472" i="15"/>
  <c r="D473" i="15"/>
  <c r="D474" i="15"/>
  <c r="D475" i="15"/>
  <c r="D476" i="15"/>
  <c r="D477" i="15"/>
  <c r="D478" i="15"/>
  <c r="D479" i="15"/>
  <c r="D480" i="15"/>
  <c r="D481" i="15"/>
  <c r="D482" i="15"/>
  <c r="D483" i="15"/>
  <c r="D484" i="15"/>
  <c r="D485" i="15"/>
  <c r="D486" i="15"/>
  <c r="D487" i="15"/>
  <c r="D488" i="15"/>
  <c r="D489" i="15"/>
  <c r="D490" i="15"/>
  <c r="D491" i="15"/>
  <c r="D492" i="15"/>
  <c r="D493" i="15"/>
  <c r="D494" i="15"/>
  <c r="D495" i="15"/>
  <c r="D496" i="15"/>
  <c r="D497" i="15"/>
  <c r="D498" i="15"/>
  <c r="D499" i="15"/>
  <c r="D500" i="15"/>
  <c r="D501" i="15"/>
  <c r="D502" i="15"/>
  <c r="D503" i="15"/>
  <c r="D504" i="15"/>
  <c r="D505" i="15"/>
  <c r="D506" i="15"/>
  <c r="D507" i="15"/>
  <c r="D508" i="15"/>
  <c r="D509" i="15"/>
  <c r="D510" i="15"/>
  <c r="D511" i="15"/>
  <c r="D512" i="15"/>
  <c r="D513" i="15"/>
  <c r="D514" i="15"/>
  <c r="D515" i="15"/>
  <c r="D516" i="15"/>
  <c r="D517" i="15"/>
  <c r="D518" i="15"/>
  <c r="D519" i="15"/>
  <c r="D520" i="15"/>
  <c r="D521" i="15"/>
  <c r="D522" i="15"/>
  <c r="D523" i="15"/>
  <c r="D524" i="15"/>
  <c r="D525" i="15"/>
  <c r="D526" i="15"/>
  <c r="D527" i="15"/>
  <c r="D528" i="15"/>
  <c r="D529" i="15"/>
  <c r="D530" i="15"/>
  <c r="D531" i="15"/>
  <c r="D532" i="15"/>
  <c r="D533" i="15"/>
  <c r="D534" i="15"/>
  <c r="D4" i="15"/>
  <c r="I1" i="15"/>
  <c r="C4" i="15" a="1"/>
  <c r="C4" i="15" s="1"/>
  <c r="B3" i="15" a="1"/>
  <c r="B3" i="15" s="1"/>
  <c r="O4" i="14"/>
  <c r="Q10" i="14"/>
  <c r="Q11" i="14"/>
  <c r="Q12" i="14"/>
  <c r="Q13" i="14"/>
  <c r="Q14" i="14"/>
  <c r="Q15" i="14"/>
  <c r="Q16" i="14"/>
  <c r="Q17" i="14"/>
  <c r="Q18" i="14"/>
  <c r="Q19" i="14"/>
  <c r="Q20" i="14"/>
  <c r="Q21" i="14"/>
  <c r="Q22" i="14"/>
  <c r="Q23" i="14"/>
  <c r="Q24" i="14"/>
  <c r="Q25" i="14"/>
  <c r="Q26" i="14"/>
  <c r="Q27" i="14"/>
  <c r="Q28" i="14"/>
  <c r="Q9" i="14"/>
  <c r="T10" i="14"/>
  <c r="T11" i="14"/>
  <c r="T12" i="14"/>
  <c r="T13" i="14"/>
  <c r="T14" i="14"/>
  <c r="T15" i="14"/>
  <c r="T16" i="14"/>
  <c r="T17" i="14"/>
  <c r="T18" i="14"/>
  <c r="T19" i="14"/>
  <c r="T20" i="14"/>
  <c r="T21" i="14"/>
  <c r="T22" i="14"/>
  <c r="T23" i="14"/>
  <c r="T24" i="14"/>
  <c r="T25" i="14"/>
  <c r="T26" i="14"/>
  <c r="T27" i="14"/>
  <c r="T28" i="14"/>
  <c r="T40" i="14"/>
  <c r="T43" i="14"/>
  <c r="T44" i="14"/>
  <c r="T45" i="14"/>
  <c r="T46" i="14"/>
  <c r="T47" i="14"/>
  <c r="T48" i="14"/>
  <c r="T49" i="14"/>
  <c r="T50" i="14"/>
  <c r="T51" i="14"/>
  <c r="T52" i="14"/>
  <c r="T53" i="14"/>
  <c r="T54" i="14"/>
  <c r="T55" i="14"/>
  <c r="T56" i="14"/>
  <c r="T57" i="14"/>
  <c r="T58" i="14"/>
  <c r="T76" i="14"/>
  <c r="T77" i="14"/>
  <c r="T78" i="14"/>
  <c r="T79" i="14"/>
  <c r="T80" i="14"/>
  <c r="T81" i="14"/>
  <c r="T82" i="14"/>
  <c r="T83" i="14"/>
  <c r="T84" i="14"/>
  <c r="T85" i="14"/>
  <c r="T86" i="14"/>
  <c r="T100" i="14"/>
  <c r="T101" i="14"/>
  <c r="T105" i="14"/>
  <c r="T121" i="14"/>
  <c r="T122" i="14"/>
  <c r="T123" i="14"/>
  <c r="T124" i="14"/>
  <c r="T125" i="14"/>
  <c r="T126" i="14"/>
  <c r="T127" i="14"/>
  <c r="T128" i="14"/>
  <c r="T129" i="14"/>
  <c r="T130" i="14"/>
  <c r="T131" i="14"/>
  <c r="T132" i="14"/>
  <c r="T133" i="14"/>
  <c r="T134" i="14"/>
  <c r="T135" i="14"/>
  <c r="T136" i="14"/>
  <c r="T137" i="14"/>
  <c r="T138" i="14"/>
  <c r="T145" i="14"/>
  <c r="T146" i="14"/>
  <c r="T147" i="14"/>
  <c r="T148" i="14"/>
  <c r="T149" i="14"/>
  <c r="T150" i="14"/>
  <c r="T151" i="14"/>
  <c r="T152" i="14"/>
  <c r="T153" i="14"/>
  <c r="T154" i="14"/>
  <c r="T155" i="14"/>
  <c r="T156" i="14"/>
  <c r="T157" i="14"/>
  <c r="T158" i="14"/>
  <c r="T159" i="14"/>
  <c r="T160" i="14"/>
  <c r="T161" i="14"/>
  <c r="T168" i="14"/>
  <c r="T169" i="14"/>
  <c r="T170" i="14"/>
  <c r="T191" i="14"/>
  <c r="T194" i="14"/>
  <c r="T195" i="14"/>
  <c r="T196" i="14"/>
  <c r="T197" i="14"/>
  <c r="T198" i="14"/>
  <c r="T199" i="14"/>
  <c r="T200" i="14"/>
  <c r="T201" i="14"/>
  <c r="T202" i="14"/>
  <c r="T203" i="14"/>
  <c r="T204" i="14"/>
  <c r="T207" i="14"/>
  <c r="T209" i="14"/>
  <c r="T210" i="14"/>
  <c r="T211" i="14"/>
  <c r="T212" i="14"/>
  <c r="T213" i="14"/>
  <c r="T214" i="14"/>
  <c r="T215" i="14"/>
  <c r="T216" i="14"/>
  <c r="T217" i="14"/>
  <c r="T247" i="14"/>
  <c r="T250" i="14"/>
  <c r="T251" i="14"/>
  <c r="T252" i="14"/>
  <c r="T253" i="14"/>
  <c r="T254" i="14"/>
  <c r="T255" i="14"/>
  <c r="T256" i="14"/>
  <c r="T257" i="14"/>
  <c r="T258" i="14"/>
  <c r="T259" i="14"/>
  <c r="T260" i="14"/>
  <c r="T263" i="14"/>
  <c r="T265" i="14"/>
  <c r="T266" i="14"/>
  <c r="T267" i="14"/>
  <c r="T269" i="14"/>
  <c r="T300" i="14"/>
  <c r="T303" i="14"/>
  <c r="T304" i="14"/>
  <c r="T305" i="14"/>
  <c r="T306" i="14"/>
  <c r="T307" i="14"/>
  <c r="T308" i="14"/>
  <c r="T309" i="14"/>
  <c r="T310" i="14"/>
  <c r="T311" i="14"/>
  <c r="T312" i="14"/>
  <c r="T313" i="14"/>
  <c r="T316" i="14"/>
  <c r="T318" i="14"/>
  <c r="T319" i="14"/>
  <c r="T320" i="14"/>
  <c r="T322" i="14"/>
  <c r="T325" i="14"/>
  <c r="T326" i="14"/>
  <c r="T353" i="14"/>
  <c r="T356" i="14"/>
  <c r="T357" i="14"/>
  <c r="T358" i="14"/>
  <c r="T359" i="14"/>
  <c r="T360" i="14"/>
  <c r="T361" i="14"/>
  <c r="T362" i="14"/>
  <c r="T363" i="14"/>
  <c r="T364" i="14"/>
  <c r="T365" i="14"/>
  <c r="T366" i="14"/>
  <c r="T369" i="14"/>
  <c r="T371" i="14"/>
  <c r="T372" i="14"/>
  <c r="T373" i="14"/>
  <c r="T375" i="14"/>
  <c r="T380" i="14"/>
  <c r="T381" i="14"/>
  <c r="T382" i="14"/>
  <c r="T383" i="14"/>
  <c r="T384" i="14"/>
  <c r="T385" i="14"/>
  <c r="T386" i="14"/>
  <c r="T387" i="14"/>
  <c r="T388" i="14"/>
  <c r="T389" i="14"/>
  <c r="T390" i="14"/>
  <c r="T411" i="14"/>
  <c r="T414" i="14"/>
  <c r="T415" i="14"/>
  <c r="T416" i="14"/>
  <c r="T417" i="14"/>
  <c r="T418" i="14"/>
  <c r="T419" i="14"/>
  <c r="T420" i="14"/>
  <c r="T421" i="14"/>
  <c r="T422" i="14"/>
  <c r="T423" i="14"/>
  <c r="T424" i="14"/>
  <c r="T427" i="14"/>
  <c r="T429" i="14"/>
  <c r="T430" i="14"/>
  <c r="T431" i="14"/>
  <c r="T433" i="14"/>
  <c r="T436" i="14"/>
  <c r="T437" i="14"/>
  <c r="T438" i="14"/>
  <c r="T439" i="14"/>
  <c r="T440" i="14"/>
  <c r="T441" i="14"/>
  <c r="T462" i="14"/>
  <c r="T465" i="14"/>
  <c r="T466" i="14"/>
  <c r="T467" i="14"/>
  <c r="T468" i="14"/>
  <c r="T469" i="14"/>
  <c r="T470" i="14"/>
  <c r="T471" i="14"/>
  <c r="T472" i="14"/>
  <c r="T473" i="14"/>
  <c r="T474" i="14"/>
  <c r="T475" i="14"/>
  <c r="T478" i="14"/>
  <c r="T480" i="14"/>
  <c r="T481" i="14"/>
  <c r="T482" i="14"/>
  <c r="T484" i="14"/>
  <c r="T489" i="14"/>
  <c r="T490" i="14"/>
  <c r="T491" i="14"/>
  <c r="T492" i="14"/>
  <c r="T493" i="14"/>
  <c r="T494" i="14"/>
  <c r="T495" i="14"/>
  <c r="T516" i="14"/>
  <c r="T519" i="14"/>
  <c r="T520" i="14"/>
  <c r="T521" i="14"/>
  <c r="T522" i="14"/>
  <c r="T523" i="14"/>
  <c r="T524" i="14"/>
  <c r="T525" i="14"/>
  <c r="T526" i="14"/>
  <c r="T527" i="14"/>
  <c r="T528" i="14"/>
  <c r="T9" i="14"/>
  <c r="P10" i="14"/>
  <c r="P11" i="14"/>
  <c r="P12" i="14"/>
  <c r="P13" i="14"/>
  <c r="P14" i="14"/>
  <c r="P15" i="14"/>
  <c r="P16" i="14"/>
  <c r="P17" i="14"/>
  <c r="P18" i="14"/>
  <c r="P19" i="14"/>
  <c r="P20" i="14"/>
  <c r="P21" i="14"/>
  <c r="P22" i="14"/>
  <c r="P23" i="14"/>
  <c r="P24" i="14"/>
  <c r="P25" i="14"/>
  <c r="P26" i="14"/>
  <c r="P27" i="14"/>
  <c r="P28" i="14"/>
  <c r="P40" i="14"/>
  <c r="P43" i="14"/>
  <c r="P44" i="14"/>
  <c r="P45" i="14"/>
  <c r="P46" i="14"/>
  <c r="P47" i="14"/>
  <c r="P48" i="14"/>
  <c r="P49" i="14"/>
  <c r="P50" i="14"/>
  <c r="P51" i="14"/>
  <c r="P52" i="14"/>
  <c r="P53" i="14"/>
  <c r="P54" i="14"/>
  <c r="P55" i="14"/>
  <c r="P56" i="14"/>
  <c r="P57" i="14"/>
  <c r="P58" i="14"/>
  <c r="P76" i="14"/>
  <c r="P77" i="14"/>
  <c r="P78" i="14"/>
  <c r="P79" i="14"/>
  <c r="P80" i="14"/>
  <c r="P81" i="14"/>
  <c r="P82" i="14"/>
  <c r="P83" i="14"/>
  <c r="P84" i="14"/>
  <c r="P85" i="14"/>
  <c r="P86" i="14"/>
  <c r="P100" i="14"/>
  <c r="P101" i="14"/>
  <c r="P105" i="14"/>
  <c r="P121" i="14"/>
  <c r="P122" i="14"/>
  <c r="P123" i="14"/>
  <c r="P124" i="14"/>
  <c r="P125" i="14"/>
  <c r="P126" i="14"/>
  <c r="P127" i="14"/>
  <c r="P128" i="14"/>
  <c r="P129" i="14"/>
  <c r="P130" i="14"/>
  <c r="P131" i="14"/>
  <c r="P132" i="14"/>
  <c r="P133" i="14"/>
  <c r="P134" i="14"/>
  <c r="P135" i="14"/>
  <c r="P136" i="14"/>
  <c r="P137" i="14"/>
  <c r="P138" i="14"/>
  <c r="P145" i="14"/>
  <c r="P146" i="14"/>
  <c r="P147" i="14"/>
  <c r="P148" i="14"/>
  <c r="P149" i="14"/>
  <c r="P150" i="14"/>
  <c r="P151" i="14"/>
  <c r="P152" i="14"/>
  <c r="P153" i="14"/>
  <c r="P154" i="14"/>
  <c r="P155" i="14"/>
  <c r="P156" i="14"/>
  <c r="P157" i="14"/>
  <c r="P158" i="14"/>
  <c r="P159" i="14"/>
  <c r="P160" i="14"/>
  <c r="P161" i="14"/>
  <c r="P168" i="14"/>
  <c r="P169" i="14"/>
  <c r="P170" i="14"/>
  <c r="P191" i="14"/>
  <c r="P194" i="14"/>
  <c r="P195" i="14"/>
  <c r="P196" i="14"/>
  <c r="P197" i="14"/>
  <c r="P198" i="14"/>
  <c r="P199" i="14"/>
  <c r="P200" i="14"/>
  <c r="P201" i="14"/>
  <c r="P202" i="14"/>
  <c r="P203" i="14"/>
  <c r="P204" i="14"/>
  <c r="P207" i="14"/>
  <c r="P209" i="14"/>
  <c r="P210" i="14"/>
  <c r="P211" i="14"/>
  <c r="P212" i="14"/>
  <c r="P213" i="14"/>
  <c r="P214" i="14"/>
  <c r="P215" i="14"/>
  <c r="P216" i="14"/>
  <c r="P217" i="14"/>
  <c r="P247" i="14"/>
  <c r="P250" i="14"/>
  <c r="P251" i="14"/>
  <c r="P252" i="14"/>
  <c r="P253" i="14"/>
  <c r="P254" i="14"/>
  <c r="P255" i="14"/>
  <c r="P256" i="14"/>
  <c r="P257" i="14"/>
  <c r="P258" i="14"/>
  <c r="P259" i="14"/>
  <c r="P260" i="14"/>
  <c r="P263" i="14"/>
  <c r="P265" i="14"/>
  <c r="P266" i="14"/>
  <c r="P267" i="14"/>
  <c r="P269" i="14"/>
  <c r="P300" i="14"/>
  <c r="P303" i="14"/>
  <c r="P304" i="14"/>
  <c r="P305" i="14"/>
  <c r="P306" i="14"/>
  <c r="P307" i="14"/>
  <c r="P308" i="14"/>
  <c r="P309" i="14"/>
  <c r="P310" i="14"/>
  <c r="P311" i="14"/>
  <c r="P312" i="14"/>
  <c r="P313" i="14"/>
  <c r="P316" i="14"/>
  <c r="P318" i="14"/>
  <c r="P319" i="14"/>
  <c r="P320" i="14"/>
  <c r="P322" i="14"/>
  <c r="P325" i="14"/>
  <c r="P326" i="14"/>
  <c r="P353" i="14"/>
  <c r="P356" i="14"/>
  <c r="P357" i="14"/>
  <c r="P358" i="14"/>
  <c r="P359" i="14"/>
  <c r="P360" i="14"/>
  <c r="P361" i="14"/>
  <c r="P362" i="14"/>
  <c r="P363" i="14"/>
  <c r="P364" i="14"/>
  <c r="P365" i="14"/>
  <c r="P366" i="14"/>
  <c r="P369" i="14"/>
  <c r="P371" i="14"/>
  <c r="P372" i="14"/>
  <c r="P373" i="14"/>
  <c r="P375" i="14"/>
  <c r="P380" i="14"/>
  <c r="P381" i="14"/>
  <c r="P382" i="14"/>
  <c r="P383" i="14"/>
  <c r="P384" i="14"/>
  <c r="P385" i="14"/>
  <c r="P386" i="14"/>
  <c r="P387" i="14"/>
  <c r="P388" i="14"/>
  <c r="P389" i="14"/>
  <c r="P390" i="14"/>
  <c r="P411" i="14"/>
  <c r="P414" i="14"/>
  <c r="P415" i="14"/>
  <c r="P416" i="14"/>
  <c r="P417" i="14"/>
  <c r="P418" i="14"/>
  <c r="P419" i="14"/>
  <c r="P420" i="14"/>
  <c r="P421" i="14"/>
  <c r="P422" i="14"/>
  <c r="P423" i="14"/>
  <c r="P424" i="14"/>
  <c r="P427" i="14"/>
  <c r="P429" i="14"/>
  <c r="P430" i="14"/>
  <c r="P431" i="14"/>
  <c r="P433" i="14"/>
  <c r="P436" i="14"/>
  <c r="P437" i="14"/>
  <c r="P438" i="14"/>
  <c r="P439" i="14"/>
  <c r="P440" i="14"/>
  <c r="P441" i="14"/>
  <c r="P462" i="14"/>
  <c r="P465" i="14"/>
  <c r="P466" i="14"/>
  <c r="P467" i="14"/>
  <c r="P468" i="14"/>
  <c r="P469" i="14"/>
  <c r="P470" i="14"/>
  <c r="P471" i="14"/>
  <c r="P472" i="14"/>
  <c r="P473" i="14"/>
  <c r="P474" i="14"/>
  <c r="P475" i="14"/>
  <c r="P478" i="14"/>
  <c r="P480" i="14"/>
  <c r="P481" i="14"/>
  <c r="P482" i="14"/>
  <c r="P484" i="14"/>
  <c r="P489" i="14"/>
  <c r="P490" i="14"/>
  <c r="P491" i="14"/>
  <c r="P492" i="14"/>
  <c r="P493" i="14"/>
  <c r="P494" i="14"/>
  <c r="P495" i="14"/>
  <c r="P516" i="14"/>
  <c r="P519" i="14"/>
  <c r="P520" i="14"/>
  <c r="P521" i="14"/>
  <c r="P522" i="14"/>
  <c r="P523" i="14"/>
  <c r="P524" i="14"/>
  <c r="P525" i="14"/>
  <c r="P526" i="14"/>
  <c r="P527" i="14"/>
  <c r="P528" i="14"/>
  <c r="P9" i="14"/>
  <c r="O10" i="14"/>
  <c r="O11" i="14"/>
  <c r="O12" i="14"/>
  <c r="O13" i="14"/>
  <c r="O14" i="14"/>
  <c r="O15" i="14"/>
  <c r="O16" i="14"/>
  <c r="O17" i="14"/>
  <c r="O18" i="14"/>
  <c r="O19" i="14"/>
  <c r="O20" i="14"/>
  <c r="O21" i="14"/>
  <c r="O22" i="14"/>
  <c r="O23" i="14"/>
  <c r="O24" i="14"/>
  <c r="O25" i="14"/>
  <c r="O26" i="14"/>
  <c r="O27" i="14"/>
  <c r="O28" i="14"/>
  <c r="O29" i="14"/>
  <c r="O30" i="14"/>
  <c r="O31" i="14"/>
  <c r="O32" i="14"/>
  <c r="O33" i="14"/>
  <c r="O34" i="14"/>
  <c r="O35" i="14"/>
  <c r="O36" i="14"/>
  <c r="O37" i="14"/>
  <c r="O38" i="14"/>
  <c r="O39" i="14"/>
  <c r="O40" i="14"/>
  <c r="O41" i="14"/>
  <c r="O42" i="14"/>
  <c r="O43" i="14"/>
  <c r="O44" i="14"/>
  <c r="O45" i="14"/>
  <c r="O46" i="14"/>
  <c r="O47" i="14"/>
  <c r="O48" i="14"/>
  <c r="O49" i="14"/>
  <c r="O50" i="14"/>
  <c r="O51" i="14"/>
  <c r="O52" i="14"/>
  <c r="O53" i="14"/>
  <c r="O54" i="14"/>
  <c r="O55" i="14"/>
  <c r="O56" i="14"/>
  <c r="O57" i="14"/>
  <c r="O58" i="14"/>
  <c r="O59" i="14"/>
  <c r="O60" i="14"/>
  <c r="O61" i="14"/>
  <c r="O62" i="14"/>
  <c r="O63" i="14"/>
  <c r="O64" i="14"/>
  <c r="O65" i="14"/>
  <c r="O66" i="14"/>
  <c r="O67" i="14"/>
  <c r="O68" i="14"/>
  <c r="O69" i="14"/>
  <c r="O70" i="14"/>
  <c r="O71" i="14"/>
  <c r="O72" i="14"/>
  <c r="O73" i="14"/>
  <c r="O74" i="14"/>
  <c r="O75" i="14"/>
  <c r="O76" i="14"/>
  <c r="O77" i="14"/>
  <c r="O78" i="14"/>
  <c r="O79" i="14"/>
  <c r="O80" i="14"/>
  <c r="O81" i="14"/>
  <c r="O82" i="14"/>
  <c r="O83" i="14"/>
  <c r="O84" i="14"/>
  <c r="O85" i="14"/>
  <c r="O86" i="14"/>
  <c r="O87" i="14"/>
  <c r="O88" i="14"/>
  <c r="O89" i="14"/>
  <c r="O90" i="14"/>
  <c r="O91" i="14"/>
  <c r="O92" i="14"/>
  <c r="O93" i="14"/>
  <c r="O94" i="14"/>
  <c r="O95" i="14"/>
  <c r="O96" i="14"/>
  <c r="O97" i="14"/>
  <c r="O98" i="14"/>
  <c r="O99" i="14"/>
  <c r="O100" i="14"/>
  <c r="O101" i="14"/>
  <c r="O102" i="14"/>
  <c r="O103" i="14"/>
  <c r="O104" i="14"/>
  <c r="O105" i="14"/>
  <c r="O106" i="14"/>
  <c r="O107" i="14"/>
  <c r="O108" i="14"/>
  <c r="O109" i="14"/>
  <c r="O110" i="14"/>
  <c r="O111" i="14"/>
  <c r="O112" i="14"/>
  <c r="O113" i="14"/>
  <c r="O114" i="14"/>
  <c r="O115" i="14"/>
  <c r="O116" i="14"/>
  <c r="O117" i="14"/>
  <c r="O118" i="14"/>
  <c r="O119" i="14"/>
  <c r="O120" i="14"/>
  <c r="O121" i="14"/>
  <c r="O122" i="14"/>
  <c r="O123" i="14"/>
  <c r="O124" i="14"/>
  <c r="O125" i="14"/>
  <c r="O126" i="14"/>
  <c r="O127" i="14"/>
  <c r="O128" i="14"/>
  <c r="O129" i="14"/>
  <c r="O130" i="14"/>
  <c r="O131" i="14"/>
  <c r="O132" i="14"/>
  <c r="O133" i="14"/>
  <c r="O134" i="14"/>
  <c r="O135" i="14"/>
  <c r="O136" i="14"/>
  <c r="O137" i="14"/>
  <c r="O138" i="14"/>
  <c r="O139" i="14"/>
  <c r="O140" i="14"/>
  <c r="O141" i="14"/>
  <c r="O142" i="14"/>
  <c r="O143" i="14"/>
  <c r="O144" i="14"/>
  <c r="O145" i="14"/>
  <c r="O146" i="14"/>
  <c r="O147" i="14"/>
  <c r="O148" i="14"/>
  <c r="O149" i="14"/>
  <c r="O150" i="14"/>
  <c r="O151" i="14"/>
  <c r="O152" i="14"/>
  <c r="O153" i="14"/>
  <c r="O154" i="14"/>
  <c r="O155" i="14"/>
  <c r="O156" i="14"/>
  <c r="O157" i="14"/>
  <c r="O158" i="14"/>
  <c r="O159" i="14"/>
  <c r="O160" i="14"/>
  <c r="O161" i="14"/>
  <c r="O162" i="14"/>
  <c r="O163" i="14"/>
  <c r="O164" i="14"/>
  <c r="O165" i="14"/>
  <c r="O166" i="14"/>
  <c r="O167" i="14"/>
  <c r="O168" i="14"/>
  <c r="O169" i="14"/>
  <c r="O170" i="14"/>
  <c r="O171" i="14"/>
  <c r="O172" i="14"/>
  <c r="O173" i="14"/>
  <c r="O174" i="14"/>
  <c r="O175" i="14"/>
  <c r="O176" i="14"/>
  <c r="O177" i="14"/>
  <c r="O178" i="14"/>
  <c r="O179" i="14"/>
  <c r="O180" i="14"/>
  <c r="O181" i="14"/>
  <c r="O182" i="14"/>
  <c r="O183" i="14"/>
  <c r="O184" i="14"/>
  <c r="O185" i="14"/>
  <c r="O186" i="14"/>
  <c r="O187" i="14"/>
  <c r="O188" i="14"/>
  <c r="O189" i="14"/>
  <c r="O190" i="14"/>
  <c r="O191" i="14"/>
  <c r="O192" i="14"/>
  <c r="O193" i="14"/>
  <c r="O194" i="14"/>
  <c r="O195" i="14"/>
  <c r="O196" i="14"/>
  <c r="O197" i="14"/>
  <c r="O198" i="14"/>
  <c r="O199" i="14"/>
  <c r="O200" i="14"/>
  <c r="O201" i="14"/>
  <c r="O202" i="14"/>
  <c r="O203" i="14"/>
  <c r="O204" i="14"/>
  <c r="O205" i="14"/>
  <c r="O206" i="14"/>
  <c r="O207" i="14"/>
  <c r="O208" i="14"/>
  <c r="O209" i="14"/>
  <c r="O210" i="14"/>
  <c r="O211" i="14"/>
  <c r="O212" i="14"/>
  <c r="O213" i="14"/>
  <c r="O214" i="14"/>
  <c r="O215" i="14"/>
  <c r="O216" i="14"/>
  <c r="O217" i="14"/>
  <c r="O218" i="14"/>
  <c r="O219" i="14"/>
  <c r="O220" i="14"/>
  <c r="O221" i="14"/>
  <c r="O222" i="14"/>
  <c r="O223" i="14"/>
  <c r="O224" i="14"/>
  <c r="O225" i="14"/>
  <c r="O226" i="14"/>
  <c r="O227" i="14"/>
  <c r="O228" i="14"/>
  <c r="O229" i="14"/>
  <c r="O230" i="14"/>
  <c r="O231" i="14"/>
  <c r="O232" i="14"/>
  <c r="O233" i="14"/>
  <c r="O234" i="14"/>
  <c r="O235" i="14"/>
  <c r="O236" i="14"/>
  <c r="O237" i="14"/>
  <c r="O238" i="14"/>
  <c r="O239" i="14"/>
  <c r="O240" i="14"/>
  <c r="O241" i="14"/>
  <c r="O242" i="14"/>
  <c r="O243" i="14"/>
  <c r="O244" i="14"/>
  <c r="O245" i="14"/>
  <c r="O246" i="14"/>
  <c r="O247" i="14"/>
  <c r="O248" i="14"/>
  <c r="O249" i="14"/>
  <c r="O250" i="14"/>
  <c r="O251" i="14"/>
  <c r="O252" i="14"/>
  <c r="O253" i="14"/>
  <c r="O254" i="14"/>
  <c r="O255" i="14"/>
  <c r="O256" i="14"/>
  <c r="O257" i="14"/>
  <c r="O258" i="14"/>
  <c r="O259" i="14"/>
  <c r="O260" i="14"/>
  <c r="O261" i="14"/>
  <c r="O262" i="14"/>
  <c r="O263" i="14"/>
  <c r="O264" i="14"/>
  <c r="O265" i="14"/>
  <c r="O266" i="14"/>
  <c r="O267" i="14"/>
  <c r="O268" i="14"/>
  <c r="O269" i="14"/>
  <c r="O270" i="14"/>
  <c r="O271" i="14"/>
  <c r="O272" i="14"/>
  <c r="O273" i="14"/>
  <c r="O274" i="14"/>
  <c r="O275" i="14"/>
  <c r="O276" i="14"/>
  <c r="O277" i="14"/>
  <c r="O278" i="14"/>
  <c r="O279" i="14"/>
  <c r="O280" i="14"/>
  <c r="O281" i="14"/>
  <c r="O282" i="14"/>
  <c r="O283" i="14"/>
  <c r="O284" i="14"/>
  <c r="O285" i="14"/>
  <c r="O286" i="14"/>
  <c r="O287" i="14"/>
  <c r="O288" i="14"/>
  <c r="O289" i="14"/>
  <c r="O290" i="14"/>
  <c r="O291" i="14"/>
  <c r="O292" i="14"/>
  <c r="O293" i="14"/>
  <c r="O294" i="14"/>
  <c r="O295" i="14"/>
  <c r="O296" i="14"/>
  <c r="O297" i="14"/>
  <c r="O298" i="14"/>
  <c r="O299" i="14"/>
  <c r="O300" i="14"/>
  <c r="O301" i="14"/>
  <c r="O302" i="14"/>
  <c r="O303" i="14"/>
  <c r="O304" i="14"/>
  <c r="O305" i="14"/>
  <c r="O306" i="14"/>
  <c r="O307" i="14"/>
  <c r="O308" i="14"/>
  <c r="O309" i="14"/>
  <c r="O310" i="14"/>
  <c r="O311" i="14"/>
  <c r="O312" i="14"/>
  <c r="O313" i="14"/>
  <c r="O314" i="14"/>
  <c r="O315" i="14"/>
  <c r="O316" i="14"/>
  <c r="O317" i="14"/>
  <c r="O318" i="14"/>
  <c r="O319" i="14"/>
  <c r="O320" i="14"/>
  <c r="O321" i="14"/>
  <c r="O322" i="14"/>
  <c r="O323" i="14"/>
  <c r="O324" i="14"/>
  <c r="O325" i="14"/>
  <c r="O326" i="14"/>
  <c r="O327" i="14"/>
  <c r="O328" i="14"/>
  <c r="O329" i="14"/>
  <c r="O330" i="14"/>
  <c r="O331" i="14"/>
  <c r="O332" i="14"/>
  <c r="O333" i="14"/>
  <c r="O334" i="14"/>
  <c r="O335" i="14"/>
  <c r="O336" i="14"/>
  <c r="O337" i="14"/>
  <c r="O338" i="14"/>
  <c r="O339" i="14"/>
  <c r="O340" i="14"/>
  <c r="O341" i="14"/>
  <c r="O342" i="14"/>
  <c r="O343" i="14"/>
  <c r="O344" i="14"/>
  <c r="O345" i="14"/>
  <c r="O346" i="14"/>
  <c r="O347" i="14"/>
  <c r="O348" i="14"/>
  <c r="O349" i="14"/>
  <c r="O350" i="14"/>
  <c r="O351" i="14"/>
  <c r="O352" i="14"/>
  <c r="O353" i="14"/>
  <c r="O354" i="14"/>
  <c r="O355" i="14"/>
  <c r="O356" i="14"/>
  <c r="O357" i="14"/>
  <c r="O358" i="14"/>
  <c r="O359" i="14"/>
  <c r="O360" i="14"/>
  <c r="O361" i="14"/>
  <c r="O362" i="14"/>
  <c r="O363" i="14"/>
  <c r="O364" i="14"/>
  <c r="O365" i="14"/>
  <c r="O366" i="14"/>
  <c r="O367" i="14"/>
  <c r="O368" i="14"/>
  <c r="O369" i="14"/>
  <c r="O370" i="14"/>
  <c r="O371" i="14"/>
  <c r="O372" i="14"/>
  <c r="O373" i="14"/>
  <c r="O374" i="14"/>
  <c r="O375" i="14"/>
  <c r="O376" i="14"/>
  <c r="O377" i="14"/>
  <c r="O378" i="14"/>
  <c r="O379" i="14"/>
  <c r="O380" i="14"/>
  <c r="O381" i="14"/>
  <c r="O382" i="14"/>
  <c r="O383" i="14"/>
  <c r="O384" i="14"/>
  <c r="O385" i="14"/>
  <c r="O386" i="14"/>
  <c r="O387" i="14"/>
  <c r="O388" i="14"/>
  <c r="O389" i="14"/>
  <c r="O390" i="14"/>
  <c r="O391" i="14"/>
  <c r="O392" i="14"/>
  <c r="O393" i="14"/>
  <c r="O394" i="14"/>
  <c r="O395" i="14"/>
  <c r="O396" i="14"/>
  <c r="O397" i="14"/>
  <c r="O398" i="14"/>
  <c r="O399" i="14"/>
  <c r="O400" i="14"/>
  <c r="O401" i="14"/>
  <c r="O402" i="14"/>
  <c r="O403" i="14"/>
  <c r="O404" i="14"/>
  <c r="O405" i="14"/>
  <c r="O406" i="14"/>
  <c r="O407" i="14"/>
  <c r="O408" i="14"/>
  <c r="O409" i="14"/>
  <c r="O410" i="14"/>
  <c r="O411" i="14"/>
  <c r="O412" i="14"/>
  <c r="O413" i="14"/>
  <c r="O414" i="14"/>
  <c r="O415" i="14"/>
  <c r="O416" i="14"/>
  <c r="O417" i="14"/>
  <c r="O418" i="14"/>
  <c r="O419" i="14"/>
  <c r="O420" i="14"/>
  <c r="O421" i="14"/>
  <c r="O422" i="14"/>
  <c r="O423" i="14"/>
  <c r="O424" i="14"/>
  <c r="O425" i="14"/>
  <c r="O426" i="14"/>
  <c r="O427" i="14"/>
  <c r="O428" i="14"/>
  <c r="O429" i="14"/>
  <c r="O430" i="14"/>
  <c r="O431" i="14"/>
  <c r="O432" i="14"/>
  <c r="O433" i="14"/>
  <c r="O434" i="14"/>
  <c r="O435" i="14"/>
  <c r="O436" i="14"/>
  <c r="O437" i="14"/>
  <c r="O438" i="14"/>
  <c r="O439" i="14"/>
  <c r="O440" i="14"/>
  <c r="O441" i="14"/>
  <c r="O442" i="14"/>
  <c r="O443" i="14"/>
  <c r="O444" i="14"/>
  <c r="O445" i="14"/>
  <c r="O446" i="14"/>
  <c r="O447" i="14"/>
  <c r="O448" i="14"/>
  <c r="O449" i="14"/>
  <c r="O450" i="14"/>
  <c r="O451" i="14"/>
  <c r="O452" i="14"/>
  <c r="O453" i="14"/>
  <c r="O454" i="14"/>
  <c r="O455" i="14"/>
  <c r="O456" i="14"/>
  <c r="O457" i="14"/>
  <c r="O458" i="14"/>
  <c r="O459" i="14"/>
  <c r="O460" i="14"/>
  <c r="O461" i="14"/>
  <c r="O462" i="14"/>
  <c r="O463" i="14"/>
  <c r="O464" i="14"/>
  <c r="O465" i="14"/>
  <c r="O466" i="14"/>
  <c r="O467" i="14"/>
  <c r="O468" i="14"/>
  <c r="O469" i="14"/>
  <c r="O470" i="14"/>
  <c r="O471" i="14"/>
  <c r="O472" i="14"/>
  <c r="O473" i="14"/>
  <c r="O474" i="14"/>
  <c r="O475" i="14"/>
  <c r="O476" i="14"/>
  <c r="O477" i="14"/>
  <c r="O478" i="14"/>
  <c r="O479" i="14"/>
  <c r="O480" i="14"/>
  <c r="O481" i="14"/>
  <c r="O482" i="14"/>
  <c r="O483" i="14"/>
  <c r="O484" i="14"/>
  <c r="O485" i="14"/>
  <c r="O486" i="14"/>
  <c r="O487" i="14"/>
  <c r="O488" i="14"/>
  <c r="O489" i="14"/>
  <c r="O490" i="14"/>
  <c r="O491" i="14"/>
  <c r="O492" i="14"/>
  <c r="O493" i="14"/>
  <c r="O494" i="14"/>
  <c r="O495" i="14"/>
  <c r="O496" i="14"/>
  <c r="O497" i="14"/>
  <c r="O498" i="14"/>
  <c r="O499" i="14"/>
  <c r="O500" i="14"/>
  <c r="O501" i="14"/>
  <c r="O502" i="14"/>
  <c r="O503" i="14"/>
  <c r="O504" i="14"/>
  <c r="O505" i="14"/>
  <c r="O506" i="14"/>
  <c r="O507" i="14"/>
  <c r="O508" i="14"/>
  <c r="O509" i="14"/>
  <c r="O510" i="14"/>
  <c r="O511" i="14"/>
  <c r="O512" i="14"/>
  <c r="O513" i="14"/>
  <c r="O514" i="14"/>
  <c r="O515" i="14"/>
  <c r="O516" i="14"/>
  <c r="O517" i="14"/>
  <c r="O518" i="14"/>
  <c r="O519" i="14"/>
  <c r="O520" i="14"/>
  <c r="O521" i="14"/>
  <c r="O522" i="14"/>
  <c r="O523" i="14"/>
  <c r="O524" i="14"/>
  <c r="O525" i="14"/>
  <c r="O526" i="14"/>
  <c r="O527" i="14"/>
  <c r="O528" i="14"/>
  <c r="O529" i="14"/>
  <c r="O530" i="14"/>
  <c r="O531" i="14"/>
  <c r="O532" i="14"/>
  <c r="O533" i="14"/>
  <c r="O534" i="14"/>
  <c r="O535" i="14"/>
  <c r="O536" i="14"/>
  <c r="O537" i="14"/>
  <c r="O538" i="14"/>
  <c r="O539" i="14"/>
  <c r="O9" i="14"/>
  <c r="M18" i="14"/>
  <c r="N18" i="14" s="1"/>
  <c r="M23" i="14"/>
  <c r="N23" i="14" s="1"/>
  <c r="M131" i="14"/>
  <c r="N131" i="14" s="1"/>
  <c r="L10" i="14"/>
  <c r="L11" i="14"/>
  <c r="L12" i="14"/>
  <c r="R12" i="14" s="1"/>
  <c r="S12" i="14" s="1"/>
  <c r="U12" i="14" s="1"/>
  <c r="L13" i="14"/>
  <c r="R13" i="14" s="1"/>
  <c r="S13" i="14" s="1"/>
  <c r="U13" i="14" s="1"/>
  <c r="L14" i="14"/>
  <c r="R14" i="14" s="1"/>
  <c r="S14" i="14" s="1"/>
  <c r="U14" i="14" s="1"/>
  <c r="L15" i="14"/>
  <c r="R15" i="14" s="1"/>
  <c r="S15" i="14" s="1"/>
  <c r="U15" i="14" s="1"/>
  <c r="L16" i="14"/>
  <c r="R16" i="14" s="1"/>
  <c r="S16" i="14" s="1"/>
  <c r="L17" i="14"/>
  <c r="R17" i="14" s="1"/>
  <c r="S17" i="14" s="1"/>
  <c r="L18" i="14"/>
  <c r="R18" i="14" s="1"/>
  <c r="S18" i="14" s="1"/>
  <c r="U18" i="14" s="1"/>
  <c r="L19" i="14"/>
  <c r="L20" i="14"/>
  <c r="L21" i="14"/>
  <c r="M21" i="14" s="1"/>
  <c r="N21" i="14" s="1"/>
  <c r="L22" i="14"/>
  <c r="L23" i="14"/>
  <c r="S23" i="14" s="1"/>
  <c r="L24" i="14"/>
  <c r="S24" i="14" s="1"/>
  <c r="L25" i="14"/>
  <c r="L26" i="14"/>
  <c r="S26" i="14" s="1"/>
  <c r="L27" i="14"/>
  <c r="S27" i="14" s="1"/>
  <c r="L28" i="14"/>
  <c r="S28" i="14" s="1"/>
  <c r="L29" i="14"/>
  <c r="L30" i="14"/>
  <c r="L31" i="14"/>
  <c r="L32" i="14"/>
  <c r="L33" i="14"/>
  <c r="L34" i="14"/>
  <c r="L35" i="14"/>
  <c r="L36" i="14"/>
  <c r="L37" i="14"/>
  <c r="L38" i="14"/>
  <c r="L39" i="14"/>
  <c r="L40" i="14"/>
  <c r="S40" i="14" s="1"/>
  <c r="L41" i="14"/>
  <c r="L42" i="14"/>
  <c r="L43" i="14"/>
  <c r="L44" i="14"/>
  <c r="L45" i="14"/>
  <c r="M45" i="14" s="1"/>
  <c r="N45" i="14" s="1"/>
  <c r="L46" i="14"/>
  <c r="L47" i="14"/>
  <c r="S47" i="14" s="1"/>
  <c r="L48" i="14"/>
  <c r="S48" i="14" s="1"/>
  <c r="L49" i="14"/>
  <c r="S49" i="14" s="1"/>
  <c r="L50" i="14"/>
  <c r="S50" i="14" s="1"/>
  <c r="L51" i="14"/>
  <c r="S51" i="14" s="1"/>
  <c r="L52" i="14"/>
  <c r="S52" i="14" s="1"/>
  <c r="L53" i="14"/>
  <c r="S53" i="14" s="1"/>
  <c r="L54" i="14"/>
  <c r="S54" i="14" s="1"/>
  <c r="L55" i="14"/>
  <c r="L56" i="14"/>
  <c r="L57" i="14"/>
  <c r="M57" i="14" s="1"/>
  <c r="N57" i="14" s="1"/>
  <c r="L58" i="14"/>
  <c r="L59" i="14"/>
  <c r="L60" i="14"/>
  <c r="L61" i="14"/>
  <c r="L62" i="14"/>
  <c r="L63" i="14"/>
  <c r="L64" i="14"/>
  <c r="L65" i="14"/>
  <c r="L66" i="14"/>
  <c r="L67" i="14"/>
  <c r="L68" i="14"/>
  <c r="L69" i="14"/>
  <c r="L70" i="14"/>
  <c r="L71" i="14"/>
  <c r="L72" i="14"/>
  <c r="L73" i="14"/>
  <c r="L74" i="14"/>
  <c r="L75" i="14"/>
  <c r="L76" i="14"/>
  <c r="S76" i="14" s="1"/>
  <c r="L77" i="14"/>
  <c r="S77" i="14" s="1"/>
  <c r="L78" i="14"/>
  <c r="S78" i="14" s="1"/>
  <c r="L79" i="14"/>
  <c r="L80" i="14"/>
  <c r="L81" i="14"/>
  <c r="M81" i="14" s="1"/>
  <c r="N81" i="14" s="1"/>
  <c r="L82" i="14"/>
  <c r="L83" i="14"/>
  <c r="S83" i="14" s="1"/>
  <c r="L84" i="14"/>
  <c r="S84" i="14" s="1"/>
  <c r="L85" i="14"/>
  <c r="S85" i="14" s="1"/>
  <c r="L86" i="14"/>
  <c r="S86" i="14" s="1"/>
  <c r="L87" i="14"/>
  <c r="L88" i="14"/>
  <c r="L89" i="14"/>
  <c r="L90" i="14"/>
  <c r="L91" i="14"/>
  <c r="L92" i="14"/>
  <c r="L93" i="14"/>
  <c r="L94" i="14"/>
  <c r="L95" i="14"/>
  <c r="L96" i="14"/>
  <c r="L97" i="14"/>
  <c r="L98" i="14"/>
  <c r="L99" i="14"/>
  <c r="L100" i="14"/>
  <c r="S100" i="14" s="1"/>
  <c r="L101" i="14"/>
  <c r="S101" i="14" s="1"/>
  <c r="L102" i="14"/>
  <c r="L103" i="14"/>
  <c r="L104" i="14"/>
  <c r="L105" i="14"/>
  <c r="M105" i="14" s="1"/>
  <c r="N105" i="14" s="1"/>
  <c r="L106" i="14"/>
  <c r="L107" i="14"/>
  <c r="L108" i="14"/>
  <c r="L109" i="14"/>
  <c r="L110" i="14"/>
  <c r="L111" i="14"/>
  <c r="L112" i="14"/>
  <c r="L113" i="14"/>
  <c r="L114" i="14"/>
  <c r="L115" i="14"/>
  <c r="L116" i="14"/>
  <c r="L117" i="14"/>
  <c r="L118" i="14"/>
  <c r="L119" i="14"/>
  <c r="L120" i="14"/>
  <c r="L121" i="14"/>
  <c r="S121" i="14" s="1"/>
  <c r="L122" i="14"/>
  <c r="S122" i="14" s="1"/>
  <c r="L123" i="14"/>
  <c r="S123" i="14" s="1"/>
  <c r="L124" i="14"/>
  <c r="S124" i="14" s="1"/>
  <c r="L125" i="14"/>
  <c r="S125" i="14" s="1"/>
  <c r="L126" i="14"/>
  <c r="S126" i="14" s="1"/>
  <c r="L127" i="14"/>
  <c r="L128" i="14"/>
  <c r="L129" i="14"/>
  <c r="M129" i="14" s="1"/>
  <c r="N129" i="14" s="1"/>
  <c r="L130" i="14"/>
  <c r="L131" i="14"/>
  <c r="S131" i="14" s="1"/>
  <c r="L132" i="14"/>
  <c r="S132" i="14" s="1"/>
  <c r="L133" i="14"/>
  <c r="S133" i="14" s="1"/>
  <c r="L134" i="14"/>
  <c r="S134" i="14" s="1"/>
  <c r="L135" i="14"/>
  <c r="S135" i="14" s="1"/>
  <c r="L136" i="14"/>
  <c r="S136" i="14" s="1"/>
  <c r="L137" i="14"/>
  <c r="S137" i="14" s="1"/>
  <c r="L138" i="14"/>
  <c r="S138" i="14" s="1"/>
  <c r="L139" i="14"/>
  <c r="L140" i="14"/>
  <c r="L141" i="14"/>
  <c r="L142" i="14"/>
  <c r="L143" i="14"/>
  <c r="L144" i="14"/>
  <c r="L145" i="14"/>
  <c r="S145" i="14" s="1"/>
  <c r="L146" i="14"/>
  <c r="S146" i="14" s="1"/>
  <c r="L147" i="14"/>
  <c r="S147" i="14" s="1"/>
  <c r="L148" i="14"/>
  <c r="S148" i="14" s="1"/>
  <c r="L149" i="14"/>
  <c r="S149" i="14" s="1"/>
  <c r="L150" i="14"/>
  <c r="S150" i="14" s="1"/>
  <c r="L151" i="14"/>
  <c r="L152" i="14"/>
  <c r="L153" i="14"/>
  <c r="M153" i="14" s="1"/>
  <c r="N153" i="14" s="1"/>
  <c r="L154" i="14"/>
  <c r="L155" i="14"/>
  <c r="S155" i="14" s="1"/>
  <c r="L156" i="14"/>
  <c r="S156" i="14" s="1"/>
  <c r="L157" i="14"/>
  <c r="S157" i="14" s="1"/>
  <c r="L158" i="14"/>
  <c r="S158" i="14" s="1"/>
  <c r="L159" i="14"/>
  <c r="S159" i="14" s="1"/>
  <c r="L160" i="14"/>
  <c r="S160" i="14" s="1"/>
  <c r="L161" i="14"/>
  <c r="S161" i="14" s="1"/>
  <c r="L162" i="14"/>
  <c r="L163" i="14"/>
  <c r="L164" i="14"/>
  <c r="L165" i="14"/>
  <c r="L166" i="14"/>
  <c r="L167" i="14"/>
  <c r="L168" i="14"/>
  <c r="S168" i="14" s="1"/>
  <c r="L169" i="14"/>
  <c r="S169" i="14" s="1"/>
  <c r="L170" i="14"/>
  <c r="S170" i="14" s="1"/>
  <c r="L171" i="14"/>
  <c r="L172" i="14"/>
  <c r="L173" i="14"/>
  <c r="L174" i="14"/>
  <c r="L175" i="14"/>
  <c r="L176" i="14"/>
  <c r="L177" i="14"/>
  <c r="L178" i="14"/>
  <c r="L179" i="14"/>
  <c r="L180" i="14"/>
  <c r="L181" i="14"/>
  <c r="L182" i="14"/>
  <c r="L183" i="14"/>
  <c r="L184" i="14"/>
  <c r="L185" i="14"/>
  <c r="L186" i="14"/>
  <c r="L187" i="14"/>
  <c r="L188" i="14"/>
  <c r="L189" i="14"/>
  <c r="L190" i="14"/>
  <c r="L191" i="14"/>
  <c r="M191" i="14" s="1"/>
  <c r="N191" i="14" s="1"/>
  <c r="L192" i="14"/>
  <c r="L193" i="14"/>
  <c r="L194" i="14"/>
  <c r="S194" i="14" s="1"/>
  <c r="L195" i="14"/>
  <c r="S195" i="14" s="1"/>
  <c r="L196" i="14"/>
  <c r="S196" i="14" s="1"/>
  <c r="L197" i="14"/>
  <c r="S197" i="14" s="1"/>
  <c r="L198" i="14"/>
  <c r="S198" i="14" s="1"/>
  <c r="L199" i="14"/>
  <c r="L200" i="14"/>
  <c r="L201" i="14"/>
  <c r="M201" i="14" s="1"/>
  <c r="N201" i="14" s="1"/>
  <c r="L202" i="14"/>
  <c r="L203" i="14"/>
  <c r="S203" i="14" s="1"/>
  <c r="L204" i="14"/>
  <c r="S204" i="14" s="1"/>
  <c r="L205" i="14"/>
  <c r="L206" i="14"/>
  <c r="L207" i="14"/>
  <c r="S207" i="14" s="1"/>
  <c r="L208" i="14"/>
  <c r="L209" i="14"/>
  <c r="S209" i="14" s="1"/>
  <c r="L210" i="14"/>
  <c r="S210" i="14" s="1"/>
  <c r="L211" i="14"/>
  <c r="L212" i="14"/>
  <c r="L213" i="14"/>
  <c r="M213" i="14" s="1"/>
  <c r="N213" i="14" s="1"/>
  <c r="L214" i="14"/>
  <c r="L215" i="14"/>
  <c r="S215" i="14" s="1"/>
  <c r="L216" i="14"/>
  <c r="S216" i="14" s="1"/>
  <c r="L217" i="14"/>
  <c r="S217" i="14" s="1"/>
  <c r="L218" i="14"/>
  <c r="L219" i="14"/>
  <c r="L220" i="14"/>
  <c r="L221" i="14"/>
  <c r="L222" i="14"/>
  <c r="L223" i="14"/>
  <c r="L224" i="14"/>
  <c r="L225" i="14"/>
  <c r="L226" i="14"/>
  <c r="L227" i="14"/>
  <c r="L228" i="14"/>
  <c r="L229" i="14"/>
  <c r="L230" i="14"/>
  <c r="L231" i="14"/>
  <c r="L232" i="14"/>
  <c r="L233" i="14"/>
  <c r="L234" i="14"/>
  <c r="L235" i="14"/>
  <c r="L236" i="14"/>
  <c r="L237" i="14"/>
  <c r="L238" i="14"/>
  <c r="L239" i="14"/>
  <c r="L240" i="14"/>
  <c r="L241" i="14"/>
  <c r="L242" i="14"/>
  <c r="L243" i="14"/>
  <c r="L244" i="14"/>
  <c r="L245" i="14"/>
  <c r="L246" i="14"/>
  <c r="L247" i="14"/>
  <c r="L248" i="14"/>
  <c r="L249" i="14"/>
  <c r="L250" i="14"/>
  <c r="S250" i="14" s="1"/>
  <c r="L251" i="14"/>
  <c r="S251" i="14" s="1"/>
  <c r="L252" i="14"/>
  <c r="S252" i="14" s="1"/>
  <c r="L253" i="14"/>
  <c r="S253" i="14" s="1"/>
  <c r="L254" i="14"/>
  <c r="S254" i="14" s="1"/>
  <c r="L255" i="14"/>
  <c r="S255" i="14" s="1"/>
  <c r="L256" i="14"/>
  <c r="S256" i="14" s="1"/>
  <c r="L257" i="14"/>
  <c r="S257" i="14" s="1"/>
  <c r="L258" i="14"/>
  <c r="S258" i="14" s="1"/>
  <c r="L259" i="14"/>
  <c r="S259" i="14" s="1"/>
  <c r="L260" i="14"/>
  <c r="S260" i="14" s="1"/>
  <c r="L261" i="14"/>
  <c r="L262" i="14"/>
  <c r="L263" i="14"/>
  <c r="S263" i="14" s="1"/>
  <c r="L264" i="14"/>
  <c r="L265" i="14"/>
  <c r="S265" i="14" s="1"/>
  <c r="L266" i="14"/>
  <c r="S266" i="14" s="1"/>
  <c r="L267" i="14"/>
  <c r="S267" i="14" s="1"/>
  <c r="L268" i="14"/>
  <c r="L269" i="14"/>
  <c r="S269" i="14" s="1"/>
  <c r="L270" i="14"/>
  <c r="L271" i="14"/>
  <c r="L272" i="14"/>
  <c r="L273" i="14"/>
  <c r="L274" i="14"/>
  <c r="L275" i="14"/>
  <c r="L276" i="14"/>
  <c r="L277" i="14"/>
  <c r="L278" i="14"/>
  <c r="L279" i="14"/>
  <c r="L280" i="14"/>
  <c r="L281" i="14"/>
  <c r="L282" i="14"/>
  <c r="L283" i="14"/>
  <c r="L284" i="14"/>
  <c r="L285" i="14"/>
  <c r="L286" i="14"/>
  <c r="L287" i="14"/>
  <c r="L288" i="14"/>
  <c r="L289" i="14"/>
  <c r="L290" i="14"/>
  <c r="L291" i="14"/>
  <c r="L292" i="14"/>
  <c r="L293" i="14"/>
  <c r="L294" i="14"/>
  <c r="L295" i="14"/>
  <c r="L296" i="14"/>
  <c r="L297" i="14"/>
  <c r="L298" i="14"/>
  <c r="L299" i="14"/>
  <c r="L300" i="14"/>
  <c r="S300" i="14" s="1"/>
  <c r="L301" i="14"/>
  <c r="L302" i="14"/>
  <c r="L303" i="14"/>
  <c r="S303" i="14" s="1"/>
  <c r="L304" i="14"/>
  <c r="S304" i="14" s="1"/>
  <c r="L305" i="14"/>
  <c r="S305" i="14" s="1"/>
  <c r="L306" i="14"/>
  <c r="S306" i="14" s="1"/>
  <c r="L307" i="14"/>
  <c r="S307" i="14" s="1"/>
  <c r="L308" i="14"/>
  <c r="M308" i="14" s="1"/>
  <c r="N308" i="14" s="1"/>
  <c r="L309" i="14"/>
  <c r="M309" i="14" s="1"/>
  <c r="N309" i="14" s="1"/>
  <c r="L310" i="14"/>
  <c r="S310" i="14" s="1"/>
  <c r="L311" i="14"/>
  <c r="S311" i="14" s="1"/>
  <c r="L312" i="14"/>
  <c r="S312" i="14" s="1"/>
  <c r="L313" i="14"/>
  <c r="S313" i="14" s="1"/>
  <c r="L314" i="14"/>
  <c r="L315" i="14"/>
  <c r="L316" i="14"/>
  <c r="S316" i="14" s="1"/>
  <c r="L317" i="14"/>
  <c r="L318" i="14"/>
  <c r="S318" i="14" s="1"/>
  <c r="L319" i="14"/>
  <c r="S319" i="14" s="1"/>
  <c r="L320" i="14"/>
  <c r="S320" i="14" s="1"/>
  <c r="L321" i="14"/>
  <c r="L322" i="14"/>
  <c r="S322" i="14" s="1"/>
  <c r="L323" i="14"/>
  <c r="L324" i="14"/>
  <c r="L325" i="14"/>
  <c r="S325" i="14" s="1"/>
  <c r="L326" i="14"/>
  <c r="S326" i="14" s="1"/>
  <c r="L327" i="14"/>
  <c r="L328" i="14"/>
  <c r="L329" i="14"/>
  <c r="L330" i="14"/>
  <c r="L331" i="14"/>
  <c r="L332" i="14"/>
  <c r="L333" i="14"/>
  <c r="L334" i="14"/>
  <c r="L335" i="14"/>
  <c r="L336" i="14"/>
  <c r="L337" i="14"/>
  <c r="L338" i="14"/>
  <c r="L339" i="14"/>
  <c r="L340" i="14"/>
  <c r="L341" i="14"/>
  <c r="L342" i="14"/>
  <c r="L343" i="14"/>
  <c r="L344" i="14"/>
  <c r="L345" i="14"/>
  <c r="L346" i="14"/>
  <c r="L347" i="14"/>
  <c r="L348" i="14"/>
  <c r="L349" i="14"/>
  <c r="L350" i="14"/>
  <c r="L351" i="14"/>
  <c r="L352" i="14"/>
  <c r="L353" i="14"/>
  <c r="S353" i="14" s="1"/>
  <c r="L354" i="14"/>
  <c r="L355" i="14"/>
  <c r="L356" i="14"/>
  <c r="M356" i="14" s="1"/>
  <c r="N356" i="14" s="1"/>
  <c r="L357" i="14"/>
  <c r="M357" i="14" s="1"/>
  <c r="N357" i="14" s="1"/>
  <c r="L358" i="14"/>
  <c r="S358" i="14" s="1"/>
  <c r="L359" i="14"/>
  <c r="S359" i="14" s="1"/>
  <c r="L360" i="14"/>
  <c r="S360" i="14" s="1"/>
  <c r="L361" i="14"/>
  <c r="S361" i="14" s="1"/>
  <c r="L362" i="14"/>
  <c r="S362" i="14" s="1"/>
  <c r="L363" i="14"/>
  <c r="S363" i="14" s="1"/>
  <c r="L364" i="14"/>
  <c r="S364" i="14" s="1"/>
  <c r="L365" i="14"/>
  <c r="S365" i="14" s="1"/>
  <c r="L366" i="14"/>
  <c r="S366" i="14" s="1"/>
  <c r="L367" i="14"/>
  <c r="L368" i="14"/>
  <c r="L369" i="14"/>
  <c r="M369" i="14" s="1"/>
  <c r="N369" i="14" s="1"/>
  <c r="L370" i="14"/>
  <c r="L371" i="14"/>
  <c r="S371" i="14" s="1"/>
  <c r="L372" i="14"/>
  <c r="S372" i="14" s="1"/>
  <c r="L373" i="14"/>
  <c r="S373" i="14" s="1"/>
  <c r="L374" i="14"/>
  <c r="L375" i="14"/>
  <c r="S375" i="14" s="1"/>
  <c r="L376" i="14"/>
  <c r="L377" i="14"/>
  <c r="L378" i="14"/>
  <c r="L379" i="14"/>
  <c r="L380" i="14"/>
  <c r="M380" i="14" s="1"/>
  <c r="N380" i="14" s="1"/>
  <c r="L381" i="14"/>
  <c r="M381" i="14" s="1"/>
  <c r="N381" i="14" s="1"/>
  <c r="L382" i="14"/>
  <c r="S382" i="14" s="1"/>
  <c r="L383" i="14"/>
  <c r="S383" i="14" s="1"/>
  <c r="L384" i="14"/>
  <c r="S384" i="14" s="1"/>
  <c r="L385" i="14"/>
  <c r="S385" i="14" s="1"/>
  <c r="L386" i="14"/>
  <c r="S386" i="14" s="1"/>
  <c r="L387" i="14"/>
  <c r="S387" i="14" s="1"/>
  <c r="L388" i="14"/>
  <c r="S388" i="14" s="1"/>
  <c r="L389" i="14"/>
  <c r="S389" i="14" s="1"/>
  <c r="L390" i="14"/>
  <c r="S390" i="14" s="1"/>
  <c r="L391" i="14"/>
  <c r="L392" i="14"/>
  <c r="L393" i="14"/>
  <c r="L394" i="14"/>
  <c r="L395" i="14"/>
  <c r="L396" i="14"/>
  <c r="L397" i="14"/>
  <c r="L398" i="14"/>
  <c r="L399" i="14"/>
  <c r="L400" i="14"/>
  <c r="L401" i="14"/>
  <c r="L402" i="14"/>
  <c r="L403" i="14"/>
  <c r="L404" i="14"/>
  <c r="L405" i="14"/>
  <c r="L406" i="14"/>
  <c r="L407" i="14"/>
  <c r="L408" i="14"/>
  <c r="L409" i="14"/>
  <c r="L410" i="14"/>
  <c r="L411" i="14"/>
  <c r="S411" i="14" s="1"/>
  <c r="L412" i="14"/>
  <c r="L413" i="14"/>
  <c r="L414" i="14"/>
  <c r="S414" i="14" s="1"/>
  <c r="L415" i="14"/>
  <c r="M415" i="14" s="1"/>
  <c r="N415" i="14" s="1"/>
  <c r="L416" i="14"/>
  <c r="M416" i="14" s="1"/>
  <c r="N416" i="14" s="1"/>
  <c r="L417" i="14"/>
  <c r="M417" i="14" s="1"/>
  <c r="N417" i="14" s="1"/>
  <c r="L418" i="14"/>
  <c r="S418" i="14" s="1"/>
  <c r="L419" i="14"/>
  <c r="S419" i="14" s="1"/>
  <c r="L420" i="14"/>
  <c r="S420" i="14" s="1"/>
  <c r="L421" i="14"/>
  <c r="S421" i="14" s="1"/>
  <c r="L422" i="14"/>
  <c r="S422" i="14" s="1"/>
  <c r="L423" i="14"/>
  <c r="S423" i="14" s="1"/>
  <c r="L424" i="14"/>
  <c r="S424" i="14" s="1"/>
  <c r="L425" i="14"/>
  <c r="L426" i="14"/>
  <c r="L427" i="14"/>
  <c r="M427" i="14" s="1"/>
  <c r="N427" i="14" s="1"/>
  <c r="L428" i="14"/>
  <c r="L429" i="14"/>
  <c r="M429" i="14" s="1"/>
  <c r="N429" i="14" s="1"/>
  <c r="L430" i="14"/>
  <c r="S430" i="14" s="1"/>
  <c r="L431" i="14"/>
  <c r="S431" i="14" s="1"/>
  <c r="L432" i="14"/>
  <c r="L433" i="14"/>
  <c r="S433" i="14" s="1"/>
  <c r="L434" i="14"/>
  <c r="L435" i="14"/>
  <c r="L436" i="14"/>
  <c r="S436" i="14" s="1"/>
  <c r="L437" i="14"/>
  <c r="S437" i="14" s="1"/>
  <c r="L438" i="14"/>
  <c r="S438" i="14" s="1"/>
  <c r="L439" i="14"/>
  <c r="S439" i="14" s="1"/>
  <c r="L440" i="14"/>
  <c r="M440" i="14" s="1"/>
  <c r="N440" i="14" s="1"/>
  <c r="L441" i="14"/>
  <c r="M441" i="14" s="1"/>
  <c r="N441" i="14" s="1"/>
  <c r="L442" i="14"/>
  <c r="L443" i="14"/>
  <c r="L444" i="14"/>
  <c r="L445" i="14"/>
  <c r="L446" i="14"/>
  <c r="L447" i="14"/>
  <c r="L448" i="14"/>
  <c r="L449" i="14"/>
  <c r="L450" i="14"/>
  <c r="L451" i="14"/>
  <c r="L452" i="14"/>
  <c r="L453" i="14"/>
  <c r="L454" i="14"/>
  <c r="L455" i="14"/>
  <c r="L456" i="14"/>
  <c r="L457" i="14"/>
  <c r="L458" i="14"/>
  <c r="L459" i="14"/>
  <c r="L460" i="14"/>
  <c r="L461" i="14"/>
  <c r="L462" i="14"/>
  <c r="M462" i="14" s="1"/>
  <c r="N462" i="14" s="1"/>
  <c r="L463" i="14"/>
  <c r="L464" i="14"/>
  <c r="L465" i="14"/>
  <c r="M465" i="14" s="1"/>
  <c r="N465" i="14" s="1"/>
  <c r="L466" i="14"/>
  <c r="S466" i="14" s="1"/>
  <c r="L467" i="14"/>
  <c r="S467" i="14" s="1"/>
  <c r="L468" i="14"/>
  <c r="S468" i="14" s="1"/>
  <c r="L469" i="14"/>
  <c r="S469" i="14" s="1"/>
  <c r="L470" i="14"/>
  <c r="S470" i="14" s="1"/>
  <c r="L471" i="14"/>
  <c r="S471" i="14" s="1"/>
  <c r="L472" i="14"/>
  <c r="S472" i="14" s="1"/>
  <c r="L473" i="14"/>
  <c r="S473" i="14" s="1"/>
  <c r="L474" i="14"/>
  <c r="S474" i="14" s="1"/>
  <c r="L475" i="14"/>
  <c r="M475" i="14" s="1"/>
  <c r="N475" i="14" s="1"/>
  <c r="L476" i="14"/>
  <c r="L477" i="14"/>
  <c r="L478" i="14"/>
  <c r="S478" i="14" s="1"/>
  <c r="L479" i="14"/>
  <c r="L480" i="14"/>
  <c r="S480" i="14" s="1"/>
  <c r="L481" i="14"/>
  <c r="S481" i="14" s="1"/>
  <c r="L482" i="14"/>
  <c r="S482" i="14" s="1"/>
  <c r="L483" i="14"/>
  <c r="L484" i="14"/>
  <c r="S484" i="14" s="1"/>
  <c r="L485" i="14"/>
  <c r="L486" i="14"/>
  <c r="L487" i="14"/>
  <c r="L488" i="14"/>
  <c r="L489" i="14"/>
  <c r="M489" i="14" s="1"/>
  <c r="N489" i="14" s="1"/>
  <c r="L490" i="14"/>
  <c r="S490" i="14" s="1"/>
  <c r="L491" i="14"/>
  <c r="S491" i="14" s="1"/>
  <c r="L492" i="14"/>
  <c r="S492" i="14" s="1"/>
  <c r="L493" i="14"/>
  <c r="S493" i="14" s="1"/>
  <c r="L494" i="14"/>
  <c r="S494" i="14" s="1"/>
  <c r="L495" i="14"/>
  <c r="S495" i="14" s="1"/>
  <c r="L496" i="14"/>
  <c r="L497" i="14"/>
  <c r="L498" i="14"/>
  <c r="L499" i="14"/>
  <c r="L500" i="14"/>
  <c r="L501" i="14"/>
  <c r="L502" i="14"/>
  <c r="L503" i="14"/>
  <c r="L504" i="14"/>
  <c r="L505" i="14"/>
  <c r="L506" i="14"/>
  <c r="L507" i="14"/>
  <c r="L508" i="14"/>
  <c r="L509" i="14"/>
  <c r="L510" i="14"/>
  <c r="L511" i="14"/>
  <c r="L512" i="14"/>
  <c r="L513" i="14"/>
  <c r="L514" i="14"/>
  <c r="L515" i="14"/>
  <c r="L516" i="14"/>
  <c r="S516" i="14" s="1"/>
  <c r="L517" i="14"/>
  <c r="L518" i="14"/>
  <c r="L519" i="14"/>
  <c r="S519" i="14" s="1"/>
  <c r="L520" i="14"/>
  <c r="S520" i="14" s="1"/>
  <c r="L521" i="14"/>
  <c r="S521" i="14" s="1"/>
  <c r="L522" i="14"/>
  <c r="S522" i="14" s="1"/>
  <c r="L523" i="14"/>
  <c r="S523" i="14" s="1"/>
  <c r="L524" i="14"/>
  <c r="S524" i="14" s="1"/>
  <c r="L525" i="14"/>
  <c r="M525" i="14" s="1"/>
  <c r="N525" i="14" s="1"/>
  <c r="L526" i="14"/>
  <c r="S526" i="14" s="1"/>
  <c r="L527" i="14"/>
  <c r="S527" i="14" s="1"/>
  <c r="L528" i="14"/>
  <c r="S528" i="14" s="1"/>
  <c r="L529" i="14"/>
  <c r="L530" i="14"/>
  <c r="L531" i="14"/>
  <c r="L532" i="14"/>
  <c r="L533" i="14"/>
  <c r="L534" i="14"/>
  <c r="L535" i="14"/>
  <c r="L536" i="14"/>
  <c r="L537" i="14"/>
  <c r="L538" i="14"/>
  <c r="L539" i="14"/>
  <c r="L9" i="14"/>
  <c r="K10" i="14"/>
  <c r="K11" i="14"/>
  <c r="K12" i="14"/>
  <c r="K13" i="14"/>
  <c r="K14" i="14"/>
  <c r="K15" i="14"/>
  <c r="K16" i="14"/>
  <c r="K17" i="14"/>
  <c r="K18" i="14"/>
  <c r="K19" i="14"/>
  <c r="K20" i="14"/>
  <c r="K21" i="14"/>
  <c r="K22" i="14"/>
  <c r="K23" i="14"/>
  <c r="K24" i="14"/>
  <c r="K25" i="14"/>
  <c r="K26" i="14"/>
  <c r="K27" i="14"/>
  <c r="K28" i="14"/>
  <c r="K29" i="14"/>
  <c r="P29" i="14" s="1"/>
  <c r="K30" i="14"/>
  <c r="P30" i="14" s="1"/>
  <c r="K31" i="14"/>
  <c r="K32" i="14"/>
  <c r="K33" i="14"/>
  <c r="K34" i="14"/>
  <c r="K35" i="14"/>
  <c r="P35" i="14" s="1"/>
  <c r="K36" i="14"/>
  <c r="P36" i="14" s="1"/>
  <c r="K37" i="14"/>
  <c r="P37" i="14" s="1"/>
  <c r="K38" i="14"/>
  <c r="P38" i="14" s="1"/>
  <c r="K39" i="14"/>
  <c r="P39" i="14" s="1"/>
  <c r="K40" i="14"/>
  <c r="K41" i="14"/>
  <c r="P41" i="14" s="1"/>
  <c r="K42" i="14"/>
  <c r="P42" i="14" s="1"/>
  <c r="K43" i="14"/>
  <c r="K44" i="14"/>
  <c r="K45" i="14"/>
  <c r="K46" i="14"/>
  <c r="K47" i="14"/>
  <c r="K48" i="14"/>
  <c r="K49" i="14"/>
  <c r="K50" i="14"/>
  <c r="K51" i="14"/>
  <c r="K52" i="14"/>
  <c r="K53" i="14"/>
  <c r="K54" i="14"/>
  <c r="K55" i="14"/>
  <c r="K56" i="14"/>
  <c r="K57" i="14"/>
  <c r="K58" i="14"/>
  <c r="K59" i="14"/>
  <c r="P59" i="14" s="1"/>
  <c r="K60" i="14"/>
  <c r="P60" i="14" s="1"/>
  <c r="K61" i="14"/>
  <c r="P61" i="14" s="1"/>
  <c r="K62" i="14"/>
  <c r="P62" i="14" s="1"/>
  <c r="K63" i="14"/>
  <c r="P63" i="14" s="1"/>
  <c r="K64" i="14"/>
  <c r="P64" i="14" s="1"/>
  <c r="K65" i="14"/>
  <c r="P65" i="14" s="1"/>
  <c r="K66" i="14"/>
  <c r="P66" i="14" s="1"/>
  <c r="K67" i="14"/>
  <c r="K68" i="14"/>
  <c r="K69" i="14"/>
  <c r="K70" i="14"/>
  <c r="K71" i="14"/>
  <c r="P71" i="14" s="1"/>
  <c r="K72" i="14"/>
  <c r="P72" i="14" s="1"/>
  <c r="K73" i="14"/>
  <c r="P73" i="14" s="1"/>
  <c r="K74" i="14"/>
  <c r="P74" i="14" s="1"/>
  <c r="K75" i="14"/>
  <c r="P75" i="14" s="1"/>
  <c r="K76" i="14"/>
  <c r="K77" i="14"/>
  <c r="K78" i="14"/>
  <c r="K79" i="14"/>
  <c r="K80" i="14"/>
  <c r="K81" i="14"/>
  <c r="K82" i="14"/>
  <c r="K83" i="14"/>
  <c r="K84" i="14"/>
  <c r="K85" i="14"/>
  <c r="K86" i="14"/>
  <c r="K87" i="14"/>
  <c r="P87" i="14" s="1"/>
  <c r="K88" i="14"/>
  <c r="P88" i="14" s="1"/>
  <c r="K89" i="14"/>
  <c r="P89" i="14" s="1"/>
  <c r="K90" i="14"/>
  <c r="P90" i="14" s="1"/>
  <c r="K91" i="14"/>
  <c r="K92" i="14"/>
  <c r="K93" i="14"/>
  <c r="K94" i="14"/>
  <c r="K95" i="14"/>
  <c r="P95" i="14" s="1"/>
  <c r="K96" i="14"/>
  <c r="P96" i="14" s="1"/>
  <c r="K97" i="14"/>
  <c r="P97" i="14" s="1"/>
  <c r="K98" i="14"/>
  <c r="P98" i="14" s="1"/>
  <c r="K99" i="14"/>
  <c r="P99" i="14" s="1"/>
  <c r="K100" i="14"/>
  <c r="K101" i="14"/>
  <c r="K102" i="14"/>
  <c r="P102" i="14" s="1"/>
  <c r="K103" i="14"/>
  <c r="K104" i="14"/>
  <c r="K105" i="14"/>
  <c r="K106" i="14"/>
  <c r="K107" i="14"/>
  <c r="P107" i="14" s="1"/>
  <c r="K108" i="14"/>
  <c r="P108" i="14" s="1"/>
  <c r="K109" i="14"/>
  <c r="P109" i="14" s="1"/>
  <c r="K110" i="14"/>
  <c r="P110" i="14" s="1"/>
  <c r="K111" i="14"/>
  <c r="P111" i="14" s="1"/>
  <c r="K112" i="14"/>
  <c r="P112" i="14" s="1"/>
  <c r="K113" i="14"/>
  <c r="P113" i="14" s="1"/>
  <c r="K114" i="14"/>
  <c r="P114" i="14" s="1"/>
  <c r="K115" i="14"/>
  <c r="K116" i="14"/>
  <c r="K117" i="14"/>
  <c r="K118" i="14"/>
  <c r="K119" i="14"/>
  <c r="P119" i="14" s="1"/>
  <c r="K120" i="14"/>
  <c r="P120" i="14" s="1"/>
  <c r="K121" i="14"/>
  <c r="K122" i="14"/>
  <c r="K123" i="14"/>
  <c r="K124" i="14"/>
  <c r="K125" i="14"/>
  <c r="K126" i="14"/>
  <c r="K127" i="14"/>
  <c r="K128" i="14"/>
  <c r="K129" i="14"/>
  <c r="K130" i="14"/>
  <c r="K131" i="14"/>
  <c r="K132" i="14"/>
  <c r="K133" i="14"/>
  <c r="K134" i="14"/>
  <c r="K135" i="14"/>
  <c r="K136" i="14"/>
  <c r="K137" i="14"/>
  <c r="K138" i="14"/>
  <c r="K139" i="14"/>
  <c r="K140" i="14"/>
  <c r="K141" i="14"/>
  <c r="P141" i="14" s="1"/>
  <c r="K142" i="14"/>
  <c r="K143" i="14"/>
  <c r="P143" i="14" s="1"/>
  <c r="K144" i="14"/>
  <c r="P144" i="14" s="1"/>
  <c r="K145" i="14"/>
  <c r="K146" i="14"/>
  <c r="K147" i="14"/>
  <c r="K148" i="14"/>
  <c r="K149" i="14"/>
  <c r="K150" i="14"/>
  <c r="K151" i="14"/>
  <c r="K152" i="14"/>
  <c r="K153" i="14"/>
  <c r="K154" i="14"/>
  <c r="K155" i="14"/>
  <c r="K156" i="14"/>
  <c r="K157" i="14"/>
  <c r="K158" i="14"/>
  <c r="K159" i="14"/>
  <c r="K160" i="14"/>
  <c r="K161" i="14"/>
  <c r="K162" i="14"/>
  <c r="P162" i="14" s="1"/>
  <c r="K163" i="14"/>
  <c r="K164" i="14"/>
  <c r="K165" i="14"/>
  <c r="P165" i="14" s="1"/>
  <c r="K166" i="14"/>
  <c r="K167" i="14"/>
  <c r="P167" i="14" s="1"/>
  <c r="K168" i="14"/>
  <c r="K169" i="14"/>
  <c r="K170" i="14"/>
  <c r="K171" i="14"/>
  <c r="P171" i="14" s="1"/>
  <c r="K172" i="14"/>
  <c r="P172" i="14" s="1"/>
  <c r="K173" i="14"/>
  <c r="P173" i="14" s="1"/>
  <c r="K174" i="14"/>
  <c r="P174" i="14" s="1"/>
  <c r="K175" i="14"/>
  <c r="K176" i="14"/>
  <c r="K177" i="14"/>
  <c r="P177" i="14" s="1"/>
  <c r="K178" i="14"/>
  <c r="K179" i="14"/>
  <c r="P179" i="14" s="1"/>
  <c r="K180" i="14"/>
  <c r="P180" i="14" s="1"/>
  <c r="K181" i="14"/>
  <c r="P181" i="14" s="1"/>
  <c r="K182" i="14"/>
  <c r="P182" i="14" s="1"/>
  <c r="K183" i="14"/>
  <c r="P183" i="14" s="1"/>
  <c r="K184" i="14"/>
  <c r="P184" i="14" s="1"/>
  <c r="K185" i="14"/>
  <c r="P185" i="14" s="1"/>
  <c r="K186" i="14"/>
  <c r="P186" i="14" s="1"/>
  <c r="K187" i="14"/>
  <c r="K188" i="14"/>
  <c r="K189" i="14"/>
  <c r="P189" i="14" s="1"/>
  <c r="K190" i="14"/>
  <c r="K191" i="14"/>
  <c r="K192" i="14"/>
  <c r="P192" i="14" s="1"/>
  <c r="K193" i="14"/>
  <c r="P193" i="14" s="1"/>
  <c r="K194" i="14"/>
  <c r="K195" i="14"/>
  <c r="K196" i="14"/>
  <c r="K197" i="14"/>
  <c r="K198" i="14"/>
  <c r="K199" i="14"/>
  <c r="K200" i="14"/>
  <c r="K201" i="14"/>
  <c r="K202" i="14"/>
  <c r="K203" i="14"/>
  <c r="K204" i="14"/>
  <c r="K205" i="14"/>
  <c r="P205" i="14" s="1"/>
  <c r="K206" i="14"/>
  <c r="P206" i="14" s="1"/>
  <c r="K207" i="14"/>
  <c r="K208" i="14"/>
  <c r="P208" i="14" s="1"/>
  <c r="K209" i="14"/>
  <c r="K210" i="14"/>
  <c r="K211" i="14"/>
  <c r="K212" i="14"/>
  <c r="K213" i="14"/>
  <c r="K214" i="14"/>
  <c r="K215" i="14"/>
  <c r="K216" i="14"/>
  <c r="K217" i="14"/>
  <c r="K218" i="14"/>
  <c r="P218" i="14" s="1"/>
  <c r="K219" i="14"/>
  <c r="P219" i="14" s="1"/>
  <c r="K220" i="14"/>
  <c r="P220" i="14" s="1"/>
  <c r="K221" i="14"/>
  <c r="P221" i="14" s="1"/>
  <c r="K222" i="14"/>
  <c r="P222" i="14" s="1"/>
  <c r="K223" i="14"/>
  <c r="K224" i="14"/>
  <c r="K225" i="14"/>
  <c r="P225" i="14" s="1"/>
  <c r="K226" i="14"/>
  <c r="K227" i="14"/>
  <c r="P227" i="14" s="1"/>
  <c r="K228" i="14"/>
  <c r="P228" i="14" s="1"/>
  <c r="K229" i="14"/>
  <c r="P229" i="14" s="1"/>
  <c r="K230" i="14"/>
  <c r="P230" i="14" s="1"/>
  <c r="K231" i="14"/>
  <c r="P231" i="14" s="1"/>
  <c r="K232" i="14"/>
  <c r="P232" i="14" s="1"/>
  <c r="K233" i="14"/>
  <c r="P233" i="14" s="1"/>
  <c r="K234" i="14"/>
  <c r="P234" i="14" s="1"/>
  <c r="K235" i="14"/>
  <c r="K236" i="14"/>
  <c r="P236" i="14" s="1"/>
  <c r="K237" i="14"/>
  <c r="P237" i="14" s="1"/>
  <c r="K238" i="14"/>
  <c r="P238" i="14" s="1"/>
  <c r="K239" i="14"/>
  <c r="P239" i="14" s="1"/>
  <c r="K240" i="14"/>
  <c r="P240" i="14" s="1"/>
  <c r="K241" i="14"/>
  <c r="P241" i="14" s="1"/>
  <c r="K242" i="14"/>
  <c r="P242" i="14" s="1"/>
  <c r="K243" i="14"/>
  <c r="P243" i="14" s="1"/>
  <c r="K244" i="14"/>
  <c r="P244" i="14" s="1"/>
  <c r="K245" i="14"/>
  <c r="P245" i="14" s="1"/>
  <c r="K246" i="14"/>
  <c r="P246" i="14" s="1"/>
  <c r="K247" i="14"/>
  <c r="K248" i="14"/>
  <c r="P248" i="14" s="1"/>
  <c r="K249" i="14"/>
  <c r="P249" i="14" s="1"/>
  <c r="K250" i="14"/>
  <c r="K251" i="14"/>
  <c r="K252" i="14"/>
  <c r="K253" i="14"/>
  <c r="K254" i="14"/>
  <c r="K255" i="14"/>
  <c r="K256" i="14"/>
  <c r="K257" i="14"/>
  <c r="K258" i="14"/>
  <c r="K259" i="14"/>
  <c r="K260" i="14"/>
  <c r="K261" i="14"/>
  <c r="P261" i="14" s="1"/>
  <c r="K262" i="14"/>
  <c r="P262" i="14" s="1"/>
  <c r="K263" i="14"/>
  <c r="K264" i="14"/>
  <c r="P264" i="14" s="1"/>
  <c r="K265" i="14"/>
  <c r="K266" i="14"/>
  <c r="K267" i="14"/>
  <c r="K268" i="14"/>
  <c r="P268" i="14" s="1"/>
  <c r="K269" i="14"/>
  <c r="K270" i="14"/>
  <c r="P270" i="14" s="1"/>
  <c r="K271" i="14"/>
  <c r="K272" i="14"/>
  <c r="P272" i="14" s="1"/>
  <c r="K273" i="14"/>
  <c r="P273" i="14" s="1"/>
  <c r="K274" i="14"/>
  <c r="P274" i="14" s="1"/>
  <c r="K275" i="14"/>
  <c r="P275" i="14" s="1"/>
  <c r="K276" i="14"/>
  <c r="P276" i="14" s="1"/>
  <c r="K277" i="14"/>
  <c r="P277" i="14" s="1"/>
  <c r="K278" i="14"/>
  <c r="P278" i="14" s="1"/>
  <c r="K279" i="14"/>
  <c r="P279" i="14" s="1"/>
  <c r="K280" i="14"/>
  <c r="P280" i="14" s="1"/>
  <c r="K281" i="14"/>
  <c r="P281" i="14" s="1"/>
  <c r="K282" i="14"/>
  <c r="P282" i="14" s="1"/>
  <c r="K283" i="14"/>
  <c r="K284" i="14"/>
  <c r="P284" i="14" s="1"/>
  <c r="K285" i="14"/>
  <c r="P285" i="14" s="1"/>
  <c r="K286" i="14"/>
  <c r="P286" i="14" s="1"/>
  <c r="K287" i="14"/>
  <c r="P287" i="14" s="1"/>
  <c r="K288" i="14"/>
  <c r="P288" i="14" s="1"/>
  <c r="K289" i="14"/>
  <c r="P289" i="14" s="1"/>
  <c r="K290" i="14"/>
  <c r="P290" i="14" s="1"/>
  <c r="K291" i="14"/>
  <c r="P291" i="14" s="1"/>
  <c r="K292" i="14"/>
  <c r="P292" i="14" s="1"/>
  <c r="K293" i="14"/>
  <c r="P293" i="14" s="1"/>
  <c r="K294" i="14"/>
  <c r="K295" i="14"/>
  <c r="K296" i="14"/>
  <c r="P296" i="14" s="1"/>
  <c r="K297" i="14"/>
  <c r="P297" i="14" s="1"/>
  <c r="K298" i="14"/>
  <c r="P298" i="14" s="1"/>
  <c r="K299" i="14"/>
  <c r="P299" i="14" s="1"/>
  <c r="K300" i="14"/>
  <c r="K301" i="14"/>
  <c r="P301" i="14" s="1"/>
  <c r="K302" i="14"/>
  <c r="P302" i="14" s="1"/>
  <c r="K303" i="14"/>
  <c r="K304" i="14"/>
  <c r="K305" i="14"/>
  <c r="K306" i="14"/>
  <c r="K307" i="14"/>
  <c r="K308" i="14"/>
  <c r="K309" i="14"/>
  <c r="K310" i="14"/>
  <c r="K311" i="14"/>
  <c r="K312" i="14"/>
  <c r="K313" i="14"/>
  <c r="K314" i="14"/>
  <c r="P314" i="14" s="1"/>
  <c r="K315" i="14"/>
  <c r="P315" i="14" s="1"/>
  <c r="K316" i="14"/>
  <c r="K317" i="14"/>
  <c r="P317" i="14" s="1"/>
  <c r="K318" i="14"/>
  <c r="K319" i="14"/>
  <c r="K320" i="14"/>
  <c r="K321" i="14"/>
  <c r="P321" i="14" s="1"/>
  <c r="K322" i="14"/>
  <c r="K323" i="14"/>
  <c r="P323" i="14" s="1"/>
  <c r="K324" i="14"/>
  <c r="P324" i="14" s="1"/>
  <c r="K325" i="14"/>
  <c r="K326" i="14"/>
  <c r="K327" i="14"/>
  <c r="P327" i="14" s="1"/>
  <c r="K328" i="14"/>
  <c r="P328" i="14" s="1"/>
  <c r="K329" i="14"/>
  <c r="P329" i="14" s="1"/>
  <c r="K330" i="14"/>
  <c r="K331" i="14"/>
  <c r="K332" i="14"/>
  <c r="P332" i="14" s="1"/>
  <c r="K333" i="14"/>
  <c r="P333" i="14" s="1"/>
  <c r="K334" i="14"/>
  <c r="P334" i="14" s="1"/>
  <c r="K335" i="14"/>
  <c r="P335" i="14" s="1"/>
  <c r="K336" i="14"/>
  <c r="P336" i="14" s="1"/>
  <c r="K337" i="14"/>
  <c r="P337" i="14" s="1"/>
  <c r="K338" i="14"/>
  <c r="P338" i="14" s="1"/>
  <c r="K339" i="14"/>
  <c r="P339" i="14" s="1"/>
  <c r="K340" i="14"/>
  <c r="P340" i="14" s="1"/>
  <c r="K341" i="14"/>
  <c r="P341" i="14" s="1"/>
  <c r="K342" i="14"/>
  <c r="K343" i="14"/>
  <c r="K344" i="14"/>
  <c r="P344" i="14" s="1"/>
  <c r="K345" i="14"/>
  <c r="P345" i="14" s="1"/>
  <c r="K346" i="14"/>
  <c r="P346" i="14" s="1"/>
  <c r="K347" i="14"/>
  <c r="P347" i="14" s="1"/>
  <c r="K348" i="14"/>
  <c r="P348" i="14" s="1"/>
  <c r="K349" i="14"/>
  <c r="P349" i="14" s="1"/>
  <c r="K350" i="14"/>
  <c r="P350" i="14" s="1"/>
  <c r="K351" i="14"/>
  <c r="P351" i="14" s="1"/>
  <c r="K352" i="14"/>
  <c r="P352" i="14" s="1"/>
  <c r="K353" i="14"/>
  <c r="K354" i="14"/>
  <c r="K355" i="14"/>
  <c r="K356" i="14"/>
  <c r="K357" i="14"/>
  <c r="K358" i="14"/>
  <c r="K359" i="14"/>
  <c r="K360" i="14"/>
  <c r="K361" i="14"/>
  <c r="K362" i="14"/>
  <c r="K363" i="14"/>
  <c r="K364" i="14"/>
  <c r="K365" i="14"/>
  <c r="K366" i="14"/>
  <c r="K367" i="14"/>
  <c r="K368" i="14"/>
  <c r="P368" i="14" s="1"/>
  <c r="K369" i="14"/>
  <c r="K370" i="14"/>
  <c r="P370" i="14" s="1"/>
  <c r="K371" i="14"/>
  <c r="K372" i="14"/>
  <c r="K373" i="14"/>
  <c r="K374" i="14"/>
  <c r="P374" i="14" s="1"/>
  <c r="K375" i="14"/>
  <c r="K376" i="14"/>
  <c r="P376" i="14" s="1"/>
  <c r="K377" i="14"/>
  <c r="P377" i="14" s="1"/>
  <c r="K378" i="14"/>
  <c r="K379" i="14"/>
  <c r="K380" i="14"/>
  <c r="K381" i="14"/>
  <c r="K382" i="14"/>
  <c r="K383" i="14"/>
  <c r="K384" i="14"/>
  <c r="K385" i="14"/>
  <c r="K386" i="14"/>
  <c r="K387" i="14"/>
  <c r="K388" i="14"/>
  <c r="K389" i="14"/>
  <c r="K390" i="14"/>
  <c r="K391" i="14"/>
  <c r="K392" i="14"/>
  <c r="P392" i="14" s="1"/>
  <c r="K393" i="14"/>
  <c r="P393" i="14" s="1"/>
  <c r="K394" i="14"/>
  <c r="P394" i="14" s="1"/>
  <c r="K395" i="14"/>
  <c r="P395" i="14" s="1"/>
  <c r="K396" i="14"/>
  <c r="P396" i="14" s="1"/>
  <c r="K397" i="14"/>
  <c r="P397" i="14" s="1"/>
  <c r="K398" i="14"/>
  <c r="P398" i="14" s="1"/>
  <c r="K399" i="14"/>
  <c r="P399" i="14" s="1"/>
  <c r="K400" i="14"/>
  <c r="P400" i="14" s="1"/>
  <c r="K401" i="14"/>
  <c r="P401" i="14" s="1"/>
  <c r="K402" i="14"/>
  <c r="K403" i="14"/>
  <c r="K404" i="14"/>
  <c r="P404" i="14" s="1"/>
  <c r="K405" i="14"/>
  <c r="P405" i="14" s="1"/>
  <c r="K406" i="14"/>
  <c r="P406" i="14" s="1"/>
  <c r="K407" i="14"/>
  <c r="P407" i="14" s="1"/>
  <c r="K408" i="14"/>
  <c r="P408" i="14" s="1"/>
  <c r="K409" i="14"/>
  <c r="P409" i="14" s="1"/>
  <c r="K410" i="14"/>
  <c r="P410" i="14" s="1"/>
  <c r="K411" i="14"/>
  <c r="K412" i="14"/>
  <c r="P412" i="14" s="1"/>
  <c r="K413" i="14"/>
  <c r="P413" i="14" s="1"/>
  <c r="K414" i="14"/>
  <c r="K415" i="14"/>
  <c r="K416" i="14"/>
  <c r="K417" i="14"/>
  <c r="K418" i="14"/>
  <c r="K419" i="14"/>
  <c r="K420" i="14"/>
  <c r="K421" i="14"/>
  <c r="K422" i="14"/>
  <c r="K423" i="14"/>
  <c r="K424" i="14"/>
  <c r="K425" i="14"/>
  <c r="P425" i="14" s="1"/>
  <c r="K426" i="14"/>
  <c r="K427" i="14"/>
  <c r="K428" i="14"/>
  <c r="P428" i="14" s="1"/>
  <c r="K429" i="14"/>
  <c r="K430" i="14"/>
  <c r="K431" i="14"/>
  <c r="K432" i="14"/>
  <c r="P432" i="14" s="1"/>
  <c r="K433" i="14"/>
  <c r="K434" i="14"/>
  <c r="P434" i="14" s="1"/>
  <c r="K435" i="14"/>
  <c r="P435" i="14" s="1"/>
  <c r="K436" i="14"/>
  <c r="K437" i="14"/>
  <c r="K438" i="14"/>
  <c r="K439" i="14"/>
  <c r="K440" i="14"/>
  <c r="K441" i="14"/>
  <c r="K442" i="14"/>
  <c r="P442" i="14" s="1"/>
  <c r="K443" i="14"/>
  <c r="P443" i="14" s="1"/>
  <c r="K444" i="14"/>
  <c r="P444" i="14" s="1"/>
  <c r="K445" i="14"/>
  <c r="P445" i="14" s="1"/>
  <c r="K446" i="14"/>
  <c r="K447" i="14"/>
  <c r="P447" i="14" s="1"/>
  <c r="K448" i="14"/>
  <c r="K449" i="14"/>
  <c r="K450" i="14"/>
  <c r="K451" i="14"/>
  <c r="K452" i="14"/>
  <c r="P452" i="14" s="1"/>
  <c r="K453" i="14"/>
  <c r="P453" i="14" s="1"/>
  <c r="K454" i="14"/>
  <c r="P454" i="14" s="1"/>
  <c r="K455" i="14"/>
  <c r="P455" i="14" s="1"/>
  <c r="K456" i="14"/>
  <c r="K457" i="14"/>
  <c r="P457" i="14" s="1"/>
  <c r="K458" i="14"/>
  <c r="K459" i="14"/>
  <c r="P459" i="14" s="1"/>
  <c r="K460" i="14"/>
  <c r="K461" i="14"/>
  <c r="K462" i="14"/>
  <c r="K463" i="14"/>
  <c r="K464" i="14"/>
  <c r="P464" i="14" s="1"/>
  <c r="K465" i="14"/>
  <c r="K466" i="14"/>
  <c r="K467" i="14"/>
  <c r="K468" i="14"/>
  <c r="K469" i="14"/>
  <c r="K470" i="14"/>
  <c r="K471" i="14"/>
  <c r="K472" i="14"/>
  <c r="K473" i="14"/>
  <c r="K474" i="14"/>
  <c r="K475" i="14"/>
  <c r="K476" i="14"/>
  <c r="P476" i="14" s="1"/>
  <c r="K477" i="14"/>
  <c r="P477" i="14" s="1"/>
  <c r="K478" i="14"/>
  <c r="K479" i="14"/>
  <c r="P479" i="14" s="1"/>
  <c r="K480" i="14"/>
  <c r="K481" i="14"/>
  <c r="K482" i="14"/>
  <c r="K483" i="14"/>
  <c r="K484" i="14"/>
  <c r="K485" i="14"/>
  <c r="K486" i="14"/>
  <c r="K487" i="14"/>
  <c r="K488" i="14"/>
  <c r="P488" i="14" s="1"/>
  <c r="K489" i="14"/>
  <c r="K490" i="14"/>
  <c r="K491" i="14"/>
  <c r="K492" i="14"/>
  <c r="K493" i="14"/>
  <c r="K494" i="14"/>
  <c r="K495" i="14"/>
  <c r="K496" i="14"/>
  <c r="K497" i="14"/>
  <c r="K498" i="14"/>
  <c r="K499" i="14"/>
  <c r="K500" i="14"/>
  <c r="P500" i="14" s="1"/>
  <c r="K501" i="14"/>
  <c r="P501" i="14" s="1"/>
  <c r="K502" i="14"/>
  <c r="P502" i="14" s="1"/>
  <c r="K503" i="14"/>
  <c r="P503" i="14" s="1"/>
  <c r="K504" i="14"/>
  <c r="K505" i="14"/>
  <c r="P505" i="14" s="1"/>
  <c r="K506" i="14"/>
  <c r="K507" i="14"/>
  <c r="K508" i="14"/>
  <c r="K509" i="14"/>
  <c r="K510" i="14"/>
  <c r="K511" i="14"/>
  <c r="K512" i="14"/>
  <c r="P512" i="14" s="1"/>
  <c r="K513" i="14"/>
  <c r="P513" i="14" s="1"/>
  <c r="K514" i="14"/>
  <c r="P514" i="14" s="1"/>
  <c r="K515" i="14"/>
  <c r="P515" i="14" s="1"/>
  <c r="K516" i="14"/>
  <c r="K517" i="14"/>
  <c r="P517" i="14" s="1"/>
  <c r="K518" i="14"/>
  <c r="K519" i="14"/>
  <c r="K520" i="14"/>
  <c r="K521" i="14"/>
  <c r="K522" i="14"/>
  <c r="K523" i="14"/>
  <c r="K524" i="14"/>
  <c r="K525" i="14"/>
  <c r="K526" i="14"/>
  <c r="K527" i="14"/>
  <c r="K528" i="14"/>
  <c r="K529" i="14"/>
  <c r="P529" i="14" s="1"/>
  <c r="K530" i="14"/>
  <c r="K531" i="14"/>
  <c r="K532" i="14"/>
  <c r="K533" i="14"/>
  <c r="K534" i="14"/>
  <c r="K535" i="14"/>
  <c r="K536" i="14"/>
  <c r="P536" i="14" s="1"/>
  <c r="K537" i="14"/>
  <c r="P537" i="14" s="1"/>
  <c r="K538" i="14"/>
  <c r="P538" i="14" s="1"/>
  <c r="K539" i="14"/>
  <c r="P539" i="14" s="1"/>
  <c r="K9" i="14"/>
  <c r="J7" i="14"/>
  <c r="I10" i="14"/>
  <c r="I11" i="14"/>
  <c r="I12" i="14"/>
  <c r="I13" i="14"/>
  <c r="I14" i="14"/>
  <c r="I15" i="14"/>
  <c r="I16" i="14"/>
  <c r="I17" i="14"/>
  <c r="I18" i="14"/>
  <c r="I19" i="14"/>
  <c r="I20" i="14"/>
  <c r="I21" i="14"/>
  <c r="I22" i="14"/>
  <c r="I23" i="14"/>
  <c r="I24" i="14"/>
  <c r="I25" i="14"/>
  <c r="I26" i="14"/>
  <c r="I27" i="14"/>
  <c r="I28" i="14"/>
  <c r="I29" i="14"/>
  <c r="I30" i="14"/>
  <c r="I31" i="14"/>
  <c r="I32" i="14"/>
  <c r="I33" i="14"/>
  <c r="I34" i="14"/>
  <c r="I35" i="14"/>
  <c r="I36" i="14"/>
  <c r="I37" i="14"/>
  <c r="I38" i="14"/>
  <c r="I39" i="14"/>
  <c r="I40" i="14"/>
  <c r="I41" i="14"/>
  <c r="I42" i="14"/>
  <c r="I43" i="14"/>
  <c r="I44" i="14"/>
  <c r="I45" i="14"/>
  <c r="I46" i="14"/>
  <c r="I47" i="14"/>
  <c r="I48" i="14"/>
  <c r="I49" i="14"/>
  <c r="I50" i="14"/>
  <c r="I51" i="14"/>
  <c r="I52" i="14"/>
  <c r="I53" i="14"/>
  <c r="I54" i="14"/>
  <c r="I55" i="14"/>
  <c r="I56" i="14"/>
  <c r="I57" i="14"/>
  <c r="I58" i="14"/>
  <c r="I59" i="14"/>
  <c r="I60" i="14"/>
  <c r="I61" i="14"/>
  <c r="I62" i="14"/>
  <c r="I63" i="14"/>
  <c r="I64" i="14"/>
  <c r="I65" i="14"/>
  <c r="I66" i="14"/>
  <c r="I67" i="14"/>
  <c r="I68" i="14"/>
  <c r="I69" i="14"/>
  <c r="I70" i="14"/>
  <c r="I71" i="14"/>
  <c r="I72" i="14"/>
  <c r="I73" i="14"/>
  <c r="I74" i="14"/>
  <c r="I75" i="14"/>
  <c r="I76" i="14"/>
  <c r="I77" i="14"/>
  <c r="I78" i="14"/>
  <c r="I79" i="14"/>
  <c r="I80" i="14"/>
  <c r="I81" i="14"/>
  <c r="I82" i="14"/>
  <c r="I83" i="14"/>
  <c r="I84" i="14"/>
  <c r="I85" i="14"/>
  <c r="I86" i="14"/>
  <c r="I87" i="14"/>
  <c r="I88" i="14"/>
  <c r="I89" i="14"/>
  <c r="I90" i="14"/>
  <c r="I91" i="14"/>
  <c r="I92" i="14"/>
  <c r="I93" i="14"/>
  <c r="I94" i="14"/>
  <c r="I95" i="14"/>
  <c r="I96" i="14"/>
  <c r="I97" i="14"/>
  <c r="I98" i="14"/>
  <c r="I99" i="14"/>
  <c r="I100" i="14"/>
  <c r="I101" i="14"/>
  <c r="I102" i="14"/>
  <c r="I103" i="14"/>
  <c r="I104" i="14"/>
  <c r="I105" i="14"/>
  <c r="I106" i="14"/>
  <c r="I107" i="14"/>
  <c r="I108" i="14"/>
  <c r="I109" i="14"/>
  <c r="I110" i="14"/>
  <c r="I111" i="14"/>
  <c r="I112" i="14"/>
  <c r="I113" i="14"/>
  <c r="I114" i="14"/>
  <c r="I115" i="14"/>
  <c r="I116" i="14"/>
  <c r="I117" i="14"/>
  <c r="I118" i="14"/>
  <c r="I119" i="14"/>
  <c r="I120" i="14"/>
  <c r="I121" i="14"/>
  <c r="I122" i="14"/>
  <c r="I123" i="14"/>
  <c r="I124" i="14"/>
  <c r="I125" i="14"/>
  <c r="I126" i="14"/>
  <c r="I127" i="14"/>
  <c r="I128" i="14"/>
  <c r="I129" i="14"/>
  <c r="I130" i="14"/>
  <c r="I131" i="14"/>
  <c r="I132" i="14"/>
  <c r="I133" i="14"/>
  <c r="I134" i="14"/>
  <c r="I135" i="14"/>
  <c r="I136" i="14"/>
  <c r="I137" i="14"/>
  <c r="I138" i="14"/>
  <c r="I139" i="14"/>
  <c r="I140" i="14"/>
  <c r="I141" i="14"/>
  <c r="I142" i="14"/>
  <c r="I143" i="14"/>
  <c r="I144" i="14"/>
  <c r="I145" i="14"/>
  <c r="I146" i="14"/>
  <c r="I147" i="14"/>
  <c r="I148" i="14"/>
  <c r="I149" i="14"/>
  <c r="I150" i="14"/>
  <c r="I151" i="14"/>
  <c r="I152" i="14"/>
  <c r="I153" i="14"/>
  <c r="I154" i="14"/>
  <c r="I155" i="14"/>
  <c r="I156" i="14"/>
  <c r="I157" i="14"/>
  <c r="I158" i="14"/>
  <c r="I159" i="14"/>
  <c r="I160" i="14"/>
  <c r="I161" i="14"/>
  <c r="I162" i="14"/>
  <c r="I163" i="14"/>
  <c r="I164" i="14"/>
  <c r="I165" i="14"/>
  <c r="I166" i="14"/>
  <c r="I167" i="14"/>
  <c r="I168" i="14"/>
  <c r="I169" i="14"/>
  <c r="I170" i="14"/>
  <c r="I171" i="14"/>
  <c r="I172" i="14"/>
  <c r="I173" i="14"/>
  <c r="I174" i="14"/>
  <c r="I175" i="14"/>
  <c r="I176" i="14"/>
  <c r="I177" i="14"/>
  <c r="I178" i="14"/>
  <c r="I179" i="14"/>
  <c r="I180" i="14"/>
  <c r="I181" i="14"/>
  <c r="I182" i="14"/>
  <c r="I183" i="14"/>
  <c r="I184" i="14"/>
  <c r="I185" i="14"/>
  <c r="I186" i="14"/>
  <c r="I187" i="14"/>
  <c r="I188" i="14"/>
  <c r="I189" i="14"/>
  <c r="I190" i="14"/>
  <c r="I191" i="14"/>
  <c r="I192" i="14"/>
  <c r="I193" i="14"/>
  <c r="I194" i="14"/>
  <c r="I195" i="14"/>
  <c r="I196" i="14"/>
  <c r="I197" i="14"/>
  <c r="I198" i="14"/>
  <c r="I199" i="14"/>
  <c r="I200" i="14"/>
  <c r="I201" i="14"/>
  <c r="I202" i="14"/>
  <c r="I203" i="14"/>
  <c r="I204" i="14"/>
  <c r="I205" i="14"/>
  <c r="I206" i="14"/>
  <c r="I207" i="14"/>
  <c r="I208" i="14"/>
  <c r="I209" i="14"/>
  <c r="I210" i="14"/>
  <c r="I211" i="14"/>
  <c r="I212" i="14"/>
  <c r="I213" i="14"/>
  <c r="I214" i="14"/>
  <c r="I215" i="14"/>
  <c r="I216" i="14"/>
  <c r="I217" i="14"/>
  <c r="I218" i="14"/>
  <c r="I219" i="14"/>
  <c r="I220" i="14"/>
  <c r="I221" i="14"/>
  <c r="I222" i="14"/>
  <c r="I223" i="14"/>
  <c r="I224" i="14"/>
  <c r="I225" i="14"/>
  <c r="I226" i="14"/>
  <c r="I227" i="14"/>
  <c r="I228" i="14"/>
  <c r="I229" i="14"/>
  <c r="I230" i="14"/>
  <c r="I231" i="14"/>
  <c r="I232" i="14"/>
  <c r="I233" i="14"/>
  <c r="I234" i="14"/>
  <c r="I235" i="14"/>
  <c r="I236" i="14"/>
  <c r="I237" i="14"/>
  <c r="I238" i="14"/>
  <c r="I239" i="14"/>
  <c r="I240" i="14"/>
  <c r="I241" i="14"/>
  <c r="I242" i="14"/>
  <c r="I243" i="14"/>
  <c r="I244" i="14"/>
  <c r="I245" i="14"/>
  <c r="I246" i="14"/>
  <c r="I247" i="14"/>
  <c r="I248" i="14"/>
  <c r="I249" i="14"/>
  <c r="I250" i="14"/>
  <c r="I251" i="14"/>
  <c r="I252" i="14"/>
  <c r="I253" i="14"/>
  <c r="I254" i="14"/>
  <c r="I255" i="14"/>
  <c r="I256" i="14"/>
  <c r="I257" i="14"/>
  <c r="I258" i="14"/>
  <c r="I259" i="14"/>
  <c r="I260" i="14"/>
  <c r="I261" i="14"/>
  <c r="I262" i="14"/>
  <c r="I263" i="14"/>
  <c r="I264" i="14"/>
  <c r="I265" i="14"/>
  <c r="I266" i="14"/>
  <c r="I267" i="14"/>
  <c r="I268" i="14"/>
  <c r="I269" i="14"/>
  <c r="I270" i="14"/>
  <c r="I271" i="14"/>
  <c r="I272" i="14"/>
  <c r="I273" i="14"/>
  <c r="I274" i="14"/>
  <c r="I275" i="14"/>
  <c r="I276" i="14"/>
  <c r="I277" i="14"/>
  <c r="I278" i="14"/>
  <c r="I279" i="14"/>
  <c r="I280" i="14"/>
  <c r="I281" i="14"/>
  <c r="I282" i="14"/>
  <c r="I283" i="14"/>
  <c r="I284" i="14"/>
  <c r="I285" i="14"/>
  <c r="I286" i="14"/>
  <c r="I287" i="14"/>
  <c r="I288" i="14"/>
  <c r="I289" i="14"/>
  <c r="I290" i="14"/>
  <c r="I291" i="14"/>
  <c r="I292" i="14"/>
  <c r="I293" i="14"/>
  <c r="I294" i="14"/>
  <c r="I295" i="14"/>
  <c r="I296" i="14"/>
  <c r="I297" i="14"/>
  <c r="I298" i="14"/>
  <c r="I299" i="14"/>
  <c r="I300" i="14"/>
  <c r="I301" i="14"/>
  <c r="I302" i="14"/>
  <c r="I303" i="14"/>
  <c r="I304" i="14"/>
  <c r="I305" i="14"/>
  <c r="I306" i="14"/>
  <c r="I307" i="14"/>
  <c r="I308" i="14"/>
  <c r="I309" i="14"/>
  <c r="I310" i="14"/>
  <c r="I311" i="14"/>
  <c r="I312" i="14"/>
  <c r="I313" i="14"/>
  <c r="I314" i="14"/>
  <c r="I315" i="14"/>
  <c r="I316" i="14"/>
  <c r="I317" i="14"/>
  <c r="I318" i="14"/>
  <c r="I319" i="14"/>
  <c r="I320" i="14"/>
  <c r="I321" i="14"/>
  <c r="I322" i="14"/>
  <c r="I323" i="14"/>
  <c r="I324" i="14"/>
  <c r="I325" i="14"/>
  <c r="I326" i="14"/>
  <c r="I327" i="14"/>
  <c r="I328" i="14"/>
  <c r="I329" i="14"/>
  <c r="I330" i="14"/>
  <c r="I331" i="14"/>
  <c r="I332" i="14"/>
  <c r="I333" i="14"/>
  <c r="I334" i="14"/>
  <c r="I335" i="14"/>
  <c r="I336" i="14"/>
  <c r="I337" i="14"/>
  <c r="I338" i="14"/>
  <c r="I339" i="14"/>
  <c r="I340" i="14"/>
  <c r="I341" i="14"/>
  <c r="I342" i="14"/>
  <c r="I343" i="14"/>
  <c r="I344" i="14"/>
  <c r="I345" i="14"/>
  <c r="I346" i="14"/>
  <c r="I347" i="14"/>
  <c r="I348" i="14"/>
  <c r="I349" i="14"/>
  <c r="I350" i="14"/>
  <c r="I351" i="14"/>
  <c r="I352" i="14"/>
  <c r="I353" i="14"/>
  <c r="I354" i="14"/>
  <c r="I355" i="14"/>
  <c r="I356" i="14"/>
  <c r="I357" i="14"/>
  <c r="I358" i="14"/>
  <c r="I359" i="14"/>
  <c r="I360" i="14"/>
  <c r="I361" i="14"/>
  <c r="I362" i="14"/>
  <c r="I363" i="14"/>
  <c r="I364" i="14"/>
  <c r="I365" i="14"/>
  <c r="I366" i="14"/>
  <c r="I367" i="14"/>
  <c r="I368" i="14"/>
  <c r="I369" i="14"/>
  <c r="I370" i="14"/>
  <c r="I371" i="14"/>
  <c r="I372" i="14"/>
  <c r="I373" i="14"/>
  <c r="I374" i="14"/>
  <c r="I375" i="14"/>
  <c r="I376" i="14"/>
  <c r="I377" i="14"/>
  <c r="I378" i="14"/>
  <c r="I379" i="14"/>
  <c r="I380" i="14"/>
  <c r="I381" i="14"/>
  <c r="I382" i="14"/>
  <c r="I383" i="14"/>
  <c r="I384" i="14"/>
  <c r="I385" i="14"/>
  <c r="I386" i="14"/>
  <c r="I387" i="14"/>
  <c r="I388" i="14"/>
  <c r="I389" i="14"/>
  <c r="I390" i="14"/>
  <c r="I391" i="14"/>
  <c r="I392" i="14"/>
  <c r="I393" i="14"/>
  <c r="I394" i="14"/>
  <c r="I395" i="14"/>
  <c r="I396" i="14"/>
  <c r="I397" i="14"/>
  <c r="I398" i="14"/>
  <c r="I399" i="14"/>
  <c r="I400" i="14"/>
  <c r="I401" i="14"/>
  <c r="I402" i="14"/>
  <c r="I403" i="14"/>
  <c r="I404" i="14"/>
  <c r="I405" i="14"/>
  <c r="I406" i="14"/>
  <c r="I407" i="14"/>
  <c r="I408" i="14"/>
  <c r="I409" i="14"/>
  <c r="I410" i="14"/>
  <c r="I411" i="14"/>
  <c r="I412" i="14"/>
  <c r="I413" i="14"/>
  <c r="I414" i="14"/>
  <c r="I415" i="14"/>
  <c r="I416" i="14"/>
  <c r="I417" i="14"/>
  <c r="I418" i="14"/>
  <c r="I419" i="14"/>
  <c r="I420" i="14"/>
  <c r="I421" i="14"/>
  <c r="I422" i="14"/>
  <c r="I423" i="14"/>
  <c r="I424" i="14"/>
  <c r="I425" i="14"/>
  <c r="I426" i="14"/>
  <c r="I427" i="14"/>
  <c r="I428" i="14"/>
  <c r="I429" i="14"/>
  <c r="I430" i="14"/>
  <c r="I431" i="14"/>
  <c r="I432" i="14"/>
  <c r="I433" i="14"/>
  <c r="I434" i="14"/>
  <c r="I435" i="14"/>
  <c r="I436" i="14"/>
  <c r="I437" i="14"/>
  <c r="I438" i="14"/>
  <c r="I439" i="14"/>
  <c r="I440" i="14"/>
  <c r="I441" i="14"/>
  <c r="I442" i="14"/>
  <c r="I443" i="14"/>
  <c r="I444" i="14"/>
  <c r="I445" i="14"/>
  <c r="I446" i="14"/>
  <c r="I447" i="14"/>
  <c r="I448" i="14"/>
  <c r="I449" i="14"/>
  <c r="I450" i="14"/>
  <c r="I451" i="14"/>
  <c r="I452" i="14"/>
  <c r="I453" i="14"/>
  <c r="I454" i="14"/>
  <c r="I455" i="14"/>
  <c r="I456" i="14"/>
  <c r="I457" i="14"/>
  <c r="I458" i="14"/>
  <c r="I459" i="14"/>
  <c r="I460" i="14"/>
  <c r="I461" i="14"/>
  <c r="I462" i="14"/>
  <c r="I463" i="14"/>
  <c r="I464" i="14"/>
  <c r="I465" i="14"/>
  <c r="I466" i="14"/>
  <c r="I467" i="14"/>
  <c r="I468" i="14"/>
  <c r="I469" i="14"/>
  <c r="I470" i="14"/>
  <c r="I471" i="14"/>
  <c r="I472" i="14"/>
  <c r="I473" i="14"/>
  <c r="I474" i="14"/>
  <c r="I475" i="14"/>
  <c r="I476" i="14"/>
  <c r="I477" i="14"/>
  <c r="I478" i="14"/>
  <c r="I479" i="14"/>
  <c r="I480" i="14"/>
  <c r="I481" i="14"/>
  <c r="I482" i="14"/>
  <c r="I483" i="14"/>
  <c r="I484" i="14"/>
  <c r="I485" i="14"/>
  <c r="I486" i="14"/>
  <c r="I487" i="14"/>
  <c r="I488" i="14"/>
  <c r="I489" i="14"/>
  <c r="I490" i="14"/>
  <c r="I491" i="14"/>
  <c r="I492" i="14"/>
  <c r="I493" i="14"/>
  <c r="I494" i="14"/>
  <c r="I495" i="14"/>
  <c r="I496" i="14"/>
  <c r="I497" i="14"/>
  <c r="I498" i="14"/>
  <c r="I499" i="14"/>
  <c r="I500" i="14"/>
  <c r="I501" i="14"/>
  <c r="I502" i="14"/>
  <c r="I503" i="14"/>
  <c r="I504" i="14"/>
  <c r="I505" i="14"/>
  <c r="I506" i="14"/>
  <c r="I507" i="14"/>
  <c r="I508" i="14"/>
  <c r="I509" i="14"/>
  <c r="I510" i="14"/>
  <c r="I511" i="14"/>
  <c r="I512" i="14"/>
  <c r="I513" i="14"/>
  <c r="I514" i="14"/>
  <c r="I515" i="14"/>
  <c r="I516" i="14"/>
  <c r="I517" i="14"/>
  <c r="I518" i="14"/>
  <c r="I519" i="14"/>
  <c r="I520" i="14"/>
  <c r="I521" i="14"/>
  <c r="I522" i="14"/>
  <c r="I523" i="14"/>
  <c r="I524" i="14"/>
  <c r="I525" i="14"/>
  <c r="I526" i="14"/>
  <c r="I527" i="14"/>
  <c r="I528" i="14"/>
  <c r="I529" i="14"/>
  <c r="I530" i="14"/>
  <c r="I531" i="14"/>
  <c r="I532" i="14"/>
  <c r="I533" i="14"/>
  <c r="I534" i="14"/>
  <c r="I535" i="14"/>
  <c r="I536" i="14"/>
  <c r="I537" i="14"/>
  <c r="I538" i="14"/>
  <c r="I539" i="14"/>
  <c r="I9" i="14"/>
  <c r="J5" i="14"/>
  <c r="BB4" i="1" a="1"/>
  <c r="BB4" i="1" s="1"/>
  <c r="U2" i="14"/>
  <c r="D10" i="14"/>
  <c r="D11" i="14" s="1"/>
  <c r="D12" i="14" s="1"/>
  <c r="D13" i="14" s="1"/>
  <c r="D14" i="14" s="1"/>
  <c r="D15" i="14" s="1"/>
  <c r="D16" i="14" s="1"/>
  <c r="D17" i="14" s="1"/>
  <c r="D18" i="14" s="1"/>
  <c r="D19" i="14" s="1"/>
  <c r="D20" i="14" s="1"/>
  <c r="D21" i="14" s="1"/>
  <c r="D22" i="14" s="1"/>
  <c r="D23" i="14" s="1"/>
  <c r="D24" i="14" s="1"/>
  <c r="D25" i="14" s="1"/>
  <c r="D26" i="14" s="1"/>
  <c r="D27" i="14" s="1"/>
  <c r="D28" i="14" s="1"/>
  <c r="D29" i="14" s="1"/>
  <c r="D30" i="14" s="1"/>
  <c r="D31" i="14" s="1"/>
  <c r="D32" i="14" s="1"/>
  <c r="D33" i="14" s="1"/>
  <c r="D34" i="14" s="1"/>
  <c r="D35" i="14" s="1"/>
  <c r="D36" i="14" s="1"/>
  <c r="D37" i="14" s="1"/>
  <c r="D38" i="14" s="1"/>
  <c r="D39" i="14" s="1"/>
  <c r="D40" i="14" s="1"/>
  <c r="D41" i="14" s="1"/>
  <c r="D42" i="14" s="1"/>
  <c r="D43" i="14" s="1"/>
  <c r="D44" i="14" s="1"/>
  <c r="D45" i="14" s="1"/>
  <c r="D46" i="14" s="1"/>
  <c r="D47" i="14" s="1"/>
  <c r="D48" i="14" s="1"/>
  <c r="D49" i="14" s="1"/>
  <c r="D50" i="14" s="1"/>
  <c r="D51" i="14" s="1"/>
  <c r="D52" i="14" s="1"/>
  <c r="D53" i="14" s="1"/>
  <c r="D54" i="14" s="1"/>
  <c r="D55" i="14" s="1"/>
  <c r="D56" i="14" s="1"/>
  <c r="D57" i="14" s="1"/>
  <c r="D58" i="14" s="1"/>
  <c r="D59" i="14" s="1"/>
  <c r="D60" i="14" s="1"/>
  <c r="D61" i="14" s="1"/>
  <c r="D62" i="14" s="1"/>
  <c r="D63" i="14" s="1"/>
  <c r="D64" i="14" s="1"/>
  <c r="D65" i="14" s="1"/>
  <c r="D66" i="14" s="1"/>
  <c r="D67" i="14" s="1"/>
  <c r="D68" i="14" s="1"/>
  <c r="D69" i="14" s="1"/>
  <c r="D70" i="14" s="1"/>
  <c r="D71" i="14" s="1"/>
  <c r="D72" i="14" s="1"/>
  <c r="D73" i="14" s="1"/>
  <c r="D74" i="14" s="1"/>
  <c r="D75" i="14" s="1"/>
  <c r="D76" i="14" s="1"/>
  <c r="D77" i="14" s="1"/>
  <c r="D78" i="14" s="1"/>
  <c r="D79" i="14" s="1"/>
  <c r="D80" i="14" s="1"/>
  <c r="D81" i="14" s="1"/>
  <c r="D82" i="14" s="1"/>
  <c r="D83" i="14" s="1"/>
  <c r="D84" i="14" s="1"/>
  <c r="D85" i="14" s="1"/>
  <c r="D86" i="14" s="1"/>
  <c r="D87" i="14" s="1"/>
  <c r="D88" i="14" s="1"/>
  <c r="D89" i="14" s="1"/>
  <c r="D90" i="14" s="1"/>
  <c r="D91" i="14" s="1"/>
  <c r="D92" i="14" s="1"/>
  <c r="D93" i="14" s="1"/>
  <c r="D94" i="14" s="1"/>
  <c r="D95" i="14" s="1"/>
  <c r="D96" i="14" s="1"/>
  <c r="D97" i="14" s="1"/>
  <c r="D98" i="14" s="1"/>
  <c r="D99" i="14" s="1"/>
  <c r="D100" i="14" s="1"/>
  <c r="D101" i="14" s="1"/>
  <c r="D102" i="14" s="1"/>
  <c r="D103" i="14" s="1"/>
  <c r="D104" i="14" s="1"/>
  <c r="D105" i="14" s="1"/>
  <c r="D106" i="14" s="1"/>
  <c r="D107" i="14" s="1"/>
  <c r="D108" i="14" s="1"/>
  <c r="D109" i="14" s="1"/>
  <c r="D110" i="14" s="1"/>
  <c r="D111" i="14" s="1"/>
  <c r="D112" i="14" s="1"/>
  <c r="D113" i="14" s="1"/>
  <c r="D114" i="14" s="1"/>
  <c r="D115" i="14" s="1"/>
  <c r="D116" i="14" s="1"/>
  <c r="D117" i="14" s="1"/>
  <c r="D118" i="14" s="1"/>
  <c r="D119" i="14" s="1"/>
  <c r="D120" i="14" s="1"/>
  <c r="D121" i="14" s="1"/>
  <c r="D122" i="14" s="1"/>
  <c r="D123" i="14" s="1"/>
  <c r="D124" i="14" s="1"/>
  <c r="D125" i="14" s="1"/>
  <c r="D126" i="14" s="1"/>
  <c r="D127" i="14" s="1"/>
  <c r="D128" i="14" s="1"/>
  <c r="D129" i="14" s="1"/>
  <c r="D130" i="14" s="1"/>
  <c r="D131" i="14" s="1"/>
  <c r="D132" i="14" s="1"/>
  <c r="D133" i="14" s="1"/>
  <c r="D134" i="14" s="1"/>
  <c r="D135" i="14" s="1"/>
  <c r="D136" i="14" s="1"/>
  <c r="D137" i="14" s="1"/>
  <c r="D138" i="14" s="1"/>
  <c r="D139" i="14" s="1"/>
  <c r="D140" i="14" s="1"/>
  <c r="D141" i="14" s="1"/>
  <c r="D142" i="14" s="1"/>
  <c r="D143" i="14" s="1"/>
  <c r="D144" i="14" s="1"/>
  <c r="D145" i="14" s="1"/>
  <c r="D146" i="14" s="1"/>
  <c r="D147" i="14" s="1"/>
  <c r="D148" i="14" s="1"/>
  <c r="D149" i="14" s="1"/>
  <c r="D150" i="14" s="1"/>
  <c r="D151" i="14" s="1"/>
  <c r="D152" i="14" s="1"/>
  <c r="D153" i="14" s="1"/>
  <c r="D154" i="14" s="1"/>
  <c r="D155" i="14" s="1"/>
  <c r="D156" i="14" s="1"/>
  <c r="D157" i="14" s="1"/>
  <c r="D158" i="14" s="1"/>
  <c r="D159" i="14" s="1"/>
  <c r="D160" i="14" s="1"/>
  <c r="D161" i="14" s="1"/>
  <c r="D162" i="14" s="1"/>
  <c r="D163" i="14" s="1"/>
  <c r="D164" i="14" s="1"/>
  <c r="D165" i="14" s="1"/>
  <c r="D166" i="14" s="1"/>
  <c r="D167" i="14" s="1"/>
  <c r="D168" i="14" s="1"/>
  <c r="D169" i="14" s="1"/>
  <c r="D170" i="14" s="1"/>
  <c r="D171" i="14" s="1"/>
  <c r="D172" i="14" s="1"/>
  <c r="D173" i="14" s="1"/>
  <c r="D174" i="14" s="1"/>
  <c r="D175" i="14" s="1"/>
  <c r="D176" i="14" s="1"/>
  <c r="D177" i="14" s="1"/>
  <c r="D178" i="14" s="1"/>
  <c r="D179" i="14" s="1"/>
  <c r="D180" i="14" s="1"/>
  <c r="D181" i="14" s="1"/>
  <c r="D182" i="14" s="1"/>
  <c r="D183" i="14" s="1"/>
  <c r="D184" i="14" s="1"/>
  <c r="D185" i="14" s="1"/>
  <c r="D186" i="14" s="1"/>
  <c r="D187" i="14" s="1"/>
  <c r="D188" i="14" s="1"/>
  <c r="D189" i="14" s="1"/>
  <c r="D190" i="14" s="1"/>
  <c r="D191" i="14" s="1"/>
  <c r="D192" i="14" s="1"/>
  <c r="D193" i="14" s="1"/>
  <c r="D194" i="14" s="1"/>
  <c r="D195" i="14" s="1"/>
  <c r="D196" i="14" s="1"/>
  <c r="D197" i="14" s="1"/>
  <c r="D198" i="14" s="1"/>
  <c r="D199" i="14" s="1"/>
  <c r="D200" i="14" s="1"/>
  <c r="D201" i="14" s="1"/>
  <c r="D202" i="14" s="1"/>
  <c r="D203" i="14" s="1"/>
  <c r="D204" i="14" s="1"/>
  <c r="D205" i="14" s="1"/>
  <c r="D206" i="14" s="1"/>
  <c r="D207" i="14" s="1"/>
  <c r="D208" i="14" s="1"/>
  <c r="D209" i="14" s="1"/>
  <c r="D210" i="14" s="1"/>
  <c r="D211" i="14" s="1"/>
  <c r="D212" i="14" s="1"/>
  <c r="D213" i="14" s="1"/>
  <c r="D214" i="14" s="1"/>
  <c r="D215" i="14" s="1"/>
  <c r="D216" i="14" s="1"/>
  <c r="D217" i="14" s="1"/>
  <c r="D218" i="14" s="1"/>
  <c r="D219" i="14" s="1"/>
  <c r="D220" i="14" s="1"/>
  <c r="D221" i="14" s="1"/>
  <c r="D222" i="14" s="1"/>
  <c r="D223" i="14" s="1"/>
  <c r="D224" i="14" s="1"/>
  <c r="D225" i="14" s="1"/>
  <c r="D226" i="14" s="1"/>
  <c r="D227" i="14" s="1"/>
  <c r="D228" i="14" s="1"/>
  <c r="D229" i="14" s="1"/>
  <c r="D230" i="14" s="1"/>
  <c r="D231" i="14" s="1"/>
  <c r="D232" i="14" s="1"/>
  <c r="D233" i="14" s="1"/>
  <c r="D234" i="14" s="1"/>
  <c r="D235" i="14" s="1"/>
  <c r="D236" i="14" s="1"/>
  <c r="D237" i="14" s="1"/>
  <c r="D238" i="14" s="1"/>
  <c r="D239" i="14" s="1"/>
  <c r="D240" i="14" s="1"/>
  <c r="D241" i="14" s="1"/>
  <c r="D242" i="14" s="1"/>
  <c r="D243" i="14" s="1"/>
  <c r="D244" i="14" s="1"/>
  <c r="D245" i="14" s="1"/>
  <c r="D246" i="14" s="1"/>
  <c r="D247" i="14" s="1"/>
  <c r="D248" i="14" s="1"/>
  <c r="D249" i="14" s="1"/>
  <c r="D250" i="14" s="1"/>
  <c r="D251" i="14" s="1"/>
  <c r="D252" i="14" s="1"/>
  <c r="D253" i="14" s="1"/>
  <c r="D254" i="14" s="1"/>
  <c r="D255" i="14" s="1"/>
  <c r="D256" i="14" s="1"/>
  <c r="D257" i="14" s="1"/>
  <c r="D258" i="14" s="1"/>
  <c r="D259" i="14" s="1"/>
  <c r="D260" i="14" s="1"/>
  <c r="D261" i="14" s="1"/>
  <c r="D262" i="14" s="1"/>
  <c r="D263" i="14" s="1"/>
  <c r="D264" i="14" s="1"/>
  <c r="D265" i="14" s="1"/>
  <c r="D266" i="14" s="1"/>
  <c r="D267" i="14" s="1"/>
  <c r="D268" i="14" s="1"/>
  <c r="D269" i="14" s="1"/>
  <c r="D270" i="14" s="1"/>
  <c r="D271" i="14" s="1"/>
  <c r="D272" i="14" s="1"/>
  <c r="D273" i="14" s="1"/>
  <c r="D274" i="14" s="1"/>
  <c r="D275" i="14" s="1"/>
  <c r="D276" i="14" s="1"/>
  <c r="D277" i="14" s="1"/>
  <c r="D278" i="14" s="1"/>
  <c r="D279" i="14" s="1"/>
  <c r="D280" i="14" s="1"/>
  <c r="D281" i="14" s="1"/>
  <c r="D282" i="14" s="1"/>
  <c r="D283" i="14" s="1"/>
  <c r="D284" i="14" s="1"/>
  <c r="D285" i="14" s="1"/>
  <c r="D286" i="14" s="1"/>
  <c r="D287" i="14" s="1"/>
  <c r="D288" i="14" s="1"/>
  <c r="D289" i="14" s="1"/>
  <c r="D290" i="14" s="1"/>
  <c r="D291" i="14" s="1"/>
  <c r="D292" i="14" s="1"/>
  <c r="D293" i="14" s="1"/>
  <c r="D294" i="14" s="1"/>
  <c r="D295" i="14" s="1"/>
  <c r="D296" i="14" s="1"/>
  <c r="D297" i="14" s="1"/>
  <c r="D298" i="14" s="1"/>
  <c r="D299" i="14" s="1"/>
  <c r="D300" i="14" s="1"/>
  <c r="D301" i="14" s="1"/>
  <c r="D302" i="14" s="1"/>
  <c r="D303" i="14" s="1"/>
  <c r="D304" i="14" s="1"/>
  <c r="D305" i="14" s="1"/>
  <c r="D306" i="14" s="1"/>
  <c r="D307" i="14" s="1"/>
  <c r="D308" i="14" s="1"/>
  <c r="D309" i="14" s="1"/>
  <c r="D310" i="14" s="1"/>
  <c r="D311" i="14" s="1"/>
  <c r="D312" i="14" s="1"/>
  <c r="D313" i="14" s="1"/>
  <c r="D314" i="14" s="1"/>
  <c r="D315" i="14" s="1"/>
  <c r="D316" i="14" s="1"/>
  <c r="D317" i="14" s="1"/>
  <c r="D318" i="14" s="1"/>
  <c r="D319" i="14" s="1"/>
  <c r="D320" i="14" s="1"/>
  <c r="D321" i="14" s="1"/>
  <c r="D322" i="14" s="1"/>
  <c r="D323" i="14" s="1"/>
  <c r="D324" i="14" s="1"/>
  <c r="D325" i="14" s="1"/>
  <c r="D326" i="14" s="1"/>
  <c r="D327" i="14" s="1"/>
  <c r="D328" i="14" s="1"/>
  <c r="D329" i="14" s="1"/>
  <c r="D330" i="14" s="1"/>
  <c r="D331" i="14" s="1"/>
  <c r="D332" i="14" s="1"/>
  <c r="D333" i="14" s="1"/>
  <c r="D334" i="14" s="1"/>
  <c r="D335" i="14" s="1"/>
  <c r="D336" i="14" s="1"/>
  <c r="D337" i="14" s="1"/>
  <c r="D338" i="14" s="1"/>
  <c r="D339" i="14" s="1"/>
  <c r="D340" i="14" s="1"/>
  <c r="D341" i="14" s="1"/>
  <c r="D342" i="14" s="1"/>
  <c r="D343" i="14" s="1"/>
  <c r="D344" i="14" s="1"/>
  <c r="D345" i="14" s="1"/>
  <c r="D346" i="14" s="1"/>
  <c r="D347" i="14" s="1"/>
  <c r="D348" i="14" s="1"/>
  <c r="D349" i="14" s="1"/>
  <c r="D350" i="14" s="1"/>
  <c r="D351" i="14" s="1"/>
  <c r="D352" i="14" s="1"/>
  <c r="D353" i="14" s="1"/>
  <c r="D354" i="14" s="1"/>
  <c r="D355" i="14" s="1"/>
  <c r="D356" i="14" s="1"/>
  <c r="D357" i="14" s="1"/>
  <c r="D358" i="14" s="1"/>
  <c r="D359" i="14" s="1"/>
  <c r="D360" i="14" s="1"/>
  <c r="D361" i="14" s="1"/>
  <c r="D362" i="14" s="1"/>
  <c r="D363" i="14" s="1"/>
  <c r="D364" i="14" s="1"/>
  <c r="D365" i="14" s="1"/>
  <c r="D366" i="14" s="1"/>
  <c r="D367" i="14" s="1"/>
  <c r="D368" i="14" s="1"/>
  <c r="D369" i="14" s="1"/>
  <c r="D370" i="14" s="1"/>
  <c r="D371" i="14" s="1"/>
  <c r="D372" i="14" s="1"/>
  <c r="D373" i="14" s="1"/>
  <c r="D374" i="14" s="1"/>
  <c r="D375" i="14" s="1"/>
  <c r="D376" i="14" s="1"/>
  <c r="D377" i="14" s="1"/>
  <c r="D378" i="14" s="1"/>
  <c r="D379" i="14" s="1"/>
  <c r="D380" i="14" s="1"/>
  <c r="D381" i="14" s="1"/>
  <c r="D382" i="14" s="1"/>
  <c r="D383" i="14" s="1"/>
  <c r="D384" i="14" s="1"/>
  <c r="D385" i="14" s="1"/>
  <c r="D386" i="14" s="1"/>
  <c r="D387" i="14" s="1"/>
  <c r="D388" i="14" s="1"/>
  <c r="D389" i="14" s="1"/>
  <c r="D390" i="14" s="1"/>
  <c r="D391" i="14" s="1"/>
  <c r="D392" i="14" s="1"/>
  <c r="D393" i="14" s="1"/>
  <c r="D394" i="14" s="1"/>
  <c r="D395" i="14" s="1"/>
  <c r="D396" i="14" s="1"/>
  <c r="D397" i="14" s="1"/>
  <c r="D398" i="14" s="1"/>
  <c r="D399" i="14" s="1"/>
  <c r="D400" i="14" s="1"/>
  <c r="D401" i="14" s="1"/>
  <c r="D402" i="14" s="1"/>
  <c r="D403" i="14" s="1"/>
  <c r="D404" i="14" s="1"/>
  <c r="D405" i="14" s="1"/>
  <c r="D406" i="14" s="1"/>
  <c r="D407" i="14" s="1"/>
  <c r="D408" i="14" s="1"/>
  <c r="D409" i="14" s="1"/>
  <c r="D410" i="14" s="1"/>
  <c r="D411" i="14" s="1"/>
  <c r="D412" i="14" s="1"/>
  <c r="D413" i="14" s="1"/>
  <c r="D414" i="14" s="1"/>
  <c r="D415" i="14" s="1"/>
  <c r="D416" i="14" s="1"/>
  <c r="D417" i="14" s="1"/>
  <c r="D418" i="14" s="1"/>
  <c r="D419" i="14" s="1"/>
  <c r="D420" i="14" s="1"/>
  <c r="D421" i="14" s="1"/>
  <c r="D422" i="14" s="1"/>
  <c r="D423" i="14" s="1"/>
  <c r="D424" i="14" s="1"/>
  <c r="D425" i="14" s="1"/>
  <c r="D426" i="14" s="1"/>
  <c r="D427" i="14" s="1"/>
  <c r="D428" i="14" s="1"/>
  <c r="D429" i="14" s="1"/>
  <c r="D430" i="14" s="1"/>
  <c r="D431" i="14" s="1"/>
  <c r="D432" i="14" s="1"/>
  <c r="D433" i="14" s="1"/>
  <c r="D434" i="14" s="1"/>
  <c r="D435" i="14" s="1"/>
  <c r="D436" i="14" s="1"/>
  <c r="D437" i="14" s="1"/>
  <c r="D438" i="14" s="1"/>
  <c r="D439" i="14" s="1"/>
  <c r="D440" i="14" s="1"/>
  <c r="D441" i="14" s="1"/>
  <c r="D442" i="14" s="1"/>
  <c r="D443" i="14" s="1"/>
  <c r="D444" i="14" s="1"/>
  <c r="D445" i="14" s="1"/>
  <c r="D446" i="14" s="1"/>
  <c r="D447" i="14" s="1"/>
  <c r="D448" i="14" s="1"/>
  <c r="D449" i="14" s="1"/>
  <c r="D450" i="14" s="1"/>
  <c r="D451" i="14" s="1"/>
  <c r="D452" i="14" s="1"/>
  <c r="D453" i="14" s="1"/>
  <c r="D454" i="14" s="1"/>
  <c r="D455" i="14" s="1"/>
  <c r="D456" i="14" s="1"/>
  <c r="D457" i="14" s="1"/>
  <c r="D458" i="14" s="1"/>
  <c r="D459" i="14" s="1"/>
  <c r="D460" i="14" s="1"/>
  <c r="D461" i="14" s="1"/>
  <c r="D462" i="14" s="1"/>
  <c r="D463" i="14" s="1"/>
  <c r="D464" i="14" s="1"/>
  <c r="D465" i="14" s="1"/>
  <c r="D466" i="14" s="1"/>
  <c r="D467" i="14" s="1"/>
  <c r="D468" i="14" s="1"/>
  <c r="D469" i="14" s="1"/>
  <c r="D470" i="14" s="1"/>
  <c r="D471" i="14" s="1"/>
  <c r="D472" i="14" s="1"/>
  <c r="D473" i="14" s="1"/>
  <c r="D474" i="14" s="1"/>
  <c r="D475" i="14" s="1"/>
  <c r="D476" i="14" s="1"/>
  <c r="D477" i="14" s="1"/>
  <c r="D478" i="14" s="1"/>
  <c r="D479" i="14" s="1"/>
  <c r="D480" i="14" s="1"/>
  <c r="D481" i="14" s="1"/>
  <c r="D482" i="14" s="1"/>
  <c r="D483" i="14" s="1"/>
  <c r="D484" i="14" s="1"/>
  <c r="D485" i="14" s="1"/>
  <c r="D486" i="14" s="1"/>
  <c r="D487" i="14" s="1"/>
  <c r="D488" i="14" s="1"/>
  <c r="D489" i="14" s="1"/>
  <c r="D490" i="14" s="1"/>
  <c r="D491" i="14" s="1"/>
  <c r="D492" i="14" s="1"/>
  <c r="D493" i="14" s="1"/>
  <c r="D494" i="14" s="1"/>
  <c r="D495" i="14" s="1"/>
  <c r="D496" i="14" s="1"/>
  <c r="D497" i="14" s="1"/>
  <c r="D498" i="14" s="1"/>
  <c r="D499" i="14" s="1"/>
  <c r="D500" i="14" s="1"/>
  <c r="D501" i="14" s="1"/>
  <c r="D502" i="14" s="1"/>
  <c r="D503" i="14" s="1"/>
  <c r="D504" i="14" s="1"/>
  <c r="D505" i="14" s="1"/>
  <c r="D506" i="14" s="1"/>
  <c r="D507" i="14" s="1"/>
  <c r="D508" i="14" s="1"/>
  <c r="D509" i="14" s="1"/>
  <c r="D510" i="14" s="1"/>
  <c r="D511" i="14" s="1"/>
  <c r="D512" i="14" s="1"/>
  <c r="D513" i="14" s="1"/>
  <c r="D514" i="14" s="1"/>
  <c r="D515" i="14" s="1"/>
  <c r="D516" i="14" s="1"/>
  <c r="D517" i="14" s="1"/>
  <c r="D518" i="14" s="1"/>
  <c r="D519" i="14" s="1"/>
  <c r="D520" i="14" s="1"/>
  <c r="D521" i="14" s="1"/>
  <c r="D522" i="14" s="1"/>
  <c r="D523" i="14" s="1"/>
  <c r="D524" i="14" s="1"/>
  <c r="D525" i="14" s="1"/>
  <c r="D526" i="14" s="1"/>
  <c r="D527" i="14" s="1"/>
  <c r="D528" i="14" s="1"/>
  <c r="D529" i="14" s="1"/>
  <c r="D530" i="14" s="1"/>
  <c r="D531" i="14" s="1"/>
  <c r="D532" i="14" s="1"/>
  <c r="D533" i="14" s="1"/>
  <c r="D534" i="14" s="1"/>
  <c r="D535" i="14" s="1"/>
  <c r="D536" i="14" s="1"/>
  <c r="D537" i="14" s="1"/>
  <c r="D538" i="14" s="1"/>
  <c r="D539" i="14" s="1"/>
  <c r="D9" i="14"/>
  <c r="E9" i="14" a="1"/>
  <c r="E9" i="14" s="1"/>
  <c r="BY4" i="1"/>
  <c r="BY5" i="1"/>
  <c r="BY6" i="1"/>
  <c r="BY7" i="1"/>
  <c r="BY8" i="1"/>
  <c r="BY9" i="1"/>
  <c r="BY10" i="1"/>
  <c r="BY11" i="1"/>
  <c r="BY12" i="1"/>
  <c r="BY13" i="1"/>
  <c r="BY14" i="1"/>
  <c r="BY15" i="1"/>
  <c r="BY16" i="1"/>
  <c r="BY17" i="1"/>
  <c r="BY18" i="1"/>
  <c r="BY19" i="1"/>
  <c r="BY20" i="1"/>
  <c r="BY21" i="1"/>
  <c r="BY22" i="1"/>
  <c r="BY23" i="1"/>
  <c r="BY24" i="1"/>
  <c r="BY25" i="1"/>
  <c r="BY26" i="1"/>
  <c r="BY27" i="1"/>
  <c r="BY28" i="1"/>
  <c r="BY29" i="1"/>
  <c r="BY30" i="1"/>
  <c r="BY31" i="1"/>
  <c r="BY32" i="1"/>
  <c r="BY33" i="1"/>
  <c r="BY34" i="1"/>
  <c r="BY35" i="1"/>
  <c r="BY36" i="1"/>
  <c r="BY37" i="1"/>
  <c r="BY38" i="1"/>
  <c r="BY39" i="1"/>
  <c r="BY40" i="1"/>
  <c r="BY41" i="1"/>
  <c r="BY42" i="1"/>
  <c r="BY43" i="1"/>
  <c r="BY44" i="1"/>
  <c r="BY45" i="1"/>
  <c r="BY46" i="1"/>
  <c r="BY47" i="1"/>
  <c r="BY48" i="1"/>
  <c r="BY49" i="1"/>
  <c r="BY50" i="1"/>
  <c r="BY51" i="1"/>
  <c r="BY52" i="1"/>
  <c r="BY53" i="1"/>
  <c r="BY54" i="1"/>
  <c r="BY55" i="1"/>
  <c r="BY56" i="1"/>
  <c r="BY57" i="1"/>
  <c r="BY58" i="1"/>
  <c r="BY59" i="1"/>
  <c r="BY60" i="1"/>
  <c r="BY61" i="1"/>
  <c r="BY62" i="1"/>
  <c r="BY63" i="1"/>
  <c r="BY64" i="1"/>
  <c r="BY65" i="1"/>
  <c r="BY66" i="1"/>
  <c r="BY67" i="1"/>
  <c r="BY68" i="1"/>
  <c r="BY69" i="1"/>
  <c r="BY70" i="1"/>
  <c r="BY71" i="1"/>
  <c r="BY72" i="1"/>
  <c r="BY73" i="1"/>
  <c r="BY74" i="1"/>
  <c r="BY75" i="1"/>
  <c r="BY76" i="1"/>
  <c r="BY77" i="1"/>
  <c r="BY78" i="1"/>
  <c r="BY79" i="1"/>
  <c r="BY80" i="1"/>
  <c r="BY81" i="1"/>
  <c r="BY82" i="1"/>
  <c r="BY83" i="1"/>
  <c r="BY84" i="1"/>
  <c r="BY85" i="1"/>
  <c r="BY86" i="1"/>
  <c r="BY87" i="1"/>
  <c r="BY88" i="1"/>
  <c r="BY89" i="1"/>
  <c r="BY90" i="1"/>
  <c r="BY91" i="1"/>
  <c r="BY92" i="1"/>
  <c r="BY93" i="1"/>
  <c r="BY94" i="1"/>
  <c r="BY95" i="1"/>
  <c r="BY96" i="1"/>
  <c r="BY97" i="1"/>
  <c r="BY98" i="1"/>
  <c r="BY99" i="1"/>
  <c r="BY100" i="1"/>
  <c r="BY101" i="1"/>
  <c r="BY102" i="1"/>
  <c r="BY103" i="1"/>
  <c r="BY104" i="1"/>
  <c r="BY105" i="1"/>
  <c r="BY106" i="1"/>
  <c r="BY107" i="1"/>
  <c r="BY108" i="1"/>
  <c r="BY109" i="1"/>
  <c r="BY110" i="1"/>
  <c r="BY111" i="1"/>
  <c r="BY112" i="1"/>
  <c r="BY113" i="1"/>
  <c r="BY114" i="1"/>
  <c r="BY115" i="1"/>
  <c r="BY116" i="1"/>
  <c r="BY117" i="1"/>
  <c r="BY118" i="1"/>
  <c r="BY119" i="1"/>
  <c r="BY120" i="1"/>
  <c r="BY121" i="1"/>
  <c r="BY122" i="1"/>
  <c r="BY123" i="1"/>
  <c r="BY124" i="1"/>
  <c r="BY125" i="1"/>
  <c r="BY126" i="1"/>
  <c r="BY127" i="1"/>
  <c r="BY128" i="1"/>
  <c r="BY129" i="1"/>
  <c r="BY130" i="1"/>
  <c r="BY131" i="1"/>
  <c r="BY132" i="1"/>
  <c r="BY133" i="1"/>
  <c r="BY134" i="1"/>
  <c r="BY135" i="1"/>
  <c r="BY136" i="1"/>
  <c r="BY137" i="1"/>
  <c r="BY138" i="1"/>
  <c r="BY139" i="1"/>
  <c r="BY140" i="1"/>
  <c r="BY141" i="1"/>
  <c r="BY142" i="1"/>
  <c r="BY143" i="1"/>
  <c r="BY144" i="1"/>
  <c r="BY145" i="1"/>
  <c r="BY146" i="1"/>
  <c r="BY147" i="1"/>
  <c r="BY148" i="1"/>
  <c r="BY149" i="1"/>
  <c r="BY150" i="1"/>
  <c r="BY151" i="1"/>
  <c r="BY152" i="1"/>
  <c r="BY153" i="1"/>
  <c r="BY154" i="1"/>
  <c r="BY155" i="1"/>
  <c r="BY156" i="1"/>
  <c r="BY157" i="1"/>
  <c r="BY158" i="1"/>
  <c r="BY159" i="1"/>
  <c r="BY160" i="1"/>
  <c r="BY161" i="1"/>
  <c r="BY162" i="1"/>
  <c r="BY163" i="1"/>
  <c r="BY164" i="1"/>
  <c r="BY165" i="1"/>
  <c r="BY166" i="1"/>
  <c r="BY167" i="1"/>
  <c r="BY168" i="1"/>
  <c r="BY169" i="1"/>
  <c r="BY170" i="1"/>
  <c r="BY171" i="1"/>
  <c r="BY172" i="1"/>
  <c r="BY173" i="1"/>
  <c r="BY174" i="1"/>
  <c r="BY175" i="1"/>
  <c r="BY176" i="1"/>
  <c r="BY177" i="1"/>
  <c r="BY178" i="1"/>
  <c r="BY179" i="1"/>
  <c r="BY180" i="1"/>
  <c r="BY181" i="1"/>
  <c r="BY182" i="1"/>
  <c r="BY183" i="1"/>
  <c r="BY184" i="1"/>
  <c r="BY185" i="1"/>
  <c r="BY186" i="1"/>
  <c r="BY187" i="1"/>
  <c r="BY188" i="1"/>
  <c r="BY189" i="1"/>
  <c r="BY190" i="1"/>
  <c r="BY191" i="1"/>
  <c r="BY192" i="1"/>
  <c r="BY193" i="1"/>
  <c r="BY194" i="1"/>
  <c r="BY195" i="1"/>
  <c r="BY196" i="1"/>
  <c r="BY197" i="1"/>
  <c r="BY198" i="1"/>
  <c r="BY199" i="1"/>
  <c r="BY200" i="1"/>
  <c r="BY201" i="1"/>
  <c r="BY202" i="1"/>
  <c r="BY203" i="1"/>
  <c r="BY204" i="1"/>
  <c r="BY205" i="1"/>
  <c r="BY206" i="1"/>
  <c r="BY207" i="1"/>
  <c r="BY208" i="1"/>
  <c r="BY209" i="1"/>
  <c r="BY210" i="1"/>
  <c r="BY211" i="1"/>
  <c r="BY212" i="1"/>
  <c r="BY213" i="1"/>
  <c r="BY214" i="1"/>
  <c r="BY215" i="1"/>
  <c r="BY216" i="1"/>
  <c r="BY217" i="1"/>
  <c r="BY218" i="1"/>
  <c r="BY219" i="1"/>
  <c r="BY220" i="1"/>
  <c r="BY221" i="1"/>
  <c r="BY222" i="1"/>
  <c r="BY223" i="1"/>
  <c r="BY224" i="1"/>
  <c r="BY225" i="1"/>
  <c r="BY226" i="1"/>
  <c r="BY227" i="1"/>
  <c r="BY228" i="1"/>
  <c r="BY229" i="1"/>
  <c r="BY230" i="1"/>
  <c r="BY231" i="1"/>
  <c r="BY232" i="1"/>
  <c r="BY233" i="1"/>
  <c r="BY234" i="1"/>
  <c r="BY235" i="1"/>
  <c r="BY236" i="1"/>
  <c r="BY237" i="1"/>
  <c r="BY238" i="1"/>
  <c r="BY239" i="1"/>
  <c r="BY240" i="1"/>
  <c r="BY241" i="1"/>
  <c r="BY242" i="1"/>
  <c r="BY243" i="1"/>
  <c r="BY244" i="1"/>
  <c r="BY245" i="1"/>
  <c r="BY246" i="1"/>
  <c r="BY247" i="1"/>
  <c r="BY248" i="1"/>
  <c r="BY249" i="1"/>
  <c r="BY250" i="1"/>
  <c r="BY251" i="1"/>
  <c r="BY252" i="1"/>
  <c r="BY253" i="1"/>
  <c r="BY254" i="1"/>
  <c r="BY255" i="1"/>
  <c r="BY256" i="1"/>
  <c r="BY257" i="1"/>
  <c r="BY258" i="1"/>
  <c r="BY259" i="1"/>
  <c r="BY260" i="1"/>
  <c r="BY261" i="1"/>
  <c r="BY262" i="1"/>
  <c r="BY263" i="1"/>
  <c r="BY264" i="1"/>
  <c r="BY265" i="1"/>
  <c r="BY266" i="1"/>
  <c r="BY267" i="1"/>
  <c r="BY268" i="1"/>
  <c r="BY269" i="1"/>
  <c r="BY270" i="1"/>
  <c r="BY271" i="1"/>
  <c r="BY272" i="1"/>
  <c r="BY273" i="1"/>
  <c r="BY274" i="1"/>
  <c r="BY275" i="1"/>
  <c r="BY276" i="1"/>
  <c r="BY277" i="1"/>
  <c r="BY278" i="1"/>
  <c r="BY279" i="1"/>
  <c r="BY280" i="1"/>
  <c r="BY281" i="1"/>
  <c r="BY282" i="1"/>
  <c r="BY283" i="1"/>
  <c r="BY284" i="1"/>
  <c r="BY285" i="1"/>
  <c r="BY286" i="1"/>
  <c r="BY287" i="1"/>
  <c r="BY288" i="1"/>
  <c r="BY289" i="1"/>
  <c r="BY290" i="1"/>
  <c r="BY291" i="1"/>
  <c r="BY292" i="1"/>
  <c r="BY293" i="1"/>
  <c r="BY294" i="1"/>
  <c r="BY295" i="1"/>
  <c r="BY296" i="1"/>
  <c r="BY297" i="1"/>
  <c r="BY298" i="1"/>
  <c r="BY299" i="1"/>
  <c r="BY300" i="1"/>
  <c r="BY301" i="1"/>
  <c r="BY302" i="1"/>
  <c r="BY303" i="1"/>
  <c r="BY304" i="1"/>
  <c r="BY305" i="1"/>
  <c r="BY306" i="1"/>
  <c r="BY307" i="1"/>
  <c r="BY308" i="1"/>
  <c r="BY309" i="1"/>
  <c r="BY310" i="1"/>
  <c r="BY311" i="1"/>
  <c r="BY312" i="1"/>
  <c r="BY313" i="1"/>
  <c r="BY314" i="1"/>
  <c r="BY315" i="1"/>
  <c r="BY316" i="1"/>
  <c r="BY317" i="1"/>
  <c r="BY318" i="1"/>
  <c r="BY319" i="1"/>
  <c r="BY320" i="1"/>
  <c r="BY321" i="1"/>
  <c r="BY322" i="1"/>
  <c r="BY323" i="1"/>
  <c r="BY324" i="1"/>
  <c r="BY325" i="1"/>
  <c r="BY326" i="1"/>
  <c r="BY327" i="1"/>
  <c r="BY328" i="1"/>
  <c r="BY329" i="1"/>
  <c r="BY330" i="1"/>
  <c r="BY331" i="1"/>
  <c r="BY332" i="1"/>
  <c r="BY333" i="1"/>
  <c r="BY334" i="1"/>
  <c r="BY335" i="1"/>
  <c r="BY336" i="1"/>
  <c r="BY337" i="1"/>
  <c r="BY338" i="1"/>
  <c r="BY339" i="1"/>
  <c r="BY340" i="1"/>
  <c r="BY341" i="1"/>
  <c r="BY342" i="1"/>
  <c r="BY343" i="1"/>
  <c r="BY344" i="1"/>
  <c r="BY345" i="1"/>
  <c r="BY346" i="1"/>
  <c r="BY347" i="1"/>
  <c r="BY348" i="1"/>
  <c r="BY349" i="1"/>
  <c r="BY350" i="1"/>
  <c r="BY351" i="1"/>
  <c r="BY352" i="1"/>
  <c r="BY353" i="1"/>
  <c r="BY354" i="1"/>
  <c r="BY355" i="1"/>
  <c r="BY356" i="1"/>
  <c r="BY357" i="1"/>
  <c r="BY358" i="1"/>
  <c r="BY359" i="1"/>
  <c r="BY360" i="1"/>
  <c r="BY361" i="1"/>
  <c r="BY362" i="1"/>
  <c r="BY363" i="1"/>
  <c r="BY364" i="1"/>
  <c r="BY365" i="1"/>
  <c r="BY366" i="1"/>
  <c r="BY367" i="1"/>
  <c r="BY368" i="1"/>
  <c r="BY369" i="1"/>
  <c r="BY370" i="1"/>
  <c r="BY371" i="1"/>
  <c r="BY372" i="1"/>
  <c r="BY373" i="1"/>
  <c r="BY374" i="1"/>
  <c r="BY375" i="1"/>
  <c r="BY376" i="1"/>
  <c r="BY377" i="1"/>
  <c r="BY378" i="1"/>
  <c r="BY379" i="1"/>
  <c r="BY380" i="1"/>
  <c r="BY381" i="1"/>
  <c r="BY382" i="1"/>
  <c r="BY383" i="1"/>
  <c r="BY384" i="1"/>
  <c r="BY385" i="1"/>
  <c r="BY386" i="1"/>
  <c r="BY387" i="1"/>
  <c r="BY388" i="1"/>
  <c r="BY389" i="1"/>
  <c r="BY390" i="1"/>
  <c r="BY391" i="1"/>
  <c r="BY392" i="1"/>
  <c r="BY393" i="1"/>
  <c r="BY394" i="1"/>
  <c r="BY395" i="1"/>
  <c r="BY396" i="1"/>
  <c r="BY397" i="1"/>
  <c r="BY398" i="1"/>
  <c r="BY399" i="1"/>
  <c r="BY400" i="1"/>
  <c r="BY401" i="1"/>
  <c r="BY402" i="1"/>
  <c r="BY403" i="1"/>
  <c r="BY404" i="1"/>
  <c r="BY405" i="1"/>
  <c r="BY406" i="1"/>
  <c r="BY407" i="1"/>
  <c r="BY408" i="1"/>
  <c r="BY409" i="1"/>
  <c r="BY410" i="1"/>
  <c r="BY411" i="1"/>
  <c r="BY412" i="1"/>
  <c r="BY413" i="1"/>
  <c r="BY414" i="1"/>
  <c r="BY415" i="1"/>
  <c r="BY416" i="1"/>
  <c r="BY417" i="1"/>
  <c r="BY418" i="1"/>
  <c r="BY419" i="1"/>
  <c r="BY420" i="1"/>
  <c r="BY421" i="1"/>
  <c r="BY422" i="1"/>
  <c r="BY423" i="1"/>
  <c r="BY424" i="1"/>
  <c r="BY425" i="1"/>
  <c r="BY426" i="1"/>
  <c r="BY427" i="1"/>
  <c r="BY428" i="1"/>
  <c r="BY429" i="1"/>
  <c r="BY430" i="1"/>
  <c r="BY431" i="1"/>
  <c r="BY432" i="1"/>
  <c r="BY433" i="1"/>
  <c r="BY434" i="1"/>
  <c r="BY435" i="1"/>
  <c r="BY436" i="1"/>
  <c r="BY437" i="1"/>
  <c r="BY438" i="1"/>
  <c r="BY439" i="1"/>
  <c r="BY440" i="1"/>
  <c r="BY441" i="1"/>
  <c r="BY442" i="1"/>
  <c r="BY443" i="1"/>
  <c r="BY444" i="1"/>
  <c r="BY445" i="1"/>
  <c r="BY446" i="1"/>
  <c r="BY447" i="1"/>
  <c r="BY448" i="1"/>
  <c r="BY449" i="1"/>
  <c r="BY450" i="1"/>
  <c r="BY451" i="1"/>
  <c r="BY452" i="1"/>
  <c r="BY453" i="1"/>
  <c r="BY454" i="1"/>
  <c r="BY455" i="1"/>
  <c r="BY456" i="1"/>
  <c r="BY457" i="1"/>
  <c r="BY458" i="1"/>
  <c r="BY459" i="1"/>
  <c r="BY460" i="1"/>
  <c r="BY461" i="1"/>
  <c r="BY462" i="1"/>
  <c r="BY463" i="1"/>
  <c r="BY464" i="1"/>
  <c r="BY465" i="1"/>
  <c r="BY466" i="1"/>
  <c r="BY467" i="1"/>
  <c r="BY468" i="1"/>
  <c r="BY469" i="1"/>
  <c r="BY470" i="1"/>
  <c r="BY471" i="1"/>
  <c r="BY472" i="1"/>
  <c r="BY473" i="1"/>
  <c r="BY474" i="1"/>
  <c r="BY475" i="1"/>
  <c r="BY476" i="1"/>
  <c r="BY477" i="1"/>
  <c r="BY478" i="1"/>
  <c r="BY479" i="1"/>
  <c r="BY480" i="1"/>
  <c r="BY481" i="1"/>
  <c r="BY482" i="1"/>
  <c r="BY483" i="1"/>
  <c r="BY484" i="1"/>
  <c r="BY485" i="1"/>
  <c r="BY486" i="1"/>
  <c r="BY487" i="1"/>
  <c r="BY488" i="1"/>
  <c r="BY489" i="1"/>
  <c r="BY490" i="1"/>
  <c r="BY491" i="1"/>
  <c r="BY492" i="1"/>
  <c r="BY493" i="1"/>
  <c r="BY494" i="1"/>
  <c r="BY495" i="1"/>
  <c r="BY496" i="1"/>
  <c r="BY497" i="1"/>
  <c r="BY498" i="1"/>
  <c r="BY499" i="1"/>
  <c r="BY500" i="1"/>
  <c r="BY501" i="1"/>
  <c r="BY502" i="1"/>
  <c r="BY503" i="1"/>
  <c r="BY504" i="1"/>
  <c r="BY505" i="1"/>
  <c r="BY506" i="1"/>
  <c r="BY507" i="1"/>
  <c r="BY508" i="1"/>
  <c r="BY509" i="1"/>
  <c r="BY510" i="1"/>
  <c r="BY511" i="1"/>
  <c r="BY512" i="1"/>
  <c r="BY513" i="1"/>
  <c r="BY514" i="1"/>
  <c r="BY515" i="1"/>
  <c r="BY516" i="1"/>
  <c r="BY517" i="1"/>
  <c r="BY518" i="1"/>
  <c r="BY519" i="1"/>
  <c r="BY520" i="1"/>
  <c r="BY521" i="1"/>
  <c r="BY522" i="1"/>
  <c r="BY523" i="1"/>
  <c r="BY524" i="1"/>
  <c r="BY525" i="1"/>
  <c r="BY526" i="1"/>
  <c r="BY527" i="1"/>
  <c r="BY528" i="1"/>
  <c r="BY529" i="1"/>
  <c r="BY530" i="1"/>
  <c r="BY531" i="1"/>
  <c r="BY532" i="1"/>
  <c r="BY533" i="1"/>
  <c r="BY3" i="1"/>
  <c r="BV4" i="1"/>
  <c r="BV5" i="1"/>
  <c r="BV6" i="1"/>
  <c r="BV7" i="1"/>
  <c r="BV8" i="1"/>
  <c r="BV9" i="1"/>
  <c r="BV10" i="1"/>
  <c r="BV11" i="1"/>
  <c r="BV12" i="1"/>
  <c r="BV13" i="1"/>
  <c r="BV14" i="1"/>
  <c r="BV15" i="1"/>
  <c r="BV16" i="1"/>
  <c r="BV17" i="1"/>
  <c r="BV18" i="1"/>
  <c r="BV19" i="1"/>
  <c r="BV20" i="1"/>
  <c r="BV21" i="1"/>
  <c r="BV22" i="1"/>
  <c r="BV23" i="1"/>
  <c r="BV24" i="1"/>
  <c r="BV25" i="1"/>
  <c r="BV26" i="1"/>
  <c r="BV27" i="1"/>
  <c r="BV28" i="1"/>
  <c r="BV29" i="1"/>
  <c r="BV30" i="1"/>
  <c r="BV31" i="1"/>
  <c r="BV32" i="1"/>
  <c r="BV33" i="1"/>
  <c r="BV34" i="1"/>
  <c r="BV35" i="1"/>
  <c r="BV36" i="1"/>
  <c r="BV37" i="1"/>
  <c r="BV38" i="1"/>
  <c r="BV39" i="1"/>
  <c r="BV40" i="1"/>
  <c r="BV41" i="1"/>
  <c r="BV42" i="1"/>
  <c r="BV43" i="1"/>
  <c r="BV44" i="1"/>
  <c r="BV45" i="1"/>
  <c r="BV46" i="1"/>
  <c r="BV47" i="1"/>
  <c r="BV48" i="1"/>
  <c r="BV49" i="1"/>
  <c r="BV50" i="1"/>
  <c r="BV51" i="1"/>
  <c r="BV52" i="1"/>
  <c r="BV53" i="1"/>
  <c r="BV54" i="1"/>
  <c r="BV55" i="1"/>
  <c r="BV56" i="1"/>
  <c r="BV57" i="1"/>
  <c r="BV58" i="1"/>
  <c r="BV59" i="1"/>
  <c r="BV60" i="1"/>
  <c r="BV61" i="1"/>
  <c r="BV62" i="1"/>
  <c r="BV63" i="1"/>
  <c r="BV64" i="1"/>
  <c r="BV65" i="1"/>
  <c r="BV66" i="1"/>
  <c r="BV67" i="1"/>
  <c r="BV68" i="1"/>
  <c r="BV69" i="1"/>
  <c r="BV70" i="1"/>
  <c r="BV71" i="1"/>
  <c r="BV72" i="1"/>
  <c r="BV73" i="1"/>
  <c r="BV74" i="1"/>
  <c r="BV75" i="1"/>
  <c r="BV76" i="1"/>
  <c r="BV77" i="1"/>
  <c r="BV78" i="1"/>
  <c r="BV79" i="1"/>
  <c r="BV80" i="1"/>
  <c r="BV81" i="1"/>
  <c r="BV82" i="1"/>
  <c r="BV83" i="1"/>
  <c r="BV84" i="1"/>
  <c r="BV85" i="1"/>
  <c r="BV86" i="1"/>
  <c r="BV87" i="1"/>
  <c r="BV88" i="1"/>
  <c r="BV89" i="1"/>
  <c r="BV90" i="1"/>
  <c r="BV91" i="1"/>
  <c r="BV92" i="1"/>
  <c r="BV93" i="1"/>
  <c r="BV94" i="1"/>
  <c r="BV95" i="1"/>
  <c r="BV96" i="1"/>
  <c r="BV97" i="1"/>
  <c r="BV98" i="1"/>
  <c r="BV99" i="1"/>
  <c r="BV100" i="1"/>
  <c r="BV101" i="1"/>
  <c r="BV102" i="1"/>
  <c r="BV103" i="1"/>
  <c r="BV104" i="1"/>
  <c r="BV105" i="1"/>
  <c r="BV106" i="1"/>
  <c r="BV107" i="1"/>
  <c r="BV108" i="1"/>
  <c r="BV109" i="1"/>
  <c r="BV110" i="1"/>
  <c r="BV111" i="1"/>
  <c r="BV112" i="1"/>
  <c r="BV113" i="1"/>
  <c r="BV114" i="1"/>
  <c r="BV115" i="1"/>
  <c r="BV116" i="1"/>
  <c r="BV117" i="1"/>
  <c r="BV118" i="1"/>
  <c r="BV119" i="1"/>
  <c r="BV120" i="1"/>
  <c r="BV121" i="1"/>
  <c r="BV122" i="1"/>
  <c r="BV123" i="1"/>
  <c r="BV124" i="1"/>
  <c r="BV125" i="1"/>
  <c r="BV126" i="1"/>
  <c r="BV127" i="1"/>
  <c r="BV128" i="1"/>
  <c r="BV129" i="1"/>
  <c r="BV130" i="1"/>
  <c r="BV131" i="1"/>
  <c r="BV132" i="1"/>
  <c r="BV133" i="1"/>
  <c r="BV134" i="1"/>
  <c r="BV135" i="1"/>
  <c r="BV136" i="1"/>
  <c r="BV137" i="1"/>
  <c r="BV138" i="1"/>
  <c r="BV139" i="1"/>
  <c r="BV140" i="1"/>
  <c r="BV141" i="1"/>
  <c r="BV142" i="1"/>
  <c r="BV143" i="1"/>
  <c r="BV144" i="1"/>
  <c r="BV145" i="1"/>
  <c r="BV146" i="1"/>
  <c r="BV147" i="1"/>
  <c r="BV148" i="1"/>
  <c r="BV149" i="1"/>
  <c r="BV150" i="1"/>
  <c r="BV151" i="1"/>
  <c r="BV152" i="1"/>
  <c r="BV153" i="1"/>
  <c r="BV154" i="1"/>
  <c r="BV155" i="1"/>
  <c r="BV156" i="1"/>
  <c r="BV157" i="1"/>
  <c r="BV158" i="1"/>
  <c r="BV159" i="1"/>
  <c r="BV160" i="1"/>
  <c r="BV161" i="1"/>
  <c r="BV162" i="1"/>
  <c r="BV163" i="1"/>
  <c r="BV164" i="1"/>
  <c r="BV165" i="1"/>
  <c r="BV166" i="1"/>
  <c r="BV167" i="1"/>
  <c r="BV168" i="1"/>
  <c r="BV169" i="1"/>
  <c r="BV170" i="1"/>
  <c r="BV171" i="1"/>
  <c r="BV172" i="1"/>
  <c r="BV173" i="1"/>
  <c r="BV174" i="1"/>
  <c r="BV175" i="1"/>
  <c r="BV176" i="1"/>
  <c r="BV177" i="1"/>
  <c r="BV178" i="1"/>
  <c r="BV179" i="1"/>
  <c r="BV180" i="1"/>
  <c r="BV181" i="1"/>
  <c r="BV182" i="1"/>
  <c r="BV183" i="1"/>
  <c r="BV184" i="1"/>
  <c r="BV185" i="1"/>
  <c r="BV186" i="1"/>
  <c r="BV187" i="1"/>
  <c r="BV188" i="1"/>
  <c r="BV189" i="1"/>
  <c r="BV190" i="1"/>
  <c r="BV191" i="1"/>
  <c r="BV192" i="1"/>
  <c r="BV193" i="1"/>
  <c r="BV194" i="1"/>
  <c r="BV195" i="1"/>
  <c r="BV196" i="1"/>
  <c r="BV197" i="1"/>
  <c r="BV198" i="1"/>
  <c r="BV199" i="1"/>
  <c r="BV200" i="1"/>
  <c r="BV201" i="1"/>
  <c r="BV202" i="1"/>
  <c r="BV203" i="1"/>
  <c r="BV204" i="1"/>
  <c r="BV205" i="1"/>
  <c r="BV206" i="1"/>
  <c r="BV207" i="1"/>
  <c r="BV208" i="1"/>
  <c r="BV209" i="1"/>
  <c r="BV210" i="1"/>
  <c r="BV211" i="1"/>
  <c r="BV212" i="1"/>
  <c r="BV213" i="1"/>
  <c r="BV214" i="1"/>
  <c r="BV215" i="1"/>
  <c r="BV216" i="1"/>
  <c r="BV217" i="1"/>
  <c r="BV218" i="1"/>
  <c r="BV219" i="1"/>
  <c r="BV220" i="1"/>
  <c r="BV221" i="1"/>
  <c r="BV222" i="1"/>
  <c r="BV223" i="1"/>
  <c r="BV224" i="1"/>
  <c r="BV225" i="1"/>
  <c r="BV226" i="1"/>
  <c r="BV227" i="1"/>
  <c r="BV228" i="1"/>
  <c r="BV229" i="1"/>
  <c r="BV230" i="1"/>
  <c r="BV231" i="1"/>
  <c r="BV232" i="1"/>
  <c r="BV233" i="1"/>
  <c r="BV234" i="1"/>
  <c r="BV235" i="1"/>
  <c r="BV236" i="1"/>
  <c r="BV237" i="1"/>
  <c r="BV238" i="1"/>
  <c r="BV239" i="1"/>
  <c r="BV240" i="1"/>
  <c r="BV241" i="1"/>
  <c r="BV242" i="1"/>
  <c r="BV243" i="1"/>
  <c r="BV244" i="1"/>
  <c r="BV245" i="1"/>
  <c r="BV246" i="1"/>
  <c r="BV247" i="1"/>
  <c r="BV248" i="1"/>
  <c r="BV249" i="1"/>
  <c r="BV250" i="1"/>
  <c r="BV251" i="1"/>
  <c r="BV252" i="1"/>
  <c r="BV253" i="1"/>
  <c r="BV254" i="1"/>
  <c r="BV255" i="1"/>
  <c r="BV256" i="1"/>
  <c r="BV257" i="1"/>
  <c r="BV258" i="1"/>
  <c r="BV259" i="1"/>
  <c r="BV260" i="1"/>
  <c r="BV261" i="1"/>
  <c r="BV262" i="1"/>
  <c r="BV263" i="1"/>
  <c r="BV264" i="1"/>
  <c r="BV265" i="1"/>
  <c r="BV266" i="1"/>
  <c r="BV267" i="1"/>
  <c r="BV268" i="1"/>
  <c r="BV269" i="1"/>
  <c r="BV270" i="1"/>
  <c r="BV271" i="1"/>
  <c r="BV272" i="1"/>
  <c r="BV273" i="1"/>
  <c r="BV274" i="1"/>
  <c r="BV275" i="1"/>
  <c r="BV276" i="1"/>
  <c r="BV277" i="1"/>
  <c r="BV278" i="1"/>
  <c r="BV279" i="1"/>
  <c r="BV280" i="1"/>
  <c r="BV281" i="1"/>
  <c r="BV282" i="1"/>
  <c r="BV283" i="1"/>
  <c r="BV284" i="1"/>
  <c r="BV285" i="1"/>
  <c r="BV286" i="1"/>
  <c r="BV287" i="1"/>
  <c r="BV288" i="1"/>
  <c r="BV289" i="1"/>
  <c r="BV290" i="1"/>
  <c r="BV291" i="1"/>
  <c r="BV292" i="1"/>
  <c r="BV293" i="1"/>
  <c r="BV294" i="1"/>
  <c r="BV295" i="1"/>
  <c r="BV296" i="1"/>
  <c r="BV297" i="1"/>
  <c r="BV298" i="1"/>
  <c r="BV299" i="1"/>
  <c r="BV300" i="1"/>
  <c r="BV301" i="1"/>
  <c r="BV302" i="1"/>
  <c r="BV303" i="1"/>
  <c r="BV304" i="1"/>
  <c r="BV305" i="1"/>
  <c r="BV306" i="1"/>
  <c r="BV307" i="1"/>
  <c r="BV308" i="1"/>
  <c r="BV309" i="1"/>
  <c r="BV310" i="1"/>
  <c r="BV311" i="1"/>
  <c r="BV312" i="1"/>
  <c r="BV313" i="1"/>
  <c r="BV314" i="1"/>
  <c r="BV315" i="1"/>
  <c r="BV316" i="1"/>
  <c r="BV317" i="1"/>
  <c r="BV318" i="1"/>
  <c r="BV319" i="1"/>
  <c r="BV320" i="1"/>
  <c r="BV321" i="1"/>
  <c r="BV322" i="1"/>
  <c r="BV323" i="1"/>
  <c r="BV324" i="1"/>
  <c r="BV325" i="1"/>
  <c r="BV326" i="1"/>
  <c r="BV327" i="1"/>
  <c r="BV328" i="1"/>
  <c r="BV329" i="1"/>
  <c r="BV330" i="1"/>
  <c r="BV331" i="1"/>
  <c r="BV332" i="1"/>
  <c r="BV333" i="1"/>
  <c r="BV334" i="1"/>
  <c r="BV335" i="1"/>
  <c r="BV336" i="1"/>
  <c r="BV337" i="1"/>
  <c r="BV338" i="1"/>
  <c r="BV339" i="1"/>
  <c r="BV340" i="1"/>
  <c r="BV341" i="1"/>
  <c r="BV342" i="1"/>
  <c r="BV343" i="1"/>
  <c r="BV344" i="1"/>
  <c r="BV345" i="1"/>
  <c r="BV346" i="1"/>
  <c r="BV347" i="1"/>
  <c r="BV348" i="1"/>
  <c r="BV349" i="1"/>
  <c r="BV350" i="1"/>
  <c r="BV351" i="1"/>
  <c r="BV352" i="1"/>
  <c r="BV353" i="1"/>
  <c r="BV354" i="1"/>
  <c r="BV355" i="1"/>
  <c r="BV356" i="1"/>
  <c r="BV357" i="1"/>
  <c r="BV358" i="1"/>
  <c r="BV359" i="1"/>
  <c r="BV360" i="1"/>
  <c r="BV361" i="1"/>
  <c r="BV362" i="1"/>
  <c r="BV363" i="1"/>
  <c r="BV364" i="1"/>
  <c r="BV365" i="1"/>
  <c r="BV366" i="1"/>
  <c r="BV367" i="1"/>
  <c r="BV368" i="1"/>
  <c r="BV369" i="1"/>
  <c r="BV370" i="1"/>
  <c r="BV371" i="1"/>
  <c r="BV372" i="1"/>
  <c r="BV373" i="1"/>
  <c r="BV374" i="1"/>
  <c r="BV375" i="1"/>
  <c r="BV376" i="1"/>
  <c r="BV377" i="1"/>
  <c r="BV378" i="1"/>
  <c r="BV379" i="1"/>
  <c r="BV380" i="1"/>
  <c r="BV381" i="1"/>
  <c r="BV382" i="1"/>
  <c r="BV383" i="1"/>
  <c r="BV384" i="1"/>
  <c r="BV385" i="1"/>
  <c r="BV386" i="1"/>
  <c r="BV387" i="1"/>
  <c r="BV388" i="1"/>
  <c r="BV389" i="1"/>
  <c r="BV390" i="1"/>
  <c r="BV391" i="1"/>
  <c r="BV392" i="1"/>
  <c r="BV393" i="1"/>
  <c r="BV394" i="1"/>
  <c r="BV395" i="1"/>
  <c r="BV396" i="1"/>
  <c r="BV397" i="1"/>
  <c r="BV398" i="1"/>
  <c r="BV399" i="1"/>
  <c r="BV400" i="1"/>
  <c r="BV401" i="1"/>
  <c r="BV402" i="1"/>
  <c r="BV403" i="1"/>
  <c r="BV404" i="1"/>
  <c r="BV405" i="1"/>
  <c r="BV406" i="1"/>
  <c r="BV407" i="1"/>
  <c r="BV408" i="1"/>
  <c r="BV409" i="1"/>
  <c r="BV410" i="1"/>
  <c r="BV411" i="1"/>
  <c r="BV412" i="1"/>
  <c r="BV413" i="1"/>
  <c r="BV414" i="1"/>
  <c r="BV415" i="1"/>
  <c r="BV416" i="1"/>
  <c r="BV417" i="1"/>
  <c r="BV418" i="1"/>
  <c r="BV419" i="1"/>
  <c r="BV420" i="1"/>
  <c r="BV421" i="1"/>
  <c r="BV422" i="1"/>
  <c r="BV423" i="1"/>
  <c r="BV424" i="1"/>
  <c r="BV425" i="1"/>
  <c r="BV426" i="1"/>
  <c r="BV427" i="1"/>
  <c r="BV428" i="1"/>
  <c r="BV429" i="1"/>
  <c r="BV430" i="1"/>
  <c r="BV431" i="1"/>
  <c r="BV432" i="1"/>
  <c r="BV433" i="1"/>
  <c r="BV434" i="1"/>
  <c r="BV435" i="1"/>
  <c r="BV436" i="1"/>
  <c r="BV437" i="1"/>
  <c r="BV438" i="1"/>
  <c r="BV439" i="1"/>
  <c r="BV440" i="1"/>
  <c r="BV441" i="1"/>
  <c r="BV442" i="1"/>
  <c r="BV443" i="1"/>
  <c r="BV444" i="1"/>
  <c r="BV445" i="1"/>
  <c r="BV446" i="1"/>
  <c r="BV447" i="1"/>
  <c r="BV448" i="1"/>
  <c r="BV449" i="1"/>
  <c r="BV450" i="1"/>
  <c r="BV451" i="1"/>
  <c r="BV452" i="1"/>
  <c r="BV453" i="1"/>
  <c r="BV454" i="1"/>
  <c r="BV455" i="1"/>
  <c r="BV456" i="1"/>
  <c r="BV457" i="1"/>
  <c r="BV458" i="1"/>
  <c r="BV459" i="1"/>
  <c r="BV460" i="1"/>
  <c r="BV461" i="1"/>
  <c r="BV462" i="1"/>
  <c r="BV463" i="1"/>
  <c r="BV464" i="1"/>
  <c r="BV465" i="1"/>
  <c r="BV466" i="1"/>
  <c r="BV467" i="1"/>
  <c r="BV468" i="1"/>
  <c r="BV469" i="1"/>
  <c r="BV470" i="1"/>
  <c r="BV471" i="1"/>
  <c r="BV472" i="1"/>
  <c r="BV473" i="1"/>
  <c r="BV474" i="1"/>
  <c r="BV475" i="1"/>
  <c r="BV476" i="1"/>
  <c r="BV477" i="1"/>
  <c r="BV478" i="1"/>
  <c r="BV479" i="1"/>
  <c r="BV480" i="1"/>
  <c r="BV481" i="1"/>
  <c r="BV482" i="1"/>
  <c r="BV483" i="1"/>
  <c r="BV484" i="1"/>
  <c r="BV485" i="1"/>
  <c r="BV486" i="1"/>
  <c r="BV487" i="1"/>
  <c r="BV488" i="1"/>
  <c r="BV489" i="1"/>
  <c r="BV490" i="1"/>
  <c r="BV491" i="1"/>
  <c r="BV492" i="1"/>
  <c r="BV493" i="1"/>
  <c r="BV494" i="1"/>
  <c r="BV495" i="1"/>
  <c r="BV496" i="1"/>
  <c r="BV497" i="1"/>
  <c r="BV498" i="1"/>
  <c r="BV499" i="1"/>
  <c r="BV500" i="1"/>
  <c r="BV501" i="1"/>
  <c r="BV502" i="1"/>
  <c r="BV503" i="1"/>
  <c r="BV504" i="1"/>
  <c r="BV505" i="1"/>
  <c r="BV506" i="1"/>
  <c r="BV507" i="1"/>
  <c r="BV508" i="1"/>
  <c r="BV509" i="1"/>
  <c r="BV510" i="1"/>
  <c r="BV511" i="1"/>
  <c r="BV512" i="1"/>
  <c r="BV513" i="1"/>
  <c r="BV514" i="1"/>
  <c r="BV515" i="1"/>
  <c r="BV516" i="1"/>
  <c r="BV517" i="1"/>
  <c r="BV518" i="1"/>
  <c r="BV519" i="1"/>
  <c r="BV520" i="1"/>
  <c r="BV521" i="1"/>
  <c r="BV522" i="1"/>
  <c r="BV523" i="1"/>
  <c r="BV524" i="1"/>
  <c r="BV525" i="1"/>
  <c r="BV526" i="1"/>
  <c r="BV527" i="1"/>
  <c r="BV528" i="1"/>
  <c r="BV529" i="1"/>
  <c r="BV530" i="1"/>
  <c r="BV531" i="1"/>
  <c r="BV532" i="1"/>
  <c r="BV533" i="1"/>
  <c r="BV3" i="1"/>
  <c r="BU4" i="1"/>
  <c r="BU5" i="1"/>
  <c r="BU6" i="1"/>
  <c r="BU7" i="1"/>
  <c r="BU8" i="1"/>
  <c r="BU9" i="1"/>
  <c r="BU10" i="1"/>
  <c r="BU11" i="1"/>
  <c r="BU12" i="1"/>
  <c r="BU13" i="1"/>
  <c r="BU14" i="1"/>
  <c r="BU15" i="1"/>
  <c r="BU16" i="1"/>
  <c r="BU17" i="1"/>
  <c r="BU18" i="1"/>
  <c r="BU19" i="1"/>
  <c r="BU20" i="1"/>
  <c r="BU21" i="1"/>
  <c r="BU22" i="1"/>
  <c r="BU23" i="1"/>
  <c r="BU24" i="1"/>
  <c r="BU25" i="1"/>
  <c r="BU26" i="1"/>
  <c r="BU27" i="1"/>
  <c r="BU28" i="1"/>
  <c r="BU29" i="1"/>
  <c r="BU30" i="1"/>
  <c r="BU31" i="1"/>
  <c r="BU32" i="1"/>
  <c r="BU33" i="1"/>
  <c r="BU34" i="1"/>
  <c r="BU35" i="1"/>
  <c r="BU36" i="1"/>
  <c r="BU37" i="1"/>
  <c r="BU38" i="1"/>
  <c r="BU39" i="1"/>
  <c r="BU40" i="1"/>
  <c r="BU41" i="1"/>
  <c r="BU42" i="1"/>
  <c r="BU43" i="1"/>
  <c r="BU44" i="1"/>
  <c r="BU45" i="1"/>
  <c r="BU46" i="1"/>
  <c r="BU47" i="1"/>
  <c r="BU48" i="1"/>
  <c r="BU49" i="1"/>
  <c r="BU50" i="1"/>
  <c r="BU51" i="1"/>
  <c r="BU52" i="1"/>
  <c r="BU53" i="1"/>
  <c r="BU54" i="1"/>
  <c r="BU55" i="1"/>
  <c r="BU56" i="1"/>
  <c r="BU57" i="1"/>
  <c r="BU58" i="1"/>
  <c r="BU59" i="1"/>
  <c r="BU60" i="1"/>
  <c r="BU61" i="1"/>
  <c r="BU62" i="1"/>
  <c r="BU63" i="1"/>
  <c r="BU64" i="1"/>
  <c r="BU65" i="1"/>
  <c r="BU66" i="1"/>
  <c r="BU67" i="1"/>
  <c r="BU68" i="1"/>
  <c r="BU69" i="1"/>
  <c r="BU70" i="1"/>
  <c r="BU71" i="1"/>
  <c r="BU72" i="1"/>
  <c r="BU73" i="1"/>
  <c r="BU74" i="1"/>
  <c r="BU75" i="1"/>
  <c r="BU76" i="1"/>
  <c r="BU77" i="1"/>
  <c r="BU78" i="1"/>
  <c r="BU79" i="1"/>
  <c r="BU80" i="1"/>
  <c r="BU81" i="1"/>
  <c r="BU82" i="1"/>
  <c r="BU83" i="1"/>
  <c r="BU84" i="1"/>
  <c r="BU85" i="1"/>
  <c r="BU86" i="1"/>
  <c r="BU87" i="1"/>
  <c r="BU88" i="1"/>
  <c r="BU89" i="1"/>
  <c r="BU90" i="1"/>
  <c r="BU91" i="1"/>
  <c r="BU92" i="1"/>
  <c r="BU93" i="1"/>
  <c r="BU94" i="1"/>
  <c r="BU95" i="1"/>
  <c r="BU96" i="1"/>
  <c r="BU97" i="1"/>
  <c r="BU98" i="1"/>
  <c r="BU99" i="1"/>
  <c r="BU100" i="1"/>
  <c r="BU101" i="1"/>
  <c r="BU102" i="1"/>
  <c r="BU103" i="1"/>
  <c r="BU104" i="1"/>
  <c r="BU105" i="1"/>
  <c r="BU106" i="1"/>
  <c r="BU107" i="1"/>
  <c r="BU108" i="1"/>
  <c r="BU109" i="1"/>
  <c r="BU110" i="1"/>
  <c r="BU111" i="1"/>
  <c r="BU112" i="1"/>
  <c r="BU113" i="1"/>
  <c r="BU114" i="1"/>
  <c r="BU115" i="1"/>
  <c r="BU116" i="1"/>
  <c r="BU117" i="1"/>
  <c r="BU118" i="1"/>
  <c r="BU119" i="1"/>
  <c r="BU120" i="1"/>
  <c r="BU121" i="1"/>
  <c r="BU122" i="1"/>
  <c r="BU123" i="1"/>
  <c r="BU124" i="1"/>
  <c r="BU125" i="1"/>
  <c r="BU126" i="1"/>
  <c r="BU127" i="1"/>
  <c r="BU128" i="1"/>
  <c r="BU129" i="1"/>
  <c r="BU130" i="1"/>
  <c r="BU131" i="1"/>
  <c r="BU132" i="1"/>
  <c r="BU133" i="1"/>
  <c r="BU134" i="1"/>
  <c r="BU135" i="1"/>
  <c r="BU136" i="1"/>
  <c r="BU137" i="1"/>
  <c r="BU138" i="1"/>
  <c r="BU139" i="1"/>
  <c r="BU140" i="1"/>
  <c r="BU141" i="1"/>
  <c r="BU142" i="1"/>
  <c r="BU143" i="1"/>
  <c r="BU144" i="1"/>
  <c r="BU145" i="1"/>
  <c r="BU146" i="1"/>
  <c r="BU147" i="1"/>
  <c r="BU148" i="1"/>
  <c r="BU149" i="1"/>
  <c r="BU150" i="1"/>
  <c r="BU151" i="1"/>
  <c r="BU152" i="1"/>
  <c r="BU153" i="1"/>
  <c r="BU154" i="1"/>
  <c r="BU155" i="1"/>
  <c r="BU156" i="1"/>
  <c r="BU157" i="1"/>
  <c r="BU158" i="1"/>
  <c r="BU159" i="1"/>
  <c r="BU160" i="1"/>
  <c r="BU161" i="1"/>
  <c r="BU162" i="1"/>
  <c r="BU163" i="1"/>
  <c r="BU164" i="1"/>
  <c r="BU165" i="1"/>
  <c r="BU166" i="1"/>
  <c r="BU167" i="1"/>
  <c r="BU168" i="1"/>
  <c r="BU169" i="1"/>
  <c r="BU170" i="1"/>
  <c r="BU171" i="1"/>
  <c r="BU172" i="1"/>
  <c r="BU173" i="1"/>
  <c r="BU174" i="1"/>
  <c r="BU175" i="1"/>
  <c r="BU176" i="1"/>
  <c r="BU177" i="1"/>
  <c r="BU178" i="1"/>
  <c r="BU179" i="1"/>
  <c r="BU180" i="1"/>
  <c r="BU181" i="1"/>
  <c r="BU182" i="1"/>
  <c r="BU183" i="1"/>
  <c r="BU184" i="1"/>
  <c r="BU185" i="1"/>
  <c r="BU186" i="1"/>
  <c r="BU187" i="1"/>
  <c r="BU188" i="1"/>
  <c r="BU189" i="1"/>
  <c r="BU190" i="1"/>
  <c r="BU191" i="1"/>
  <c r="BU192" i="1"/>
  <c r="BU193" i="1"/>
  <c r="BU194" i="1"/>
  <c r="BU195" i="1"/>
  <c r="BU196" i="1"/>
  <c r="BU197" i="1"/>
  <c r="BU198" i="1"/>
  <c r="BU199" i="1"/>
  <c r="BU200" i="1"/>
  <c r="BU201" i="1"/>
  <c r="BU202" i="1"/>
  <c r="BU203" i="1"/>
  <c r="BU204" i="1"/>
  <c r="BU205" i="1"/>
  <c r="BU206" i="1"/>
  <c r="BU207" i="1"/>
  <c r="BU208" i="1"/>
  <c r="BU209" i="1"/>
  <c r="BU210" i="1"/>
  <c r="BU211" i="1"/>
  <c r="BU212" i="1"/>
  <c r="BU213" i="1"/>
  <c r="BU214" i="1"/>
  <c r="BU215" i="1"/>
  <c r="BU216" i="1"/>
  <c r="BU217" i="1"/>
  <c r="BU218" i="1"/>
  <c r="BU219" i="1"/>
  <c r="BU220" i="1"/>
  <c r="BU221" i="1"/>
  <c r="BU222" i="1"/>
  <c r="BU223" i="1"/>
  <c r="BU224" i="1"/>
  <c r="BU225" i="1"/>
  <c r="BU226" i="1"/>
  <c r="BU227" i="1"/>
  <c r="BU228" i="1"/>
  <c r="BU229" i="1"/>
  <c r="BU230" i="1"/>
  <c r="BU231" i="1"/>
  <c r="BU232" i="1"/>
  <c r="BU233" i="1"/>
  <c r="BU234" i="1"/>
  <c r="BU235" i="1"/>
  <c r="BU236" i="1"/>
  <c r="BU237" i="1"/>
  <c r="BU238" i="1"/>
  <c r="BU239" i="1"/>
  <c r="BU240" i="1"/>
  <c r="BU241" i="1"/>
  <c r="BU242" i="1"/>
  <c r="BU243" i="1"/>
  <c r="BU244" i="1"/>
  <c r="BU245" i="1"/>
  <c r="BU246" i="1"/>
  <c r="BU247" i="1"/>
  <c r="BU248" i="1"/>
  <c r="BU249" i="1"/>
  <c r="BU250" i="1"/>
  <c r="BU251" i="1"/>
  <c r="BU252" i="1"/>
  <c r="BU253" i="1"/>
  <c r="BU254" i="1"/>
  <c r="BU255" i="1"/>
  <c r="BU256" i="1"/>
  <c r="BU257" i="1"/>
  <c r="BU258" i="1"/>
  <c r="BU259" i="1"/>
  <c r="BU260" i="1"/>
  <c r="BU261" i="1"/>
  <c r="BU262" i="1"/>
  <c r="BU263" i="1"/>
  <c r="BU264" i="1"/>
  <c r="BU265" i="1"/>
  <c r="BU266" i="1"/>
  <c r="BU267" i="1"/>
  <c r="BU268" i="1"/>
  <c r="BU269" i="1"/>
  <c r="BU270" i="1"/>
  <c r="BU271" i="1"/>
  <c r="BU272" i="1"/>
  <c r="BU273" i="1"/>
  <c r="BU274" i="1"/>
  <c r="BU275" i="1"/>
  <c r="BU276" i="1"/>
  <c r="BU277" i="1"/>
  <c r="BU278" i="1"/>
  <c r="BU279" i="1"/>
  <c r="BU280" i="1"/>
  <c r="BU281" i="1"/>
  <c r="BU282" i="1"/>
  <c r="BU283" i="1"/>
  <c r="BU284" i="1"/>
  <c r="BU285" i="1"/>
  <c r="BU286" i="1"/>
  <c r="BU287" i="1"/>
  <c r="BU288" i="1"/>
  <c r="BU289" i="1"/>
  <c r="BU290" i="1"/>
  <c r="BU291" i="1"/>
  <c r="BU292" i="1"/>
  <c r="BU293" i="1"/>
  <c r="BU294" i="1"/>
  <c r="BU295" i="1"/>
  <c r="BU296" i="1"/>
  <c r="BU297" i="1"/>
  <c r="BU298" i="1"/>
  <c r="BU299" i="1"/>
  <c r="BU300" i="1"/>
  <c r="BU301" i="1"/>
  <c r="BU302" i="1"/>
  <c r="BU303" i="1"/>
  <c r="BU304" i="1"/>
  <c r="BU305" i="1"/>
  <c r="BU306" i="1"/>
  <c r="BU307" i="1"/>
  <c r="BU308" i="1"/>
  <c r="BU309" i="1"/>
  <c r="BU310" i="1"/>
  <c r="BU311" i="1"/>
  <c r="BU312" i="1"/>
  <c r="BU313" i="1"/>
  <c r="BU314" i="1"/>
  <c r="BU315" i="1"/>
  <c r="BU316" i="1"/>
  <c r="BU317" i="1"/>
  <c r="BU318" i="1"/>
  <c r="BU319" i="1"/>
  <c r="BU320" i="1"/>
  <c r="BU321" i="1"/>
  <c r="BU322" i="1"/>
  <c r="BU323" i="1"/>
  <c r="BU324" i="1"/>
  <c r="BU325" i="1"/>
  <c r="BU326" i="1"/>
  <c r="BU327" i="1"/>
  <c r="BU328" i="1"/>
  <c r="BU329" i="1"/>
  <c r="BU330" i="1"/>
  <c r="BU331" i="1"/>
  <c r="BU332" i="1"/>
  <c r="BU333" i="1"/>
  <c r="BU334" i="1"/>
  <c r="BU335" i="1"/>
  <c r="BU336" i="1"/>
  <c r="BU337" i="1"/>
  <c r="BU338" i="1"/>
  <c r="BU339" i="1"/>
  <c r="BU340" i="1"/>
  <c r="BU341" i="1"/>
  <c r="BU342" i="1"/>
  <c r="BU343" i="1"/>
  <c r="BU344" i="1"/>
  <c r="BU345" i="1"/>
  <c r="BU346" i="1"/>
  <c r="BU347" i="1"/>
  <c r="BU348" i="1"/>
  <c r="BU349" i="1"/>
  <c r="BU350" i="1"/>
  <c r="BU351" i="1"/>
  <c r="BU352" i="1"/>
  <c r="BU353" i="1"/>
  <c r="BU354" i="1"/>
  <c r="BU355" i="1"/>
  <c r="BU356" i="1"/>
  <c r="BU357" i="1"/>
  <c r="BU358" i="1"/>
  <c r="BU359" i="1"/>
  <c r="BU360" i="1"/>
  <c r="BU361" i="1"/>
  <c r="BU362" i="1"/>
  <c r="BU363" i="1"/>
  <c r="BU364" i="1"/>
  <c r="BU365" i="1"/>
  <c r="BU366" i="1"/>
  <c r="BU367" i="1"/>
  <c r="BU368" i="1"/>
  <c r="BU369" i="1"/>
  <c r="BU370" i="1"/>
  <c r="BU371" i="1"/>
  <c r="BU372" i="1"/>
  <c r="BU373" i="1"/>
  <c r="BU374" i="1"/>
  <c r="BU375" i="1"/>
  <c r="BU376" i="1"/>
  <c r="BU377" i="1"/>
  <c r="BU378" i="1"/>
  <c r="BU379" i="1"/>
  <c r="BU380" i="1"/>
  <c r="BU381" i="1"/>
  <c r="BU382" i="1"/>
  <c r="BU383" i="1"/>
  <c r="BU384" i="1"/>
  <c r="BU385" i="1"/>
  <c r="BU386" i="1"/>
  <c r="BU387" i="1"/>
  <c r="BU388" i="1"/>
  <c r="BU389" i="1"/>
  <c r="BU390" i="1"/>
  <c r="BU391" i="1"/>
  <c r="BU392" i="1"/>
  <c r="BU393" i="1"/>
  <c r="BU394" i="1"/>
  <c r="BU395" i="1"/>
  <c r="BU396" i="1"/>
  <c r="BU397" i="1"/>
  <c r="BU398" i="1"/>
  <c r="BU399" i="1"/>
  <c r="BU400" i="1"/>
  <c r="BU401" i="1"/>
  <c r="BU402" i="1"/>
  <c r="BU403" i="1"/>
  <c r="BU404" i="1"/>
  <c r="BU405" i="1"/>
  <c r="BU406" i="1"/>
  <c r="BU407" i="1"/>
  <c r="BU408" i="1"/>
  <c r="BU409" i="1"/>
  <c r="BU410" i="1"/>
  <c r="BU411" i="1"/>
  <c r="BU412" i="1"/>
  <c r="BU413" i="1"/>
  <c r="BU414" i="1"/>
  <c r="BU415" i="1"/>
  <c r="BU416" i="1"/>
  <c r="BU417" i="1"/>
  <c r="BU418" i="1"/>
  <c r="BU419" i="1"/>
  <c r="BU420" i="1"/>
  <c r="BU421" i="1"/>
  <c r="BU422" i="1"/>
  <c r="BU423" i="1"/>
  <c r="BU424" i="1"/>
  <c r="BU425" i="1"/>
  <c r="BU426" i="1"/>
  <c r="BU427" i="1"/>
  <c r="BU428" i="1"/>
  <c r="BU429" i="1"/>
  <c r="BU430" i="1"/>
  <c r="BU431" i="1"/>
  <c r="BU432" i="1"/>
  <c r="BU433" i="1"/>
  <c r="BU434" i="1"/>
  <c r="BU435" i="1"/>
  <c r="BU436" i="1"/>
  <c r="BU437" i="1"/>
  <c r="BU438" i="1"/>
  <c r="BU439" i="1"/>
  <c r="BU440" i="1"/>
  <c r="BU441" i="1"/>
  <c r="BU442" i="1"/>
  <c r="BU443" i="1"/>
  <c r="BU444" i="1"/>
  <c r="BU445" i="1"/>
  <c r="BU446" i="1"/>
  <c r="BU447" i="1"/>
  <c r="BU448" i="1"/>
  <c r="BU449" i="1"/>
  <c r="BU450" i="1"/>
  <c r="BU451" i="1"/>
  <c r="BU452" i="1"/>
  <c r="BU453" i="1"/>
  <c r="BU454" i="1"/>
  <c r="BU455" i="1"/>
  <c r="BU456" i="1"/>
  <c r="BU457" i="1"/>
  <c r="BU458" i="1"/>
  <c r="BU459" i="1"/>
  <c r="BU460" i="1"/>
  <c r="BU461" i="1"/>
  <c r="BU462" i="1"/>
  <c r="BU463" i="1"/>
  <c r="BU464" i="1"/>
  <c r="BU465" i="1"/>
  <c r="BU466" i="1"/>
  <c r="BU467" i="1"/>
  <c r="BU468" i="1"/>
  <c r="BU469" i="1"/>
  <c r="BU470" i="1"/>
  <c r="BU471" i="1"/>
  <c r="BU472" i="1"/>
  <c r="BU473" i="1"/>
  <c r="BU474" i="1"/>
  <c r="BU475" i="1"/>
  <c r="BU476" i="1"/>
  <c r="BU477" i="1"/>
  <c r="BU478" i="1"/>
  <c r="BU479" i="1"/>
  <c r="BU480" i="1"/>
  <c r="BU481" i="1"/>
  <c r="BU482" i="1"/>
  <c r="BU483" i="1"/>
  <c r="BU484" i="1"/>
  <c r="BU485" i="1"/>
  <c r="BU486" i="1"/>
  <c r="BU487" i="1"/>
  <c r="BU488" i="1"/>
  <c r="BU489" i="1"/>
  <c r="BU490" i="1"/>
  <c r="BU491" i="1"/>
  <c r="BU492" i="1"/>
  <c r="BU493" i="1"/>
  <c r="BU494" i="1"/>
  <c r="BU495" i="1"/>
  <c r="BU496" i="1"/>
  <c r="BU497" i="1"/>
  <c r="BU498" i="1"/>
  <c r="BU499" i="1"/>
  <c r="BU500" i="1"/>
  <c r="BU501" i="1"/>
  <c r="BU502" i="1"/>
  <c r="BU503" i="1"/>
  <c r="BU504" i="1"/>
  <c r="BU505" i="1"/>
  <c r="BU506" i="1"/>
  <c r="BU507" i="1"/>
  <c r="BU508" i="1"/>
  <c r="BU509" i="1"/>
  <c r="BU510" i="1"/>
  <c r="BU511" i="1"/>
  <c r="BU512" i="1"/>
  <c r="BU513" i="1"/>
  <c r="BU514" i="1"/>
  <c r="BU515" i="1"/>
  <c r="BU516" i="1"/>
  <c r="BU517" i="1"/>
  <c r="BU518" i="1"/>
  <c r="BU519" i="1"/>
  <c r="BU520" i="1"/>
  <c r="BU521" i="1"/>
  <c r="BU522" i="1"/>
  <c r="BU523" i="1"/>
  <c r="BU524" i="1"/>
  <c r="BU525" i="1"/>
  <c r="BU526" i="1"/>
  <c r="BU527" i="1"/>
  <c r="BU528" i="1"/>
  <c r="BU529" i="1"/>
  <c r="BU530" i="1"/>
  <c r="BU531" i="1"/>
  <c r="BU532" i="1"/>
  <c r="BU533" i="1"/>
  <c r="BU3" i="1"/>
  <c r="BR4" i="1"/>
  <c r="BR5" i="1" s="1"/>
  <c r="BR6" i="1" s="1"/>
  <c r="BR7" i="1" s="1"/>
  <c r="BR8" i="1" s="1"/>
  <c r="BR9" i="1" s="1"/>
  <c r="BR10" i="1" s="1"/>
  <c r="BR11" i="1" s="1"/>
  <c r="BR12" i="1" s="1"/>
  <c r="BR13" i="1" s="1"/>
  <c r="BR14" i="1" s="1"/>
  <c r="BR15" i="1" s="1"/>
  <c r="BR16" i="1" s="1"/>
  <c r="BR17" i="1" s="1"/>
  <c r="BR18" i="1" s="1"/>
  <c r="BR19" i="1" s="1"/>
  <c r="BR20" i="1" s="1"/>
  <c r="BR21" i="1" s="1"/>
  <c r="BR22" i="1" s="1"/>
  <c r="BR23" i="1" s="1"/>
  <c r="BR24" i="1" s="1"/>
  <c r="BR25" i="1" s="1"/>
  <c r="BR26" i="1" s="1"/>
  <c r="BR27" i="1" s="1"/>
  <c r="BR28" i="1" s="1"/>
  <c r="BR29" i="1" s="1"/>
  <c r="BR30" i="1" s="1"/>
  <c r="BR31" i="1" s="1"/>
  <c r="BR32" i="1" s="1"/>
  <c r="BR33" i="1" s="1"/>
  <c r="BR34" i="1" s="1"/>
  <c r="BR35" i="1" s="1"/>
  <c r="BR36" i="1" s="1"/>
  <c r="BR37" i="1" s="1"/>
  <c r="BR38" i="1" s="1"/>
  <c r="BR39" i="1" s="1"/>
  <c r="BR40" i="1" s="1"/>
  <c r="BR41" i="1" s="1"/>
  <c r="BR42" i="1" s="1"/>
  <c r="BR43" i="1" s="1"/>
  <c r="BR44" i="1" s="1"/>
  <c r="BR45" i="1" s="1"/>
  <c r="BR46" i="1" s="1"/>
  <c r="BR47" i="1" s="1"/>
  <c r="BR48" i="1" s="1"/>
  <c r="BR49" i="1" s="1"/>
  <c r="BR50" i="1" s="1"/>
  <c r="BR51" i="1" s="1"/>
  <c r="BR52" i="1" s="1"/>
  <c r="BR53" i="1" s="1"/>
  <c r="BR54" i="1" s="1"/>
  <c r="BR55" i="1" s="1"/>
  <c r="BR56" i="1" s="1"/>
  <c r="BR57" i="1" s="1"/>
  <c r="BR58" i="1" s="1"/>
  <c r="BR59" i="1" s="1"/>
  <c r="BR60" i="1" s="1"/>
  <c r="BR61" i="1" s="1"/>
  <c r="BR62" i="1" s="1"/>
  <c r="BR63" i="1" s="1"/>
  <c r="BR64" i="1" s="1"/>
  <c r="BR65" i="1" s="1"/>
  <c r="BR66" i="1" s="1"/>
  <c r="BR67" i="1" s="1"/>
  <c r="BR68" i="1" s="1"/>
  <c r="BR69" i="1" s="1"/>
  <c r="BR70" i="1" s="1"/>
  <c r="BR71" i="1" s="1"/>
  <c r="BR72" i="1" s="1"/>
  <c r="BR73" i="1" s="1"/>
  <c r="BR74" i="1" s="1"/>
  <c r="BR75" i="1" s="1"/>
  <c r="BR76" i="1" s="1"/>
  <c r="BR77" i="1" s="1"/>
  <c r="BR78" i="1" s="1"/>
  <c r="BR79" i="1" s="1"/>
  <c r="BR80" i="1" s="1"/>
  <c r="BR81" i="1" s="1"/>
  <c r="BR82" i="1" s="1"/>
  <c r="BR83" i="1" s="1"/>
  <c r="BR84" i="1" s="1"/>
  <c r="BR85" i="1" s="1"/>
  <c r="BR86" i="1" s="1"/>
  <c r="BR87" i="1" s="1"/>
  <c r="BR88" i="1" s="1"/>
  <c r="BR89" i="1" s="1"/>
  <c r="BR90" i="1" s="1"/>
  <c r="BR91" i="1" s="1"/>
  <c r="BR92" i="1" s="1"/>
  <c r="BR93" i="1" s="1"/>
  <c r="BR94" i="1" s="1"/>
  <c r="BR95" i="1" s="1"/>
  <c r="BR96" i="1" s="1"/>
  <c r="BR97" i="1" s="1"/>
  <c r="BR98" i="1" s="1"/>
  <c r="BR99" i="1" s="1"/>
  <c r="BR100" i="1" s="1"/>
  <c r="BR101" i="1" s="1"/>
  <c r="BR102" i="1" s="1"/>
  <c r="BR103" i="1" s="1"/>
  <c r="BR104" i="1" s="1"/>
  <c r="BR105" i="1" s="1"/>
  <c r="BR106" i="1" s="1"/>
  <c r="BR107" i="1" s="1"/>
  <c r="BR108" i="1" s="1"/>
  <c r="BR109" i="1" s="1"/>
  <c r="BR110" i="1" s="1"/>
  <c r="BR111" i="1" s="1"/>
  <c r="BR112" i="1" s="1"/>
  <c r="BR113" i="1" s="1"/>
  <c r="BR114" i="1" s="1"/>
  <c r="BR115" i="1" s="1"/>
  <c r="BR116" i="1" s="1"/>
  <c r="BR117" i="1" s="1"/>
  <c r="BR118" i="1" s="1"/>
  <c r="BR119" i="1" s="1"/>
  <c r="BR120" i="1" s="1"/>
  <c r="BR121" i="1" s="1"/>
  <c r="BR122" i="1" s="1"/>
  <c r="BR123" i="1" s="1"/>
  <c r="BR124" i="1" s="1"/>
  <c r="BR125" i="1" s="1"/>
  <c r="BR126" i="1" s="1"/>
  <c r="BR127" i="1" s="1"/>
  <c r="BR128" i="1" s="1"/>
  <c r="BR129" i="1" s="1"/>
  <c r="BR130" i="1" s="1"/>
  <c r="BR131" i="1" s="1"/>
  <c r="BR132" i="1" s="1"/>
  <c r="BR133" i="1" s="1"/>
  <c r="BR134" i="1" s="1"/>
  <c r="BR135" i="1" s="1"/>
  <c r="BR136" i="1" s="1"/>
  <c r="BR137" i="1" s="1"/>
  <c r="BR138" i="1" s="1"/>
  <c r="BR139" i="1" s="1"/>
  <c r="BR140" i="1" s="1"/>
  <c r="BR141" i="1" s="1"/>
  <c r="BR142" i="1" s="1"/>
  <c r="BR143" i="1" s="1"/>
  <c r="BR144" i="1" s="1"/>
  <c r="BR145" i="1" s="1"/>
  <c r="BR146" i="1" s="1"/>
  <c r="BR147" i="1" s="1"/>
  <c r="BR148" i="1" s="1"/>
  <c r="BR149" i="1" s="1"/>
  <c r="BR150" i="1" s="1"/>
  <c r="BR151" i="1" s="1"/>
  <c r="BR152" i="1" s="1"/>
  <c r="BR153" i="1" s="1"/>
  <c r="BR154" i="1" s="1"/>
  <c r="BR155" i="1" s="1"/>
  <c r="BR156" i="1" s="1"/>
  <c r="BR157" i="1" s="1"/>
  <c r="BR158" i="1" s="1"/>
  <c r="BR159" i="1" s="1"/>
  <c r="BR160" i="1" s="1"/>
  <c r="BR161" i="1" s="1"/>
  <c r="BR162" i="1" s="1"/>
  <c r="BR163" i="1" s="1"/>
  <c r="BR164" i="1" s="1"/>
  <c r="BR165" i="1" s="1"/>
  <c r="BR166" i="1" s="1"/>
  <c r="BR167" i="1" s="1"/>
  <c r="BR168" i="1" s="1"/>
  <c r="BR169" i="1" s="1"/>
  <c r="BR170" i="1" s="1"/>
  <c r="BR171" i="1" s="1"/>
  <c r="BR172" i="1" s="1"/>
  <c r="BR173" i="1" s="1"/>
  <c r="BR174" i="1" s="1"/>
  <c r="BR175" i="1" s="1"/>
  <c r="BR176" i="1" s="1"/>
  <c r="BR177" i="1" s="1"/>
  <c r="BR178" i="1" s="1"/>
  <c r="BR179" i="1" s="1"/>
  <c r="BR180" i="1" s="1"/>
  <c r="BR181" i="1" s="1"/>
  <c r="BR182" i="1" s="1"/>
  <c r="BR183" i="1" s="1"/>
  <c r="BR184" i="1" s="1"/>
  <c r="BR185" i="1" s="1"/>
  <c r="BR186" i="1" s="1"/>
  <c r="BR187" i="1" s="1"/>
  <c r="BR188" i="1" s="1"/>
  <c r="BR189" i="1" s="1"/>
  <c r="BR190" i="1" s="1"/>
  <c r="BR191" i="1" s="1"/>
  <c r="BR192" i="1" s="1"/>
  <c r="BR193" i="1" s="1"/>
  <c r="BR194" i="1" s="1"/>
  <c r="BR195" i="1" s="1"/>
  <c r="BR196" i="1" s="1"/>
  <c r="BR197" i="1" s="1"/>
  <c r="BR198" i="1" s="1"/>
  <c r="BR199" i="1" s="1"/>
  <c r="BR200" i="1" s="1"/>
  <c r="BR201" i="1" s="1"/>
  <c r="BR202" i="1" s="1"/>
  <c r="BR203" i="1" s="1"/>
  <c r="BR204" i="1" s="1"/>
  <c r="BR205" i="1" s="1"/>
  <c r="BR206" i="1" s="1"/>
  <c r="BR207" i="1" s="1"/>
  <c r="BR208" i="1" s="1"/>
  <c r="BR209" i="1" s="1"/>
  <c r="BR210" i="1" s="1"/>
  <c r="BR211" i="1" s="1"/>
  <c r="BR212" i="1" s="1"/>
  <c r="BR213" i="1" s="1"/>
  <c r="BR214" i="1" s="1"/>
  <c r="BR215" i="1" s="1"/>
  <c r="BR216" i="1" s="1"/>
  <c r="BR217" i="1" s="1"/>
  <c r="BR218" i="1" s="1"/>
  <c r="BR219" i="1" s="1"/>
  <c r="BR220" i="1" s="1"/>
  <c r="BR221" i="1" s="1"/>
  <c r="BR222" i="1" s="1"/>
  <c r="BR223" i="1" s="1"/>
  <c r="BR224" i="1" s="1"/>
  <c r="BR225" i="1" s="1"/>
  <c r="BR226" i="1" s="1"/>
  <c r="BR227" i="1" s="1"/>
  <c r="BR228" i="1" s="1"/>
  <c r="BR229" i="1" s="1"/>
  <c r="BR230" i="1" s="1"/>
  <c r="BR231" i="1" s="1"/>
  <c r="BR232" i="1" s="1"/>
  <c r="BR233" i="1" s="1"/>
  <c r="BR234" i="1" s="1"/>
  <c r="BR235" i="1" s="1"/>
  <c r="BR236" i="1" s="1"/>
  <c r="BR237" i="1" s="1"/>
  <c r="BR238" i="1" s="1"/>
  <c r="BR239" i="1" s="1"/>
  <c r="BR240" i="1" s="1"/>
  <c r="BR241" i="1" s="1"/>
  <c r="BR242" i="1" s="1"/>
  <c r="BR243" i="1" s="1"/>
  <c r="BR244" i="1" s="1"/>
  <c r="BR245" i="1" s="1"/>
  <c r="BR246" i="1" s="1"/>
  <c r="BR247" i="1" s="1"/>
  <c r="BR248" i="1" s="1"/>
  <c r="BR249" i="1" s="1"/>
  <c r="BR250" i="1" s="1"/>
  <c r="BR251" i="1" s="1"/>
  <c r="BR252" i="1" s="1"/>
  <c r="BR253" i="1" s="1"/>
  <c r="BR254" i="1" s="1"/>
  <c r="BR255" i="1" s="1"/>
  <c r="BR256" i="1" s="1"/>
  <c r="BR257" i="1" s="1"/>
  <c r="BR258" i="1" s="1"/>
  <c r="BR259" i="1" s="1"/>
  <c r="BR260" i="1" s="1"/>
  <c r="BR261" i="1" s="1"/>
  <c r="BR262" i="1" s="1"/>
  <c r="BR263" i="1" s="1"/>
  <c r="BR264" i="1" s="1"/>
  <c r="BR265" i="1" s="1"/>
  <c r="BR266" i="1" s="1"/>
  <c r="BR267" i="1" s="1"/>
  <c r="BR268" i="1" s="1"/>
  <c r="BR269" i="1" s="1"/>
  <c r="BR270" i="1" s="1"/>
  <c r="BR271" i="1" s="1"/>
  <c r="BR272" i="1" s="1"/>
  <c r="BR273" i="1" s="1"/>
  <c r="BR274" i="1" s="1"/>
  <c r="BR275" i="1" s="1"/>
  <c r="BR276" i="1" s="1"/>
  <c r="BR277" i="1" s="1"/>
  <c r="BR278" i="1" s="1"/>
  <c r="BR279" i="1" s="1"/>
  <c r="BR280" i="1" s="1"/>
  <c r="BR281" i="1" s="1"/>
  <c r="BR282" i="1" s="1"/>
  <c r="BR283" i="1" s="1"/>
  <c r="BR284" i="1" s="1"/>
  <c r="BR285" i="1" s="1"/>
  <c r="BR286" i="1" s="1"/>
  <c r="BR287" i="1" s="1"/>
  <c r="BR288" i="1" s="1"/>
  <c r="BR289" i="1" s="1"/>
  <c r="BR290" i="1" s="1"/>
  <c r="BR291" i="1" s="1"/>
  <c r="BR292" i="1" s="1"/>
  <c r="BR293" i="1" s="1"/>
  <c r="BR294" i="1" s="1"/>
  <c r="BR295" i="1" s="1"/>
  <c r="BR296" i="1" s="1"/>
  <c r="BR297" i="1" s="1"/>
  <c r="BR298" i="1" s="1"/>
  <c r="BR299" i="1" s="1"/>
  <c r="BR300" i="1" s="1"/>
  <c r="BR301" i="1" s="1"/>
  <c r="BR302" i="1" s="1"/>
  <c r="BR303" i="1" s="1"/>
  <c r="BR304" i="1" s="1"/>
  <c r="BR305" i="1" s="1"/>
  <c r="BR306" i="1" s="1"/>
  <c r="BR307" i="1" s="1"/>
  <c r="BR308" i="1" s="1"/>
  <c r="BR309" i="1" s="1"/>
  <c r="BR310" i="1" s="1"/>
  <c r="BR311" i="1" s="1"/>
  <c r="BR312" i="1" s="1"/>
  <c r="BR313" i="1" s="1"/>
  <c r="BR314" i="1" s="1"/>
  <c r="BR315" i="1" s="1"/>
  <c r="BR316" i="1" s="1"/>
  <c r="BR317" i="1" s="1"/>
  <c r="BR318" i="1" s="1"/>
  <c r="BR319" i="1" s="1"/>
  <c r="BR320" i="1" s="1"/>
  <c r="BR321" i="1" s="1"/>
  <c r="BR322" i="1" s="1"/>
  <c r="BR323" i="1" s="1"/>
  <c r="BR324" i="1" s="1"/>
  <c r="BR325" i="1" s="1"/>
  <c r="BR326" i="1" s="1"/>
  <c r="BR327" i="1" s="1"/>
  <c r="BR328" i="1" s="1"/>
  <c r="BR329" i="1" s="1"/>
  <c r="BR330" i="1" s="1"/>
  <c r="BR331" i="1" s="1"/>
  <c r="BR332" i="1" s="1"/>
  <c r="BR333" i="1" s="1"/>
  <c r="BR334" i="1" s="1"/>
  <c r="BR335" i="1" s="1"/>
  <c r="BR336" i="1" s="1"/>
  <c r="BR337" i="1" s="1"/>
  <c r="BR338" i="1" s="1"/>
  <c r="BR339" i="1" s="1"/>
  <c r="BR340" i="1" s="1"/>
  <c r="BR341" i="1" s="1"/>
  <c r="BR342" i="1" s="1"/>
  <c r="BR343" i="1" s="1"/>
  <c r="BR344" i="1" s="1"/>
  <c r="BR345" i="1" s="1"/>
  <c r="BR346" i="1" s="1"/>
  <c r="BR347" i="1" s="1"/>
  <c r="BR348" i="1" s="1"/>
  <c r="BR349" i="1" s="1"/>
  <c r="BR350" i="1" s="1"/>
  <c r="BR351" i="1" s="1"/>
  <c r="BR352" i="1" s="1"/>
  <c r="BR353" i="1" s="1"/>
  <c r="BR354" i="1" s="1"/>
  <c r="BR355" i="1" s="1"/>
  <c r="BR356" i="1" s="1"/>
  <c r="BR357" i="1" s="1"/>
  <c r="BR358" i="1" s="1"/>
  <c r="BR359" i="1" s="1"/>
  <c r="BR360" i="1" s="1"/>
  <c r="BR361" i="1" s="1"/>
  <c r="BR362" i="1" s="1"/>
  <c r="BR363" i="1" s="1"/>
  <c r="BR364" i="1" s="1"/>
  <c r="BR365" i="1" s="1"/>
  <c r="BR366" i="1" s="1"/>
  <c r="BR367" i="1" s="1"/>
  <c r="BR368" i="1" s="1"/>
  <c r="BR369" i="1" s="1"/>
  <c r="BR370" i="1" s="1"/>
  <c r="BR371" i="1" s="1"/>
  <c r="BR372" i="1" s="1"/>
  <c r="BR373" i="1" s="1"/>
  <c r="BR374" i="1" s="1"/>
  <c r="BR375" i="1" s="1"/>
  <c r="BR376" i="1" s="1"/>
  <c r="BR377" i="1" s="1"/>
  <c r="BR378" i="1" s="1"/>
  <c r="BR379" i="1" s="1"/>
  <c r="BR380" i="1" s="1"/>
  <c r="BR381" i="1" s="1"/>
  <c r="BR382" i="1" s="1"/>
  <c r="BR383" i="1" s="1"/>
  <c r="BR384" i="1" s="1"/>
  <c r="BR385" i="1" s="1"/>
  <c r="BR386" i="1" s="1"/>
  <c r="BR387" i="1" s="1"/>
  <c r="BR388" i="1" s="1"/>
  <c r="BR389" i="1" s="1"/>
  <c r="BR390" i="1" s="1"/>
  <c r="BR391" i="1" s="1"/>
  <c r="BR392" i="1" s="1"/>
  <c r="BR393" i="1" s="1"/>
  <c r="BR394" i="1" s="1"/>
  <c r="BR395" i="1" s="1"/>
  <c r="BR396" i="1" s="1"/>
  <c r="BR397" i="1" s="1"/>
  <c r="BR398" i="1" s="1"/>
  <c r="BR399" i="1" s="1"/>
  <c r="BR400" i="1" s="1"/>
  <c r="BR401" i="1" s="1"/>
  <c r="BR402" i="1" s="1"/>
  <c r="BR403" i="1" s="1"/>
  <c r="BR404" i="1" s="1"/>
  <c r="BR405" i="1" s="1"/>
  <c r="BR406" i="1" s="1"/>
  <c r="BR407" i="1" s="1"/>
  <c r="BR408" i="1" s="1"/>
  <c r="BR409" i="1" s="1"/>
  <c r="BR410" i="1" s="1"/>
  <c r="BR411" i="1" s="1"/>
  <c r="BR412" i="1" s="1"/>
  <c r="BR413" i="1" s="1"/>
  <c r="BR414" i="1" s="1"/>
  <c r="BR415" i="1" s="1"/>
  <c r="BR416" i="1" s="1"/>
  <c r="BR417" i="1" s="1"/>
  <c r="BR418" i="1" s="1"/>
  <c r="BR419" i="1" s="1"/>
  <c r="BR420" i="1" s="1"/>
  <c r="BR421" i="1" s="1"/>
  <c r="BR422" i="1" s="1"/>
  <c r="BR423" i="1" s="1"/>
  <c r="BR424" i="1" s="1"/>
  <c r="BR425" i="1" s="1"/>
  <c r="BR426" i="1" s="1"/>
  <c r="BR427" i="1" s="1"/>
  <c r="BR428" i="1" s="1"/>
  <c r="BR429" i="1" s="1"/>
  <c r="BR430" i="1" s="1"/>
  <c r="BR431" i="1" s="1"/>
  <c r="BR432" i="1" s="1"/>
  <c r="BR433" i="1" s="1"/>
  <c r="BR434" i="1" s="1"/>
  <c r="BR435" i="1" s="1"/>
  <c r="BR436" i="1" s="1"/>
  <c r="BR437" i="1" s="1"/>
  <c r="BR438" i="1" s="1"/>
  <c r="BR439" i="1" s="1"/>
  <c r="BR440" i="1" s="1"/>
  <c r="BR441" i="1" s="1"/>
  <c r="BR442" i="1" s="1"/>
  <c r="BR443" i="1" s="1"/>
  <c r="BR444" i="1" s="1"/>
  <c r="BR445" i="1" s="1"/>
  <c r="BR446" i="1" s="1"/>
  <c r="BR447" i="1" s="1"/>
  <c r="BR448" i="1" s="1"/>
  <c r="BR449" i="1" s="1"/>
  <c r="BR450" i="1" s="1"/>
  <c r="BR451" i="1" s="1"/>
  <c r="BR452" i="1" s="1"/>
  <c r="BR453" i="1" s="1"/>
  <c r="BR454" i="1" s="1"/>
  <c r="BR455" i="1" s="1"/>
  <c r="BR456" i="1" s="1"/>
  <c r="BR457" i="1" s="1"/>
  <c r="BR458" i="1" s="1"/>
  <c r="BR459" i="1" s="1"/>
  <c r="BR460" i="1" s="1"/>
  <c r="BR461" i="1" s="1"/>
  <c r="BR462" i="1" s="1"/>
  <c r="BR463" i="1" s="1"/>
  <c r="BR464" i="1" s="1"/>
  <c r="BR465" i="1" s="1"/>
  <c r="BR466" i="1" s="1"/>
  <c r="BR467" i="1" s="1"/>
  <c r="BR468" i="1" s="1"/>
  <c r="BR469" i="1" s="1"/>
  <c r="BR470" i="1" s="1"/>
  <c r="BR471" i="1" s="1"/>
  <c r="BR472" i="1" s="1"/>
  <c r="BR473" i="1" s="1"/>
  <c r="BR474" i="1" s="1"/>
  <c r="BR475" i="1" s="1"/>
  <c r="BR476" i="1" s="1"/>
  <c r="BR477" i="1" s="1"/>
  <c r="BR478" i="1" s="1"/>
  <c r="BR479" i="1" s="1"/>
  <c r="BR480" i="1" s="1"/>
  <c r="BR481" i="1" s="1"/>
  <c r="BR482" i="1" s="1"/>
  <c r="BR483" i="1" s="1"/>
  <c r="BR484" i="1" s="1"/>
  <c r="BR485" i="1" s="1"/>
  <c r="BR486" i="1" s="1"/>
  <c r="BR487" i="1" s="1"/>
  <c r="BR488" i="1" s="1"/>
  <c r="BR489" i="1" s="1"/>
  <c r="BR490" i="1" s="1"/>
  <c r="BR491" i="1" s="1"/>
  <c r="BR492" i="1" s="1"/>
  <c r="BR493" i="1" s="1"/>
  <c r="BR494" i="1" s="1"/>
  <c r="BR495" i="1" s="1"/>
  <c r="BR496" i="1" s="1"/>
  <c r="BR497" i="1" s="1"/>
  <c r="BR498" i="1" s="1"/>
  <c r="BR499" i="1" s="1"/>
  <c r="BR500" i="1" s="1"/>
  <c r="BR501" i="1" s="1"/>
  <c r="BR502" i="1" s="1"/>
  <c r="BR503" i="1" s="1"/>
  <c r="BR504" i="1" s="1"/>
  <c r="BR505" i="1" s="1"/>
  <c r="BR506" i="1" s="1"/>
  <c r="BR507" i="1" s="1"/>
  <c r="BR508" i="1" s="1"/>
  <c r="BR509" i="1" s="1"/>
  <c r="BR510" i="1" s="1"/>
  <c r="BR511" i="1" s="1"/>
  <c r="BR512" i="1" s="1"/>
  <c r="BR513" i="1" s="1"/>
  <c r="BR514" i="1" s="1"/>
  <c r="BR515" i="1" s="1"/>
  <c r="BR516" i="1" s="1"/>
  <c r="BR517" i="1" s="1"/>
  <c r="BR518" i="1" s="1"/>
  <c r="BR519" i="1" s="1"/>
  <c r="BR520" i="1" s="1"/>
  <c r="BR521" i="1" s="1"/>
  <c r="BR522" i="1" s="1"/>
  <c r="BR523" i="1" s="1"/>
  <c r="BR524" i="1" s="1"/>
  <c r="BR525" i="1" s="1"/>
  <c r="BR526" i="1" s="1"/>
  <c r="BR527" i="1" s="1"/>
  <c r="BR528" i="1" s="1"/>
  <c r="BR529" i="1" s="1"/>
  <c r="BR530" i="1" s="1"/>
  <c r="BR531" i="1" s="1"/>
  <c r="BR532" i="1" s="1"/>
  <c r="BR533" i="1" s="1"/>
  <c r="BL13" i="1" s="1"/>
  <c r="BR3" i="1"/>
  <c r="BO4" i="1"/>
  <c r="BO5" i="1"/>
  <c r="BO6" i="1"/>
  <c r="BO7" i="1"/>
  <c r="BO8" i="1"/>
  <c r="BO9" i="1"/>
  <c r="BO10" i="1"/>
  <c r="BO11" i="1"/>
  <c r="BO12" i="1"/>
  <c r="BO13" i="1"/>
  <c r="BO14" i="1"/>
  <c r="BO15" i="1"/>
  <c r="BO16" i="1"/>
  <c r="BO17" i="1"/>
  <c r="BO18" i="1"/>
  <c r="BO19" i="1"/>
  <c r="BO20" i="1"/>
  <c r="BO21" i="1"/>
  <c r="BO22" i="1"/>
  <c r="BO23" i="1"/>
  <c r="BO24" i="1"/>
  <c r="BO25" i="1"/>
  <c r="BO26" i="1"/>
  <c r="BO27" i="1"/>
  <c r="BO28" i="1"/>
  <c r="BO29" i="1"/>
  <c r="BO30" i="1"/>
  <c r="BO31" i="1"/>
  <c r="BO32" i="1"/>
  <c r="BO33" i="1"/>
  <c r="BO34" i="1"/>
  <c r="BO35" i="1"/>
  <c r="BO36" i="1"/>
  <c r="BO37" i="1"/>
  <c r="BO38" i="1"/>
  <c r="BO39" i="1"/>
  <c r="BO40" i="1"/>
  <c r="BO41" i="1"/>
  <c r="BO42" i="1"/>
  <c r="BO43" i="1"/>
  <c r="BO44" i="1"/>
  <c r="BO45" i="1"/>
  <c r="BO46" i="1"/>
  <c r="BO47" i="1"/>
  <c r="BO48" i="1"/>
  <c r="BO49" i="1"/>
  <c r="BO50" i="1"/>
  <c r="BO51" i="1"/>
  <c r="BO52" i="1"/>
  <c r="BO53" i="1"/>
  <c r="BO54" i="1"/>
  <c r="BO55" i="1"/>
  <c r="BO56" i="1"/>
  <c r="BO57" i="1"/>
  <c r="BO58" i="1"/>
  <c r="BO59" i="1"/>
  <c r="BO60" i="1"/>
  <c r="BO61" i="1"/>
  <c r="BO62" i="1"/>
  <c r="BO63" i="1"/>
  <c r="BO64" i="1"/>
  <c r="BO65" i="1"/>
  <c r="BO66" i="1"/>
  <c r="BO67" i="1"/>
  <c r="BO68" i="1"/>
  <c r="BO69" i="1"/>
  <c r="BO70" i="1"/>
  <c r="BO71" i="1"/>
  <c r="BO72" i="1"/>
  <c r="BO73" i="1"/>
  <c r="BO74" i="1"/>
  <c r="BO75" i="1"/>
  <c r="BO76" i="1"/>
  <c r="BO77" i="1"/>
  <c r="BO78" i="1"/>
  <c r="BO79" i="1"/>
  <c r="BO80" i="1"/>
  <c r="BO81" i="1"/>
  <c r="BS81" i="1" s="1"/>
  <c r="BO82" i="1"/>
  <c r="BO83" i="1"/>
  <c r="BO84" i="1"/>
  <c r="BO85" i="1"/>
  <c r="BO86" i="1"/>
  <c r="BO87" i="1"/>
  <c r="BO88" i="1"/>
  <c r="BO89" i="1"/>
  <c r="BO90" i="1"/>
  <c r="BO91" i="1"/>
  <c r="BO92" i="1"/>
  <c r="BO93" i="1"/>
  <c r="BO94" i="1"/>
  <c r="BO95" i="1"/>
  <c r="BO96" i="1"/>
  <c r="BO97" i="1"/>
  <c r="BS97" i="1" s="1"/>
  <c r="BO98" i="1"/>
  <c r="BO99" i="1"/>
  <c r="BO100" i="1"/>
  <c r="BO101" i="1"/>
  <c r="BO102" i="1"/>
  <c r="BO103" i="1"/>
  <c r="BO104" i="1"/>
  <c r="BO105" i="1"/>
  <c r="BO106" i="1"/>
  <c r="BO107" i="1"/>
  <c r="BO108" i="1"/>
  <c r="BO109" i="1"/>
  <c r="BO110" i="1"/>
  <c r="BO111" i="1"/>
  <c r="BO112" i="1"/>
  <c r="BO113" i="1"/>
  <c r="BO114" i="1"/>
  <c r="BO115" i="1"/>
  <c r="BO116" i="1"/>
  <c r="BO117" i="1"/>
  <c r="BO118" i="1"/>
  <c r="BO119" i="1"/>
  <c r="BO120" i="1"/>
  <c r="BO121" i="1"/>
  <c r="BO122" i="1"/>
  <c r="BO123" i="1"/>
  <c r="BO124" i="1"/>
  <c r="BO125" i="1"/>
  <c r="BO126" i="1"/>
  <c r="BO127" i="1"/>
  <c r="BO128" i="1"/>
  <c r="BO129" i="1"/>
  <c r="BS129" i="1" s="1"/>
  <c r="BO130" i="1"/>
  <c r="BO131" i="1"/>
  <c r="BO132" i="1"/>
  <c r="BO133" i="1"/>
  <c r="BO134" i="1"/>
  <c r="BO135" i="1"/>
  <c r="BO136" i="1"/>
  <c r="BO137" i="1"/>
  <c r="BO138" i="1"/>
  <c r="BO139" i="1"/>
  <c r="BO140" i="1"/>
  <c r="BO141" i="1"/>
  <c r="BO142" i="1"/>
  <c r="BO143" i="1"/>
  <c r="BO144" i="1"/>
  <c r="BO145" i="1"/>
  <c r="BS145" i="1" s="1"/>
  <c r="BO146" i="1"/>
  <c r="BO147" i="1"/>
  <c r="BO148" i="1"/>
  <c r="BO149" i="1"/>
  <c r="BO150" i="1"/>
  <c r="BO151" i="1"/>
  <c r="BO152" i="1"/>
  <c r="BO153" i="1"/>
  <c r="BO154" i="1"/>
  <c r="BO155" i="1"/>
  <c r="BO156" i="1"/>
  <c r="BO157" i="1"/>
  <c r="BO158" i="1"/>
  <c r="BO159" i="1"/>
  <c r="BO160" i="1"/>
  <c r="BO161" i="1"/>
  <c r="BS161" i="1" s="1"/>
  <c r="BO162" i="1"/>
  <c r="BO163" i="1"/>
  <c r="BO164" i="1"/>
  <c r="BO165" i="1"/>
  <c r="BO166" i="1"/>
  <c r="BO167" i="1"/>
  <c r="BO168" i="1"/>
  <c r="BO169" i="1"/>
  <c r="BO170" i="1"/>
  <c r="BO171" i="1"/>
  <c r="BO172" i="1"/>
  <c r="BO173" i="1"/>
  <c r="BO174" i="1"/>
  <c r="BO175" i="1"/>
  <c r="BO176" i="1"/>
  <c r="BO177" i="1"/>
  <c r="BS177" i="1" s="1"/>
  <c r="BO178" i="1"/>
  <c r="BO179" i="1"/>
  <c r="BO180" i="1"/>
  <c r="BO181" i="1"/>
  <c r="BO182" i="1"/>
  <c r="BO183" i="1"/>
  <c r="BO184" i="1"/>
  <c r="BO185" i="1"/>
  <c r="BO186" i="1"/>
  <c r="BO187" i="1"/>
  <c r="BO188" i="1"/>
  <c r="BO189" i="1"/>
  <c r="BO190" i="1"/>
  <c r="BO191" i="1"/>
  <c r="BO192" i="1"/>
  <c r="BO193" i="1"/>
  <c r="BS193" i="1" s="1"/>
  <c r="BO194" i="1"/>
  <c r="BO195" i="1"/>
  <c r="BO196" i="1"/>
  <c r="BO197" i="1"/>
  <c r="BO198" i="1"/>
  <c r="BO199" i="1"/>
  <c r="BO200" i="1"/>
  <c r="BO201" i="1"/>
  <c r="BO202" i="1"/>
  <c r="BO203" i="1"/>
  <c r="BO204" i="1"/>
  <c r="BO205" i="1"/>
  <c r="BO206" i="1"/>
  <c r="BO207" i="1"/>
  <c r="BO208" i="1"/>
  <c r="BO209" i="1"/>
  <c r="BS209" i="1" s="1"/>
  <c r="BO210" i="1"/>
  <c r="BO211" i="1"/>
  <c r="BO212" i="1"/>
  <c r="BO213" i="1"/>
  <c r="BO214" i="1"/>
  <c r="BO215" i="1"/>
  <c r="BO216" i="1"/>
  <c r="BO217" i="1"/>
  <c r="BO218" i="1"/>
  <c r="BO219" i="1"/>
  <c r="BO220" i="1"/>
  <c r="BO221" i="1"/>
  <c r="BO222" i="1"/>
  <c r="BO223" i="1"/>
  <c r="BO224" i="1"/>
  <c r="BO225" i="1"/>
  <c r="BS225" i="1" s="1"/>
  <c r="BO226" i="1"/>
  <c r="BO227" i="1"/>
  <c r="BO228" i="1"/>
  <c r="BO229" i="1"/>
  <c r="BO230" i="1"/>
  <c r="BO231" i="1"/>
  <c r="BO232" i="1"/>
  <c r="BO233" i="1"/>
  <c r="BO234" i="1"/>
  <c r="BO235" i="1"/>
  <c r="BO236" i="1"/>
  <c r="BO237" i="1"/>
  <c r="BO238" i="1"/>
  <c r="BO239" i="1"/>
  <c r="BO240" i="1"/>
  <c r="BO241" i="1"/>
  <c r="BS241" i="1" s="1"/>
  <c r="BO242" i="1"/>
  <c r="BO243" i="1"/>
  <c r="BO244" i="1"/>
  <c r="BO245" i="1"/>
  <c r="BO246" i="1"/>
  <c r="BO247" i="1"/>
  <c r="BO248" i="1"/>
  <c r="BO249" i="1"/>
  <c r="BO250" i="1"/>
  <c r="BO251" i="1"/>
  <c r="BO252" i="1"/>
  <c r="BO253" i="1"/>
  <c r="BO254" i="1"/>
  <c r="BO255" i="1"/>
  <c r="BO256" i="1"/>
  <c r="BO257" i="1"/>
  <c r="BS257" i="1" s="1"/>
  <c r="BO258" i="1"/>
  <c r="BO259" i="1"/>
  <c r="BO260" i="1"/>
  <c r="BO261" i="1"/>
  <c r="BO262" i="1"/>
  <c r="BO263" i="1"/>
  <c r="BO264" i="1"/>
  <c r="BO265" i="1"/>
  <c r="BO266" i="1"/>
  <c r="BO267" i="1"/>
  <c r="BO268" i="1"/>
  <c r="BO269" i="1"/>
  <c r="BO270" i="1"/>
  <c r="BO271" i="1"/>
  <c r="BO272" i="1"/>
  <c r="BO273" i="1"/>
  <c r="BS273" i="1" s="1"/>
  <c r="BO274" i="1"/>
  <c r="BO275" i="1"/>
  <c r="BO276" i="1"/>
  <c r="BO277" i="1"/>
  <c r="BO278" i="1"/>
  <c r="BO279" i="1"/>
  <c r="BO280" i="1"/>
  <c r="BO281" i="1"/>
  <c r="BO282" i="1"/>
  <c r="BO283" i="1"/>
  <c r="BO284" i="1"/>
  <c r="BO285" i="1"/>
  <c r="BO286" i="1"/>
  <c r="BO287" i="1"/>
  <c r="BO288" i="1"/>
  <c r="BO289" i="1"/>
  <c r="BS289" i="1" s="1"/>
  <c r="BO290" i="1"/>
  <c r="BO291" i="1"/>
  <c r="BO292" i="1"/>
  <c r="BO293" i="1"/>
  <c r="BO294" i="1"/>
  <c r="BO295" i="1"/>
  <c r="BO296" i="1"/>
  <c r="BO297" i="1"/>
  <c r="BO298" i="1"/>
  <c r="BO299" i="1"/>
  <c r="BO300" i="1"/>
  <c r="BO301" i="1"/>
  <c r="BO302" i="1"/>
  <c r="BO303" i="1"/>
  <c r="BO304" i="1"/>
  <c r="BO305" i="1"/>
  <c r="BS305" i="1" s="1"/>
  <c r="BO306" i="1"/>
  <c r="BO307" i="1"/>
  <c r="BO308" i="1"/>
  <c r="BO309" i="1"/>
  <c r="BO310" i="1"/>
  <c r="BO311" i="1"/>
  <c r="BO312" i="1"/>
  <c r="BO313" i="1"/>
  <c r="BO314" i="1"/>
  <c r="BO315" i="1"/>
  <c r="BO316" i="1"/>
  <c r="BO317" i="1"/>
  <c r="BO318" i="1"/>
  <c r="BO319" i="1"/>
  <c r="BO320" i="1"/>
  <c r="BO321" i="1"/>
  <c r="BS321" i="1" s="1"/>
  <c r="BO322" i="1"/>
  <c r="BO323" i="1"/>
  <c r="BO324" i="1"/>
  <c r="BO325" i="1"/>
  <c r="BO326" i="1"/>
  <c r="BO327" i="1"/>
  <c r="BO328" i="1"/>
  <c r="BO329" i="1"/>
  <c r="BO330" i="1"/>
  <c r="BO331" i="1"/>
  <c r="BO332" i="1"/>
  <c r="BO333" i="1"/>
  <c r="BO334" i="1"/>
  <c r="BO335" i="1"/>
  <c r="BO336" i="1"/>
  <c r="BO337" i="1"/>
  <c r="BS337" i="1" s="1"/>
  <c r="BO338" i="1"/>
  <c r="BO339" i="1"/>
  <c r="BO340" i="1"/>
  <c r="BO341" i="1"/>
  <c r="BO342" i="1"/>
  <c r="BO343" i="1"/>
  <c r="BO344" i="1"/>
  <c r="BO345" i="1"/>
  <c r="BO346" i="1"/>
  <c r="BO347" i="1"/>
  <c r="BO348" i="1"/>
  <c r="BO349" i="1"/>
  <c r="BO350" i="1"/>
  <c r="BO351" i="1"/>
  <c r="BO352" i="1"/>
  <c r="BO353" i="1"/>
  <c r="BS353" i="1" s="1"/>
  <c r="BO354" i="1"/>
  <c r="BO355" i="1"/>
  <c r="BO356" i="1"/>
  <c r="BO357" i="1"/>
  <c r="BO358" i="1"/>
  <c r="BO359" i="1"/>
  <c r="BO360" i="1"/>
  <c r="BO361" i="1"/>
  <c r="BO362" i="1"/>
  <c r="BO363" i="1"/>
  <c r="BO364" i="1"/>
  <c r="BO365" i="1"/>
  <c r="BO366" i="1"/>
  <c r="BO367" i="1"/>
  <c r="BO368" i="1"/>
  <c r="BO369" i="1"/>
  <c r="BS369" i="1" s="1"/>
  <c r="BO370" i="1"/>
  <c r="BO371" i="1"/>
  <c r="BO372" i="1"/>
  <c r="BO373" i="1"/>
  <c r="BO374" i="1"/>
  <c r="BO375" i="1"/>
  <c r="BO376" i="1"/>
  <c r="BO377" i="1"/>
  <c r="BO378" i="1"/>
  <c r="BO379" i="1"/>
  <c r="BO380" i="1"/>
  <c r="BO381" i="1"/>
  <c r="BO382" i="1"/>
  <c r="BO383" i="1"/>
  <c r="BO384" i="1"/>
  <c r="BO385" i="1"/>
  <c r="BS385" i="1" s="1"/>
  <c r="BO386" i="1"/>
  <c r="BO387" i="1"/>
  <c r="BO388" i="1"/>
  <c r="BO389" i="1"/>
  <c r="BO390" i="1"/>
  <c r="BO391" i="1"/>
  <c r="BO392" i="1"/>
  <c r="BO393" i="1"/>
  <c r="BO394" i="1"/>
  <c r="BO395" i="1"/>
  <c r="BO396" i="1"/>
  <c r="BO397" i="1"/>
  <c r="BO398" i="1"/>
  <c r="BO399" i="1"/>
  <c r="BO400" i="1"/>
  <c r="BO401" i="1"/>
  <c r="BS401" i="1" s="1"/>
  <c r="BO402" i="1"/>
  <c r="BO403" i="1"/>
  <c r="BO404" i="1"/>
  <c r="BO405" i="1"/>
  <c r="BO406" i="1"/>
  <c r="BO407" i="1"/>
  <c r="BO408" i="1"/>
  <c r="BO409" i="1"/>
  <c r="BO410" i="1"/>
  <c r="BO411" i="1"/>
  <c r="BO412" i="1"/>
  <c r="BO413" i="1"/>
  <c r="BO414" i="1"/>
  <c r="BO415" i="1"/>
  <c r="BO416" i="1"/>
  <c r="BO417" i="1"/>
  <c r="BS417" i="1" s="1"/>
  <c r="BO418" i="1"/>
  <c r="BO419" i="1"/>
  <c r="BO420" i="1"/>
  <c r="BO421" i="1"/>
  <c r="BO422" i="1"/>
  <c r="BO423" i="1"/>
  <c r="BO424" i="1"/>
  <c r="BO425" i="1"/>
  <c r="BO426" i="1"/>
  <c r="BO427" i="1"/>
  <c r="BO428" i="1"/>
  <c r="BO429" i="1"/>
  <c r="BO430" i="1"/>
  <c r="BO431" i="1"/>
  <c r="BO432" i="1"/>
  <c r="BO433" i="1"/>
  <c r="BS433" i="1" s="1"/>
  <c r="BO434" i="1"/>
  <c r="BO435" i="1"/>
  <c r="BO436" i="1"/>
  <c r="BO437" i="1"/>
  <c r="BO438" i="1"/>
  <c r="BO439" i="1"/>
  <c r="BO440" i="1"/>
  <c r="BO441" i="1"/>
  <c r="BO442" i="1"/>
  <c r="BO443" i="1"/>
  <c r="BO444" i="1"/>
  <c r="BO445" i="1"/>
  <c r="BO446" i="1"/>
  <c r="BO447" i="1"/>
  <c r="BO448" i="1"/>
  <c r="BO449" i="1"/>
  <c r="BS449" i="1" s="1"/>
  <c r="BO450" i="1"/>
  <c r="BO451" i="1"/>
  <c r="BO452" i="1"/>
  <c r="BO453" i="1"/>
  <c r="BO454" i="1"/>
  <c r="BO455" i="1"/>
  <c r="BO456" i="1"/>
  <c r="BO457" i="1"/>
  <c r="BO458" i="1"/>
  <c r="BO459" i="1"/>
  <c r="BO460" i="1"/>
  <c r="BO461" i="1"/>
  <c r="BO462" i="1"/>
  <c r="BO463" i="1"/>
  <c r="BO464" i="1"/>
  <c r="BO465" i="1"/>
  <c r="BS465" i="1" s="1"/>
  <c r="BO466" i="1"/>
  <c r="BO467" i="1"/>
  <c r="BO468" i="1"/>
  <c r="BO469" i="1"/>
  <c r="BO470" i="1"/>
  <c r="BO471" i="1"/>
  <c r="BO472" i="1"/>
  <c r="BO473" i="1"/>
  <c r="BO474" i="1"/>
  <c r="BO475" i="1"/>
  <c r="BO476" i="1"/>
  <c r="BO477" i="1"/>
  <c r="BO478" i="1"/>
  <c r="BO479" i="1"/>
  <c r="BO480" i="1"/>
  <c r="BO481" i="1"/>
  <c r="BS481" i="1" s="1"/>
  <c r="BO482" i="1"/>
  <c r="BO483" i="1"/>
  <c r="BO484" i="1"/>
  <c r="BO485" i="1"/>
  <c r="BO486" i="1"/>
  <c r="BO487" i="1"/>
  <c r="BO488" i="1"/>
  <c r="BO489" i="1"/>
  <c r="BO490" i="1"/>
  <c r="BO491" i="1"/>
  <c r="BO492" i="1"/>
  <c r="BO493" i="1"/>
  <c r="BO494" i="1"/>
  <c r="BO495" i="1"/>
  <c r="BO496" i="1"/>
  <c r="BO497" i="1"/>
  <c r="BS497" i="1" s="1"/>
  <c r="BO498" i="1"/>
  <c r="BO499" i="1"/>
  <c r="BO500" i="1"/>
  <c r="BO501" i="1"/>
  <c r="BO502" i="1"/>
  <c r="BO503" i="1"/>
  <c r="BO504" i="1"/>
  <c r="BO505" i="1"/>
  <c r="BO506" i="1"/>
  <c r="BO507" i="1"/>
  <c r="BO508" i="1"/>
  <c r="BO509" i="1"/>
  <c r="BO510" i="1"/>
  <c r="BO511" i="1"/>
  <c r="BO512" i="1"/>
  <c r="BO513" i="1"/>
  <c r="BS513" i="1" s="1"/>
  <c r="BO514" i="1"/>
  <c r="BO515" i="1"/>
  <c r="BO516" i="1"/>
  <c r="BO517" i="1"/>
  <c r="BO518" i="1"/>
  <c r="BO519" i="1"/>
  <c r="BO520" i="1"/>
  <c r="BO521" i="1"/>
  <c r="BO522" i="1"/>
  <c r="BO523" i="1"/>
  <c r="BO524" i="1"/>
  <c r="BO525" i="1"/>
  <c r="BO526" i="1"/>
  <c r="BO527" i="1"/>
  <c r="BO528" i="1"/>
  <c r="BO529" i="1"/>
  <c r="BS529" i="1" s="1"/>
  <c r="BO530" i="1"/>
  <c r="BO531" i="1"/>
  <c r="BO532" i="1"/>
  <c r="BO533" i="1"/>
  <c r="BO3" i="1"/>
  <c r="AH5" i="1"/>
  <c r="AH6" i="1" s="1"/>
  <c r="AH7" i="1" s="1"/>
  <c r="AH8" i="1" s="1"/>
  <c r="AH9" i="1" s="1"/>
  <c r="AH10" i="1" s="1"/>
  <c r="AH11" i="1" s="1"/>
  <c r="AH12" i="1" s="1"/>
  <c r="AH13" i="1" s="1"/>
  <c r="AH14" i="1" s="1"/>
  <c r="AH15" i="1" s="1"/>
  <c r="AH16" i="1" s="1"/>
  <c r="AH17" i="1" s="1"/>
  <c r="AH18" i="1" s="1"/>
  <c r="AH19" i="1" s="1"/>
  <c r="AH20" i="1" s="1"/>
  <c r="AH21" i="1" s="1"/>
  <c r="AH22" i="1" s="1"/>
  <c r="AH23" i="1" s="1"/>
  <c r="AH24" i="1" s="1"/>
  <c r="AH25" i="1" s="1"/>
  <c r="AH26" i="1" s="1"/>
  <c r="AH27" i="1" s="1"/>
  <c r="AH28" i="1" s="1"/>
  <c r="AH29" i="1" s="1"/>
  <c r="AH30" i="1" s="1"/>
  <c r="AH31" i="1" s="1"/>
  <c r="AH32" i="1" s="1"/>
  <c r="AH33" i="1" s="1"/>
  <c r="AH34" i="1" s="1"/>
  <c r="AH35" i="1" s="1"/>
  <c r="AH36" i="1" s="1"/>
  <c r="AH37" i="1" s="1"/>
  <c r="AH38" i="1" s="1"/>
  <c r="AH39" i="1" s="1"/>
  <c r="AH40" i="1" s="1"/>
  <c r="AH41" i="1" s="1"/>
  <c r="AH42" i="1" s="1"/>
  <c r="AH43" i="1" s="1"/>
  <c r="AH44" i="1" s="1"/>
  <c r="AH45" i="1" s="1"/>
  <c r="AH46" i="1" s="1"/>
  <c r="AH47" i="1" s="1"/>
  <c r="AH48" i="1" s="1"/>
  <c r="AH49" i="1" s="1"/>
  <c r="AH50" i="1" s="1"/>
  <c r="AH51" i="1" s="1"/>
  <c r="AH52" i="1" s="1"/>
  <c r="AH53" i="1" s="1"/>
  <c r="AH54" i="1" s="1"/>
  <c r="AH55" i="1" s="1"/>
  <c r="AH56" i="1" s="1"/>
  <c r="AH57" i="1" s="1"/>
  <c r="AH58" i="1" s="1"/>
  <c r="AH59" i="1" s="1"/>
  <c r="AH60" i="1" s="1"/>
  <c r="AH61" i="1" s="1"/>
  <c r="AH62" i="1" s="1"/>
  <c r="AH63" i="1" s="1"/>
  <c r="AH64" i="1" s="1"/>
  <c r="AH65" i="1" s="1"/>
  <c r="AH66" i="1" s="1"/>
  <c r="AH67" i="1" s="1"/>
  <c r="AH68" i="1" s="1"/>
  <c r="AH69" i="1" s="1"/>
  <c r="AH70" i="1" s="1"/>
  <c r="AH71" i="1" s="1"/>
  <c r="AH72" i="1" s="1"/>
  <c r="AH73" i="1" s="1"/>
  <c r="AH74" i="1" s="1"/>
  <c r="AH75" i="1" s="1"/>
  <c r="AH76" i="1" s="1"/>
  <c r="AH77" i="1" s="1"/>
  <c r="AH78" i="1" s="1"/>
  <c r="AH79" i="1" s="1"/>
  <c r="AH80" i="1" s="1"/>
  <c r="AH81" i="1" s="1"/>
  <c r="AH82" i="1" s="1"/>
  <c r="AH83" i="1" s="1"/>
  <c r="AH84" i="1" s="1"/>
  <c r="AH85" i="1" s="1"/>
  <c r="AH86" i="1" s="1"/>
  <c r="AH87" i="1" s="1"/>
  <c r="AH88" i="1" s="1"/>
  <c r="AH89" i="1" s="1"/>
  <c r="AH90" i="1" s="1"/>
  <c r="AH91" i="1" s="1"/>
  <c r="AH92" i="1" s="1"/>
  <c r="AH93" i="1" s="1"/>
  <c r="AH94" i="1" s="1"/>
  <c r="AH95" i="1" s="1"/>
  <c r="AH96" i="1" s="1"/>
  <c r="AH97" i="1" s="1"/>
  <c r="AH98" i="1" s="1"/>
  <c r="AH99" i="1" s="1"/>
  <c r="AH100" i="1" s="1"/>
  <c r="AH101" i="1" s="1"/>
  <c r="AH102" i="1" s="1"/>
  <c r="AH103" i="1" s="1"/>
  <c r="AH104" i="1" s="1"/>
  <c r="AH105" i="1" s="1"/>
  <c r="AH106" i="1" s="1"/>
  <c r="AH107" i="1" s="1"/>
  <c r="AH108" i="1" s="1"/>
  <c r="AH109" i="1" s="1"/>
  <c r="AH110" i="1" s="1"/>
  <c r="AH111" i="1" s="1"/>
  <c r="AH112" i="1" s="1"/>
  <c r="AH113" i="1" s="1"/>
  <c r="AH114" i="1" s="1"/>
  <c r="AH115" i="1" s="1"/>
  <c r="AH116" i="1" s="1"/>
  <c r="AH117" i="1" s="1"/>
  <c r="AH118" i="1" s="1"/>
  <c r="AH119" i="1" s="1"/>
  <c r="AH120" i="1" s="1"/>
  <c r="AH121" i="1" s="1"/>
  <c r="AH122" i="1" s="1"/>
  <c r="AH123" i="1" s="1"/>
  <c r="AH124" i="1" s="1"/>
  <c r="AH125" i="1" s="1"/>
  <c r="AH126" i="1" s="1"/>
  <c r="AH127" i="1" s="1"/>
  <c r="AH128" i="1" s="1"/>
  <c r="AH129" i="1" s="1"/>
  <c r="AH130" i="1" s="1"/>
  <c r="AH131" i="1" s="1"/>
  <c r="AH132" i="1" s="1"/>
  <c r="AH133" i="1" s="1"/>
  <c r="AH134" i="1" s="1"/>
  <c r="AH135" i="1" s="1"/>
  <c r="AH136" i="1" s="1"/>
  <c r="AH137" i="1" s="1"/>
  <c r="AH138" i="1" s="1"/>
  <c r="AH139" i="1" s="1"/>
  <c r="AH140" i="1" s="1"/>
  <c r="AH141" i="1" s="1"/>
  <c r="AH142" i="1" s="1"/>
  <c r="AH143" i="1" s="1"/>
  <c r="AH144" i="1" s="1"/>
  <c r="AH145" i="1" s="1"/>
  <c r="AH146" i="1" s="1"/>
  <c r="AH147" i="1" s="1"/>
  <c r="AH148" i="1" s="1"/>
  <c r="AH149" i="1" s="1"/>
  <c r="AH150" i="1" s="1"/>
  <c r="AH151" i="1" s="1"/>
  <c r="AH152" i="1" s="1"/>
  <c r="AH153" i="1" s="1"/>
  <c r="AH154" i="1" s="1"/>
  <c r="AH155" i="1" s="1"/>
  <c r="AH156" i="1" s="1"/>
  <c r="AH157" i="1" s="1"/>
  <c r="AH158" i="1" s="1"/>
  <c r="AH159" i="1" s="1"/>
  <c r="AH160" i="1" s="1"/>
  <c r="AH161" i="1" s="1"/>
  <c r="AH162" i="1" s="1"/>
  <c r="AH163" i="1" s="1"/>
  <c r="AH164" i="1" s="1"/>
  <c r="AH165" i="1" s="1"/>
  <c r="AH166" i="1" s="1"/>
  <c r="AH167" i="1" s="1"/>
  <c r="AH168" i="1" s="1"/>
  <c r="AH169" i="1" s="1"/>
  <c r="AH170" i="1" s="1"/>
  <c r="AH171" i="1" s="1"/>
  <c r="AH172" i="1" s="1"/>
  <c r="AH173" i="1" s="1"/>
  <c r="AH174" i="1" s="1"/>
  <c r="AH175" i="1" s="1"/>
  <c r="AH176" i="1" s="1"/>
  <c r="AH177" i="1" s="1"/>
  <c r="AH178" i="1" s="1"/>
  <c r="AH179" i="1" s="1"/>
  <c r="AH180" i="1" s="1"/>
  <c r="AH181" i="1" s="1"/>
  <c r="AH182" i="1" s="1"/>
  <c r="AH183" i="1" s="1"/>
  <c r="AH184" i="1" s="1"/>
  <c r="AH185" i="1" s="1"/>
  <c r="AH186" i="1" s="1"/>
  <c r="AH187" i="1" s="1"/>
  <c r="AH188" i="1" s="1"/>
  <c r="AH189" i="1" s="1"/>
  <c r="AH190" i="1" s="1"/>
  <c r="AH191" i="1" s="1"/>
  <c r="AH192" i="1" s="1"/>
  <c r="AH193" i="1" s="1"/>
  <c r="AH194" i="1" s="1"/>
  <c r="AH195" i="1" s="1"/>
  <c r="AH196" i="1" s="1"/>
  <c r="AH197" i="1" s="1"/>
  <c r="AH198" i="1" s="1"/>
  <c r="AH199" i="1" s="1"/>
  <c r="AH200" i="1" s="1"/>
  <c r="AH201" i="1" s="1"/>
  <c r="AH202" i="1" s="1"/>
  <c r="AH203" i="1" s="1"/>
  <c r="AH204" i="1" s="1"/>
  <c r="AH205" i="1" s="1"/>
  <c r="AH206" i="1" s="1"/>
  <c r="AH207" i="1" s="1"/>
  <c r="AH208" i="1" s="1"/>
  <c r="AH209" i="1" s="1"/>
  <c r="AH210" i="1" s="1"/>
  <c r="AH211" i="1" s="1"/>
  <c r="AH212" i="1" s="1"/>
  <c r="AH213" i="1" s="1"/>
  <c r="AH214" i="1" s="1"/>
  <c r="AH215" i="1" s="1"/>
  <c r="AH216" i="1" s="1"/>
  <c r="AH217" i="1" s="1"/>
  <c r="AH218" i="1" s="1"/>
  <c r="AH219" i="1" s="1"/>
  <c r="AH220" i="1" s="1"/>
  <c r="AH221" i="1" s="1"/>
  <c r="AH222" i="1" s="1"/>
  <c r="AH223" i="1" s="1"/>
  <c r="AH224" i="1" s="1"/>
  <c r="AH225" i="1" s="1"/>
  <c r="AH226" i="1" s="1"/>
  <c r="AH227" i="1" s="1"/>
  <c r="AH228" i="1" s="1"/>
  <c r="AH229" i="1" s="1"/>
  <c r="AH230" i="1" s="1"/>
  <c r="AH231" i="1" s="1"/>
  <c r="AH232" i="1" s="1"/>
  <c r="AH233" i="1" s="1"/>
  <c r="AH234" i="1" s="1"/>
  <c r="AH235" i="1" s="1"/>
  <c r="AH236" i="1" s="1"/>
  <c r="AH237" i="1" s="1"/>
  <c r="AH238" i="1" s="1"/>
  <c r="AH239" i="1" s="1"/>
  <c r="AH240" i="1" s="1"/>
  <c r="AH241" i="1" s="1"/>
  <c r="AH242" i="1" s="1"/>
  <c r="AH243" i="1" s="1"/>
  <c r="AH244" i="1" s="1"/>
  <c r="AH245" i="1" s="1"/>
  <c r="AH246" i="1" s="1"/>
  <c r="AH247" i="1" s="1"/>
  <c r="AH248" i="1" s="1"/>
  <c r="AH249" i="1" s="1"/>
  <c r="AH250" i="1" s="1"/>
  <c r="AH251" i="1" s="1"/>
  <c r="AH252" i="1" s="1"/>
  <c r="AH253" i="1" s="1"/>
  <c r="AH254" i="1" s="1"/>
  <c r="AH255" i="1" s="1"/>
  <c r="AH256" i="1" s="1"/>
  <c r="AH257" i="1" s="1"/>
  <c r="AH258" i="1" s="1"/>
  <c r="AH259" i="1" s="1"/>
  <c r="AH260" i="1" s="1"/>
  <c r="AH261" i="1" s="1"/>
  <c r="AH262" i="1" s="1"/>
  <c r="AH263" i="1" s="1"/>
  <c r="AH264" i="1" s="1"/>
  <c r="AH265" i="1" s="1"/>
  <c r="AH266" i="1" s="1"/>
  <c r="AH267" i="1" s="1"/>
  <c r="AH268" i="1" s="1"/>
  <c r="AH269" i="1" s="1"/>
  <c r="AH270" i="1" s="1"/>
  <c r="AH271" i="1" s="1"/>
  <c r="AH272" i="1" s="1"/>
  <c r="AH273" i="1" s="1"/>
  <c r="AH274" i="1" s="1"/>
  <c r="AH275" i="1" s="1"/>
  <c r="AH276" i="1" s="1"/>
  <c r="AH277" i="1" s="1"/>
  <c r="AH278" i="1" s="1"/>
  <c r="AH279" i="1" s="1"/>
  <c r="AH280" i="1" s="1"/>
  <c r="AH281" i="1" s="1"/>
  <c r="AH282" i="1" s="1"/>
  <c r="AH283" i="1" s="1"/>
  <c r="AH284" i="1" s="1"/>
  <c r="AH285" i="1" s="1"/>
  <c r="AH286" i="1" s="1"/>
  <c r="AH287" i="1" s="1"/>
  <c r="AH288" i="1" s="1"/>
  <c r="AH289" i="1" s="1"/>
  <c r="AH290" i="1" s="1"/>
  <c r="AH291" i="1" s="1"/>
  <c r="AH292" i="1" s="1"/>
  <c r="AH293" i="1" s="1"/>
  <c r="AH294" i="1" s="1"/>
  <c r="AH295" i="1" s="1"/>
  <c r="AH296" i="1" s="1"/>
  <c r="AH297" i="1" s="1"/>
  <c r="AH298" i="1" s="1"/>
  <c r="AH299" i="1" s="1"/>
  <c r="AH300" i="1" s="1"/>
  <c r="AH301" i="1" s="1"/>
  <c r="AH302" i="1" s="1"/>
  <c r="AH303" i="1" s="1"/>
  <c r="AH304" i="1" s="1"/>
  <c r="AH305" i="1" s="1"/>
  <c r="AH306" i="1" s="1"/>
  <c r="AH307" i="1" s="1"/>
  <c r="AH308" i="1" s="1"/>
  <c r="AH309" i="1" s="1"/>
  <c r="AH310" i="1" s="1"/>
  <c r="AH311" i="1" s="1"/>
  <c r="AH312" i="1" s="1"/>
  <c r="AH313" i="1" s="1"/>
  <c r="AH314" i="1" s="1"/>
  <c r="AH315" i="1" s="1"/>
  <c r="AH316" i="1" s="1"/>
  <c r="AH317" i="1" s="1"/>
  <c r="AH318" i="1" s="1"/>
  <c r="AH319" i="1" s="1"/>
  <c r="AH320" i="1" s="1"/>
  <c r="AH321" i="1" s="1"/>
  <c r="AH322" i="1" s="1"/>
  <c r="AH323" i="1" s="1"/>
  <c r="AH324" i="1" s="1"/>
  <c r="AH325" i="1" s="1"/>
  <c r="AH326" i="1" s="1"/>
  <c r="AH327" i="1" s="1"/>
  <c r="AH328" i="1" s="1"/>
  <c r="AH329" i="1" s="1"/>
  <c r="AH330" i="1" s="1"/>
  <c r="AH331" i="1" s="1"/>
  <c r="AH332" i="1" s="1"/>
  <c r="AH333" i="1" s="1"/>
  <c r="AH334" i="1" s="1"/>
  <c r="AH335" i="1" s="1"/>
  <c r="AH336" i="1" s="1"/>
  <c r="AH337" i="1" s="1"/>
  <c r="AH338" i="1" s="1"/>
  <c r="AH339" i="1" s="1"/>
  <c r="AH340" i="1" s="1"/>
  <c r="AH341" i="1" s="1"/>
  <c r="AH342" i="1" s="1"/>
  <c r="AH343" i="1" s="1"/>
  <c r="AH344" i="1" s="1"/>
  <c r="AH345" i="1" s="1"/>
  <c r="AH346" i="1" s="1"/>
  <c r="AH347" i="1" s="1"/>
  <c r="AH348" i="1" s="1"/>
  <c r="AH349" i="1" s="1"/>
  <c r="AH350" i="1" s="1"/>
  <c r="AH351" i="1" s="1"/>
  <c r="AH352" i="1" s="1"/>
  <c r="AH353" i="1" s="1"/>
  <c r="AH354" i="1" s="1"/>
  <c r="AH355" i="1" s="1"/>
  <c r="AH356" i="1" s="1"/>
  <c r="AH357" i="1" s="1"/>
  <c r="AH358" i="1" s="1"/>
  <c r="AH359" i="1" s="1"/>
  <c r="AH360" i="1" s="1"/>
  <c r="AH361" i="1" s="1"/>
  <c r="AH362" i="1" s="1"/>
  <c r="AH363" i="1" s="1"/>
  <c r="AH364" i="1" s="1"/>
  <c r="AH365" i="1" s="1"/>
  <c r="AH366" i="1" s="1"/>
  <c r="AH367" i="1" s="1"/>
  <c r="AH368" i="1" s="1"/>
  <c r="AH369" i="1" s="1"/>
  <c r="AH370" i="1" s="1"/>
  <c r="AH371" i="1" s="1"/>
  <c r="AH372" i="1" s="1"/>
  <c r="AH373" i="1" s="1"/>
  <c r="AH374" i="1" s="1"/>
  <c r="AH375" i="1" s="1"/>
  <c r="AH376" i="1" s="1"/>
  <c r="AH377" i="1" s="1"/>
  <c r="AH378" i="1" s="1"/>
  <c r="AH379" i="1" s="1"/>
  <c r="AH380" i="1" s="1"/>
  <c r="AH381" i="1" s="1"/>
  <c r="AH382" i="1" s="1"/>
  <c r="AH383" i="1" s="1"/>
  <c r="AH384" i="1" s="1"/>
  <c r="AH385" i="1" s="1"/>
  <c r="AH386" i="1" s="1"/>
  <c r="AH387" i="1" s="1"/>
  <c r="AH388" i="1" s="1"/>
  <c r="AH389" i="1" s="1"/>
  <c r="AH390" i="1" s="1"/>
  <c r="AH391" i="1" s="1"/>
  <c r="AH392" i="1" s="1"/>
  <c r="AH393" i="1" s="1"/>
  <c r="AH394" i="1" s="1"/>
  <c r="AH395" i="1" s="1"/>
  <c r="AH396" i="1" s="1"/>
  <c r="AH397" i="1" s="1"/>
  <c r="AH398" i="1" s="1"/>
  <c r="AH399" i="1" s="1"/>
  <c r="AH400" i="1" s="1"/>
  <c r="AH401" i="1" s="1"/>
  <c r="AH402" i="1" s="1"/>
  <c r="AH403" i="1" s="1"/>
  <c r="AH404" i="1" s="1"/>
  <c r="AH405" i="1" s="1"/>
  <c r="AH406" i="1" s="1"/>
  <c r="AH407" i="1" s="1"/>
  <c r="AH408" i="1" s="1"/>
  <c r="AH409" i="1" s="1"/>
  <c r="AH410" i="1" s="1"/>
  <c r="AH411" i="1" s="1"/>
  <c r="AH412" i="1" s="1"/>
  <c r="AH413" i="1" s="1"/>
  <c r="AH414" i="1" s="1"/>
  <c r="AH415" i="1" s="1"/>
  <c r="AH416" i="1" s="1"/>
  <c r="AH417" i="1" s="1"/>
  <c r="AH418" i="1" s="1"/>
  <c r="AH419" i="1" s="1"/>
  <c r="AH420" i="1" s="1"/>
  <c r="AH421" i="1" s="1"/>
  <c r="AH422" i="1" s="1"/>
  <c r="AH423" i="1" s="1"/>
  <c r="AH424" i="1" s="1"/>
  <c r="AH425" i="1" s="1"/>
  <c r="AH426" i="1" s="1"/>
  <c r="AH427" i="1" s="1"/>
  <c r="AH428" i="1" s="1"/>
  <c r="AH429" i="1" s="1"/>
  <c r="AH430" i="1" s="1"/>
  <c r="AH431" i="1" s="1"/>
  <c r="AH432" i="1" s="1"/>
  <c r="AH433" i="1" s="1"/>
  <c r="AH434" i="1" s="1"/>
  <c r="AH435" i="1" s="1"/>
  <c r="AH436" i="1" s="1"/>
  <c r="AH437" i="1" s="1"/>
  <c r="AH438" i="1" s="1"/>
  <c r="AH439" i="1" s="1"/>
  <c r="AH440" i="1" s="1"/>
  <c r="AH441" i="1" s="1"/>
  <c r="AH442" i="1" s="1"/>
  <c r="AH443" i="1" s="1"/>
  <c r="AH444" i="1" s="1"/>
  <c r="AH445" i="1" s="1"/>
  <c r="AH446" i="1" s="1"/>
  <c r="AH447" i="1" s="1"/>
  <c r="AH448" i="1" s="1"/>
  <c r="AH449" i="1" s="1"/>
  <c r="AH450" i="1" s="1"/>
  <c r="AH451" i="1" s="1"/>
  <c r="AH452" i="1" s="1"/>
  <c r="AH453" i="1" s="1"/>
  <c r="AH454" i="1" s="1"/>
  <c r="AH455" i="1" s="1"/>
  <c r="AH456" i="1" s="1"/>
  <c r="AH457" i="1" s="1"/>
  <c r="AH458" i="1" s="1"/>
  <c r="AH459" i="1" s="1"/>
  <c r="AH460" i="1" s="1"/>
  <c r="AH461" i="1" s="1"/>
  <c r="AH462" i="1" s="1"/>
  <c r="AH463" i="1" s="1"/>
  <c r="AH464" i="1" s="1"/>
  <c r="AH465" i="1" s="1"/>
  <c r="AH466" i="1" s="1"/>
  <c r="AH467" i="1" s="1"/>
  <c r="AH468" i="1" s="1"/>
  <c r="AH469" i="1" s="1"/>
  <c r="AH470" i="1" s="1"/>
  <c r="AH471" i="1" s="1"/>
  <c r="AH472" i="1" s="1"/>
  <c r="AH473" i="1" s="1"/>
  <c r="AH474" i="1" s="1"/>
  <c r="AH475" i="1" s="1"/>
  <c r="AH476" i="1" s="1"/>
  <c r="AH477" i="1" s="1"/>
  <c r="AH478" i="1" s="1"/>
  <c r="AH479" i="1" s="1"/>
  <c r="AH480" i="1" s="1"/>
  <c r="AH481" i="1" s="1"/>
  <c r="AH482" i="1" s="1"/>
  <c r="AH483" i="1" s="1"/>
  <c r="AH484" i="1" s="1"/>
  <c r="AH485" i="1" s="1"/>
  <c r="AH486" i="1" s="1"/>
  <c r="AH487" i="1" s="1"/>
  <c r="AH488" i="1" s="1"/>
  <c r="AH489" i="1" s="1"/>
  <c r="AH490" i="1" s="1"/>
  <c r="AH491" i="1" s="1"/>
  <c r="AH492" i="1" s="1"/>
  <c r="AH493" i="1" s="1"/>
  <c r="AH494" i="1" s="1"/>
  <c r="AH495" i="1" s="1"/>
  <c r="AH496" i="1" s="1"/>
  <c r="AH497" i="1" s="1"/>
  <c r="AH498" i="1" s="1"/>
  <c r="AH499" i="1" s="1"/>
  <c r="AH500" i="1" s="1"/>
  <c r="AH501" i="1" s="1"/>
  <c r="AH502" i="1" s="1"/>
  <c r="AH503" i="1" s="1"/>
  <c r="AH504" i="1" s="1"/>
  <c r="AH505" i="1" s="1"/>
  <c r="AH506" i="1" s="1"/>
  <c r="AH507" i="1" s="1"/>
  <c r="AH508" i="1" s="1"/>
  <c r="AH509" i="1" s="1"/>
  <c r="AH510" i="1" s="1"/>
  <c r="AH511" i="1" s="1"/>
  <c r="AH512" i="1" s="1"/>
  <c r="AH513" i="1" s="1"/>
  <c r="AH514" i="1" s="1"/>
  <c r="AH515" i="1" s="1"/>
  <c r="AH516" i="1" s="1"/>
  <c r="AH517" i="1" s="1"/>
  <c r="AH518" i="1" s="1"/>
  <c r="AH519" i="1" s="1"/>
  <c r="AH520" i="1" s="1"/>
  <c r="AH521" i="1" s="1"/>
  <c r="AH522" i="1" s="1"/>
  <c r="AH523" i="1" s="1"/>
  <c r="AH524" i="1" s="1"/>
  <c r="AH525" i="1" s="1"/>
  <c r="AH526" i="1" s="1"/>
  <c r="AH527" i="1" s="1"/>
  <c r="AH528" i="1" s="1"/>
  <c r="AH529" i="1" s="1"/>
  <c r="AH530" i="1" s="1"/>
  <c r="AH531" i="1" s="1"/>
  <c r="AH532" i="1" s="1"/>
  <c r="AH533" i="1" s="1"/>
  <c r="AH534" i="1" s="1"/>
  <c r="BS113" i="1"/>
  <c r="C9" i="14" a="1"/>
  <c r="C9" i="14" s="1"/>
  <c r="AH4" i="1"/>
  <c r="AF536" i="1"/>
  <c r="BH3" i="1"/>
  <c r="D28" i="12"/>
  <c r="CB534" i="1"/>
  <c r="BZ3" i="1"/>
  <c r="BZ4" i="1"/>
  <c r="BZ2" i="1"/>
  <c r="BS4" i="1"/>
  <c r="BS5" i="1"/>
  <c r="BS6" i="1"/>
  <c r="BS7" i="1"/>
  <c r="BS8" i="1"/>
  <c r="BS9" i="1"/>
  <c r="BS10" i="1"/>
  <c r="BS11" i="1"/>
  <c r="BS12" i="1"/>
  <c r="BS13" i="1"/>
  <c r="BS14" i="1"/>
  <c r="BS15" i="1"/>
  <c r="BS16" i="1"/>
  <c r="BS17" i="1"/>
  <c r="BS18" i="1"/>
  <c r="BS19" i="1"/>
  <c r="BS20" i="1"/>
  <c r="BS21" i="1"/>
  <c r="BS22" i="1"/>
  <c r="BS23" i="1"/>
  <c r="BS24" i="1"/>
  <c r="BS25" i="1"/>
  <c r="BS26" i="1"/>
  <c r="BS27" i="1"/>
  <c r="BS28" i="1"/>
  <c r="BS29" i="1"/>
  <c r="BS30" i="1"/>
  <c r="BS31" i="1"/>
  <c r="BS32" i="1"/>
  <c r="BS33" i="1"/>
  <c r="BS34" i="1"/>
  <c r="BS35" i="1"/>
  <c r="BS36" i="1"/>
  <c r="BS37" i="1"/>
  <c r="BS38" i="1"/>
  <c r="BS39" i="1"/>
  <c r="BS40" i="1"/>
  <c r="BS41" i="1"/>
  <c r="BS42" i="1"/>
  <c r="BS43" i="1"/>
  <c r="BS44" i="1"/>
  <c r="BS45" i="1"/>
  <c r="BS46" i="1"/>
  <c r="BS47" i="1"/>
  <c r="BS48" i="1"/>
  <c r="BS49" i="1"/>
  <c r="BS50" i="1"/>
  <c r="BS51" i="1"/>
  <c r="BS52" i="1"/>
  <c r="BS53" i="1"/>
  <c r="BS54" i="1"/>
  <c r="BS55" i="1"/>
  <c r="BS56" i="1"/>
  <c r="BS57" i="1"/>
  <c r="BS58" i="1"/>
  <c r="BS59" i="1"/>
  <c r="BS60" i="1"/>
  <c r="BS61" i="1"/>
  <c r="BS62" i="1"/>
  <c r="BS63" i="1"/>
  <c r="BS64" i="1"/>
  <c r="BS65" i="1"/>
  <c r="BS66" i="1"/>
  <c r="BS67" i="1"/>
  <c r="BS68" i="1"/>
  <c r="BS69" i="1"/>
  <c r="BS70" i="1"/>
  <c r="BS71" i="1"/>
  <c r="BS72" i="1"/>
  <c r="BS73" i="1"/>
  <c r="BS74" i="1"/>
  <c r="BS75" i="1"/>
  <c r="BS76" i="1"/>
  <c r="BS77" i="1"/>
  <c r="BS78" i="1"/>
  <c r="BS79" i="1"/>
  <c r="BS80" i="1"/>
  <c r="BS82" i="1"/>
  <c r="BS83" i="1"/>
  <c r="BS84" i="1"/>
  <c r="BS85" i="1"/>
  <c r="BS86" i="1"/>
  <c r="BS87" i="1"/>
  <c r="BS88" i="1"/>
  <c r="BS89" i="1"/>
  <c r="BS90" i="1"/>
  <c r="BS91" i="1"/>
  <c r="BS92" i="1"/>
  <c r="BS93" i="1"/>
  <c r="BS94" i="1"/>
  <c r="BS95" i="1"/>
  <c r="BS96" i="1"/>
  <c r="BS98" i="1"/>
  <c r="BS99" i="1"/>
  <c r="BS100" i="1"/>
  <c r="BS101" i="1"/>
  <c r="BS102" i="1"/>
  <c r="BS103" i="1"/>
  <c r="BS104" i="1"/>
  <c r="BS105" i="1"/>
  <c r="BS106" i="1"/>
  <c r="BS107" i="1"/>
  <c r="BS108" i="1"/>
  <c r="BS109" i="1"/>
  <c r="BS110" i="1"/>
  <c r="BS111" i="1"/>
  <c r="BS112" i="1"/>
  <c r="BS114" i="1"/>
  <c r="BS115" i="1"/>
  <c r="BS116" i="1"/>
  <c r="BS117" i="1"/>
  <c r="BS118" i="1"/>
  <c r="BS119" i="1"/>
  <c r="BS120" i="1"/>
  <c r="BS121" i="1"/>
  <c r="BS122" i="1"/>
  <c r="BS123" i="1"/>
  <c r="BS124" i="1"/>
  <c r="BS125" i="1"/>
  <c r="BS126" i="1"/>
  <c r="BS127" i="1"/>
  <c r="BS128" i="1"/>
  <c r="BS130" i="1"/>
  <c r="BS131" i="1"/>
  <c r="BS132" i="1"/>
  <c r="BS133" i="1"/>
  <c r="BS134" i="1"/>
  <c r="BS135" i="1"/>
  <c r="BS136" i="1"/>
  <c r="BS137" i="1"/>
  <c r="BS138" i="1"/>
  <c r="BS139" i="1"/>
  <c r="BS140" i="1"/>
  <c r="BS141" i="1"/>
  <c r="BS142" i="1"/>
  <c r="BS143" i="1"/>
  <c r="BS144" i="1"/>
  <c r="BS146" i="1"/>
  <c r="BS147" i="1"/>
  <c r="BS148" i="1"/>
  <c r="BS149" i="1"/>
  <c r="BS150" i="1"/>
  <c r="BS151" i="1"/>
  <c r="BS152" i="1"/>
  <c r="BS153" i="1"/>
  <c r="BS154" i="1"/>
  <c r="BS155" i="1"/>
  <c r="BS156" i="1"/>
  <c r="BS157" i="1"/>
  <c r="BS158" i="1"/>
  <c r="BS159" i="1"/>
  <c r="BS160" i="1"/>
  <c r="BS162" i="1"/>
  <c r="BS163" i="1"/>
  <c r="BS164" i="1"/>
  <c r="BS165" i="1"/>
  <c r="BS166" i="1"/>
  <c r="BS167" i="1"/>
  <c r="BS168" i="1"/>
  <c r="BS169" i="1"/>
  <c r="BS170" i="1"/>
  <c r="BS171" i="1"/>
  <c r="BS172" i="1"/>
  <c r="BS173" i="1"/>
  <c r="BS174" i="1"/>
  <c r="BS175" i="1"/>
  <c r="BS176" i="1"/>
  <c r="BS178" i="1"/>
  <c r="BS179" i="1"/>
  <c r="BS180" i="1"/>
  <c r="BS181" i="1"/>
  <c r="BS182" i="1"/>
  <c r="BS183" i="1"/>
  <c r="BS184" i="1"/>
  <c r="BS185" i="1"/>
  <c r="BS186" i="1"/>
  <c r="BS187" i="1"/>
  <c r="BS188" i="1"/>
  <c r="BS189" i="1"/>
  <c r="BS190" i="1"/>
  <c r="BS191" i="1"/>
  <c r="BS192" i="1"/>
  <c r="BS194" i="1"/>
  <c r="BS195" i="1"/>
  <c r="BS196" i="1"/>
  <c r="BS197" i="1"/>
  <c r="BS198" i="1"/>
  <c r="BS199" i="1"/>
  <c r="BS200" i="1"/>
  <c r="BS201" i="1"/>
  <c r="BS202" i="1"/>
  <c r="BS203" i="1"/>
  <c r="BS204" i="1"/>
  <c r="BS205" i="1"/>
  <c r="BS206" i="1"/>
  <c r="BS207" i="1"/>
  <c r="BS208" i="1"/>
  <c r="BS210" i="1"/>
  <c r="BS211" i="1"/>
  <c r="BS212" i="1"/>
  <c r="BS213" i="1"/>
  <c r="BS214" i="1"/>
  <c r="BS215" i="1"/>
  <c r="BS216" i="1"/>
  <c r="BS217" i="1"/>
  <c r="BS218" i="1"/>
  <c r="BS219" i="1"/>
  <c r="BS220" i="1"/>
  <c r="BS221" i="1"/>
  <c r="BS222" i="1"/>
  <c r="BS223" i="1"/>
  <c r="BS224" i="1"/>
  <c r="BS226" i="1"/>
  <c r="BS227" i="1"/>
  <c r="BS228" i="1"/>
  <c r="BS229" i="1"/>
  <c r="BS230" i="1"/>
  <c r="BS231" i="1"/>
  <c r="BS232" i="1"/>
  <c r="BS233" i="1"/>
  <c r="BS234" i="1"/>
  <c r="BS235" i="1"/>
  <c r="BS236" i="1"/>
  <c r="BS237" i="1"/>
  <c r="BS238" i="1"/>
  <c r="BS239" i="1"/>
  <c r="BS240" i="1"/>
  <c r="BS242" i="1"/>
  <c r="BS243" i="1"/>
  <c r="BS244" i="1"/>
  <c r="BS245" i="1"/>
  <c r="BS246" i="1"/>
  <c r="BS247" i="1"/>
  <c r="BS248" i="1"/>
  <c r="BS249" i="1"/>
  <c r="BS250" i="1"/>
  <c r="BS251" i="1"/>
  <c r="BS252" i="1"/>
  <c r="BS253" i="1"/>
  <c r="BS254" i="1"/>
  <c r="BS255" i="1"/>
  <c r="BS256" i="1"/>
  <c r="BS258" i="1"/>
  <c r="BS259" i="1"/>
  <c r="BS260" i="1"/>
  <c r="BS261" i="1"/>
  <c r="BS262" i="1"/>
  <c r="BS263" i="1"/>
  <c r="BS264" i="1"/>
  <c r="BS265" i="1"/>
  <c r="BS266" i="1"/>
  <c r="BS267" i="1"/>
  <c r="BS268" i="1"/>
  <c r="BS269" i="1"/>
  <c r="BS270" i="1"/>
  <c r="BS271" i="1"/>
  <c r="BS272" i="1"/>
  <c r="BS274" i="1"/>
  <c r="BS275" i="1"/>
  <c r="BS276" i="1"/>
  <c r="BS277" i="1"/>
  <c r="BS278" i="1"/>
  <c r="BS279" i="1"/>
  <c r="BS280" i="1"/>
  <c r="BS281" i="1"/>
  <c r="BS282" i="1"/>
  <c r="BS283" i="1"/>
  <c r="BS284" i="1"/>
  <c r="BS285" i="1"/>
  <c r="BS286" i="1"/>
  <c r="BS287" i="1"/>
  <c r="BS288" i="1"/>
  <c r="BS290" i="1"/>
  <c r="BS291" i="1"/>
  <c r="BS292" i="1"/>
  <c r="BS293" i="1"/>
  <c r="BS294" i="1"/>
  <c r="BS295" i="1"/>
  <c r="BS296" i="1"/>
  <c r="BS297" i="1"/>
  <c r="BS298" i="1"/>
  <c r="BS299" i="1"/>
  <c r="BS300" i="1"/>
  <c r="BS301" i="1"/>
  <c r="BS302" i="1"/>
  <c r="BS303" i="1"/>
  <c r="BS304" i="1"/>
  <c r="BS306" i="1"/>
  <c r="BS307" i="1"/>
  <c r="BS308" i="1"/>
  <c r="BS309" i="1"/>
  <c r="BS310" i="1"/>
  <c r="BS311" i="1"/>
  <c r="BS312" i="1"/>
  <c r="BS313" i="1"/>
  <c r="BS314" i="1"/>
  <c r="BS315" i="1"/>
  <c r="BS316" i="1"/>
  <c r="BS317" i="1"/>
  <c r="BS318" i="1"/>
  <c r="BS319" i="1"/>
  <c r="BS320" i="1"/>
  <c r="BS322" i="1"/>
  <c r="BS323" i="1"/>
  <c r="BS324" i="1"/>
  <c r="BS325" i="1"/>
  <c r="BS326" i="1"/>
  <c r="BS327" i="1"/>
  <c r="BS328" i="1"/>
  <c r="BS329" i="1"/>
  <c r="BS330" i="1"/>
  <c r="BS331" i="1"/>
  <c r="BS332" i="1"/>
  <c r="BS333" i="1"/>
  <c r="BS334" i="1"/>
  <c r="BS335" i="1"/>
  <c r="BS336" i="1"/>
  <c r="BS338" i="1"/>
  <c r="BS339" i="1"/>
  <c r="BS340" i="1"/>
  <c r="BS341" i="1"/>
  <c r="BS342" i="1"/>
  <c r="BS343" i="1"/>
  <c r="BS344" i="1"/>
  <c r="BS345" i="1"/>
  <c r="BS346" i="1"/>
  <c r="BS347" i="1"/>
  <c r="BS348" i="1"/>
  <c r="BS349" i="1"/>
  <c r="BS350" i="1"/>
  <c r="BS351" i="1"/>
  <c r="BS352" i="1"/>
  <c r="BS354" i="1"/>
  <c r="BS355" i="1"/>
  <c r="BS356" i="1"/>
  <c r="BS357" i="1"/>
  <c r="BS358" i="1"/>
  <c r="BS359" i="1"/>
  <c r="BS360" i="1"/>
  <c r="BS361" i="1"/>
  <c r="BS362" i="1"/>
  <c r="BS363" i="1"/>
  <c r="BS364" i="1"/>
  <c r="BS365" i="1"/>
  <c r="BS366" i="1"/>
  <c r="BS367" i="1"/>
  <c r="BS368" i="1"/>
  <c r="BS370" i="1"/>
  <c r="BS371" i="1"/>
  <c r="BS372" i="1"/>
  <c r="BS373" i="1"/>
  <c r="BS374" i="1"/>
  <c r="BS375" i="1"/>
  <c r="BS376" i="1"/>
  <c r="BS377" i="1"/>
  <c r="BS378" i="1"/>
  <c r="BS379" i="1"/>
  <c r="BS380" i="1"/>
  <c r="BS381" i="1"/>
  <c r="BS382" i="1"/>
  <c r="BS383" i="1"/>
  <c r="BS384" i="1"/>
  <c r="BS386" i="1"/>
  <c r="BS387" i="1"/>
  <c r="BS388" i="1"/>
  <c r="BS389" i="1"/>
  <c r="BS390" i="1"/>
  <c r="BS391" i="1"/>
  <c r="BS392" i="1"/>
  <c r="BS393" i="1"/>
  <c r="BS394" i="1"/>
  <c r="BS395" i="1"/>
  <c r="BS396" i="1"/>
  <c r="BS397" i="1"/>
  <c r="BS398" i="1"/>
  <c r="BS399" i="1"/>
  <c r="BS400" i="1"/>
  <c r="BS402" i="1"/>
  <c r="BS403" i="1"/>
  <c r="BS404" i="1"/>
  <c r="BS405" i="1"/>
  <c r="BS406" i="1"/>
  <c r="BS407" i="1"/>
  <c r="BS408" i="1"/>
  <c r="BS409" i="1"/>
  <c r="BS410" i="1"/>
  <c r="BS411" i="1"/>
  <c r="BS412" i="1"/>
  <c r="BS413" i="1"/>
  <c r="BS414" i="1"/>
  <c r="BS415" i="1"/>
  <c r="BS416" i="1"/>
  <c r="BS418" i="1"/>
  <c r="BS419" i="1"/>
  <c r="BS420" i="1"/>
  <c r="BS421" i="1"/>
  <c r="BS422" i="1"/>
  <c r="BS423" i="1"/>
  <c r="BS424" i="1"/>
  <c r="BS425" i="1"/>
  <c r="BS426" i="1"/>
  <c r="BS427" i="1"/>
  <c r="BS428" i="1"/>
  <c r="BS429" i="1"/>
  <c r="BS430" i="1"/>
  <c r="BS431" i="1"/>
  <c r="BS432" i="1"/>
  <c r="BS434" i="1"/>
  <c r="BS435" i="1"/>
  <c r="BS436" i="1"/>
  <c r="BS437" i="1"/>
  <c r="BS438" i="1"/>
  <c r="BS439" i="1"/>
  <c r="BS440" i="1"/>
  <c r="BS441" i="1"/>
  <c r="BS442" i="1"/>
  <c r="BS443" i="1"/>
  <c r="BS444" i="1"/>
  <c r="BS445" i="1"/>
  <c r="BS446" i="1"/>
  <c r="BS447" i="1"/>
  <c r="BS448" i="1"/>
  <c r="BS450" i="1"/>
  <c r="BS451" i="1"/>
  <c r="BS452" i="1"/>
  <c r="BS453" i="1"/>
  <c r="BS454" i="1"/>
  <c r="BS455" i="1"/>
  <c r="BS456" i="1"/>
  <c r="BS457" i="1"/>
  <c r="BS458" i="1"/>
  <c r="BS459" i="1"/>
  <c r="BS460" i="1"/>
  <c r="BS461" i="1"/>
  <c r="BS462" i="1"/>
  <c r="BS463" i="1"/>
  <c r="BS464" i="1"/>
  <c r="BS466" i="1"/>
  <c r="BS467" i="1"/>
  <c r="BS468" i="1"/>
  <c r="BS469" i="1"/>
  <c r="BS470" i="1"/>
  <c r="BS471" i="1"/>
  <c r="BS472" i="1"/>
  <c r="BS473" i="1"/>
  <c r="BS474" i="1"/>
  <c r="BS475" i="1"/>
  <c r="BS476" i="1"/>
  <c r="BS477" i="1"/>
  <c r="BS478" i="1"/>
  <c r="BS479" i="1"/>
  <c r="BS480" i="1"/>
  <c r="BS482" i="1"/>
  <c r="BS483" i="1"/>
  <c r="BS484" i="1"/>
  <c r="BS485" i="1"/>
  <c r="BS486" i="1"/>
  <c r="BS487" i="1"/>
  <c r="BS488" i="1"/>
  <c r="BS489" i="1"/>
  <c r="BS490" i="1"/>
  <c r="BS491" i="1"/>
  <c r="BS492" i="1"/>
  <c r="BS493" i="1"/>
  <c r="BS494" i="1"/>
  <c r="BS495" i="1"/>
  <c r="BS496" i="1"/>
  <c r="BS498" i="1"/>
  <c r="BS499" i="1"/>
  <c r="BS500" i="1"/>
  <c r="BS501" i="1"/>
  <c r="BS502" i="1"/>
  <c r="BS503" i="1"/>
  <c r="BS504" i="1"/>
  <c r="BS505" i="1"/>
  <c r="BS506" i="1"/>
  <c r="BS507" i="1"/>
  <c r="BS508" i="1"/>
  <c r="BS509" i="1"/>
  <c r="BS510" i="1"/>
  <c r="BS511" i="1"/>
  <c r="BS512" i="1"/>
  <c r="BS514" i="1"/>
  <c r="BS515" i="1"/>
  <c r="BS516" i="1"/>
  <c r="BS517" i="1"/>
  <c r="BS518" i="1"/>
  <c r="BS519" i="1"/>
  <c r="BS520" i="1"/>
  <c r="BS521" i="1"/>
  <c r="BS522" i="1"/>
  <c r="BS523" i="1"/>
  <c r="BS524" i="1"/>
  <c r="BS525" i="1"/>
  <c r="BS526" i="1"/>
  <c r="BS527" i="1"/>
  <c r="BS528" i="1"/>
  <c r="BS530" i="1"/>
  <c r="BS531" i="1"/>
  <c r="BS532" i="1"/>
  <c r="BS533" i="1"/>
  <c r="BW4" i="1"/>
  <c r="BW5" i="1"/>
  <c r="BW6" i="1"/>
  <c r="BW7" i="1"/>
  <c r="BW8" i="1"/>
  <c r="BW9" i="1"/>
  <c r="BW10" i="1"/>
  <c r="BW11" i="1"/>
  <c r="BW12" i="1"/>
  <c r="BW13" i="1"/>
  <c r="BW14" i="1"/>
  <c r="BW15" i="1"/>
  <c r="BW16" i="1"/>
  <c r="BW17" i="1"/>
  <c r="BW18" i="1"/>
  <c r="BW19" i="1"/>
  <c r="BW20" i="1"/>
  <c r="BW21" i="1"/>
  <c r="BW22" i="1"/>
  <c r="BW23" i="1"/>
  <c r="BW24" i="1"/>
  <c r="BW25" i="1"/>
  <c r="BW26" i="1"/>
  <c r="BW27" i="1"/>
  <c r="BW28" i="1"/>
  <c r="BW29" i="1"/>
  <c r="BW30" i="1"/>
  <c r="BW31" i="1"/>
  <c r="BW32" i="1"/>
  <c r="BW33" i="1"/>
  <c r="BW34" i="1"/>
  <c r="BW35" i="1"/>
  <c r="BW36" i="1"/>
  <c r="BW37" i="1"/>
  <c r="BW38" i="1"/>
  <c r="BW39" i="1"/>
  <c r="BW40" i="1"/>
  <c r="BW41" i="1"/>
  <c r="BW42" i="1"/>
  <c r="BW43" i="1"/>
  <c r="BW44" i="1"/>
  <c r="BW45" i="1"/>
  <c r="BW46" i="1"/>
  <c r="BW47" i="1"/>
  <c r="BW48" i="1"/>
  <c r="BW49" i="1"/>
  <c r="BW50" i="1"/>
  <c r="BW51" i="1"/>
  <c r="BW52" i="1"/>
  <c r="BW53" i="1"/>
  <c r="BW54" i="1"/>
  <c r="BW55" i="1"/>
  <c r="BW56" i="1"/>
  <c r="BW57" i="1"/>
  <c r="BW58" i="1"/>
  <c r="BW59" i="1"/>
  <c r="BW60" i="1"/>
  <c r="BW61" i="1"/>
  <c r="BW62" i="1"/>
  <c r="BW63" i="1"/>
  <c r="BW64" i="1"/>
  <c r="BW65" i="1"/>
  <c r="BW66" i="1"/>
  <c r="BW67" i="1"/>
  <c r="BW68" i="1"/>
  <c r="BW69" i="1"/>
  <c r="BW70" i="1"/>
  <c r="BW71" i="1"/>
  <c r="BW72" i="1"/>
  <c r="BW73" i="1"/>
  <c r="BW74" i="1"/>
  <c r="BW75" i="1"/>
  <c r="BW76" i="1"/>
  <c r="BW77" i="1"/>
  <c r="BW78" i="1"/>
  <c r="BW79" i="1"/>
  <c r="BW80" i="1"/>
  <c r="BW81" i="1"/>
  <c r="BW82" i="1"/>
  <c r="BW83" i="1"/>
  <c r="BW84" i="1"/>
  <c r="BW85" i="1"/>
  <c r="BW86" i="1"/>
  <c r="BW87" i="1"/>
  <c r="BW88" i="1"/>
  <c r="BW89" i="1"/>
  <c r="BW90" i="1"/>
  <c r="BW91" i="1"/>
  <c r="BW92" i="1"/>
  <c r="BW93" i="1"/>
  <c r="BW94" i="1"/>
  <c r="BW95" i="1"/>
  <c r="BW96" i="1"/>
  <c r="BW97" i="1"/>
  <c r="BW98" i="1"/>
  <c r="BW99" i="1"/>
  <c r="BW100" i="1"/>
  <c r="BW101" i="1"/>
  <c r="BW102" i="1"/>
  <c r="BW103" i="1"/>
  <c r="BW104" i="1"/>
  <c r="BW105" i="1"/>
  <c r="BW106" i="1"/>
  <c r="BW107" i="1"/>
  <c r="BW108" i="1"/>
  <c r="BW109" i="1"/>
  <c r="BW110" i="1"/>
  <c r="BW111" i="1"/>
  <c r="BW112" i="1"/>
  <c r="BW113" i="1"/>
  <c r="BW114" i="1"/>
  <c r="BW115" i="1"/>
  <c r="BW116" i="1"/>
  <c r="BW117" i="1"/>
  <c r="BW118" i="1"/>
  <c r="BW119" i="1"/>
  <c r="BW120" i="1"/>
  <c r="BW121" i="1"/>
  <c r="BW122" i="1"/>
  <c r="BW123" i="1"/>
  <c r="BW124" i="1"/>
  <c r="BW125" i="1"/>
  <c r="BW126" i="1"/>
  <c r="BW127" i="1"/>
  <c r="BW128" i="1"/>
  <c r="BW129" i="1"/>
  <c r="BW130" i="1"/>
  <c r="BW131" i="1"/>
  <c r="BW132" i="1"/>
  <c r="BW133" i="1"/>
  <c r="BW134" i="1"/>
  <c r="BW135" i="1"/>
  <c r="BW136" i="1"/>
  <c r="BW137" i="1"/>
  <c r="BW138" i="1"/>
  <c r="BW139" i="1"/>
  <c r="BW140" i="1"/>
  <c r="BW141" i="1"/>
  <c r="BW142" i="1"/>
  <c r="BW143" i="1"/>
  <c r="BW144" i="1"/>
  <c r="BW145" i="1"/>
  <c r="BW146" i="1"/>
  <c r="BW147" i="1"/>
  <c r="BW148" i="1"/>
  <c r="BW149" i="1"/>
  <c r="BW150" i="1"/>
  <c r="BW151" i="1"/>
  <c r="BW152" i="1"/>
  <c r="BW153" i="1"/>
  <c r="BW154" i="1"/>
  <c r="BW155" i="1"/>
  <c r="BW156" i="1"/>
  <c r="BW157" i="1"/>
  <c r="BW158" i="1"/>
  <c r="BW159" i="1"/>
  <c r="BW160" i="1"/>
  <c r="BW161" i="1"/>
  <c r="BW162" i="1"/>
  <c r="BW163" i="1"/>
  <c r="BW164" i="1"/>
  <c r="BW165" i="1"/>
  <c r="BW166" i="1"/>
  <c r="BW167" i="1"/>
  <c r="BW168" i="1"/>
  <c r="BW169" i="1"/>
  <c r="BW170" i="1"/>
  <c r="BW171" i="1"/>
  <c r="BW172" i="1"/>
  <c r="BW173" i="1"/>
  <c r="BW174" i="1"/>
  <c r="BW175" i="1"/>
  <c r="BW176" i="1"/>
  <c r="BW177" i="1"/>
  <c r="BW178" i="1"/>
  <c r="BW179" i="1"/>
  <c r="BW180" i="1"/>
  <c r="BW181" i="1"/>
  <c r="BW182" i="1"/>
  <c r="BW183" i="1"/>
  <c r="BW184" i="1"/>
  <c r="BW185" i="1"/>
  <c r="BW186" i="1"/>
  <c r="BW187" i="1"/>
  <c r="BW188" i="1"/>
  <c r="BW189" i="1"/>
  <c r="BW190" i="1"/>
  <c r="BW191" i="1"/>
  <c r="BW192" i="1"/>
  <c r="BW193" i="1"/>
  <c r="BW194" i="1"/>
  <c r="BW195" i="1"/>
  <c r="BW196" i="1"/>
  <c r="BW197" i="1"/>
  <c r="BW198" i="1"/>
  <c r="BW199" i="1"/>
  <c r="BW200" i="1"/>
  <c r="BW201" i="1"/>
  <c r="BW202" i="1"/>
  <c r="BW203" i="1"/>
  <c r="BW204" i="1"/>
  <c r="BW205" i="1"/>
  <c r="BW206" i="1"/>
  <c r="BW207" i="1"/>
  <c r="BW208" i="1"/>
  <c r="BW209" i="1"/>
  <c r="BW210" i="1"/>
  <c r="BW211" i="1"/>
  <c r="BW212" i="1"/>
  <c r="BW213" i="1"/>
  <c r="BW214" i="1"/>
  <c r="BW215" i="1"/>
  <c r="BW216" i="1"/>
  <c r="BW217" i="1"/>
  <c r="BW218" i="1"/>
  <c r="BW219" i="1"/>
  <c r="BW220" i="1"/>
  <c r="BW221" i="1"/>
  <c r="BW222" i="1"/>
  <c r="BW223" i="1"/>
  <c r="BW224" i="1"/>
  <c r="BW225" i="1"/>
  <c r="BW226" i="1"/>
  <c r="BW227" i="1"/>
  <c r="BW228" i="1"/>
  <c r="BW229" i="1"/>
  <c r="BW230" i="1"/>
  <c r="BW231" i="1"/>
  <c r="BW232" i="1"/>
  <c r="BW233" i="1"/>
  <c r="BW234" i="1"/>
  <c r="BW235" i="1"/>
  <c r="BW236" i="1"/>
  <c r="BW237" i="1"/>
  <c r="BW238" i="1"/>
  <c r="BW239" i="1"/>
  <c r="BW240" i="1"/>
  <c r="BW241" i="1"/>
  <c r="BW242" i="1"/>
  <c r="BW243" i="1"/>
  <c r="BW244" i="1"/>
  <c r="BW245" i="1"/>
  <c r="BW246" i="1"/>
  <c r="BW247" i="1"/>
  <c r="BW248" i="1"/>
  <c r="BW249" i="1"/>
  <c r="BW250" i="1"/>
  <c r="BW251" i="1"/>
  <c r="BW252" i="1"/>
  <c r="BW253" i="1"/>
  <c r="BW254" i="1"/>
  <c r="BW255" i="1"/>
  <c r="BW256" i="1"/>
  <c r="BW257" i="1"/>
  <c r="BW258" i="1"/>
  <c r="BW259" i="1"/>
  <c r="BW260" i="1"/>
  <c r="BW261" i="1"/>
  <c r="BW262" i="1"/>
  <c r="BW263" i="1"/>
  <c r="BW264" i="1"/>
  <c r="BW265" i="1"/>
  <c r="BW266" i="1"/>
  <c r="BW267" i="1"/>
  <c r="BW268" i="1"/>
  <c r="BW269" i="1"/>
  <c r="BW270" i="1"/>
  <c r="BW271" i="1"/>
  <c r="BW272" i="1"/>
  <c r="BW273" i="1"/>
  <c r="BW274" i="1"/>
  <c r="BW275" i="1"/>
  <c r="BW276" i="1"/>
  <c r="BW277" i="1"/>
  <c r="BW278" i="1"/>
  <c r="BW279" i="1"/>
  <c r="BW280" i="1"/>
  <c r="BW281" i="1"/>
  <c r="BW282" i="1"/>
  <c r="BW283" i="1"/>
  <c r="BW284" i="1"/>
  <c r="BW285" i="1"/>
  <c r="BW286" i="1"/>
  <c r="BW287" i="1"/>
  <c r="BW288" i="1"/>
  <c r="BW289" i="1"/>
  <c r="BW290" i="1"/>
  <c r="BW291" i="1"/>
  <c r="BW292" i="1"/>
  <c r="BW293" i="1"/>
  <c r="BW294" i="1"/>
  <c r="BW295" i="1"/>
  <c r="BW296" i="1"/>
  <c r="BW297" i="1"/>
  <c r="BW298" i="1"/>
  <c r="BW299" i="1"/>
  <c r="BW300" i="1"/>
  <c r="BW301" i="1"/>
  <c r="BW302" i="1"/>
  <c r="BW303" i="1"/>
  <c r="BW304" i="1"/>
  <c r="BW305" i="1"/>
  <c r="BW306" i="1"/>
  <c r="BW307" i="1"/>
  <c r="BW308" i="1"/>
  <c r="BW309" i="1"/>
  <c r="BW310" i="1"/>
  <c r="BW311" i="1"/>
  <c r="BW312" i="1"/>
  <c r="BW313" i="1"/>
  <c r="BW314" i="1"/>
  <c r="BW315" i="1"/>
  <c r="BW316" i="1"/>
  <c r="BW317" i="1"/>
  <c r="BW318" i="1"/>
  <c r="BW319" i="1"/>
  <c r="BW320" i="1"/>
  <c r="BW321" i="1"/>
  <c r="BW322" i="1"/>
  <c r="BW323" i="1"/>
  <c r="BW324" i="1"/>
  <c r="BW325" i="1"/>
  <c r="BW326" i="1"/>
  <c r="BW327" i="1"/>
  <c r="BW328" i="1"/>
  <c r="BW329" i="1"/>
  <c r="BW330" i="1"/>
  <c r="BW331" i="1"/>
  <c r="BW332" i="1"/>
  <c r="BW333" i="1"/>
  <c r="BW334" i="1"/>
  <c r="BW335" i="1"/>
  <c r="BW336" i="1"/>
  <c r="BW337" i="1"/>
  <c r="BW338" i="1"/>
  <c r="BW339" i="1"/>
  <c r="BW340" i="1"/>
  <c r="BW341" i="1"/>
  <c r="BW342" i="1"/>
  <c r="BW343" i="1"/>
  <c r="BW344" i="1"/>
  <c r="BW345" i="1"/>
  <c r="BW346" i="1"/>
  <c r="BW347" i="1"/>
  <c r="BW348" i="1"/>
  <c r="BW349" i="1"/>
  <c r="BW350" i="1"/>
  <c r="BW351" i="1"/>
  <c r="BW352" i="1"/>
  <c r="BW353" i="1"/>
  <c r="BW354" i="1"/>
  <c r="BW355" i="1"/>
  <c r="BW356" i="1"/>
  <c r="BW357" i="1"/>
  <c r="BW358" i="1"/>
  <c r="BW359" i="1"/>
  <c r="BW360" i="1"/>
  <c r="BW361" i="1"/>
  <c r="BW362" i="1"/>
  <c r="BW363" i="1"/>
  <c r="BW364" i="1"/>
  <c r="BW365" i="1"/>
  <c r="BW366" i="1"/>
  <c r="BW367" i="1"/>
  <c r="BW368" i="1"/>
  <c r="BW369" i="1"/>
  <c r="BW370" i="1"/>
  <c r="BW371" i="1"/>
  <c r="BW372" i="1"/>
  <c r="BW373" i="1"/>
  <c r="BW374" i="1"/>
  <c r="BW375" i="1"/>
  <c r="BW376" i="1"/>
  <c r="BW377" i="1"/>
  <c r="BW378" i="1"/>
  <c r="BW379" i="1"/>
  <c r="BW380" i="1"/>
  <c r="BW381" i="1"/>
  <c r="BW382" i="1"/>
  <c r="BW383" i="1"/>
  <c r="BW384" i="1"/>
  <c r="BW385" i="1"/>
  <c r="BW386" i="1"/>
  <c r="BW387" i="1"/>
  <c r="BW388" i="1"/>
  <c r="BW389" i="1"/>
  <c r="BW390" i="1"/>
  <c r="BW391" i="1"/>
  <c r="BW392" i="1"/>
  <c r="BW393" i="1"/>
  <c r="BW394" i="1"/>
  <c r="BW395" i="1"/>
  <c r="BW396" i="1"/>
  <c r="BW397" i="1"/>
  <c r="BW398" i="1"/>
  <c r="BW399" i="1"/>
  <c r="BW400" i="1"/>
  <c r="BW401" i="1"/>
  <c r="BW402" i="1"/>
  <c r="BW403" i="1"/>
  <c r="BW404" i="1"/>
  <c r="BW405" i="1"/>
  <c r="BW406" i="1"/>
  <c r="BW407" i="1"/>
  <c r="BW408" i="1"/>
  <c r="BW409" i="1"/>
  <c r="BW410" i="1"/>
  <c r="BW411" i="1"/>
  <c r="BW412" i="1"/>
  <c r="BW413" i="1"/>
  <c r="BW414" i="1"/>
  <c r="BW415" i="1"/>
  <c r="BW416" i="1"/>
  <c r="BW417" i="1"/>
  <c r="BW418" i="1"/>
  <c r="BW419" i="1"/>
  <c r="BW420" i="1"/>
  <c r="BW421" i="1"/>
  <c r="BW422" i="1"/>
  <c r="BW423" i="1"/>
  <c r="BW424" i="1"/>
  <c r="BW425" i="1"/>
  <c r="BW426" i="1"/>
  <c r="BW427" i="1"/>
  <c r="BW428" i="1"/>
  <c r="BW429" i="1"/>
  <c r="BW430" i="1"/>
  <c r="BW431" i="1"/>
  <c r="BW432" i="1"/>
  <c r="BW433" i="1"/>
  <c r="BW434" i="1"/>
  <c r="BW435" i="1"/>
  <c r="BW436" i="1"/>
  <c r="BW437" i="1"/>
  <c r="BW438" i="1"/>
  <c r="BW439" i="1"/>
  <c r="BW440" i="1"/>
  <c r="BW441" i="1"/>
  <c r="BW442" i="1"/>
  <c r="BW443" i="1"/>
  <c r="BW444" i="1"/>
  <c r="BW445" i="1"/>
  <c r="BW446" i="1"/>
  <c r="BW447" i="1"/>
  <c r="BW448" i="1"/>
  <c r="BW449" i="1"/>
  <c r="BW450" i="1"/>
  <c r="BW451" i="1"/>
  <c r="BW452" i="1"/>
  <c r="BW453" i="1"/>
  <c r="BW454" i="1"/>
  <c r="BW455" i="1"/>
  <c r="BW456" i="1"/>
  <c r="BW457" i="1"/>
  <c r="BW458" i="1"/>
  <c r="BW459" i="1"/>
  <c r="BW460" i="1"/>
  <c r="BW461" i="1"/>
  <c r="BW462" i="1"/>
  <c r="BW463" i="1"/>
  <c r="BW464" i="1"/>
  <c r="BW465" i="1"/>
  <c r="BW466" i="1"/>
  <c r="BW467" i="1"/>
  <c r="BW468" i="1"/>
  <c r="BW469" i="1"/>
  <c r="BW470" i="1"/>
  <c r="BW471" i="1"/>
  <c r="BW472" i="1"/>
  <c r="BW473" i="1"/>
  <c r="BW474" i="1"/>
  <c r="BW475" i="1"/>
  <c r="BW476" i="1"/>
  <c r="BW477" i="1"/>
  <c r="BW478" i="1"/>
  <c r="BW479" i="1"/>
  <c r="BW480" i="1"/>
  <c r="BW481" i="1"/>
  <c r="BW482" i="1"/>
  <c r="BW483" i="1"/>
  <c r="BW484" i="1"/>
  <c r="BW485" i="1"/>
  <c r="BW486" i="1"/>
  <c r="BW487" i="1"/>
  <c r="BW488" i="1"/>
  <c r="BW489" i="1"/>
  <c r="BW490" i="1"/>
  <c r="BW491" i="1"/>
  <c r="BW492" i="1"/>
  <c r="BW493" i="1"/>
  <c r="BW494" i="1"/>
  <c r="BW495" i="1"/>
  <c r="BW496" i="1"/>
  <c r="BW497" i="1"/>
  <c r="BW498" i="1"/>
  <c r="BW499" i="1"/>
  <c r="BW500" i="1"/>
  <c r="BW501" i="1"/>
  <c r="BW502" i="1"/>
  <c r="BW503" i="1"/>
  <c r="BW504" i="1"/>
  <c r="BW505" i="1"/>
  <c r="BW506" i="1"/>
  <c r="BW507" i="1"/>
  <c r="BW508" i="1"/>
  <c r="BW509" i="1"/>
  <c r="BW510" i="1"/>
  <c r="BW511" i="1"/>
  <c r="BW512" i="1"/>
  <c r="BW513" i="1"/>
  <c r="BW514" i="1"/>
  <c r="BW515" i="1"/>
  <c r="BW516" i="1"/>
  <c r="BW517" i="1"/>
  <c r="BW518" i="1"/>
  <c r="BW519" i="1"/>
  <c r="BW520" i="1"/>
  <c r="BW521" i="1"/>
  <c r="BW522" i="1"/>
  <c r="BW523" i="1"/>
  <c r="BW524" i="1"/>
  <c r="BW525" i="1"/>
  <c r="BW526" i="1"/>
  <c r="BW527" i="1"/>
  <c r="BW528" i="1"/>
  <c r="BW529" i="1"/>
  <c r="BW530" i="1"/>
  <c r="BW531" i="1"/>
  <c r="BW532" i="1"/>
  <c r="BW533" i="1"/>
  <c r="BW3" i="1"/>
  <c r="BB49" i="1" a="1"/>
  <c r="BB49" i="1" s="1"/>
  <c r="BB50" i="1" a="1"/>
  <c r="BB50" i="1" s="1"/>
  <c r="BB51" i="1" a="1"/>
  <c r="BB51" i="1" s="1"/>
  <c r="BB52" i="1" a="1"/>
  <c r="BB52" i="1" s="1"/>
  <c r="BB53" i="1" a="1"/>
  <c r="BB53" i="1" s="1"/>
  <c r="BB54" i="1" a="1"/>
  <c r="BB54" i="1" s="1"/>
  <c r="BB55" i="1" a="1"/>
  <c r="BB55" i="1" s="1"/>
  <c r="BB56" i="1" a="1"/>
  <c r="BB56" i="1"/>
  <c r="BB57" i="1" a="1"/>
  <c r="BB57" i="1" s="1"/>
  <c r="BB58" i="1" a="1"/>
  <c r="BB58" i="1" s="1"/>
  <c r="BB59" i="1" a="1"/>
  <c r="BB59" i="1" s="1"/>
  <c r="BB60" i="1" a="1"/>
  <c r="BB60" i="1" s="1"/>
  <c r="BB61" i="1" a="1"/>
  <c r="BB61" i="1" s="1"/>
  <c r="BB62" i="1" a="1"/>
  <c r="BB62" i="1" s="1"/>
  <c r="BB63" i="1" a="1"/>
  <c r="BB63" i="1" s="1"/>
  <c r="BB64" i="1" a="1"/>
  <c r="BB64" i="1"/>
  <c r="BB65" i="1" a="1"/>
  <c r="BB65" i="1" s="1"/>
  <c r="BB66" i="1" a="1"/>
  <c r="BB66" i="1" s="1"/>
  <c r="BB67" i="1" a="1"/>
  <c r="BB67" i="1" s="1"/>
  <c r="BB68" i="1" a="1"/>
  <c r="BB68" i="1" s="1"/>
  <c r="BB69" i="1" a="1"/>
  <c r="BB69" i="1" s="1"/>
  <c r="BB70" i="1" a="1"/>
  <c r="BB70" i="1" s="1"/>
  <c r="BB71" i="1" a="1"/>
  <c r="BB71" i="1" s="1"/>
  <c r="BB72" i="1" a="1"/>
  <c r="BB72" i="1"/>
  <c r="BB73" i="1" a="1"/>
  <c r="BB73" i="1" s="1"/>
  <c r="BB74" i="1" a="1"/>
  <c r="BB74" i="1" s="1"/>
  <c r="BB75" i="1" a="1"/>
  <c r="BB75" i="1" s="1"/>
  <c r="BB76" i="1" a="1"/>
  <c r="BB76" i="1" s="1"/>
  <c r="BB77" i="1" a="1"/>
  <c r="BB77" i="1" s="1"/>
  <c r="BB78" i="1" a="1"/>
  <c r="BB78" i="1" s="1"/>
  <c r="BB79" i="1" a="1"/>
  <c r="BB79" i="1" s="1"/>
  <c r="BB80" i="1" a="1"/>
  <c r="BB80" i="1"/>
  <c r="BB81" i="1" a="1"/>
  <c r="BB81" i="1" s="1"/>
  <c r="BB82" i="1" a="1"/>
  <c r="BB82" i="1" s="1"/>
  <c r="BB83" i="1" a="1"/>
  <c r="BB83" i="1" s="1"/>
  <c r="BB84" i="1" a="1"/>
  <c r="BB84" i="1" s="1"/>
  <c r="BB85" i="1" a="1"/>
  <c r="BB85" i="1" s="1"/>
  <c r="BB86" i="1" a="1"/>
  <c r="BB86" i="1" s="1"/>
  <c r="BB87" i="1" a="1"/>
  <c r="BB87" i="1" s="1"/>
  <c r="BB88" i="1" a="1"/>
  <c r="BB88" i="1"/>
  <c r="BB89" i="1" a="1"/>
  <c r="BB89" i="1" s="1"/>
  <c r="BB90" i="1" a="1"/>
  <c r="BB90" i="1" s="1"/>
  <c r="BB91" i="1" a="1"/>
  <c r="BB91" i="1" s="1"/>
  <c r="BB92" i="1" a="1"/>
  <c r="BB92" i="1" s="1"/>
  <c r="BB93" i="1" a="1"/>
  <c r="BB93" i="1" s="1"/>
  <c r="BB94" i="1" a="1"/>
  <c r="BB94" i="1" s="1"/>
  <c r="BB95" i="1" a="1"/>
  <c r="BB95" i="1" s="1"/>
  <c r="BB96" i="1" a="1"/>
  <c r="BB96" i="1"/>
  <c r="BB97" i="1" a="1"/>
  <c r="BB97" i="1" s="1"/>
  <c r="BB98" i="1" a="1"/>
  <c r="BB98" i="1" s="1"/>
  <c r="BB99" i="1" a="1"/>
  <c r="BB99" i="1" s="1"/>
  <c r="BB100" i="1" a="1"/>
  <c r="BB100" i="1" s="1"/>
  <c r="BB101" i="1" a="1"/>
  <c r="BB101" i="1" s="1"/>
  <c r="BB102" i="1" a="1"/>
  <c r="BB102" i="1" s="1"/>
  <c r="BB103" i="1" a="1"/>
  <c r="BB103" i="1" s="1"/>
  <c r="BB104" i="1" a="1"/>
  <c r="BB104" i="1"/>
  <c r="BB105" i="1" a="1"/>
  <c r="BB105" i="1" s="1"/>
  <c r="BB106" i="1" a="1"/>
  <c r="BB106" i="1" s="1"/>
  <c r="BB107" i="1" a="1"/>
  <c r="BB107" i="1" s="1"/>
  <c r="BB108" i="1" a="1"/>
  <c r="BB108" i="1" s="1"/>
  <c r="BB109" i="1" a="1"/>
  <c r="BB109" i="1" s="1"/>
  <c r="BB110" i="1" a="1"/>
  <c r="BB110" i="1" s="1"/>
  <c r="BB111" i="1" a="1"/>
  <c r="BB111" i="1" s="1"/>
  <c r="BB112" i="1" a="1"/>
  <c r="BB112" i="1"/>
  <c r="BB113" i="1" a="1"/>
  <c r="BB113" i="1" s="1"/>
  <c r="BB114" i="1" a="1"/>
  <c r="BB114" i="1" s="1"/>
  <c r="BB115" i="1" a="1"/>
  <c r="BB115" i="1" s="1"/>
  <c r="BB116" i="1" a="1"/>
  <c r="BB116" i="1" s="1"/>
  <c r="BB117" i="1" a="1"/>
  <c r="BB117" i="1" s="1"/>
  <c r="BB118" i="1" a="1"/>
  <c r="BB118" i="1" s="1"/>
  <c r="BB119" i="1" a="1"/>
  <c r="BB119" i="1" s="1"/>
  <c r="BB120" i="1" a="1"/>
  <c r="BB120" i="1"/>
  <c r="BB121" i="1" a="1"/>
  <c r="BB121" i="1" s="1"/>
  <c r="BB122" i="1" a="1"/>
  <c r="BB122" i="1" s="1"/>
  <c r="BB123" i="1" a="1"/>
  <c r="BB123" i="1" s="1"/>
  <c r="BB124" i="1" a="1"/>
  <c r="BB124" i="1" s="1"/>
  <c r="BB125" i="1" a="1"/>
  <c r="BB125" i="1" s="1"/>
  <c r="BB126" i="1" a="1"/>
  <c r="BB126" i="1" s="1"/>
  <c r="BB127" i="1" a="1"/>
  <c r="BB127" i="1" s="1"/>
  <c r="BB128" i="1" a="1"/>
  <c r="BB128" i="1"/>
  <c r="BB129" i="1" a="1"/>
  <c r="BB129" i="1" s="1"/>
  <c r="BB130" i="1" a="1"/>
  <c r="BB130" i="1" s="1"/>
  <c r="BB131" i="1" a="1"/>
  <c r="BB131" i="1" s="1"/>
  <c r="BB132" i="1" a="1"/>
  <c r="BB132" i="1" s="1"/>
  <c r="BB133" i="1" a="1"/>
  <c r="BB133" i="1" s="1"/>
  <c r="BB134" i="1" a="1"/>
  <c r="BB134" i="1" s="1"/>
  <c r="BB135" i="1" a="1"/>
  <c r="BB135" i="1" s="1"/>
  <c r="BB136" i="1" a="1"/>
  <c r="BB136" i="1"/>
  <c r="BB137" i="1" a="1"/>
  <c r="BB137" i="1" s="1"/>
  <c r="BB138" i="1" a="1"/>
  <c r="BB138" i="1" s="1"/>
  <c r="BB139" i="1" a="1"/>
  <c r="BB139" i="1" s="1"/>
  <c r="BB140" i="1" a="1"/>
  <c r="BB140" i="1" s="1"/>
  <c r="BB141" i="1" a="1"/>
  <c r="BB141" i="1" s="1"/>
  <c r="BB142" i="1" a="1"/>
  <c r="BB142" i="1" s="1"/>
  <c r="BB143" i="1" a="1"/>
  <c r="BB143" i="1" s="1"/>
  <c r="BB144" i="1" a="1"/>
  <c r="BB144" i="1"/>
  <c r="BB145" i="1" a="1"/>
  <c r="BB145" i="1" s="1"/>
  <c r="BB146" i="1" a="1"/>
  <c r="BB146" i="1" s="1"/>
  <c r="BB147" i="1" a="1"/>
  <c r="BB147" i="1" s="1"/>
  <c r="BB148" i="1" a="1"/>
  <c r="BB148" i="1" s="1"/>
  <c r="BB149" i="1" a="1"/>
  <c r="BB149" i="1" s="1"/>
  <c r="BB150" i="1" a="1"/>
  <c r="BB150" i="1" s="1"/>
  <c r="BB151" i="1" a="1"/>
  <c r="BB151" i="1" s="1"/>
  <c r="BB152" i="1" a="1"/>
  <c r="BB152" i="1"/>
  <c r="BB153" i="1" a="1"/>
  <c r="BB153" i="1" s="1"/>
  <c r="BB154" i="1" a="1"/>
  <c r="BB154" i="1" s="1"/>
  <c r="BB155" i="1" a="1"/>
  <c r="BB155" i="1" s="1"/>
  <c r="BB156" i="1" a="1"/>
  <c r="BB156" i="1" s="1"/>
  <c r="BB157" i="1" a="1"/>
  <c r="BB157" i="1" s="1"/>
  <c r="BB158" i="1" a="1"/>
  <c r="BB158" i="1" s="1"/>
  <c r="BB159" i="1" a="1"/>
  <c r="BB159" i="1" s="1"/>
  <c r="BB160" i="1" a="1"/>
  <c r="BB160" i="1"/>
  <c r="BB161" i="1" a="1"/>
  <c r="BB161" i="1" s="1"/>
  <c r="BB162" i="1" a="1"/>
  <c r="BB162" i="1" s="1"/>
  <c r="BB163" i="1" a="1"/>
  <c r="BB163" i="1" s="1"/>
  <c r="BB164" i="1" a="1"/>
  <c r="BB164" i="1" s="1"/>
  <c r="BB165" i="1" a="1"/>
  <c r="BB165" i="1" s="1"/>
  <c r="BB166" i="1" a="1"/>
  <c r="BB166" i="1" s="1"/>
  <c r="BB167" i="1" a="1"/>
  <c r="BB167" i="1" s="1"/>
  <c r="BB168" i="1" a="1"/>
  <c r="BB168" i="1"/>
  <c r="BB169" i="1" a="1"/>
  <c r="BB169" i="1" s="1"/>
  <c r="BB170" i="1" a="1"/>
  <c r="BB170" i="1" s="1"/>
  <c r="BB171" i="1" a="1"/>
  <c r="BB171" i="1" s="1"/>
  <c r="BB172" i="1" a="1"/>
  <c r="BB172" i="1" s="1"/>
  <c r="BB173" i="1" a="1"/>
  <c r="BB173" i="1" s="1"/>
  <c r="BB174" i="1" a="1"/>
  <c r="BB174" i="1" s="1"/>
  <c r="BB175" i="1" a="1"/>
  <c r="BB175" i="1" s="1"/>
  <c r="BB176" i="1" a="1"/>
  <c r="BB176" i="1"/>
  <c r="BB177" i="1" a="1"/>
  <c r="BB177" i="1" s="1"/>
  <c r="BB178" i="1" a="1"/>
  <c r="BB178" i="1" s="1"/>
  <c r="BB179" i="1" a="1"/>
  <c r="BB179" i="1" s="1"/>
  <c r="BB180" i="1" a="1"/>
  <c r="BB180" i="1" s="1"/>
  <c r="BB181" i="1" a="1"/>
  <c r="BB181" i="1" s="1"/>
  <c r="BB182" i="1" a="1"/>
  <c r="BB182" i="1" s="1"/>
  <c r="BB183" i="1" a="1"/>
  <c r="BB183" i="1" s="1"/>
  <c r="BB184" i="1" a="1"/>
  <c r="BB184" i="1"/>
  <c r="BB185" i="1" a="1"/>
  <c r="BB185" i="1" s="1"/>
  <c r="BB186" i="1" a="1"/>
  <c r="BB186" i="1" s="1"/>
  <c r="BB187" i="1" a="1"/>
  <c r="BB187" i="1" s="1"/>
  <c r="BB188" i="1" a="1"/>
  <c r="BB188" i="1" s="1"/>
  <c r="BB189" i="1" a="1"/>
  <c r="BB189" i="1" s="1"/>
  <c r="BB190" i="1" a="1"/>
  <c r="BB190" i="1" s="1"/>
  <c r="BB191" i="1" a="1"/>
  <c r="BB191" i="1" s="1"/>
  <c r="BB192" i="1" a="1"/>
  <c r="BB192" i="1"/>
  <c r="BB193" i="1" a="1"/>
  <c r="BB193" i="1" s="1"/>
  <c r="BB194" i="1" a="1"/>
  <c r="BB194" i="1" s="1"/>
  <c r="BB195" i="1" a="1"/>
  <c r="BB195" i="1" s="1"/>
  <c r="BB196" i="1" a="1"/>
  <c r="BB196" i="1" s="1"/>
  <c r="BB197" i="1" a="1"/>
  <c r="BB197" i="1" s="1"/>
  <c r="BB198" i="1" a="1"/>
  <c r="BB198" i="1" s="1"/>
  <c r="BB199" i="1" a="1"/>
  <c r="BB199" i="1" s="1"/>
  <c r="BB200" i="1" a="1"/>
  <c r="BB200" i="1"/>
  <c r="BB201" i="1" a="1"/>
  <c r="BB201" i="1" s="1"/>
  <c r="BB202" i="1" a="1"/>
  <c r="BB202" i="1" s="1"/>
  <c r="BB203" i="1" a="1"/>
  <c r="BB203" i="1" s="1"/>
  <c r="BB204" i="1" a="1"/>
  <c r="BB204" i="1" s="1"/>
  <c r="BB205" i="1" a="1"/>
  <c r="BB205" i="1" s="1"/>
  <c r="BB206" i="1" a="1"/>
  <c r="BB206" i="1" s="1"/>
  <c r="BB207" i="1" a="1"/>
  <c r="BB207" i="1" s="1"/>
  <c r="BB208" i="1" a="1"/>
  <c r="BB208" i="1"/>
  <c r="BB209" i="1" a="1"/>
  <c r="BB209" i="1" s="1"/>
  <c r="BB210" i="1" a="1"/>
  <c r="BB210" i="1" s="1"/>
  <c r="BB211" i="1" a="1"/>
  <c r="BB211" i="1" s="1"/>
  <c r="BB212" i="1" a="1"/>
  <c r="BB212" i="1" s="1"/>
  <c r="BB213" i="1" a="1"/>
  <c r="BB213" i="1" s="1"/>
  <c r="BB214" i="1" a="1"/>
  <c r="BB214" i="1" s="1"/>
  <c r="BB215" i="1" a="1"/>
  <c r="BB215" i="1" s="1"/>
  <c r="BB216" i="1" a="1"/>
  <c r="BB216" i="1"/>
  <c r="BB217" i="1" a="1"/>
  <c r="BB217" i="1" s="1"/>
  <c r="BB218" i="1" a="1"/>
  <c r="BB218" i="1" s="1"/>
  <c r="BB219" i="1" a="1"/>
  <c r="BB219" i="1" s="1"/>
  <c r="BB220" i="1" a="1"/>
  <c r="BB220" i="1" s="1"/>
  <c r="BB221" i="1" a="1"/>
  <c r="BB221" i="1" s="1"/>
  <c r="BB222" i="1" a="1"/>
  <c r="BB222" i="1" s="1"/>
  <c r="BB223" i="1" a="1"/>
  <c r="BB223" i="1" s="1"/>
  <c r="BB224" i="1" a="1"/>
  <c r="BB224" i="1"/>
  <c r="BB225" i="1" a="1"/>
  <c r="BB225" i="1" s="1"/>
  <c r="BB226" i="1" a="1"/>
  <c r="BB226" i="1" s="1"/>
  <c r="BB227" i="1" a="1"/>
  <c r="BB227" i="1" s="1"/>
  <c r="BB228" i="1" a="1"/>
  <c r="BB228" i="1" s="1"/>
  <c r="BB229" i="1" a="1"/>
  <c r="BB229" i="1" s="1"/>
  <c r="BB230" i="1" a="1"/>
  <c r="BB230" i="1" s="1"/>
  <c r="BB231" i="1" a="1"/>
  <c r="BB231" i="1" s="1"/>
  <c r="BB232" i="1" a="1"/>
  <c r="BB232" i="1"/>
  <c r="BB233" i="1" a="1"/>
  <c r="BB233" i="1" s="1"/>
  <c r="BB234" i="1" a="1"/>
  <c r="BB234" i="1" s="1"/>
  <c r="BB235" i="1" a="1"/>
  <c r="BB235" i="1" s="1"/>
  <c r="BB236" i="1" a="1"/>
  <c r="BB236" i="1" s="1"/>
  <c r="BB237" i="1" a="1"/>
  <c r="BB237" i="1" s="1"/>
  <c r="BB238" i="1" a="1"/>
  <c r="BB238" i="1" s="1"/>
  <c r="BB239" i="1" a="1"/>
  <c r="BB239" i="1" s="1"/>
  <c r="BB240" i="1" a="1"/>
  <c r="BB240" i="1"/>
  <c r="BB241" i="1" a="1"/>
  <c r="BB241" i="1" s="1"/>
  <c r="BB242" i="1" a="1"/>
  <c r="BB242" i="1" s="1"/>
  <c r="BB243" i="1" a="1"/>
  <c r="BB243" i="1" s="1"/>
  <c r="BB244" i="1" a="1"/>
  <c r="BB244" i="1" s="1"/>
  <c r="BB245" i="1" a="1"/>
  <c r="BB245" i="1" s="1"/>
  <c r="BB246" i="1" a="1"/>
  <c r="BB246" i="1" s="1"/>
  <c r="BB247" i="1" a="1"/>
  <c r="BB247" i="1" s="1"/>
  <c r="BB248" i="1" a="1"/>
  <c r="BB248" i="1"/>
  <c r="BB249" i="1" a="1"/>
  <c r="BB249" i="1" s="1"/>
  <c r="BB250" i="1" a="1"/>
  <c r="BB250" i="1" s="1"/>
  <c r="BB251" i="1" a="1"/>
  <c r="BB251" i="1" s="1"/>
  <c r="BB252" i="1" a="1"/>
  <c r="BB252" i="1" s="1"/>
  <c r="BB253" i="1" a="1"/>
  <c r="BB253" i="1" s="1"/>
  <c r="BB254" i="1" a="1"/>
  <c r="BB254" i="1" s="1"/>
  <c r="BB255" i="1" a="1"/>
  <c r="BB255" i="1" s="1"/>
  <c r="BB256" i="1" a="1"/>
  <c r="BB256" i="1"/>
  <c r="BB257" i="1" a="1"/>
  <c r="BB257" i="1" s="1"/>
  <c r="BB258" i="1" a="1"/>
  <c r="BB258" i="1" s="1"/>
  <c r="BB259" i="1" a="1"/>
  <c r="BB259" i="1" s="1"/>
  <c r="BB260" i="1" a="1"/>
  <c r="BB260" i="1" s="1"/>
  <c r="BB261" i="1" a="1"/>
  <c r="BB261" i="1" s="1"/>
  <c r="BB262" i="1" a="1"/>
  <c r="BB262" i="1" s="1"/>
  <c r="BB263" i="1" a="1"/>
  <c r="BB263" i="1" s="1"/>
  <c r="BB264" i="1" a="1"/>
  <c r="BB264" i="1"/>
  <c r="BB265" i="1" a="1"/>
  <c r="BB265" i="1" s="1"/>
  <c r="BB266" i="1" a="1"/>
  <c r="BB266" i="1" s="1"/>
  <c r="BB267" i="1" a="1"/>
  <c r="BB267" i="1" s="1"/>
  <c r="BB268" i="1" a="1"/>
  <c r="BB268" i="1" s="1"/>
  <c r="BB269" i="1" a="1"/>
  <c r="BB269" i="1" s="1"/>
  <c r="BB270" i="1" a="1"/>
  <c r="BB270" i="1" s="1"/>
  <c r="BB271" i="1" a="1"/>
  <c r="BB271" i="1" s="1"/>
  <c r="BB272" i="1" a="1"/>
  <c r="BB272" i="1"/>
  <c r="BB273" i="1" a="1"/>
  <c r="BB273" i="1" s="1"/>
  <c r="BB274" i="1" a="1"/>
  <c r="BB274" i="1" s="1"/>
  <c r="BB275" i="1" a="1"/>
  <c r="BB275" i="1" s="1"/>
  <c r="BB276" i="1" a="1"/>
  <c r="BB276" i="1" s="1"/>
  <c r="BB277" i="1" a="1"/>
  <c r="BB277" i="1" s="1"/>
  <c r="BB278" i="1" a="1"/>
  <c r="BB278" i="1" s="1"/>
  <c r="BB279" i="1" a="1"/>
  <c r="BB279" i="1" s="1"/>
  <c r="BB280" i="1" a="1"/>
  <c r="BB280" i="1"/>
  <c r="BB281" i="1" a="1"/>
  <c r="BB281" i="1" s="1"/>
  <c r="BB282" i="1" a="1"/>
  <c r="BB282" i="1" s="1"/>
  <c r="BB283" i="1" a="1"/>
  <c r="BB283" i="1" s="1"/>
  <c r="BB284" i="1" a="1"/>
  <c r="BB284" i="1" s="1"/>
  <c r="BB285" i="1" a="1"/>
  <c r="BB285" i="1" s="1"/>
  <c r="BB286" i="1" a="1"/>
  <c r="BB286" i="1" s="1"/>
  <c r="BB287" i="1" a="1"/>
  <c r="BB287" i="1" s="1"/>
  <c r="BB288" i="1" a="1"/>
  <c r="BB288" i="1"/>
  <c r="BB289" i="1" a="1"/>
  <c r="BB289" i="1" s="1"/>
  <c r="BB290" i="1" a="1"/>
  <c r="BB290" i="1" s="1"/>
  <c r="BB291" i="1" a="1"/>
  <c r="BB291" i="1" s="1"/>
  <c r="BB292" i="1" a="1"/>
  <c r="BB292" i="1" s="1"/>
  <c r="BB293" i="1" a="1"/>
  <c r="BB293" i="1" s="1"/>
  <c r="BB294" i="1" a="1"/>
  <c r="BB294" i="1" s="1"/>
  <c r="BB295" i="1" a="1"/>
  <c r="BB295" i="1" s="1"/>
  <c r="BB296" i="1" a="1"/>
  <c r="BB296" i="1"/>
  <c r="BB297" i="1" a="1"/>
  <c r="BB297" i="1" s="1"/>
  <c r="BB298" i="1" a="1"/>
  <c r="BB298" i="1" s="1"/>
  <c r="BB299" i="1" a="1"/>
  <c r="BB299" i="1" s="1"/>
  <c r="BB300" i="1" a="1"/>
  <c r="BB300" i="1" s="1"/>
  <c r="BB301" i="1" a="1"/>
  <c r="BB301" i="1" s="1"/>
  <c r="BB302" i="1" a="1"/>
  <c r="BB302" i="1" s="1"/>
  <c r="BB303" i="1" a="1"/>
  <c r="BB303" i="1" s="1"/>
  <c r="BB304" i="1" a="1"/>
  <c r="BB304" i="1"/>
  <c r="BB305" i="1" a="1"/>
  <c r="BB305" i="1" s="1"/>
  <c r="BB306" i="1" a="1"/>
  <c r="BB306" i="1" s="1"/>
  <c r="BB307" i="1" a="1"/>
  <c r="BB307" i="1" s="1"/>
  <c r="BB308" i="1" a="1"/>
  <c r="BB308" i="1" s="1"/>
  <c r="BB309" i="1" a="1"/>
  <c r="BB309" i="1" s="1"/>
  <c r="BB310" i="1" a="1"/>
  <c r="BB310" i="1" s="1"/>
  <c r="BB311" i="1" a="1"/>
  <c r="BB311" i="1" s="1"/>
  <c r="BB312" i="1" a="1"/>
  <c r="BB312" i="1"/>
  <c r="BB313" i="1" a="1"/>
  <c r="BB313" i="1" s="1"/>
  <c r="BB314" i="1" a="1"/>
  <c r="BB314" i="1" s="1"/>
  <c r="BB315" i="1" a="1"/>
  <c r="BB315" i="1" s="1"/>
  <c r="BB316" i="1" a="1"/>
  <c r="BB316" i="1" s="1"/>
  <c r="BB317" i="1" a="1"/>
  <c r="BB317" i="1" s="1"/>
  <c r="BB318" i="1" a="1"/>
  <c r="BB318" i="1" s="1"/>
  <c r="BB319" i="1" a="1"/>
  <c r="BB319" i="1" s="1"/>
  <c r="BB320" i="1" a="1"/>
  <c r="BB320" i="1"/>
  <c r="BB321" i="1" a="1"/>
  <c r="BB321" i="1" s="1"/>
  <c r="BB322" i="1" a="1"/>
  <c r="BB322" i="1" s="1"/>
  <c r="BB323" i="1" a="1"/>
  <c r="BB323" i="1" s="1"/>
  <c r="BB324" i="1" a="1"/>
  <c r="BB324" i="1" s="1"/>
  <c r="BB325" i="1" a="1"/>
  <c r="BB325" i="1" s="1"/>
  <c r="BB326" i="1" a="1"/>
  <c r="BB326" i="1" s="1"/>
  <c r="BB327" i="1" a="1"/>
  <c r="BB327" i="1" s="1"/>
  <c r="BB328" i="1" a="1"/>
  <c r="BB328" i="1"/>
  <c r="BB329" i="1" a="1"/>
  <c r="BB329" i="1" s="1"/>
  <c r="BB330" i="1" a="1"/>
  <c r="BB330" i="1" s="1"/>
  <c r="BB331" i="1" a="1"/>
  <c r="BB331" i="1" s="1"/>
  <c r="BB332" i="1" a="1"/>
  <c r="BB332" i="1" s="1"/>
  <c r="BB333" i="1" a="1"/>
  <c r="BB333" i="1" s="1"/>
  <c r="BB334" i="1" a="1"/>
  <c r="BB334" i="1" s="1"/>
  <c r="BB335" i="1" a="1"/>
  <c r="BB335" i="1" s="1"/>
  <c r="BB336" i="1" a="1"/>
  <c r="BB336" i="1"/>
  <c r="BB337" i="1" a="1"/>
  <c r="BB337" i="1" s="1"/>
  <c r="BB338" i="1" a="1"/>
  <c r="BB338" i="1" s="1"/>
  <c r="BB339" i="1" a="1"/>
  <c r="BB339" i="1" s="1"/>
  <c r="BB340" i="1" a="1"/>
  <c r="BB340" i="1" s="1"/>
  <c r="BB341" i="1" a="1"/>
  <c r="BB341" i="1" s="1"/>
  <c r="BB342" i="1" a="1"/>
  <c r="BB342" i="1" s="1"/>
  <c r="BB343" i="1" a="1"/>
  <c r="BB343" i="1" s="1"/>
  <c r="BB344" i="1" a="1"/>
  <c r="BB344" i="1"/>
  <c r="BB345" i="1" a="1"/>
  <c r="BB345" i="1" s="1"/>
  <c r="BB346" i="1" a="1"/>
  <c r="BB346" i="1" s="1"/>
  <c r="BB347" i="1" a="1"/>
  <c r="BB347" i="1" s="1"/>
  <c r="BB348" i="1" a="1"/>
  <c r="BB348" i="1" s="1"/>
  <c r="BB349" i="1" a="1"/>
  <c r="BB349" i="1" s="1"/>
  <c r="BB350" i="1" a="1"/>
  <c r="BB350" i="1" s="1"/>
  <c r="BB351" i="1" a="1"/>
  <c r="BB351" i="1" s="1"/>
  <c r="BB352" i="1" a="1"/>
  <c r="BB352" i="1"/>
  <c r="BB353" i="1" a="1"/>
  <c r="BB353" i="1" s="1"/>
  <c r="BB354" i="1" a="1"/>
  <c r="BB354" i="1" s="1"/>
  <c r="BB355" i="1" a="1"/>
  <c r="BB355" i="1" s="1"/>
  <c r="BB356" i="1" a="1"/>
  <c r="BB356" i="1" s="1"/>
  <c r="BB357" i="1" a="1"/>
  <c r="BB357" i="1" s="1"/>
  <c r="BB358" i="1" a="1"/>
  <c r="BB358" i="1" s="1"/>
  <c r="BB359" i="1" a="1"/>
  <c r="BB359" i="1" s="1"/>
  <c r="BB360" i="1" a="1"/>
  <c r="BB360" i="1"/>
  <c r="BB361" i="1" a="1"/>
  <c r="BB361" i="1" s="1"/>
  <c r="BB362" i="1" a="1"/>
  <c r="BB362" i="1" s="1"/>
  <c r="BB363" i="1" a="1"/>
  <c r="BB363" i="1" s="1"/>
  <c r="BB364" i="1" a="1"/>
  <c r="BB364" i="1" s="1"/>
  <c r="BB365" i="1" a="1"/>
  <c r="BB365" i="1" s="1"/>
  <c r="BB366" i="1" a="1"/>
  <c r="BB366" i="1" s="1"/>
  <c r="BB367" i="1" a="1"/>
  <c r="BB367" i="1" s="1"/>
  <c r="BB368" i="1" a="1"/>
  <c r="BB368" i="1"/>
  <c r="BB369" i="1" a="1"/>
  <c r="BB369" i="1" s="1"/>
  <c r="BB370" i="1" a="1"/>
  <c r="BB370" i="1" s="1"/>
  <c r="BB371" i="1" a="1"/>
  <c r="BB371" i="1" s="1"/>
  <c r="BB372" i="1" a="1"/>
  <c r="BB372" i="1" s="1"/>
  <c r="BB373" i="1" a="1"/>
  <c r="BB373" i="1" s="1"/>
  <c r="BB374" i="1" a="1"/>
  <c r="BB374" i="1" s="1"/>
  <c r="BB375" i="1" a="1"/>
  <c r="BB375" i="1" s="1"/>
  <c r="BB376" i="1" a="1"/>
  <c r="BB376" i="1"/>
  <c r="BB377" i="1" a="1"/>
  <c r="BB377" i="1" s="1"/>
  <c r="BB378" i="1" a="1"/>
  <c r="BB378" i="1" s="1"/>
  <c r="BB379" i="1" a="1"/>
  <c r="BB379" i="1" s="1"/>
  <c r="BB380" i="1" a="1"/>
  <c r="BB380" i="1" s="1"/>
  <c r="BB381" i="1" a="1"/>
  <c r="BB381" i="1" s="1"/>
  <c r="BB382" i="1" a="1"/>
  <c r="BB382" i="1" s="1"/>
  <c r="BB383" i="1" a="1"/>
  <c r="BB383" i="1" s="1"/>
  <c r="BB384" i="1" a="1"/>
  <c r="BB384" i="1"/>
  <c r="BB385" i="1" a="1"/>
  <c r="BB385" i="1" s="1"/>
  <c r="BB386" i="1" a="1"/>
  <c r="BB386" i="1" s="1"/>
  <c r="BB387" i="1" a="1"/>
  <c r="BB387" i="1" s="1"/>
  <c r="BB388" i="1" a="1"/>
  <c r="BB388" i="1" s="1"/>
  <c r="BB389" i="1" a="1"/>
  <c r="BB389" i="1" s="1"/>
  <c r="BB390" i="1" a="1"/>
  <c r="BB390" i="1" s="1"/>
  <c r="BB391" i="1" a="1"/>
  <c r="BB391" i="1" s="1"/>
  <c r="BB392" i="1" a="1"/>
  <c r="BB392" i="1"/>
  <c r="BB393" i="1" a="1"/>
  <c r="BB393" i="1" s="1"/>
  <c r="BB394" i="1" a="1"/>
  <c r="BB394" i="1" s="1"/>
  <c r="BB395" i="1" a="1"/>
  <c r="BB395" i="1" s="1"/>
  <c r="BB396" i="1" a="1"/>
  <c r="BB396" i="1" s="1"/>
  <c r="BB397" i="1" a="1"/>
  <c r="BB397" i="1" s="1"/>
  <c r="BB398" i="1" a="1"/>
  <c r="BB398" i="1" s="1"/>
  <c r="BB399" i="1" a="1"/>
  <c r="BB399" i="1" s="1"/>
  <c r="BB400" i="1" a="1"/>
  <c r="BB400" i="1"/>
  <c r="BB401" i="1" a="1"/>
  <c r="BB401" i="1" s="1"/>
  <c r="BB402" i="1" a="1"/>
  <c r="BB402" i="1" s="1"/>
  <c r="BB403" i="1" a="1"/>
  <c r="BB403" i="1" s="1"/>
  <c r="BB404" i="1" a="1"/>
  <c r="BB404" i="1" s="1"/>
  <c r="BB405" i="1" a="1"/>
  <c r="BB405" i="1" s="1"/>
  <c r="BB406" i="1" a="1"/>
  <c r="BB406" i="1" s="1"/>
  <c r="BB407" i="1" a="1"/>
  <c r="BB407" i="1" s="1"/>
  <c r="BB408" i="1" a="1"/>
  <c r="BB408" i="1"/>
  <c r="BB409" i="1" a="1"/>
  <c r="BB409" i="1" s="1"/>
  <c r="BB410" i="1" a="1"/>
  <c r="BB410" i="1" s="1"/>
  <c r="BB411" i="1" a="1"/>
  <c r="BB411" i="1" s="1"/>
  <c r="BB412" i="1" a="1"/>
  <c r="BB412" i="1" s="1"/>
  <c r="BB413" i="1" a="1"/>
  <c r="BB413" i="1" s="1"/>
  <c r="BB414" i="1" a="1"/>
  <c r="BB414" i="1" s="1"/>
  <c r="BB415" i="1" a="1"/>
  <c r="BB415" i="1" s="1"/>
  <c r="BB416" i="1" a="1"/>
  <c r="BB416" i="1"/>
  <c r="BB417" i="1" a="1"/>
  <c r="BB417" i="1" s="1"/>
  <c r="BB418" i="1" a="1"/>
  <c r="BB418" i="1" s="1"/>
  <c r="BB419" i="1" a="1"/>
  <c r="BB419" i="1" s="1"/>
  <c r="BB420" i="1" a="1"/>
  <c r="BB420" i="1" s="1"/>
  <c r="BB421" i="1" a="1"/>
  <c r="BB421" i="1" s="1"/>
  <c r="BB422" i="1" a="1"/>
  <c r="BB422" i="1" s="1"/>
  <c r="BB423" i="1" a="1"/>
  <c r="BB423" i="1" s="1"/>
  <c r="BB424" i="1" a="1"/>
  <c r="BB424" i="1"/>
  <c r="BB425" i="1" a="1"/>
  <c r="BB425" i="1" s="1"/>
  <c r="BB426" i="1" a="1"/>
  <c r="BB426" i="1" s="1"/>
  <c r="BB427" i="1" a="1"/>
  <c r="BB427" i="1" s="1"/>
  <c r="BB428" i="1" a="1"/>
  <c r="BB428" i="1" s="1"/>
  <c r="BB429" i="1" a="1"/>
  <c r="BB429" i="1" s="1"/>
  <c r="BB430" i="1" a="1"/>
  <c r="BB430" i="1" s="1"/>
  <c r="BB431" i="1" a="1"/>
  <c r="BB431" i="1" s="1"/>
  <c r="BB432" i="1" a="1"/>
  <c r="BB432" i="1"/>
  <c r="BB433" i="1" a="1"/>
  <c r="BB433" i="1" s="1"/>
  <c r="BB434" i="1" a="1"/>
  <c r="BB434" i="1" s="1"/>
  <c r="BB435" i="1" a="1"/>
  <c r="BB435" i="1" s="1"/>
  <c r="BB436" i="1" a="1"/>
  <c r="BB436" i="1" s="1"/>
  <c r="BB437" i="1" a="1"/>
  <c r="BB437" i="1" s="1"/>
  <c r="BB438" i="1" a="1"/>
  <c r="BB438" i="1" s="1"/>
  <c r="BB439" i="1" a="1"/>
  <c r="BB439" i="1" s="1"/>
  <c r="BB440" i="1" a="1"/>
  <c r="BB440" i="1"/>
  <c r="BB441" i="1" a="1"/>
  <c r="BB441" i="1" s="1"/>
  <c r="BB442" i="1" a="1"/>
  <c r="BB442" i="1" s="1"/>
  <c r="BB443" i="1" a="1"/>
  <c r="BB443" i="1" s="1"/>
  <c r="BB444" i="1" a="1"/>
  <c r="BB444" i="1" s="1"/>
  <c r="BB445" i="1" a="1"/>
  <c r="BB445" i="1" s="1"/>
  <c r="BB446" i="1" a="1"/>
  <c r="BB446" i="1" s="1"/>
  <c r="BB447" i="1" a="1"/>
  <c r="BB447" i="1" s="1"/>
  <c r="BB448" i="1" a="1"/>
  <c r="BB448" i="1"/>
  <c r="BB449" i="1" a="1"/>
  <c r="BB449" i="1" s="1"/>
  <c r="BB450" i="1" a="1"/>
  <c r="BB450" i="1" s="1"/>
  <c r="BB451" i="1" a="1"/>
  <c r="BB451" i="1" s="1"/>
  <c r="BB452" i="1" a="1"/>
  <c r="BB452" i="1" s="1"/>
  <c r="BB453" i="1" a="1"/>
  <c r="BB453" i="1" s="1"/>
  <c r="BB454" i="1" a="1"/>
  <c r="BB454" i="1" s="1"/>
  <c r="BB455" i="1" a="1"/>
  <c r="BB455" i="1" s="1"/>
  <c r="BB456" i="1" a="1"/>
  <c r="BB456" i="1"/>
  <c r="BB457" i="1" a="1"/>
  <c r="BB457" i="1" s="1"/>
  <c r="BB458" i="1" a="1"/>
  <c r="BB458" i="1" s="1"/>
  <c r="BB459" i="1" a="1"/>
  <c r="BB459" i="1" s="1"/>
  <c r="BB460" i="1" a="1"/>
  <c r="BB460" i="1" s="1"/>
  <c r="BB461" i="1" a="1"/>
  <c r="BB461" i="1" s="1"/>
  <c r="BB462" i="1" a="1"/>
  <c r="BB462" i="1" s="1"/>
  <c r="BB463" i="1" a="1"/>
  <c r="BB463" i="1" s="1"/>
  <c r="BB464" i="1" a="1"/>
  <c r="BB464" i="1"/>
  <c r="BB465" i="1" a="1"/>
  <c r="BB465" i="1" s="1"/>
  <c r="BB466" i="1" a="1"/>
  <c r="BB466" i="1" s="1"/>
  <c r="BB467" i="1" a="1"/>
  <c r="BB467" i="1" s="1"/>
  <c r="BB468" i="1" a="1"/>
  <c r="BB468" i="1" s="1"/>
  <c r="BB469" i="1" a="1"/>
  <c r="BB469" i="1" s="1"/>
  <c r="BB470" i="1" a="1"/>
  <c r="BB470" i="1" s="1"/>
  <c r="BB471" i="1" a="1"/>
  <c r="BB471" i="1" s="1"/>
  <c r="BB472" i="1" a="1"/>
  <c r="BB472" i="1"/>
  <c r="BB473" i="1" a="1"/>
  <c r="BB473" i="1" s="1"/>
  <c r="BB474" i="1" a="1"/>
  <c r="BB474" i="1" s="1"/>
  <c r="BB475" i="1" a="1"/>
  <c r="BB475" i="1" s="1"/>
  <c r="BB476" i="1" a="1"/>
  <c r="BB476" i="1" s="1"/>
  <c r="BB477" i="1" a="1"/>
  <c r="BB477" i="1" s="1"/>
  <c r="BB478" i="1" a="1"/>
  <c r="BB478" i="1" s="1"/>
  <c r="BB479" i="1" a="1"/>
  <c r="BB479" i="1" s="1"/>
  <c r="BB480" i="1" a="1"/>
  <c r="BB480" i="1"/>
  <c r="BB481" i="1" a="1"/>
  <c r="BB481" i="1" s="1"/>
  <c r="BB482" i="1" a="1"/>
  <c r="BB482" i="1" s="1"/>
  <c r="BB483" i="1" a="1"/>
  <c r="BB483" i="1" s="1"/>
  <c r="BB484" i="1" a="1"/>
  <c r="BB484" i="1" s="1"/>
  <c r="BB485" i="1" a="1"/>
  <c r="BB485" i="1" s="1"/>
  <c r="BB486" i="1" a="1"/>
  <c r="BB486" i="1" s="1"/>
  <c r="BB487" i="1" a="1"/>
  <c r="BB487" i="1" s="1"/>
  <c r="BB488" i="1" a="1"/>
  <c r="BB488" i="1"/>
  <c r="BB489" i="1" a="1"/>
  <c r="BB489" i="1" s="1"/>
  <c r="BB490" i="1" a="1"/>
  <c r="BB490" i="1" s="1"/>
  <c r="BB491" i="1" a="1"/>
  <c r="BB491" i="1" s="1"/>
  <c r="BB492" i="1" a="1"/>
  <c r="BB492" i="1" s="1"/>
  <c r="BB493" i="1" a="1"/>
  <c r="BB493" i="1" s="1"/>
  <c r="BB494" i="1" a="1"/>
  <c r="BB494" i="1" s="1"/>
  <c r="BB495" i="1" a="1"/>
  <c r="BB495" i="1" s="1"/>
  <c r="BB496" i="1" a="1"/>
  <c r="BB496" i="1"/>
  <c r="BB497" i="1" a="1"/>
  <c r="BB497" i="1" s="1"/>
  <c r="BB498" i="1" a="1"/>
  <c r="BB498" i="1" s="1"/>
  <c r="BB499" i="1" a="1"/>
  <c r="BB499" i="1" s="1"/>
  <c r="BB500" i="1" a="1"/>
  <c r="BB500" i="1" s="1"/>
  <c r="BB501" i="1" a="1"/>
  <c r="BB501" i="1" s="1"/>
  <c r="BB502" i="1" a="1"/>
  <c r="BB502" i="1" s="1"/>
  <c r="BB503" i="1" a="1"/>
  <c r="BB503" i="1" s="1"/>
  <c r="BB504" i="1" a="1"/>
  <c r="BB504" i="1"/>
  <c r="BB505" i="1" a="1"/>
  <c r="BB505" i="1" s="1"/>
  <c r="BB506" i="1" a="1"/>
  <c r="BB506" i="1" s="1"/>
  <c r="BB507" i="1" a="1"/>
  <c r="BB507" i="1" s="1"/>
  <c r="BB508" i="1" a="1"/>
  <c r="BB508" i="1" s="1"/>
  <c r="BB509" i="1" a="1"/>
  <c r="BB509" i="1" s="1"/>
  <c r="BB510" i="1" a="1"/>
  <c r="BB510" i="1" s="1"/>
  <c r="BB511" i="1" a="1"/>
  <c r="BB511" i="1" s="1"/>
  <c r="BB512" i="1" a="1"/>
  <c r="BB512" i="1"/>
  <c r="BB513" i="1" a="1"/>
  <c r="BB513" i="1" s="1"/>
  <c r="BB514" i="1" a="1"/>
  <c r="BB514" i="1" s="1"/>
  <c r="BB515" i="1" a="1"/>
  <c r="BB515" i="1" s="1"/>
  <c r="BB516" i="1" a="1"/>
  <c r="BB516" i="1" s="1"/>
  <c r="BB517" i="1" a="1"/>
  <c r="BB517" i="1" s="1"/>
  <c r="BB518" i="1" a="1"/>
  <c r="BB518" i="1" s="1"/>
  <c r="BB519" i="1" a="1"/>
  <c r="BB519" i="1" s="1"/>
  <c r="BB520" i="1" a="1"/>
  <c r="BB520" i="1"/>
  <c r="BB521" i="1" a="1"/>
  <c r="BB521" i="1" s="1"/>
  <c r="BB522" i="1" a="1"/>
  <c r="BB522" i="1" s="1"/>
  <c r="BB523" i="1" a="1"/>
  <c r="BB523" i="1" s="1"/>
  <c r="BB524" i="1" a="1"/>
  <c r="BB524" i="1" s="1"/>
  <c r="BB525" i="1" a="1"/>
  <c r="BB525" i="1" s="1"/>
  <c r="BB526" i="1" a="1"/>
  <c r="BB526" i="1" s="1"/>
  <c r="BB527" i="1" a="1"/>
  <c r="BB527" i="1" s="1"/>
  <c r="BB528" i="1" a="1"/>
  <c r="BB528" i="1"/>
  <c r="BB529" i="1" a="1"/>
  <c r="BB529" i="1" s="1"/>
  <c r="BB530" i="1" a="1"/>
  <c r="BB530" i="1" s="1"/>
  <c r="BB531" i="1" a="1"/>
  <c r="BB531" i="1" s="1"/>
  <c r="BB532" i="1" a="1"/>
  <c r="BB532" i="1" s="1"/>
  <c r="BB533" i="1" a="1"/>
  <c r="BB533" i="1" s="1"/>
  <c r="AZ49" i="1"/>
  <c r="AZ50" i="1"/>
  <c r="AZ51" i="1"/>
  <c r="AZ52" i="1"/>
  <c r="AZ53" i="1"/>
  <c r="AZ54" i="1"/>
  <c r="AZ55" i="1"/>
  <c r="AZ56" i="1"/>
  <c r="AZ57" i="1"/>
  <c r="AZ58" i="1"/>
  <c r="AZ59" i="1"/>
  <c r="AZ60" i="1"/>
  <c r="AZ61" i="1"/>
  <c r="AZ62" i="1"/>
  <c r="AZ63" i="1"/>
  <c r="AZ64" i="1"/>
  <c r="AZ65" i="1"/>
  <c r="AZ66" i="1"/>
  <c r="AZ67" i="1"/>
  <c r="AZ68" i="1"/>
  <c r="AZ69" i="1"/>
  <c r="AZ70" i="1"/>
  <c r="AZ71" i="1"/>
  <c r="AZ72" i="1"/>
  <c r="AZ73" i="1"/>
  <c r="AZ74" i="1"/>
  <c r="AZ75" i="1"/>
  <c r="AZ76" i="1"/>
  <c r="AZ77" i="1"/>
  <c r="AZ78" i="1"/>
  <c r="AZ79" i="1"/>
  <c r="AZ80" i="1"/>
  <c r="AZ81" i="1"/>
  <c r="AZ82" i="1"/>
  <c r="AZ83" i="1"/>
  <c r="AZ84" i="1"/>
  <c r="AZ85" i="1"/>
  <c r="AZ86" i="1"/>
  <c r="AZ87" i="1"/>
  <c r="AZ88" i="1"/>
  <c r="AZ89" i="1"/>
  <c r="AZ90" i="1"/>
  <c r="AZ91" i="1"/>
  <c r="AZ92" i="1"/>
  <c r="AZ93" i="1"/>
  <c r="AZ94" i="1"/>
  <c r="AZ95" i="1"/>
  <c r="AZ96" i="1"/>
  <c r="AZ97" i="1"/>
  <c r="AZ98" i="1"/>
  <c r="AZ99" i="1"/>
  <c r="AZ100" i="1"/>
  <c r="AZ101" i="1"/>
  <c r="AZ102" i="1"/>
  <c r="AZ103" i="1"/>
  <c r="AZ104" i="1"/>
  <c r="AZ105" i="1"/>
  <c r="AZ106" i="1"/>
  <c r="AZ107" i="1"/>
  <c r="AZ108" i="1"/>
  <c r="AZ109" i="1"/>
  <c r="AZ110" i="1"/>
  <c r="AZ111" i="1"/>
  <c r="AZ112" i="1"/>
  <c r="AZ113" i="1"/>
  <c r="AZ114" i="1"/>
  <c r="AZ115" i="1"/>
  <c r="AZ116" i="1"/>
  <c r="AZ117" i="1"/>
  <c r="AZ118" i="1"/>
  <c r="AZ119" i="1"/>
  <c r="AZ120" i="1"/>
  <c r="AZ121" i="1"/>
  <c r="AZ122" i="1"/>
  <c r="AZ123" i="1"/>
  <c r="AZ124" i="1"/>
  <c r="AZ125" i="1"/>
  <c r="AZ126" i="1"/>
  <c r="AZ127" i="1"/>
  <c r="AZ128" i="1"/>
  <c r="AZ129" i="1"/>
  <c r="AZ130" i="1"/>
  <c r="AZ131" i="1"/>
  <c r="AZ132" i="1"/>
  <c r="AZ133" i="1"/>
  <c r="AZ134" i="1"/>
  <c r="AZ135" i="1"/>
  <c r="AZ136" i="1"/>
  <c r="AZ137" i="1"/>
  <c r="AZ138" i="1"/>
  <c r="AZ139" i="1"/>
  <c r="AZ140" i="1"/>
  <c r="AZ141" i="1"/>
  <c r="AZ142" i="1"/>
  <c r="AZ143" i="1"/>
  <c r="AZ144" i="1"/>
  <c r="AZ145" i="1"/>
  <c r="AZ146" i="1"/>
  <c r="AZ147" i="1"/>
  <c r="AZ148" i="1"/>
  <c r="AZ149" i="1"/>
  <c r="AZ150" i="1"/>
  <c r="AZ151" i="1"/>
  <c r="AZ152" i="1"/>
  <c r="AZ153" i="1"/>
  <c r="AZ154" i="1"/>
  <c r="AZ155" i="1"/>
  <c r="AZ156" i="1"/>
  <c r="AZ157" i="1"/>
  <c r="AZ158" i="1"/>
  <c r="AZ159" i="1"/>
  <c r="AZ160" i="1"/>
  <c r="AZ161" i="1"/>
  <c r="AZ162" i="1"/>
  <c r="AZ163" i="1"/>
  <c r="AZ164" i="1"/>
  <c r="AZ165" i="1"/>
  <c r="AZ166" i="1"/>
  <c r="AZ167" i="1"/>
  <c r="AZ168" i="1"/>
  <c r="AZ169" i="1"/>
  <c r="AZ170" i="1"/>
  <c r="AZ171" i="1"/>
  <c r="AZ172" i="1"/>
  <c r="AZ173" i="1"/>
  <c r="AZ174" i="1"/>
  <c r="AZ175" i="1"/>
  <c r="AZ176" i="1"/>
  <c r="AZ177" i="1"/>
  <c r="AZ178" i="1"/>
  <c r="AZ179" i="1"/>
  <c r="AZ180" i="1"/>
  <c r="AZ181" i="1"/>
  <c r="AZ182" i="1"/>
  <c r="AZ183" i="1"/>
  <c r="AZ184" i="1"/>
  <c r="AZ185" i="1"/>
  <c r="AZ186" i="1"/>
  <c r="AZ187" i="1"/>
  <c r="AZ188" i="1"/>
  <c r="AZ189" i="1"/>
  <c r="AZ190" i="1"/>
  <c r="AZ191" i="1"/>
  <c r="AZ192" i="1"/>
  <c r="AZ193" i="1"/>
  <c r="AZ194" i="1"/>
  <c r="AZ195" i="1"/>
  <c r="AZ196" i="1"/>
  <c r="AZ197" i="1"/>
  <c r="AZ198" i="1"/>
  <c r="AZ199" i="1"/>
  <c r="AZ200" i="1"/>
  <c r="AZ201" i="1"/>
  <c r="AZ202" i="1"/>
  <c r="AZ203" i="1"/>
  <c r="AZ204" i="1"/>
  <c r="AZ205" i="1"/>
  <c r="AZ206" i="1"/>
  <c r="AZ207" i="1"/>
  <c r="AZ208" i="1"/>
  <c r="AZ209" i="1"/>
  <c r="AZ210" i="1"/>
  <c r="AZ211" i="1"/>
  <c r="AZ212" i="1"/>
  <c r="AZ213" i="1"/>
  <c r="AZ214" i="1"/>
  <c r="AZ215" i="1"/>
  <c r="AZ216" i="1"/>
  <c r="AZ217" i="1"/>
  <c r="AZ218" i="1"/>
  <c r="AZ219" i="1"/>
  <c r="AZ220" i="1"/>
  <c r="AZ221" i="1"/>
  <c r="AZ222" i="1"/>
  <c r="AZ223" i="1"/>
  <c r="AZ224" i="1"/>
  <c r="AZ225" i="1"/>
  <c r="AZ226" i="1"/>
  <c r="AZ227" i="1"/>
  <c r="AZ228" i="1"/>
  <c r="AZ229" i="1"/>
  <c r="AZ230" i="1"/>
  <c r="AZ231" i="1"/>
  <c r="AZ232" i="1"/>
  <c r="AZ233" i="1"/>
  <c r="AZ234" i="1"/>
  <c r="AZ235" i="1"/>
  <c r="AZ236" i="1"/>
  <c r="AZ237" i="1"/>
  <c r="AZ238" i="1"/>
  <c r="AZ239" i="1"/>
  <c r="AZ240" i="1"/>
  <c r="AZ241" i="1"/>
  <c r="AZ242" i="1"/>
  <c r="AZ243" i="1"/>
  <c r="AZ244" i="1"/>
  <c r="AZ245" i="1"/>
  <c r="AZ246" i="1"/>
  <c r="AZ247" i="1"/>
  <c r="AZ248" i="1"/>
  <c r="AZ249" i="1"/>
  <c r="AZ250" i="1"/>
  <c r="AZ251" i="1"/>
  <c r="AZ252" i="1"/>
  <c r="AZ253" i="1"/>
  <c r="AZ254" i="1"/>
  <c r="AZ255" i="1"/>
  <c r="AZ256" i="1"/>
  <c r="AZ257" i="1"/>
  <c r="AZ258" i="1"/>
  <c r="AZ259" i="1"/>
  <c r="AZ260" i="1"/>
  <c r="AZ261" i="1"/>
  <c r="AZ262" i="1"/>
  <c r="AZ263" i="1"/>
  <c r="AZ264" i="1"/>
  <c r="AZ265" i="1"/>
  <c r="AZ266" i="1"/>
  <c r="AZ267" i="1"/>
  <c r="AZ268" i="1"/>
  <c r="AZ269" i="1"/>
  <c r="AZ270" i="1"/>
  <c r="AZ271" i="1"/>
  <c r="AZ272" i="1"/>
  <c r="AZ273" i="1"/>
  <c r="AZ274" i="1"/>
  <c r="AZ275" i="1"/>
  <c r="AZ276" i="1"/>
  <c r="AZ277" i="1"/>
  <c r="AZ278" i="1"/>
  <c r="AZ279" i="1"/>
  <c r="AZ280" i="1"/>
  <c r="AZ281" i="1"/>
  <c r="AZ282" i="1"/>
  <c r="AZ283" i="1"/>
  <c r="AZ284" i="1"/>
  <c r="AZ285" i="1"/>
  <c r="AZ286" i="1"/>
  <c r="AZ287" i="1"/>
  <c r="AZ288" i="1"/>
  <c r="AZ289" i="1"/>
  <c r="AZ290" i="1"/>
  <c r="AZ291" i="1"/>
  <c r="AZ292" i="1"/>
  <c r="AZ293" i="1"/>
  <c r="AZ294" i="1"/>
  <c r="AZ295" i="1"/>
  <c r="AZ296" i="1"/>
  <c r="AZ297" i="1"/>
  <c r="AZ298" i="1"/>
  <c r="AZ299" i="1"/>
  <c r="AZ300" i="1"/>
  <c r="AZ301" i="1"/>
  <c r="AZ302" i="1"/>
  <c r="AZ303" i="1"/>
  <c r="AZ304" i="1"/>
  <c r="AZ305" i="1"/>
  <c r="AZ306" i="1"/>
  <c r="AZ307" i="1"/>
  <c r="AZ308" i="1"/>
  <c r="AZ309" i="1"/>
  <c r="AZ310" i="1"/>
  <c r="AZ311" i="1"/>
  <c r="AZ312" i="1"/>
  <c r="AZ313" i="1"/>
  <c r="AZ314" i="1"/>
  <c r="AZ315" i="1"/>
  <c r="AZ316" i="1"/>
  <c r="AZ317" i="1"/>
  <c r="AZ318" i="1"/>
  <c r="AZ319" i="1"/>
  <c r="AZ320" i="1"/>
  <c r="AZ321" i="1"/>
  <c r="AZ322" i="1"/>
  <c r="AZ323" i="1"/>
  <c r="AZ324" i="1"/>
  <c r="AZ325" i="1"/>
  <c r="AZ326" i="1"/>
  <c r="AZ327" i="1"/>
  <c r="AZ328" i="1"/>
  <c r="AZ329" i="1"/>
  <c r="AZ330" i="1"/>
  <c r="AZ331" i="1"/>
  <c r="AZ332" i="1"/>
  <c r="AZ333" i="1"/>
  <c r="AZ334" i="1"/>
  <c r="AZ335" i="1"/>
  <c r="AZ336" i="1"/>
  <c r="AZ337" i="1"/>
  <c r="AZ338" i="1"/>
  <c r="AZ339" i="1"/>
  <c r="AZ340" i="1"/>
  <c r="AZ341" i="1"/>
  <c r="AZ342" i="1"/>
  <c r="AZ343" i="1"/>
  <c r="AZ344" i="1"/>
  <c r="AZ345" i="1"/>
  <c r="AZ346" i="1"/>
  <c r="AZ347" i="1"/>
  <c r="AZ348" i="1"/>
  <c r="AZ349" i="1"/>
  <c r="AZ350" i="1"/>
  <c r="AZ351" i="1"/>
  <c r="AZ352" i="1"/>
  <c r="AZ353" i="1"/>
  <c r="AZ354" i="1"/>
  <c r="AZ355" i="1"/>
  <c r="AZ356" i="1"/>
  <c r="AZ357" i="1"/>
  <c r="AZ358" i="1"/>
  <c r="AZ359" i="1"/>
  <c r="AZ360" i="1"/>
  <c r="AZ361" i="1"/>
  <c r="AZ362" i="1"/>
  <c r="AZ363" i="1"/>
  <c r="AZ364" i="1"/>
  <c r="AZ365" i="1"/>
  <c r="AZ366" i="1"/>
  <c r="AZ367" i="1"/>
  <c r="AZ368" i="1"/>
  <c r="AZ369" i="1"/>
  <c r="AZ370" i="1"/>
  <c r="AZ371" i="1"/>
  <c r="AZ372" i="1"/>
  <c r="AZ373" i="1"/>
  <c r="AZ374" i="1"/>
  <c r="AZ375" i="1"/>
  <c r="AZ376" i="1"/>
  <c r="AZ377" i="1"/>
  <c r="AZ378" i="1"/>
  <c r="AZ379" i="1"/>
  <c r="AZ380" i="1"/>
  <c r="AZ381" i="1"/>
  <c r="AZ382" i="1"/>
  <c r="AZ383" i="1"/>
  <c r="AZ384" i="1"/>
  <c r="AZ385" i="1"/>
  <c r="AZ386" i="1"/>
  <c r="AZ387" i="1"/>
  <c r="AZ388" i="1"/>
  <c r="AZ389" i="1"/>
  <c r="AZ390" i="1"/>
  <c r="AZ391" i="1"/>
  <c r="AZ392" i="1"/>
  <c r="AZ393" i="1"/>
  <c r="AZ394" i="1"/>
  <c r="AZ395" i="1"/>
  <c r="AZ396" i="1"/>
  <c r="AZ397" i="1"/>
  <c r="AZ398" i="1"/>
  <c r="AZ399" i="1"/>
  <c r="AZ400" i="1"/>
  <c r="AZ401" i="1"/>
  <c r="AZ402" i="1"/>
  <c r="AZ403" i="1"/>
  <c r="AZ404" i="1"/>
  <c r="AZ405" i="1"/>
  <c r="AZ406" i="1"/>
  <c r="AZ407" i="1"/>
  <c r="AZ408" i="1"/>
  <c r="AZ409" i="1"/>
  <c r="AZ410" i="1"/>
  <c r="AZ411" i="1"/>
  <c r="AZ412" i="1"/>
  <c r="AZ413" i="1"/>
  <c r="AZ414" i="1"/>
  <c r="AZ415" i="1"/>
  <c r="AZ416" i="1"/>
  <c r="AZ417" i="1"/>
  <c r="AZ418" i="1"/>
  <c r="AZ419" i="1"/>
  <c r="AZ420" i="1"/>
  <c r="AZ421" i="1"/>
  <c r="AZ422" i="1"/>
  <c r="AZ423" i="1"/>
  <c r="AZ424" i="1"/>
  <c r="AZ425" i="1"/>
  <c r="AZ426" i="1"/>
  <c r="AZ427" i="1"/>
  <c r="AZ428" i="1"/>
  <c r="AZ429" i="1"/>
  <c r="AZ430" i="1"/>
  <c r="AZ431" i="1"/>
  <c r="AZ432" i="1"/>
  <c r="AZ433" i="1"/>
  <c r="AZ434" i="1"/>
  <c r="AZ435" i="1"/>
  <c r="AZ436" i="1"/>
  <c r="AZ437" i="1"/>
  <c r="AZ438" i="1"/>
  <c r="AZ439" i="1"/>
  <c r="AZ440" i="1"/>
  <c r="AZ441" i="1"/>
  <c r="AZ442" i="1"/>
  <c r="AZ443" i="1"/>
  <c r="AZ444" i="1"/>
  <c r="AZ445" i="1"/>
  <c r="AZ446" i="1"/>
  <c r="AZ447" i="1"/>
  <c r="AZ448" i="1"/>
  <c r="AZ449" i="1"/>
  <c r="AZ450" i="1"/>
  <c r="AZ451" i="1"/>
  <c r="AZ452" i="1"/>
  <c r="AZ453" i="1"/>
  <c r="AZ454" i="1"/>
  <c r="AZ455" i="1"/>
  <c r="AZ456" i="1"/>
  <c r="AZ457" i="1"/>
  <c r="AZ458" i="1"/>
  <c r="AZ459" i="1"/>
  <c r="AZ460" i="1"/>
  <c r="AZ461" i="1"/>
  <c r="AZ462" i="1"/>
  <c r="AZ463" i="1"/>
  <c r="AZ464" i="1"/>
  <c r="AZ465" i="1"/>
  <c r="AZ466" i="1"/>
  <c r="AZ467" i="1"/>
  <c r="AZ468" i="1"/>
  <c r="AZ469" i="1"/>
  <c r="AZ470" i="1"/>
  <c r="AZ471" i="1"/>
  <c r="AZ472" i="1"/>
  <c r="AZ473" i="1"/>
  <c r="AZ474" i="1"/>
  <c r="AZ475" i="1"/>
  <c r="AZ476" i="1"/>
  <c r="AZ477" i="1"/>
  <c r="AZ478" i="1"/>
  <c r="AZ479" i="1"/>
  <c r="AZ480" i="1"/>
  <c r="AZ481" i="1"/>
  <c r="AZ482" i="1"/>
  <c r="AZ483" i="1"/>
  <c r="AZ484" i="1"/>
  <c r="AZ485" i="1"/>
  <c r="AZ486" i="1"/>
  <c r="AZ487" i="1"/>
  <c r="AZ488" i="1"/>
  <c r="AZ489" i="1"/>
  <c r="AZ490" i="1"/>
  <c r="AZ491" i="1"/>
  <c r="AZ492" i="1"/>
  <c r="AZ493" i="1"/>
  <c r="AZ494" i="1"/>
  <c r="AZ495" i="1"/>
  <c r="AZ496" i="1"/>
  <c r="AZ497" i="1"/>
  <c r="AZ498" i="1"/>
  <c r="AZ499" i="1"/>
  <c r="AZ500" i="1"/>
  <c r="AZ501" i="1"/>
  <c r="AZ502" i="1"/>
  <c r="AZ503" i="1"/>
  <c r="AZ504" i="1"/>
  <c r="AZ505" i="1"/>
  <c r="AZ506" i="1"/>
  <c r="AZ507" i="1"/>
  <c r="AZ508" i="1"/>
  <c r="AZ509" i="1"/>
  <c r="AZ510" i="1"/>
  <c r="AZ511" i="1"/>
  <c r="AZ512" i="1"/>
  <c r="AZ513" i="1"/>
  <c r="AZ514" i="1"/>
  <c r="AZ515" i="1"/>
  <c r="AZ516" i="1"/>
  <c r="AZ517" i="1"/>
  <c r="AZ518" i="1"/>
  <c r="AZ519" i="1"/>
  <c r="AZ520" i="1"/>
  <c r="AZ521" i="1"/>
  <c r="AZ522" i="1"/>
  <c r="AZ523" i="1"/>
  <c r="AZ524" i="1"/>
  <c r="AZ525" i="1"/>
  <c r="AZ526" i="1"/>
  <c r="AZ527" i="1"/>
  <c r="AZ528" i="1"/>
  <c r="AZ529" i="1"/>
  <c r="AZ530" i="1"/>
  <c r="AZ531" i="1"/>
  <c r="AZ532" i="1"/>
  <c r="AZ533" i="1"/>
  <c r="BB48" i="1" a="1"/>
  <c r="BB48" i="1" s="1"/>
  <c r="AZ48" i="1"/>
  <c r="BB37" i="1" a="1"/>
  <c r="BB37" i="1" s="1"/>
  <c r="AQ39" i="1"/>
  <c r="AQ40" i="1"/>
  <c r="AQ41" i="1"/>
  <c r="AQ42" i="1"/>
  <c r="AQ43" i="1"/>
  <c r="AQ44" i="1"/>
  <c r="AQ45" i="1"/>
  <c r="AQ38" i="1"/>
  <c r="AN48" i="1"/>
  <c r="AN49" i="1"/>
  <c r="AN50" i="1"/>
  <c r="AN51" i="1"/>
  <c r="AN52" i="1"/>
  <c r="AN47" i="1"/>
  <c r="AN46" i="1"/>
  <c r="AQ47" i="1"/>
  <c r="AQ46" i="1"/>
  <c r="AQ35" i="1"/>
  <c r="BH35" i="1" s="1"/>
  <c r="BT4" i="1"/>
  <c r="BT5" i="1"/>
  <c r="BT6" i="1"/>
  <c r="BT7" i="1"/>
  <c r="BT8" i="1"/>
  <c r="BT9" i="1"/>
  <c r="BT10" i="1"/>
  <c r="BT11" i="1"/>
  <c r="BT12" i="1"/>
  <c r="BT13" i="1"/>
  <c r="BT14" i="1"/>
  <c r="BT15" i="1"/>
  <c r="BT16" i="1"/>
  <c r="BT17" i="1"/>
  <c r="BT18" i="1"/>
  <c r="BT19" i="1"/>
  <c r="BT20" i="1"/>
  <c r="BT21" i="1"/>
  <c r="BT22" i="1"/>
  <c r="BT23" i="1"/>
  <c r="BT24" i="1"/>
  <c r="BT25" i="1"/>
  <c r="BT26" i="1"/>
  <c r="BT27" i="1"/>
  <c r="BT28" i="1"/>
  <c r="BT29" i="1"/>
  <c r="BT30" i="1"/>
  <c r="BT31" i="1"/>
  <c r="BT32" i="1"/>
  <c r="BT33" i="1"/>
  <c r="BT34" i="1"/>
  <c r="BT36" i="1"/>
  <c r="BT37" i="1"/>
  <c r="BT45" i="1"/>
  <c r="BT74" i="1"/>
  <c r="BT75" i="1"/>
  <c r="BT161" i="1"/>
  <c r="BT162" i="1"/>
  <c r="BT163" i="1"/>
  <c r="BT164" i="1"/>
  <c r="BT165" i="1"/>
  <c r="BT166" i="1"/>
  <c r="BT167" i="1"/>
  <c r="BT168" i="1"/>
  <c r="BT169" i="1"/>
  <c r="BT170" i="1"/>
  <c r="BT171" i="1"/>
  <c r="BT172" i="1"/>
  <c r="BT173" i="1"/>
  <c r="BT174" i="1"/>
  <c r="BT175" i="1"/>
  <c r="BT176" i="1"/>
  <c r="BT177" i="1"/>
  <c r="BT178" i="1"/>
  <c r="BT179" i="1"/>
  <c r="BT180" i="1"/>
  <c r="BT181" i="1"/>
  <c r="BT182" i="1"/>
  <c r="BT183" i="1"/>
  <c r="BT184" i="1"/>
  <c r="BT185" i="1"/>
  <c r="BT186" i="1"/>
  <c r="BT187" i="1"/>
  <c r="BT188" i="1"/>
  <c r="BT189" i="1"/>
  <c r="BT190" i="1"/>
  <c r="BT191" i="1"/>
  <c r="BT192" i="1"/>
  <c r="BT193" i="1"/>
  <c r="BT194" i="1"/>
  <c r="BT195" i="1"/>
  <c r="BT196" i="1"/>
  <c r="BT197" i="1"/>
  <c r="BT198" i="1"/>
  <c r="BT199" i="1"/>
  <c r="BT200" i="1"/>
  <c r="BT201" i="1"/>
  <c r="BT202" i="1"/>
  <c r="BT203" i="1"/>
  <c r="BT204" i="1"/>
  <c r="BT205" i="1"/>
  <c r="BT206" i="1"/>
  <c r="BT207" i="1"/>
  <c r="BT208" i="1"/>
  <c r="BT209" i="1"/>
  <c r="BT210" i="1"/>
  <c r="BT211" i="1"/>
  <c r="BT212" i="1"/>
  <c r="BT213" i="1"/>
  <c r="BT214" i="1"/>
  <c r="BT215" i="1"/>
  <c r="BT216" i="1"/>
  <c r="BT217" i="1"/>
  <c r="BT218" i="1"/>
  <c r="BT219" i="1"/>
  <c r="BT220" i="1"/>
  <c r="BT221" i="1"/>
  <c r="BT222" i="1"/>
  <c r="BT223" i="1"/>
  <c r="BT224" i="1"/>
  <c r="BT225" i="1"/>
  <c r="BT226" i="1"/>
  <c r="BT227" i="1"/>
  <c r="BT228" i="1"/>
  <c r="BT229" i="1"/>
  <c r="BT230" i="1"/>
  <c r="BT231" i="1"/>
  <c r="BT232" i="1"/>
  <c r="BT233" i="1"/>
  <c r="BT234" i="1"/>
  <c r="BT235" i="1"/>
  <c r="BT236" i="1"/>
  <c r="BT237" i="1"/>
  <c r="BT238" i="1"/>
  <c r="BT239" i="1"/>
  <c r="BT240" i="1"/>
  <c r="BT241" i="1"/>
  <c r="BT242" i="1"/>
  <c r="BT243" i="1"/>
  <c r="BT244" i="1"/>
  <c r="BT245" i="1"/>
  <c r="BT246" i="1"/>
  <c r="BT247" i="1"/>
  <c r="BT248" i="1"/>
  <c r="BT249" i="1"/>
  <c r="BT250" i="1"/>
  <c r="BT251" i="1"/>
  <c r="BT252" i="1"/>
  <c r="BT253" i="1"/>
  <c r="BT254" i="1"/>
  <c r="BT255" i="1"/>
  <c r="BT256" i="1"/>
  <c r="BT257" i="1"/>
  <c r="BT258" i="1"/>
  <c r="BT259" i="1"/>
  <c r="BT260" i="1"/>
  <c r="BT261" i="1"/>
  <c r="BT262" i="1"/>
  <c r="BT263" i="1"/>
  <c r="BT264" i="1"/>
  <c r="BT265" i="1"/>
  <c r="BT266" i="1"/>
  <c r="BT267" i="1"/>
  <c r="BT268" i="1"/>
  <c r="BT269" i="1"/>
  <c r="BT270" i="1"/>
  <c r="BT271" i="1"/>
  <c r="BT272" i="1"/>
  <c r="BT273" i="1"/>
  <c r="BT274" i="1"/>
  <c r="BT275" i="1"/>
  <c r="BT276" i="1"/>
  <c r="BT277" i="1"/>
  <c r="BT278" i="1"/>
  <c r="BT279" i="1"/>
  <c r="BT280" i="1"/>
  <c r="BT281" i="1"/>
  <c r="BT282" i="1"/>
  <c r="BT283" i="1"/>
  <c r="BT284" i="1"/>
  <c r="BT285" i="1"/>
  <c r="BT286" i="1"/>
  <c r="BT287" i="1"/>
  <c r="BT288" i="1"/>
  <c r="BT289" i="1"/>
  <c r="BT290" i="1"/>
  <c r="BT291" i="1"/>
  <c r="BT292" i="1"/>
  <c r="BT293" i="1"/>
  <c r="BT294" i="1"/>
  <c r="BT295" i="1"/>
  <c r="BT296" i="1"/>
  <c r="BT297" i="1"/>
  <c r="BT298" i="1"/>
  <c r="BT299" i="1"/>
  <c r="BT300" i="1"/>
  <c r="BT301" i="1"/>
  <c r="BT302" i="1"/>
  <c r="BT303" i="1"/>
  <c r="BT304" i="1"/>
  <c r="BT305" i="1"/>
  <c r="BT306" i="1"/>
  <c r="BT307" i="1"/>
  <c r="BT308" i="1"/>
  <c r="BT309" i="1"/>
  <c r="BT310" i="1"/>
  <c r="BT311" i="1"/>
  <c r="BT312" i="1"/>
  <c r="BT313" i="1"/>
  <c r="BT314" i="1"/>
  <c r="BT315" i="1"/>
  <c r="BT316" i="1"/>
  <c r="BT317" i="1"/>
  <c r="BT318" i="1"/>
  <c r="BT319" i="1"/>
  <c r="BT320" i="1"/>
  <c r="BT321" i="1"/>
  <c r="BT322" i="1"/>
  <c r="BT323" i="1"/>
  <c r="BT324" i="1"/>
  <c r="BT325" i="1"/>
  <c r="BT326" i="1"/>
  <c r="BT327" i="1"/>
  <c r="BT328" i="1"/>
  <c r="BT329" i="1"/>
  <c r="BT330" i="1"/>
  <c r="BT331" i="1"/>
  <c r="BT332" i="1"/>
  <c r="BT333" i="1"/>
  <c r="BT334" i="1"/>
  <c r="BT335" i="1"/>
  <c r="BT336" i="1"/>
  <c r="BT337" i="1"/>
  <c r="BT338" i="1"/>
  <c r="BT339" i="1"/>
  <c r="BT340" i="1"/>
  <c r="BT341" i="1"/>
  <c r="BT342" i="1"/>
  <c r="BT343" i="1"/>
  <c r="BT344" i="1"/>
  <c r="BT345" i="1"/>
  <c r="BT346" i="1"/>
  <c r="BT347" i="1"/>
  <c r="BT348" i="1"/>
  <c r="BT349" i="1"/>
  <c r="BT350" i="1"/>
  <c r="BT351" i="1"/>
  <c r="BT352" i="1"/>
  <c r="BT353" i="1"/>
  <c r="BT354" i="1"/>
  <c r="BT355" i="1"/>
  <c r="BT356" i="1"/>
  <c r="BT357" i="1"/>
  <c r="BT358" i="1"/>
  <c r="BT359" i="1"/>
  <c r="BT360" i="1"/>
  <c r="BT361" i="1"/>
  <c r="BT362" i="1"/>
  <c r="BT363" i="1"/>
  <c r="BT364" i="1"/>
  <c r="BT365" i="1"/>
  <c r="BT366" i="1"/>
  <c r="BT367" i="1"/>
  <c r="BT368" i="1"/>
  <c r="BT369" i="1"/>
  <c r="BT370" i="1"/>
  <c r="BT371" i="1"/>
  <c r="BT372" i="1"/>
  <c r="BT373" i="1"/>
  <c r="BT374" i="1"/>
  <c r="BT375" i="1"/>
  <c r="BT376" i="1"/>
  <c r="BT377" i="1"/>
  <c r="BT378" i="1"/>
  <c r="BT379" i="1"/>
  <c r="BT380" i="1"/>
  <c r="BT381" i="1"/>
  <c r="BT382" i="1"/>
  <c r="BT383" i="1"/>
  <c r="BT384" i="1"/>
  <c r="BT385" i="1"/>
  <c r="BT386" i="1"/>
  <c r="BT387" i="1"/>
  <c r="BT388" i="1"/>
  <c r="BT389" i="1"/>
  <c r="BT390" i="1"/>
  <c r="BT391" i="1"/>
  <c r="BT392" i="1"/>
  <c r="BT393" i="1"/>
  <c r="BT394" i="1"/>
  <c r="BT395" i="1"/>
  <c r="BT396" i="1"/>
  <c r="BT397" i="1"/>
  <c r="BT398" i="1"/>
  <c r="BT399" i="1"/>
  <c r="BT400" i="1"/>
  <c r="BT401" i="1"/>
  <c r="BT402" i="1"/>
  <c r="BT403" i="1"/>
  <c r="BT404" i="1"/>
  <c r="BT405" i="1"/>
  <c r="BT406" i="1"/>
  <c r="BT407" i="1"/>
  <c r="BT408" i="1"/>
  <c r="BT409" i="1"/>
  <c r="BT410" i="1"/>
  <c r="BT411" i="1"/>
  <c r="BT412" i="1"/>
  <c r="BT413" i="1"/>
  <c r="BT414" i="1"/>
  <c r="BT415" i="1"/>
  <c r="BT416" i="1"/>
  <c r="BT417" i="1"/>
  <c r="BT418" i="1"/>
  <c r="BT419" i="1"/>
  <c r="BT420" i="1"/>
  <c r="BT421" i="1"/>
  <c r="BT422" i="1"/>
  <c r="BT423" i="1"/>
  <c r="BT424" i="1"/>
  <c r="BT425" i="1"/>
  <c r="BT426" i="1"/>
  <c r="BT427" i="1"/>
  <c r="BT428" i="1"/>
  <c r="BT429" i="1"/>
  <c r="BT430" i="1"/>
  <c r="BT431" i="1"/>
  <c r="BT432" i="1"/>
  <c r="BT433" i="1"/>
  <c r="BT434" i="1"/>
  <c r="BT435" i="1"/>
  <c r="BT436" i="1"/>
  <c r="BT437" i="1"/>
  <c r="BT438" i="1"/>
  <c r="BT439" i="1"/>
  <c r="BT440" i="1"/>
  <c r="BT441" i="1"/>
  <c r="BT442" i="1"/>
  <c r="BT443" i="1"/>
  <c r="BT444" i="1"/>
  <c r="BT445" i="1"/>
  <c r="BT446" i="1"/>
  <c r="BT447" i="1"/>
  <c r="BT448" i="1"/>
  <c r="BT449" i="1"/>
  <c r="BT450" i="1"/>
  <c r="BT451" i="1"/>
  <c r="BT452" i="1"/>
  <c r="BT453" i="1"/>
  <c r="BT454" i="1"/>
  <c r="BT455" i="1"/>
  <c r="BT456" i="1"/>
  <c r="BT457" i="1"/>
  <c r="BT458" i="1"/>
  <c r="BT459" i="1"/>
  <c r="BT460" i="1"/>
  <c r="BT461" i="1"/>
  <c r="BT462" i="1"/>
  <c r="BT463" i="1"/>
  <c r="BT464" i="1"/>
  <c r="BT465" i="1"/>
  <c r="BT466" i="1"/>
  <c r="BT467" i="1"/>
  <c r="BT468" i="1"/>
  <c r="BT469" i="1"/>
  <c r="BT470" i="1"/>
  <c r="BT471" i="1"/>
  <c r="BT472" i="1"/>
  <c r="BT473" i="1"/>
  <c r="BT474" i="1"/>
  <c r="BT475" i="1"/>
  <c r="BT476" i="1"/>
  <c r="BT477" i="1"/>
  <c r="BT478" i="1"/>
  <c r="BT479" i="1"/>
  <c r="BT480" i="1"/>
  <c r="BT481" i="1"/>
  <c r="BT482" i="1"/>
  <c r="BT483" i="1"/>
  <c r="BT484" i="1"/>
  <c r="BT485" i="1"/>
  <c r="BT486" i="1"/>
  <c r="BT487" i="1"/>
  <c r="BT488" i="1"/>
  <c r="BT489" i="1"/>
  <c r="BT490" i="1"/>
  <c r="BT491" i="1"/>
  <c r="BT492" i="1"/>
  <c r="BT493" i="1"/>
  <c r="BT494" i="1"/>
  <c r="BT495" i="1"/>
  <c r="BT496" i="1"/>
  <c r="BT497" i="1"/>
  <c r="BT498" i="1"/>
  <c r="BT499" i="1"/>
  <c r="BT500" i="1"/>
  <c r="BT501" i="1"/>
  <c r="BT502" i="1"/>
  <c r="BT503" i="1"/>
  <c r="BT504" i="1"/>
  <c r="BT505" i="1"/>
  <c r="BT506" i="1"/>
  <c r="BT507" i="1"/>
  <c r="BT508" i="1"/>
  <c r="BT509" i="1"/>
  <c r="BT510" i="1"/>
  <c r="BT511" i="1"/>
  <c r="BT512" i="1"/>
  <c r="BT513" i="1"/>
  <c r="BT514" i="1"/>
  <c r="BT515" i="1"/>
  <c r="BT516" i="1"/>
  <c r="BT517" i="1"/>
  <c r="BT518" i="1"/>
  <c r="BT519" i="1"/>
  <c r="BT520" i="1"/>
  <c r="BT521" i="1"/>
  <c r="BT522" i="1"/>
  <c r="BT523" i="1"/>
  <c r="BT524" i="1"/>
  <c r="BT525" i="1"/>
  <c r="BT526" i="1"/>
  <c r="BT527" i="1"/>
  <c r="BT528" i="1"/>
  <c r="BT529" i="1"/>
  <c r="BT530" i="1"/>
  <c r="BT531" i="1"/>
  <c r="BT532" i="1"/>
  <c r="BT533" i="1"/>
  <c r="BT3" i="1"/>
  <c r="BH24" i="1"/>
  <c r="BH25" i="1"/>
  <c r="BH26" i="1"/>
  <c r="BH27" i="1"/>
  <c r="BH28" i="1"/>
  <c r="BH29" i="1"/>
  <c r="BH30" i="1"/>
  <c r="BH31" i="1"/>
  <c r="BH32" i="1"/>
  <c r="BH33" i="1"/>
  <c r="BH34" i="1"/>
  <c r="BH36" i="1"/>
  <c r="BH37" i="1"/>
  <c r="BH38" i="1"/>
  <c r="BT38" i="1" s="1"/>
  <c r="BH39" i="1"/>
  <c r="BT39" i="1" s="1"/>
  <c r="BH40" i="1"/>
  <c r="BT40" i="1" s="1"/>
  <c r="BH41" i="1"/>
  <c r="BT41" i="1" s="1"/>
  <c r="BH42" i="1"/>
  <c r="BT42" i="1" s="1"/>
  <c r="BH43" i="1"/>
  <c r="BT43" i="1" s="1"/>
  <c r="BH44" i="1"/>
  <c r="BT44" i="1" s="1"/>
  <c r="BH45" i="1"/>
  <c r="BH46" i="1"/>
  <c r="BT46" i="1" s="1"/>
  <c r="BH47" i="1"/>
  <c r="BT47" i="1" s="1"/>
  <c r="BH74" i="1"/>
  <c r="BH75" i="1"/>
  <c r="BH161" i="1"/>
  <c r="BH162" i="1"/>
  <c r="BH163" i="1"/>
  <c r="BH164" i="1"/>
  <c r="BH165" i="1"/>
  <c r="BH166" i="1"/>
  <c r="BH167" i="1"/>
  <c r="BH168" i="1"/>
  <c r="BH169" i="1"/>
  <c r="BH170" i="1"/>
  <c r="BH171" i="1"/>
  <c r="BH172" i="1"/>
  <c r="BH173" i="1"/>
  <c r="BH174" i="1"/>
  <c r="BH175" i="1"/>
  <c r="BH176" i="1"/>
  <c r="BH177" i="1"/>
  <c r="BH178" i="1"/>
  <c r="BH179" i="1"/>
  <c r="BH180" i="1"/>
  <c r="BH181" i="1"/>
  <c r="BH182" i="1"/>
  <c r="BH183" i="1"/>
  <c r="BH184" i="1"/>
  <c r="BH185" i="1"/>
  <c r="BH186" i="1"/>
  <c r="BH187" i="1"/>
  <c r="BH188" i="1"/>
  <c r="BH189" i="1"/>
  <c r="BH190" i="1"/>
  <c r="BH191" i="1"/>
  <c r="BH192" i="1"/>
  <c r="BH193" i="1"/>
  <c r="BH194" i="1"/>
  <c r="BH195" i="1"/>
  <c r="BH196" i="1"/>
  <c r="BH197" i="1"/>
  <c r="BH198" i="1"/>
  <c r="BH199" i="1"/>
  <c r="BH200" i="1"/>
  <c r="BH201" i="1"/>
  <c r="BH202" i="1"/>
  <c r="BH203" i="1"/>
  <c r="BH204" i="1"/>
  <c r="BH205" i="1"/>
  <c r="BH206" i="1"/>
  <c r="BH207" i="1"/>
  <c r="BH208" i="1"/>
  <c r="BH209" i="1"/>
  <c r="BH210" i="1"/>
  <c r="BH211" i="1"/>
  <c r="BH212" i="1"/>
  <c r="BH213" i="1"/>
  <c r="BH214" i="1"/>
  <c r="BH215" i="1"/>
  <c r="BH216" i="1"/>
  <c r="BH217" i="1"/>
  <c r="BH218" i="1"/>
  <c r="BH219" i="1"/>
  <c r="BH220" i="1"/>
  <c r="BH221" i="1"/>
  <c r="BH222" i="1"/>
  <c r="BH223" i="1"/>
  <c r="BH224" i="1"/>
  <c r="BH225" i="1"/>
  <c r="BH226" i="1"/>
  <c r="BH227" i="1"/>
  <c r="BH228" i="1"/>
  <c r="BH229" i="1"/>
  <c r="BH230" i="1"/>
  <c r="BH231" i="1"/>
  <c r="BH232" i="1"/>
  <c r="BH233" i="1"/>
  <c r="BH234" i="1"/>
  <c r="BH235" i="1"/>
  <c r="BH236" i="1"/>
  <c r="BH237" i="1"/>
  <c r="BH238" i="1"/>
  <c r="BH239" i="1"/>
  <c r="BH240" i="1"/>
  <c r="BH241" i="1"/>
  <c r="BH242" i="1"/>
  <c r="BH243" i="1"/>
  <c r="BH244" i="1"/>
  <c r="BH245" i="1"/>
  <c r="BH246" i="1"/>
  <c r="BH247" i="1"/>
  <c r="BH248" i="1"/>
  <c r="BH249" i="1"/>
  <c r="BH250" i="1"/>
  <c r="BH251" i="1"/>
  <c r="BH252" i="1"/>
  <c r="BH253" i="1"/>
  <c r="BH254" i="1"/>
  <c r="BH255" i="1"/>
  <c r="BH256" i="1"/>
  <c r="BH257" i="1"/>
  <c r="BH258" i="1"/>
  <c r="BH259" i="1"/>
  <c r="BH260" i="1"/>
  <c r="BH261" i="1"/>
  <c r="BH262" i="1"/>
  <c r="BH263" i="1"/>
  <c r="BH264" i="1"/>
  <c r="BH265" i="1"/>
  <c r="BH266" i="1"/>
  <c r="BH267" i="1"/>
  <c r="BH268" i="1"/>
  <c r="BH269" i="1"/>
  <c r="BH270" i="1"/>
  <c r="BH271" i="1"/>
  <c r="BH272" i="1"/>
  <c r="BH273" i="1"/>
  <c r="BH274" i="1"/>
  <c r="BH275" i="1"/>
  <c r="BH276" i="1"/>
  <c r="BH277" i="1"/>
  <c r="BH278" i="1"/>
  <c r="BH279" i="1"/>
  <c r="BH280" i="1"/>
  <c r="BH281" i="1"/>
  <c r="BH282" i="1"/>
  <c r="BH283" i="1"/>
  <c r="BH284" i="1"/>
  <c r="BH285" i="1"/>
  <c r="BH286" i="1"/>
  <c r="BH287" i="1"/>
  <c r="BH288" i="1"/>
  <c r="BH289" i="1"/>
  <c r="BH290" i="1"/>
  <c r="BH291" i="1"/>
  <c r="BH292" i="1"/>
  <c r="BH293" i="1"/>
  <c r="BH294" i="1"/>
  <c r="BH295" i="1"/>
  <c r="BH296" i="1"/>
  <c r="BH297" i="1"/>
  <c r="BH298" i="1"/>
  <c r="BH299" i="1"/>
  <c r="BH300" i="1"/>
  <c r="BH301" i="1"/>
  <c r="BH302" i="1"/>
  <c r="BH303" i="1"/>
  <c r="BH304" i="1"/>
  <c r="BH305" i="1"/>
  <c r="BH306" i="1"/>
  <c r="BH307" i="1"/>
  <c r="BH308" i="1"/>
  <c r="BH309" i="1"/>
  <c r="BH310" i="1"/>
  <c r="BH311" i="1"/>
  <c r="BH312" i="1"/>
  <c r="BH313" i="1"/>
  <c r="BH314" i="1"/>
  <c r="BH315" i="1"/>
  <c r="BH316" i="1"/>
  <c r="BH317" i="1"/>
  <c r="BH318" i="1"/>
  <c r="BH319" i="1"/>
  <c r="BH320" i="1"/>
  <c r="BH321" i="1"/>
  <c r="BH322" i="1"/>
  <c r="BH323" i="1"/>
  <c r="BH324" i="1"/>
  <c r="BH325" i="1"/>
  <c r="BH326" i="1"/>
  <c r="BH327" i="1"/>
  <c r="BH328" i="1"/>
  <c r="BH329" i="1"/>
  <c r="BH330" i="1"/>
  <c r="BH331" i="1"/>
  <c r="BH332" i="1"/>
  <c r="BH333" i="1"/>
  <c r="BH334" i="1"/>
  <c r="BH335" i="1"/>
  <c r="BH336" i="1"/>
  <c r="BH337" i="1"/>
  <c r="BH338" i="1"/>
  <c r="BH339" i="1"/>
  <c r="BH340" i="1"/>
  <c r="BH341" i="1"/>
  <c r="BH342" i="1"/>
  <c r="BH343" i="1"/>
  <c r="BH344" i="1"/>
  <c r="BH345" i="1"/>
  <c r="BH346" i="1"/>
  <c r="BH347" i="1"/>
  <c r="BH348" i="1"/>
  <c r="BH349" i="1"/>
  <c r="BH350" i="1"/>
  <c r="BH351" i="1"/>
  <c r="BH352" i="1"/>
  <c r="BH353" i="1"/>
  <c r="BH354" i="1"/>
  <c r="BH355" i="1"/>
  <c r="BH356" i="1"/>
  <c r="BH357" i="1"/>
  <c r="BH358" i="1"/>
  <c r="BH359" i="1"/>
  <c r="BH360" i="1"/>
  <c r="BH361" i="1"/>
  <c r="BH362" i="1"/>
  <c r="BH363" i="1"/>
  <c r="BH364" i="1"/>
  <c r="BH365" i="1"/>
  <c r="BH366" i="1"/>
  <c r="BH367" i="1"/>
  <c r="BH368" i="1"/>
  <c r="BH369" i="1"/>
  <c r="BH370" i="1"/>
  <c r="BH371" i="1"/>
  <c r="BH372" i="1"/>
  <c r="BH373" i="1"/>
  <c r="BH374" i="1"/>
  <c r="BH375" i="1"/>
  <c r="BH376" i="1"/>
  <c r="BH377" i="1"/>
  <c r="BH378" i="1"/>
  <c r="BH379" i="1"/>
  <c r="BH380" i="1"/>
  <c r="BH381" i="1"/>
  <c r="BH382" i="1"/>
  <c r="BH383" i="1"/>
  <c r="BH384" i="1"/>
  <c r="BH385" i="1"/>
  <c r="BH386" i="1"/>
  <c r="BH387" i="1"/>
  <c r="BH388" i="1"/>
  <c r="BH389" i="1"/>
  <c r="BH390" i="1"/>
  <c r="BH391" i="1"/>
  <c r="BH392" i="1"/>
  <c r="BH393" i="1"/>
  <c r="BH394" i="1"/>
  <c r="BH395" i="1"/>
  <c r="BH396" i="1"/>
  <c r="BH397" i="1"/>
  <c r="BH398" i="1"/>
  <c r="BH399" i="1"/>
  <c r="BH400" i="1"/>
  <c r="BH401" i="1"/>
  <c r="BH402" i="1"/>
  <c r="BH403" i="1"/>
  <c r="BH404" i="1"/>
  <c r="BH405" i="1"/>
  <c r="BH406" i="1"/>
  <c r="BH407" i="1"/>
  <c r="BH408" i="1"/>
  <c r="BH409" i="1"/>
  <c r="BH410" i="1"/>
  <c r="BH411" i="1"/>
  <c r="BH412" i="1"/>
  <c r="BH413" i="1"/>
  <c r="BH414" i="1"/>
  <c r="BH415" i="1"/>
  <c r="BH416" i="1"/>
  <c r="BH417" i="1"/>
  <c r="BH418" i="1"/>
  <c r="BH419" i="1"/>
  <c r="BH420" i="1"/>
  <c r="BH421" i="1"/>
  <c r="BH422" i="1"/>
  <c r="BH423" i="1"/>
  <c r="BH424" i="1"/>
  <c r="BH425" i="1"/>
  <c r="BH426" i="1"/>
  <c r="BH427" i="1"/>
  <c r="BH428" i="1"/>
  <c r="BH429" i="1"/>
  <c r="BH430" i="1"/>
  <c r="BH431" i="1"/>
  <c r="BH432" i="1"/>
  <c r="BH433" i="1"/>
  <c r="BH434" i="1"/>
  <c r="BH435" i="1"/>
  <c r="BH436" i="1"/>
  <c r="BH437" i="1"/>
  <c r="BH438" i="1"/>
  <c r="BH439" i="1"/>
  <c r="BH440" i="1"/>
  <c r="BH441" i="1"/>
  <c r="BH442" i="1"/>
  <c r="BH443" i="1"/>
  <c r="BH444" i="1"/>
  <c r="BH445" i="1"/>
  <c r="BH446" i="1"/>
  <c r="BH447" i="1"/>
  <c r="BH448" i="1"/>
  <c r="BH449" i="1"/>
  <c r="BH450" i="1"/>
  <c r="BH451" i="1"/>
  <c r="BH452" i="1"/>
  <c r="BH453" i="1"/>
  <c r="BH454" i="1"/>
  <c r="BH455" i="1"/>
  <c r="BH456" i="1"/>
  <c r="BH457" i="1"/>
  <c r="BH458" i="1"/>
  <c r="BH459" i="1"/>
  <c r="BH460" i="1"/>
  <c r="BH461" i="1"/>
  <c r="BH462" i="1"/>
  <c r="BH463" i="1"/>
  <c r="BH464" i="1"/>
  <c r="BH465" i="1"/>
  <c r="BH466" i="1"/>
  <c r="BH467" i="1"/>
  <c r="BH468" i="1"/>
  <c r="BH469" i="1"/>
  <c r="BH470" i="1"/>
  <c r="BH471" i="1"/>
  <c r="BH472" i="1"/>
  <c r="BH473" i="1"/>
  <c r="BH474" i="1"/>
  <c r="BH475" i="1"/>
  <c r="BH476" i="1"/>
  <c r="BH477" i="1"/>
  <c r="BH478" i="1"/>
  <c r="BH479" i="1"/>
  <c r="BH480" i="1"/>
  <c r="BH481" i="1"/>
  <c r="BH482" i="1"/>
  <c r="BH483" i="1"/>
  <c r="BH484" i="1"/>
  <c r="BH485" i="1"/>
  <c r="BH486" i="1"/>
  <c r="BH487" i="1"/>
  <c r="BH488" i="1"/>
  <c r="BH489" i="1"/>
  <c r="BH490" i="1"/>
  <c r="BH491" i="1"/>
  <c r="BH492" i="1"/>
  <c r="BH493" i="1"/>
  <c r="BH494" i="1"/>
  <c r="BH495" i="1"/>
  <c r="BH496" i="1"/>
  <c r="BH497" i="1"/>
  <c r="BH498" i="1"/>
  <c r="BH499" i="1"/>
  <c r="BH500" i="1"/>
  <c r="BH501" i="1"/>
  <c r="BH502" i="1"/>
  <c r="BH503" i="1"/>
  <c r="BH504" i="1"/>
  <c r="BH505" i="1"/>
  <c r="BH506" i="1"/>
  <c r="BH507" i="1"/>
  <c r="BH508" i="1"/>
  <c r="BH509" i="1"/>
  <c r="BH510" i="1"/>
  <c r="BH511" i="1"/>
  <c r="BH512" i="1"/>
  <c r="BH513" i="1"/>
  <c r="BH514" i="1"/>
  <c r="BH515" i="1"/>
  <c r="BH516" i="1"/>
  <c r="BH517" i="1"/>
  <c r="BH518" i="1"/>
  <c r="BH519" i="1"/>
  <c r="BH520" i="1"/>
  <c r="BH521" i="1"/>
  <c r="BH522" i="1"/>
  <c r="BH523" i="1"/>
  <c r="BH524" i="1"/>
  <c r="BH525" i="1"/>
  <c r="BH526" i="1"/>
  <c r="BH527" i="1"/>
  <c r="BH528" i="1"/>
  <c r="BH529" i="1"/>
  <c r="BH530" i="1"/>
  <c r="BH531" i="1"/>
  <c r="BH532" i="1"/>
  <c r="BH533" i="1"/>
  <c r="BH23" i="1"/>
  <c r="Q2" i="1"/>
  <c r="Q3" i="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AE225" i="1" s="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AE289" i="1" s="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BH7" i="1"/>
  <c r="BS3" i="1"/>
  <c r="AN484" i="1"/>
  <c r="AN485" i="1"/>
  <c r="AN486" i="1"/>
  <c r="AN487" i="1"/>
  <c r="AN488" i="1"/>
  <c r="AN489" i="1"/>
  <c r="AN490" i="1"/>
  <c r="AN491" i="1"/>
  <c r="AN431" i="1"/>
  <c r="AN432" i="1"/>
  <c r="AN433" i="1"/>
  <c r="AN434" i="1"/>
  <c r="AN435" i="1"/>
  <c r="AN436" i="1"/>
  <c r="AN377" i="1"/>
  <c r="AN378" i="1"/>
  <c r="AN379" i="1"/>
  <c r="AN380" i="1"/>
  <c r="AN381" i="1"/>
  <c r="AN382" i="1"/>
  <c r="AN383" i="1"/>
  <c r="AN384" i="1"/>
  <c r="AN385" i="1"/>
  <c r="AN376" i="1"/>
  <c r="AN320" i="1"/>
  <c r="AN321" i="1"/>
  <c r="AN322" i="1"/>
  <c r="AN269" i="1"/>
  <c r="AN275" i="1"/>
  <c r="AN270" i="1"/>
  <c r="AN271" i="1"/>
  <c r="AN272" i="1"/>
  <c r="AN273" i="1"/>
  <c r="AN274" i="1"/>
  <c r="AN276" i="1"/>
  <c r="AN277" i="1"/>
  <c r="AN207" i="1"/>
  <c r="AN208" i="1"/>
  <c r="AN209" i="1"/>
  <c r="AN210" i="1"/>
  <c r="AN211" i="1"/>
  <c r="AN212" i="1"/>
  <c r="AN165" i="1"/>
  <c r="AN163" i="1"/>
  <c r="AN164" i="1"/>
  <c r="AN162" i="1"/>
  <c r="AR39" i="1"/>
  <c r="AS39" i="1" s="1"/>
  <c r="AN38" i="1"/>
  <c r="AN45" i="1"/>
  <c r="AN37" i="1"/>
  <c r="AN75" i="1"/>
  <c r="BD3" i="1"/>
  <c r="AE8" i="1"/>
  <c r="AN166" i="1"/>
  <c r="AN167" i="1"/>
  <c r="AN168" i="1"/>
  <c r="AN169" i="1"/>
  <c r="AN170" i="1"/>
  <c r="AN171" i="1"/>
  <c r="AN172" i="1"/>
  <c r="AN173" i="1"/>
  <c r="AN174" i="1"/>
  <c r="AN175" i="1"/>
  <c r="AN176" i="1"/>
  <c r="AN177" i="1"/>
  <c r="AN178" i="1"/>
  <c r="AN179" i="1"/>
  <c r="AN180" i="1"/>
  <c r="AN181" i="1"/>
  <c r="AN182" i="1"/>
  <c r="AN183" i="1"/>
  <c r="AN184" i="1"/>
  <c r="AN213" i="1"/>
  <c r="AN214" i="1"/>
  <c r="AN215" i="1"/>
  <c r="AN216" i="1"/>
  <c r="AN217" i="1"/>
  <c r="AN218" i="1"/>
  <c r="AN219" i="1"/>
  <c r="AN220" i="1"/>
  <c r="AN221" i="1"/>
  <c r="AN222" i="1"/>
  <c r="AN223" i="1"/>
  <c r="AN224" i="1"/>
  <c r="AN225" i="1"/>
  <c r="AN226" i="1"/>
  <c r="AN227" i="1"/>
  <c r="AN228" i="1"/>
  <c r="AN229" i="1"/>
  <c r="AN230" i="1"/>
  <c r="AN231" i="1"/>
  <c r="AN232" i="1"/>
  <c r="AN233" i="1"/>
  <c r="AN234" i="1"/>
  <c r="AN235" i="1"/>
  <c r="AN236" i="1"/>
  <c r="AN237" i="1"/>
  <c r="AN238" i="1"/>
  <c r="AN239" i="1"/>
  <c r="AN240" i="1"/>
  <c r="AN278" i="1"/>
  <c r="AN279" i="1"/>
  <c r="AN280" i="1"/>
  <c r="AN281" i="1"/>
  <c r="AN282" i="1"/>
  <c r="AN283" i="1"/>
  <c r="AN284" i="1"/>
  <c r="AN285" i="1"/>
  <c r="AN286" i="1"/>
  <c r="AN287" i="1"/>
  <c r="AN288" i="1"/>
  <c r="AN289" i="1"/>
  <c r="AN290" i="1"/>
  <c r="AN291" i="1"/>
  <c r="AN292" i="1"/>
  <c r="AN293" i="1"/>
  <c r="AN323" i="1"/>
  <c r="AN324" i="1"/>
  <c r="AN325" i="1"/>
  <c r="AN326" i="1"/>
  <c r="AN327" i="1"/>
  <c r="AN328" i="1"/>
  <c r="AN329" i="1"/>
  <c r="AN330" i="1"/>
  <c r="AN331" i="1"/>
  <c r="AN332" i="1"/>
  <c r="AN333" i="1"/>
  <c r="AN334" i="1"/>
  <c r="AN335" i="1"/>
  <c r="AN336" i="1"/>
  <c r="AN337" i="1"/>
  <c r="AN338" i="1"/>
  <c r="AN339" i="1"/>
  <c r="AN340" i="1"/>
  <c r="AN341" i="1"/>
  <c r="AN342" i="1"/>
  <c r="AN343" i="1"/>
  <c r="AN344" i="1"/>
  <c r="AN345" i="1"/>
  <c r="AN346" i="1"/>
  <c r="AN375" i="1"/>
  <c r="AN386" i="1"/>
  <c r="AN387" i="1"/>
  <c r="AN388" i="1"/>
  <c r="AN389" i="1"/>
  <c r="AN390" i="1"/>
  <c r="AN391" i="1"/>
  <c r="AN392" i="1"/>
  <c r="AN393" i="1"/>
  <c r="AN394" i="1"/>
  <c r="AN395" i="1"/>
  <c r="AN396" i="1"/>
  <c r="AN397" i="1"/>
  <c r="AN398" i="1"/>
  <c r="AN399" i="1"/>
  <c r="AN400" i="1"/>
  <c r="AN401" i="1"/>
  <c r="AN402" i="1"/>
  <c r="AN403" i="1"/>
  <c r="AN404" i="1"/>
  <c r="AN437" i="1"/>
  <c r="AN438" i="1"/>
  <c r="AN439" i="1"/>
  <c r="AN440" i="1"/>
  <c r="AN441" i="1"/>
  <c r="AN442" i="1"/>
  <c r="AN443" i="1"/>
  <c r="AN444" i="1"/>
  <c r="AN445" i="1"/>
  <c r="AN446" i="1"/>
  <c r="AN447" i="1"/>
  <c r="AN448" i="1"/>
  <c r="AN449" i="1"/>
  <c r="AN450" i="1"/>
  <c r="AN451" i="1"/>
  <c r="AN452" i="1"/>
  <c r="AN453" i="1"/>
  <c r="AN454" i="1"/>
  <c r="AN455" i="1"/>
  <c r="AN492" i="1"/>
  <c r="AN493" i="1"/>
  <c r="AN494" i="1"/>
  <c r="AN495" i="1"/>
  <c r="AN496" i="1"/>
  <c r="AN497" i="1"/>
  <c r="AN498" i="1"/>
  <c r="AN499" i="1"/>
  <c r="AN500" i="1"/>
  <c r="AN501" i="1"/>
  <c r="AN502" i="1"/>
  <c r="AN503" i="1"/>
  <c r="AN504" i="1"/>
  <c r="AN505" i="1"/>
  <c r="AN506" i="1"/>
  <c r="AN507" i="1"/>
  <c r="AN508" i="1"/>
  <c r="AN509" i="1"/>
  <c r="BD43" i="1"/>
  <c r="BD44" i="1"/>
  <c r="BD73" i="1"/>
  <c r="BD164" i="1"/>
  <c r="BD165" i="1"/>
  <c r="BD166" i="1"/>
  <c r="BD167" i="1"/>
  <c r="BD168" i="1"/>
  <c r="BD169" i="1"/>
  <c r="BD170" i="1"/>
  <c r="BD171" i="1"/>
  <c r="BD172" i="1"/>
  <c r="BD173" i="1"/>
  <c r="BD174" i="1"/>
  <c r="BD175" i="1"/>
  <c r="BD176" i="1"/>
  <c r="BD177" i="1"/>
  <c r="BD178" i="1"/>
  <c r="BD179" i="1"/>
  <c r="BD180" i="1"/>
  <c r="BD181" i="1"/>
  <c r="BD182" i="1"/>
  <c r="BD183" i="1"/>
  <c r="BD211" i="1"/>
  <c r="BD212" i="1"/>
  <c r="BD213" i="1"/>
  <c r="BD214" i="1"/>
  <c r="BD215" i="1"/>
  <c r="BD216" i="1"/>
  <c r="BD217" i="1"/>
  <c r="BD218" i="1"/>
  <c r="BD219" i="1"/>
  <c r="BD220" i="1"/>
  <c r="BD221" i="1"/>
  <c r="BD222" i="1"/>
  <c r="BD223" i="1"/>
  <c r="BD224" i="1"/>
  <c r="BD225" i="1"/>
  <c r="BD226" i="1"/>
  <c r="BD227" i="1"/>
  <c r="BD228" i="1"/>
  <c r="BD229" i="1"/>
  <c r="BD230" i="1"/>
  <c r="BD231" i="1"/>
  <c r="BD232" i="1"/>
  <c r="BD233" i="1"/>
  <c r="BD234" i="1"/>
  <c r="BD235" i="1"/>
  <c r="BD236" i="1"/>
  <c r="BD237" i="1"/>
  <c r="BD238" i="1"/>
  <c r="BD239" i="1"/>
  <c r="BD267" i="1"/>
  <c r="BD268" i="1"/>
  <c r="BD269" i="1"/>
  <c r="BD270" i="1"/>
  <c r="BD271" i="1"/>
  <c r="BD272" i="1"/>
  <c r="BD274" i="1"/>
  <c r="BD275" i="1"/>
  <c r="BD276" i="1"/>
  <c r="BD277" i="1"/>
  <c r="BD278" i="1"/>
  <c r="BD279" i="1"/>
  <c r="BD280" i="1"/>
  <c r="BD281" i="1"/>
  <c r="BD282" i="1"/>
  <c r="BD283" i="1"/>
  <c r="BD284" i="1"/>
  <c r="BD285" i="1"/>
  <c r="BD286" i="1"/>
  <c r="BD287" i="1"/>
  <c r="BD288" i="1"/>
  <c r="BD289" i="1"/>
  <c r="BD290" i="1"/>
  <c r="BD291" i="1"/>
  <c r="BD292" i="1"/>
  <c r="BD320" i="1"/>
  <c r="BD321" i="1"/>
  <c r="BD322" i="1"/>
  <c r="BD323" i="1"/>
  <c r="BD324" i="1"/>
  <c r="BD325" i="1"/>
  <c r="BD326" i="1"/>
  <c r="BD327" i="1"/>
  <c r="BD328" i="1"/>
  <c r="BD329" i="1"/>
  <c r="BD330" i="1"/>
  <c r="BD331" i="1"/>
  <c r="BD332" i="1"/>
  <c r="BD333" i="1"/>
  <c r="BD334" i="1"/>
  <c r="BD335" i="1"/>
  <c r="BD336" i="1"/>
  <c r="BD337" i="1"/>
  <c r="BD338" i="1"/>
  <c r="BD339" i="1"/>
  <c r="BD340" i="1"/>
  <c r="BD341" i="1"/>
  <c r="BD342" i="1"/>
  <c r="BD343" i="1"/>
  <c r="BD344" i="1"/>
  <c r="BD345" i="1"/>
  <c r="BD384" i="1"/>
  <c r="BD385" i="1"/>
  <c r="BD386" i="1"/>
  <c r="BD387" i="1"/>
  <c r="BD388" i="1"/>
  <c r="BD389" i="1"/>
  <c r="BD390" i="1"/>
  <c r="BD391" i="1"/>
  <c r="BD392" i="1"/>
  <c r="BD393" i="1"/>
  <c r="BD394" i="1"/>
  <c r="BD395" i="1"/>
  <c r="BD396" i="1"/>
  <c r="BD397" i="1"/>
  <c r="BD398" i="1"/>
  <c r="BD399" i="1"/>
  <c r="BD400" i="1"/>
  <c r="BD401" i="1"/>
  <c r="BD402" i="1"/>
  <c r="BD403" i="1"/>
  <c r="BD435" i="1"/>
  <c r="BD436" i="1"/>
  <c r="BD437" i="1"/>
  <c r="BD438" i="1"/>
  <c r="BD439" i="1"/>
  <c r="BD440" i="1"/>
  <c r="BD441" i="1"/>
  <c r="BD442" i="1"/>
  <c r="BD443" i="1"/>
  <c r="BD444" i="1"/>
  <c r="BD445" i="1"/>
  <c r="BD446" i="1"/>
  <c r="BD447" i="1"/>
  <c r="BD448" i="1"/>
  <c r="BD449" i="1"/>
  <c r="BD450" i="1"/>
  <c r="BD451" i="1"/>
  <c r="BD452" i="1"/>
  <c r="BD453" i="1"/>
  <c r="BD454" i="1"/>
  <c r="BD489" i="1"/>
  <c r="BD490" i="1"/>
  <c r="BD491" i="1"/>
  <c r="BD492" i="1"/>
  <c r="BD493" i="1"/>
  <c r="BD494" i="1"/>
  <c r="BD495" i="1"/>
  <c r="BD496" i="1"/>
  <c r="BD497" i="1"/>
  <c r="BD498" i="1"/>
  <c r="BD499" i="1"/>
  <c r="BD500" i="1"/>
  <c r="BD501" i="1"/>
  <c r="BD502" i="1"/>
  <c r="BD503" i="1"/>
  <c r="BD504" i="1"/>
  <c r="BD505" i="1"/>
  <c r="BD506" i="1"/>
  <c r="BD507" i="1"/>
  <c r="BD508" i="1"/>
  <c r="BD533" i="1"/>
  <c r="AF374" i="1"/>
  <c r="AF323" i="1"/>
  <c r="AF324" i="1"/>
  <c r="AF325" i="1"/>
  <c r="AG45" i="1"/>
  <c r="AG165" i="1"/>
  <c r="AG166" i="1"/>
  <c r="AG167" i="1"/>
  <c r="AG168" i="1"/>
  <c r="AG169" i="1"/>
  <c r="AG170" i="1"/>
  <c r="AG171" i="1"/>
  <c r="AG172" i="1"/>
  <c r="AG173" i="1"/>
  <c r="AG174" i="1"/>
  <c r="AG175" i="1"/>
  <c r="AG176" i="1"/>
  <c r="AG177" i="1"/>
  <c r="AG178" i="1"/>
  <c r="AG179" i="1"/>
  <c r="AG180" i="1"/>
  <c r="AG181" i="1"/>
  <c r="AG182" i="1"/>
  <c r="AG183" i="1"/>
  <c r="AG184"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240" i="1"/>
  <c r="AG275" i="1"/>
  <c r="AG276" i="1"/>
  <c r="AG277" i="1"/>
  <c r="AG278" i="1"/>
  <c r="AG279" i="1"/>
  <c r="AG280" i="1"/>
  <c r="AG281" i="1"/>
  <c r="AG282" i="1"/>
  <c r="AG283" i="1"/>
  <c r="AG284" i="1"/>
  <c r="AG285" i="1"/>
  <c r="AG286" i="1"/>
  <c r="AG287" i="1"/>
  <c r="AG288" i="1"/>
  <c r="AG289" i="1"/>
  <c r="AG290" i="1"/>
  <c r="AG291" i="1"/>
  <c r="AG292" i="1"/>
  <c r="AG293" i="1"/>
  <c r="AG325" i="1"/>
  <c r="AG328" i="1"/>
  <c r="AG329" i="1"/>
  <c r="AG330" i="1"/>
  <c r="AG331" i="1"/>
  <c r="AG332" i="1"/>
  <c r="AG333" i="1"/>
  <c r="AG334" i="1"/>
  <c r="AG335" i="1"/>
  <c r="AG336" i="1"/>
  <c r="AG337" i="1"/>
  <c r="AG338" i="1"/>
  <c r="AG339" i="1"/>
  <c r="AG340" i="1"/>
  <c r="AG341" i="1"/>
  <c r="AG342" i="1"/>
  <c r="AG343" i="1"/>
  <c r="AG344" i="1"/>
  <c r="AG345" i="1"/>
  <c r="AG346" i="1"/>
  <c r="AG385" i="1"/>
  <c r="AG386" i="1"/>
  <c r="AG387" i="1"/>
  <c r="AG388" i="1"/>
  <c r="AG389" i="1"/>
  <c r="AG390" i="1"/>
  <c r="AG391" i="1"/>
  <c r="AG392" i="1"/>
  <c r="AG393" i="1"/>
  <c r="AG394" i="1"/>
  <c r="AG395" i="1"/>
  <c r="AG396" i="1"/>
  <c r="AG397" i="1"/>
  <c r="AG398" i="1"/>
  <c r="AG399" i="1"/>
  <c r="AG400" i="1"/>
  <c r="AG401" i="1"/>
  <c r="AG402" i="1"/>
  <c r="AG403" i="1"/>
  <c r="AG404" i="1"/>
  <c r="AG437" i="1"/>
  <c r="AG438" i="1"/>
  <c r="AG439" i="1"/>
  <c r="AG440" i="1"/>
  <c r="AG441" i="1"/>
  <c r="AG442" i="1"/>
  <c r="AG443" i="1"/>
  <c r="AG444" i="1"/>
  <c r="AG445" i="1"/>
  <c r="AG446" i="1"/>
  <c r="AG447" i="1"/>
  <c r="AG448" i="1"/>
  <c r="AG449" i="1"/>
  <c r="AG450" i="1"/>
  <c r="AG451" i="1"/>
  <c r="AG452" i="1"/>
  <c r="AG453" i="1"/>
  <c r="AG454" i="1"/>
  <c r="AG455" i="1"/>
  <c r="AG491" i="1"/>
  <c r="AG492" i="1"/>
  <c r="AG493" i="1"/>
  <c r="AG494" i="1"/>
  <c r="AG495" i="1"/>
  <c r="AG496" i="1"/>
  <c r="AG497" i="1"/>
  <c r="AG498" i="1"/>
  <c r="AG499" i="1"/>
  <c r="AG500" i="1"/>
  <c r="AG501" i="1"/>
  <c r="AG502" i="1"/>
  <c r="AG503" i="1"/>
  <c r="AG504" i="1"/>
  <c r="AG505" i="1"/>
  <c r="AG506" i="1"/>
  <c r="AG507" i="1"/>
  <c r="AG508" i="1"/>
  <c r="AG509" i="1"/>
  <c r="BF365" i="1"/>
  <c r="C6" i="2"/>
  <c r="F3" i="2"/>
  <c r="BJ7" i="1"/>
  <c r="AK533" i="1"/>
  <c r="AB533" i="1"/>
  <c r="X533" i="1"/>
  <c r="U533" i="1"/>
  <c r="T533" i="1"/>
  <c r="R533" i="1"/>
  <c r="O533" i="1"/>
  <c r="M533" i="1"/>
  <c r="K533" i="1"/>
  <c r="L532" i="1" s="1"/>
  <c r="J533" i="1"/>
  <c r="F533" i="1"/>
  <c r="D533" i="1"/>
  <c r="AK532" i="1"/>
  <c r="AB532" i="1"/>
  <c r="X532" i="1"/>
  <c r="T532" i="1"/>
  <c r="R532" i="1"/>
  <c r="U532" i="1" s="1"/>
  <c r="O532" i="1"/>
  <c r="N532" i="1"/>
  <c r="D532" i="1" s="1"/>
  <c r="M532" i="1"/>
  <c r="K532" i="1"/>
  <c r="L531" i="1" s="1"/>
  <c r="J532" i="1"/>
  <c r="F532" i="1"/>
  <c r="AB531" i="1"/>
  <c r="X531" i="1"/>
  <c r="R531" i="1"/>
  <c r="U531" i="1" s="1"/>
  <c r="N531" i="1"/>
  <c r="M531" i="1"/>
  <c r="K531" i="1"/>
  <c r="L530" i="1" s="1"/>
  <c r="J531" i="1"/>
  <c r="F531" i="1"/>
  <c r="T531" i="1" s="1"/>
  <c r="D531" i="1"/>
  <c r="AB530" i="1"/>
  <c r="X530" i="1"/>
  <c r="T530" i="1"/>
  <c r="R530" i="1"/>
  <c r="U530" i="1" s="1"/>
  <c r="N530" i="1"/>
  <c r="M530" i="1"/>
  <c r="K530" i="1"/>
  <c r="L529" i="1" s="1"/>
  <c r="J530" i="1"/>
  <c r="F530" i="1"/>
  <c r="D530" i="1"/>
  <c r="AB529" i="1"/>
  <c r="X529" i="1"/>
  <c r="R529" i="1"/>
  <c r="U529" i="1" s="1"/>
  <c r="N529" i="1"/>
  <c r="D529" i="1" s="1"/>
  <c r="M529" i="1"/>
  <c r="K529" i="1"/>
  <c r="F529" i="1" s="1"/>
  <c r="T529" i="1" s="1"/>
  <c r="J529" i="1"/>
  <c r="AB528" i="1"/>
  <c r="X528" i="1"/>
  <c r="R528" i="1"/>
  <c r="U528" i="1" s="1"/>
  <c r="N528" i="1"/>
  <c r="D528" i="1" s="1"/>
  <c r="M528" i="1"/>
  <c r="L528" i="1"/>
  <c r="K528" i="1"/>
  <c r="J528" i="1"/>
  <c r="F528" i="1"/>
  <c r="T528" i="1" s="1"/>
  <c r="AB527" i="1"/>
  <c r="X527" i="1"/>
  <c r="U527" i="1"/>
  <c r="R527" i="1"/>
  <c r="N527" i="1"/>
  <c r="D527" i="1" s="1"/>
  <c r="M527" i="1"/>
  <c r="K527" i="1"/>
  <c r="J527" i="1"/>
  <c r="AB526" i="1"/>
  <c r="X526" i="1"/>
  <c r="R526" i="1"/>
  <c r="U526" i="1" s="1"/>
  <c r="N526" i="1"/>
  <c r="D526" i="1" s="1"/>
  <c r="M526" i="1"/>
  <c r="K526" i="1"/>
  <c r="J526" i="1"/>
  <c r="AB525" i="1"/>
  <c r="X525" i="1"/>
  <c r="U525" i="1"/>
  <c r="R525" i="1"/>
  <c r="N525" i="1"/>
  <c r="D525" i="1" s="1"/>
  <c r="M525" i="1"/>
  <c r="K525" i="1"/>
  <c r="L524" i="1" s="1"/>
  <c r="J525" i="1"/>
  <c r="F525" i="1"/>
  <c r="T525" i="1" s="1"/>
  <c r="AB524" i="1"/>
  <c r="X524" i="1"/>
  <c r="U524" i="1"/>
  <c r="T524" i="1"/>
  <c r="R524" i="1"/>
  <c r="N524" i="1"/>
  <c r="D524" i="1" s="1"/>
  <c r="M524" i="1"/>
  <c r="K524" i="1"/>
  <c r="J524" i="1"/>
  <c r="F524" i="1"/>
  <c r="AB523" i="1"/>
  <c r="X523" i="1"/>
  <c r="U523" i="1"/>
  <c r="T523" i="1"/>
  <c r="R523" i="1"/>
  <c r="N523" i="1"/>
  <c r="D523" i="1" s="1"/>
  <c r="M523" i="1"/>
  <c r="K523" i="1"/>
  <c r="L522" i="1" s="1"/>
  <c r="J523" i="1"/>
  <c r="F523" i="1"/>
  <c r="AB522" i="1"/>
  <c r="X522" i="1"/>
  <c r="T522" i="1"/>
  <c r="R522" i="1"/>
  <c r="U522" i="1" s="1"/>
  <c r="N522" i="1"/>
  <c r="M522" i="1"/>
  <c r="K522" i="1"/>
  <c r="L521" i="1" s="1"/>
  <c r="J522" i="1"/>
  <c r="F522" i="1"/>
  <c r="D522" i="1"/>
  <c r="AE521" i="1"/>
  <c r="AB521" i="1"/>
  <c r="X521" i="1"/>
  <c r="T521" i="1"/>
  <c r="R521" i="1"/>
  <c r="U521" i="1" s="1"/>
  <c r="P521" i="1"/>
  <c r="N521" i="1"/>
  <c r="M521" i="1"/>
  <c r="K521" i="1"/>
  <c r="J521" i="1"/>
  <c r="F521" i="1"/>
  <c r="D521" i="1"/>
  <c r="AB520" i="1"/>
  <c r="X520" i="1"/>
  <c r="R520" i="1"/>
  <c r="U520" i="1" s="1"/>
  <c r="N520" i="1"/>
  <c r="D520" i="1" s="1"/>
  <c r="M520" i="1"/>
  <c r="K520" i="1"/>
  <c r="L520" i="1" s="1"/>
  <c r="J520" i="1"/>
  <c r="AB519" i="1"/>
  <c r="X519" i="1"/>
  <c r="U519" i="1"/>
  <c r="R519" i="1"/>
  <c r="N519" i="1"/>
  <c r="D519" i="1" s="1"/>
  <c r="M519" i="1"/>
  <c r="K519" i="1"/>
  <c r="J519" i="1"/>
  <c r="AB518" i="1"/>
  <c r="X518" i="1"/>
  <c r="U518" i="1"/>
  <c r="R518" i="1"/>
  <c r="N518" i="1"/>
  <c r="D518" i="1" s="1"/>
  <c r="M518" i="1"/>
  <c r="K518" i="1"/>
  <c r="L517" i="1" s="1"/>
  <c r="J518" i="1"/>
  <c r="F518" i="1"/>
  <c r="T518" i="1" s="1"/>
  <c r="AB517" i="1"/>
  <c r="X517" i="1"/>
  <c r="U517" i="1"/>
  <c r="T517" i="1"/>
  <c r="R517" i="1"/>
  <c r="N517" i="1"/>
  <c r="M517" i="1"/>
  <c r="K517" i="1"/>
  <c r="L516" i="1" s="1"/>
  <c r="J517" i="1"/>
  <c r="F517" i="1"/>
  <c r="D517" i="1"/>
  <c r="AB516" i="1"/>
  <c r="X516" i="1"/>
  <c r="T516" i="1"/>
  <c r="R516" i="1"/>
  <c r="U516" i="1" s="1"/>
  <c r="N516" i="1"/>
  <c r="M516" i="1"/>
  <c r="K516" i="1"/>
  <c r="L515" i="1" s="1"/>
  <c r="J516" i="1"/>
  <c r="F516" i="1"/>
  <c r="D516" i="1"/>
  <c r="P516" i="1" s="1"/>
  <c r="AB515" i="1"/>
  <c r="X515" i="1"/>
  <c r="T515" i="1"/>
  <c r="R515" i="1"/>
  <c r="U515" i="1" s="1"/>
  <c r="P515" i="1"/>
  <c r="N515" i="1"/>
  <c r="M515" i="1"/>
  <c r="K515" i="1"/>
  <c r="J515" i="1"/>
  <c r="F515" i="1"/>
  <c r="D515" i="1"/>
  <c r="AB514" i="1"/>
  <c r="X514" i="1"/>
  <c r="R514" i="1"/>
  <c r="U514" i="1" s="1"/>
  <c r="N514" i="1"/>
  <c r="D514" i="1" s="1"/>
  <c r="M514" i="1"/>
  <c r="L514" i="1"/>
  <c r="K514" i="1"/>
  <c r="J514" i="1"/>
  <c r="F514" i="1"/>
  <c r="T514" i="1" s="1"/>
  <c r="AB513" i="1"/>
  <c r="X513" i="1"/>
  <c r="R513" i="1"/>
  <c r="U513" i="1" s="1"/>
  <c r="N513" i="1"/>
  <c r="D513" i="1" s="1"/>
  <c r="M513" i="1"/>
  <c r="K513" i="1"/>
  <c r="J513" i="1"/>
  <c r="AB512" i="1"/>
  <c r="X512" i="1"/>
  <c r="R512" i="1"/>
  <c r="U512" i="1" s="1"/>
  <c r="N512" i="1"/>
  <c r="D512" i="1" s="1"/>
  <c r="M512" i="1"/>
  <c r="L512" i="1"/>
  <c r="K512" i="1"/>
  <c r="F512" i="1" s="1"/>
  <c r="T512" i="1" s="1"/>
  <c r="J512" i="1"/>
  <c r="AB511" i="1"/>
  <c r="X511" i="1"/>
  <c r="U511" i="1"/>
  <c r="R511" i="1"/>
  <c r="N511" i="1"/>
  <c r="D511" i="1" s="1"/>
  <c r="M511" i="1"/>
  <c r="K511" i="1"/>
  <c r="L511" i="1" s="1"/>
  <c r="J511" i="1"/>
  <c r="F511" i="1"/>
  <c r="T511" i="1" s="1"/>
  <c r="AB510" i="1"/>
  <c r="X510" i="1"/>
  <c r="R510" i="1"/>
  <c r="U510" i="1" s="1"/>
  <c r="N510" i="1"/>
  <c r="D510" i="1" s="1"/>
  <c r="M510" i="1"/>
  <c r="K510" i="1"/>
  <c r="F510" i="1" s="1"/>
  <c r="T510" i="1" s="1"/>
  <c r="J510" i="1"/>
  <c r="BC509" i="1"/>
  <c r="AT509" i="1"/>
  <c r="AW509" i="1" s="1"/>
  <c r="AR509" i="1"/>
  <c r="AS509" i="1" s="1"/>
  <c r="AJ509" i="1"/>
  <c r="AB509" i="1"/>
  <c r="X509" i="1"/>
  <c r="U509" i="1"/>
  <c r="T509" i="1"/>
  <c r="R509" i="1"/>
  <c r="N509" i="1"/>
  <c r="M509" i="1"/>
  <c r="L509" i="1"/>
  <c r="K509" i="1"/>
  <c r="J509" i="1"/>
  <c r="F509" i="1"/>
  <c r="D509" i="1"/>
  <c r="P509" i="1" s="1"/>
  <c r="BC508" i="1"/>
  <c r="AT508" i="1"/>
  <c r="AR508" i="1"/>
  <c r="AS508" i="1" s="1"/>
  <c r="AJ508" i="1"/>
  <c r="AB508" i="1"/>
  <c r="X508" i="1"/>
  <c r="R508" i="1"/>
  <c r="U508" i="1" s="1"/>
  <c r="AF508" i="1" s="1"/>
  <c r="N508" i="1"/>
  <c r="D508" i="1" s="1"/>
  <c r="M508" i="1"/>
  <c r="L508" i="1"/>
  <c r="K508" i="1"/>
  <c r="J508" i="1"/>
  <c r="F508" i="1"/>
  <c r="T508" i="1" s="1"/>
  <c r="BC507" i="1"/>
  <c r="AW507" i="1"/>
  <c r="AT507" i="1"/>
  <c r="AR507" i="1"/>
  <c r="AS507" i="1" s="1"/>
  <c r="AJ507" i="1"/>
  <c r="AB507" i="1"/>
  <c r="X507" i="1"/>
  <c r="U507" i="1"/>
  <c r="AF507" i="1" s="1"/>
  <c r="R507" i="1"/>
  <c r="N507" i="1"/>
  <c r="D507" i="1" s="1"/>
  <c r="M507" i="1"/>
  <c r="L507" i="1"/>
  <c r="K507" i="1"/>
  <c r="L506" i="1" s="1"/>
  <c r="J507" i="1"/>
  <c r="F507" i="1"/>
  <c r="T507" i="1" s="1"/>
  <c r="AT506" i="1"/>
  <c r="AS506" i="1"/>
  <c r="AR506" i="1"/>
  <c r="AJ506" i="1"/>
  <c r="AB506" i="1"/>
  <c r="X506" i="1"/>
  <c r="U506" i="1"/>
  <c r="AF506" i="1" s="1"/>
  <c r="R506" i="1"/>
  <c r="N506" i="1"/>
  <c r="M506" i="1"/>
  <c r="K506" i="1"/>
  <c r="L505" i="1" s="1"/>
  <c r="J506" i="1"/>
  <c r="F506" i="1"/>
  <c r="T506" i="1" s="1"/>
  <c r="D506" i="1"/>
  <c r="AE506" i="1" s="1"/>
  <c r="BC505" i="1"/>
  <c r="AW505" i="1"/>
  <c r="AT505" i="1"/>
  <c r="AR505" i="1"/>
  <c r="AS505" i="1" s="1"/>
  <c r="AJ505" i="1"/>
  <c r="AB505" i="1"/>
  <c r="X505" i="1"/>
  <c r="T505" i="1"/>
  <c r="R505" i="1"/>
  <c r="U505" i="1" s="1"/>
  <c r="P505" i="1"/>
  <c r="N505" i="1"/>
  <c r="M505" i="1"/>
  <c r="K505" i="1"/>
  <c r="J505" i="1"/>
  <c r="F505" i="1"/>
  <c r="D505" i="1"/>
  <c r="BC504" i="1"/>
  <c r="AY504" i="1"/>
  <c r="AU504" i="1"/>
  <c r="BA504" i="1" s="1"/>
  <c r="AT504" i="1"/>
  <c r="AS504" i="1"/>
  <c r="AR504" i="1"/>
  <c r="AJ504" i="1"/>
  <c r="AB504" i="1"/>
  <c r="X504" i="1"/>
  <c r="R504" i="1"/>
  <c r="U504" i="1" s="1"/>
  <c r="AF504" i="1" s="1"/>
  <c r="N504" i="1"/>
  <c r="D504" i="1" s="1"/>
  <c r="M504" i="1"/>
  <c r="L504" i="1"/>
  <c r="K504" i="1"/>
  <c r="J504" i="1"/>
  <c r="F504" i="1"/>
  <c r="T504" i="1" s="1"/>
  <c r="AW503" i="1"/>
  <c r="AT503" i="1"/>
  <c r="AR503" i="1"/>
  <c r="AS503" i="1" s="1"/>
  <c r="AJ503" i="1"/>
  <c r="AB503" i="1"/>
  <c r="X503" i="1"/>
  <c r="U503" i="1"/>
  <c r="AF503" i="1" s="1"/>
  <c r="R503" i="1"/>
  <c r="N503" i="1"/>
  <c r="D503" i="1" s="1"/>
  <c r="M503" i="1"/>
  <c r="L503" i="1"/>
  <c r="K503" i="1"/>
  <c r="L502" i="1" s="1"/>
  <c r="J503" i="1"/>
  <c r="F503" i="1"/>
  <c r="T503" i="1" s="1"/>
  <c r="BC502" i="1"/>
  <c r="AT502" i="1"/>
  <c r="AS502" i="1"/>
  <c r="AR502" i="1"/>
  <c r="AJ502" i="1"/>
  <c r="AB502" i="1"/>
  <c r="X502" i="1"/>
  <c r="U502" i="1"/>
  <c r="AF502" i="1" s="1"/>
  <c r="R502" i="1"/>
  <c r="N502" i="1"/>
  <c r="M502" i="1"/>
  <c r="K502" i="1"/>
  <c r="L501" i="1" s="1"/>
  <c r="J502" i="1"/>
  <c r="F502" i="1"/>
  <c r="T502" i="1" s="1"/>
  <c r="D502" i="1"/>
  <c r="AE502" i="1" s="1"/>
  <c r="BC501" i="1"/>
  <c r="AW501" i="1"/>
  <c r="AT501" i="1"/>
  <c r="AR501" i="1"/>
  <c r="AS501" i="1" s="1"/>
  <c r="AJ501" i="1"/>
  <c r="AB501" i="1"/>
  <c r="X501" i="1"/>
  <c r="T501" i="1"/>
  <c r="R501" i="1"/>
  <c r="U501" i="1" s="1"/>
  <c r="AE501" i="1"/>
  <c r="P501" i="1"/>
  <c r="N501" i="1"/>
  <c r="M501" i="1"/>
  <c r="K501" i="1"/>
  <c r="J501" i="1"/>
  <c r="F501" i="1"/>
  <c r="D501" i="1"/>
  <c r="BC500" i="1"/>
  <c r="AY500" i="1"/>
  <c r="AU500" i="1"/>
  <c r="BA500" i="1" s="1"/>
  <c r="AT500" i="1"/>
  <c r="AS500" i="1"/>
  <c r="AR500" i="1"/>
  <c r="AJ500" i="1"/>
  <c r="AB500" i="1"/>
  <c r="X500" i="1"/>
  <c r="R500" i="1"/>
  <c r="U500" i="1" s="1"/>
  <c r="AF500" i="1" s="1"/>
  <c r="N500" i="1"/>
  <c r="D500" i="1" s="1"/>
  <c r="M500" i="1"/>
  <c r="L500" i="1"/>
  <c r="K500" i="1"/>
  <c r="J500" i="1"/>
  <c r="F500" i="1"/>
  <c r="T500" i="1" s="1"/>
  <c r="BC499" i="1"/>
  <c r="AW499" i="1"/>
  <c r="AT499" i="1"/>
  <c r="AR499" i="1"/>
  <c r="AS499" i="1" s="1"/>
  <c r="AJ499" i="1"/>
  <c r="AB499" i="1"/>
  <c r="X499" i="1"/>
  <c r="U499" i="1"/>
  <c r="AF499" i="1" s="1"/>
  <c r="R499" i="1"/>
  <c r="N499" i="1"/>
  <c r="D499" i="1" s="1"/>
  <c r="M499" i="1"/>
  <c r="L499" i="1"/>
  <c r="K499" i="1"/>
  <c r="L498" i="1" s="1"/>
  <c r="J499" i="1"/>
  <c r="F499" i="1"/>
  <c r="T499" i="1" s="1"/>
  <c r="BC498" i="1"/>
  <c r="AT498" i="1"/>
  <c r="AS498" i="1"/>
  <c r="AR498" i="1"/>
  <c r="AJ498" i="1"/>
  <c r="AB498" i="1"/>
  <c r="X498" i="1"/>
  <c r="U498" i="1"/>
  <c r="R498" i="1"/>
  <c r="N498" i="1"/>
  <c r="M498" i="1"/>
  <c r="K498" i="1"/>
  <c r="L497" i="1" s="1"/>
  <c r="J498" i="1"/>
  <c r="F498" i="1"/>
  <c r="T498" i="1" s="1"/>
  <c r="D498" i="1"/>
  <c r="AW497" i="1"/>
  <c r="AT497" i="1"/>
  <c r="AR497" i="1"/>
  <c r="AS497" i="1" s="1"/>
  <c r="AJ497" i="1"/>
  <c r="AB497" i="1"/>
  <c r="X497" i="1"/>
  <c r="T497" i="1"/>
  <c r="R497" i="1"/>
  <c r="U497" i="1" s="1"/>
  <c r="AF497" i="1" s="1"/>
  <c r="N497" i="1"/>
  <c r="M497" i="1"/>
  <c r="K497" i="1"/>
  <c r="J497" i="1"/>
  <c r="F497" i="1"/>
  <c r="D497" i="1"/>
  <c r="BC496" i="1"/>
  <c r="AY496" i="1"/>
  <c r="AU496" i="1"/>
  <c r="BA496" i="1" s="1"/>
  <c r="AT496" i="1"/>
  <c r="AS496" i="1"/>
  <c r="AR496" i="1"/>
  <c r="AJ496" i="1"/>
  <c r="AB496" i="1"/>
  <c r="X496" i="1"/>
  <c r="R496" i="1"/>
  <c r="U496" i="1" s="1"/>
  <c r="AF496" i="1" s="1"/>
  <c r="N496" i="1"/>
  <c r="D496" i="1" s="1"/>
  <c r="M496" i="1"/>
  <c r="L496" i="1"/>
  <c r="K496" i="1"/>
  <c r="J496" i="1"/>
  <c r="F496" i="1"/>
  <c r="T496" i="1" s="1"/>
  <c r="AW495" i="1"/>
  <c r="AT495" i="1"/>
  <c r="AR495" i="1"/>
  <c r="AS495" i="1" s="1"/>
  <c r="AJ495" i="1"/>
  <c r="AB495" i="1"/>
  <c r="X495" i="1"/>
  <c r="U495" i="1"/>
  <c r="AF495" i="1" s="1"/>
  <c r="R495" i="1"/>
  <c r="N495" i="1"/>
  <c r="D495" i="1" s="1"/>
  <c r="M495" i="1"/>
  <c r="L495" i="1"/>
  <c r="K495" i="1"/>
  <c r="L494" i="1" s="1"/>
  <c r="J495" i="1"/>
  <c r="F495" i="1"/>
  <c r="T495" i="1" s="1"/>
  <c r="BC494" i="1"/>
  <c r="AT494" i="1"/>
  <c r="AS494" i="1"/>
  <c r="AR494" i="1"/>
  <c r="AJ494" i="1"/>
  <c r="AB494" i="1"/>
  <c r="X494" i="1"/>
  <c r="U494" i="1"/>
  <c r="R494" i="1"/>
  <c r="N494" i="1"/>
  <c r="M494" i="1"/>
  <c r="K494" i="1"/>
  <c r="L493" i="1" s="1"/>
  <c r="J494" i="1"/>
  <c r="F494" i="1"/>
  <c r="T494" i="1" s="1"/>
  <c r="D494" i="1"/>
  <c r="AE494" i="1" s="1"/>
  <c r="BC493" i="1"/>
  <c r="AW493" i="1"/>
  <c r="AT493" i="1"/>
  <c r="AR493" i="1"/>
  <c r="AS493" i="1" s="1"/>
  <c r="AJ493" i="1"/>
  <c r="AB493" i="1"/>
  <c r="X493" i="1"/>
  <c r="T493" i="1"/>
  <c r="R493" i="1"/>
  <c r="U493" i="1" s="1"/>
  <c r="AF493" i="1" s="1"/>
  <c r="AE493" i="1"/>
  <c r="P493" i="1"/>
  <c r="N493" i="1"/>
  <c r="M493" i="1"/>
  <c r="K493" i="1"/>
  <c r="J493" i="1"/>
  <c r="F493" i="1"/>
  <c r="D493" i="1"/>
  <c r="AY492" i="1"/>
  <c r="AU492" i="1"/>
  <c r="BA492" i="1" s="1"/>
  <c r="AT492" i="1"/>
  <c r="AS492" i="1"/>
  <c r="AR492" i="1"/>
  <c r="AJ492" i="1"/>
  <c r="AB492" i="1"/>
  <c r="X492" i="1"/>
  <c r="R492" i="1"/>
  <c r="U492" i="1" s="1"/>
  <c r="AF492" i="1" s="1"/>
  <c r="N492" i="1"/>
  <c r="D492" i="1" s="1"/>
  <c r="M492" i="1"/>
  <c r="L492" i="1"/>
  <c r="K492" i="1"/>
  <c r="J492" i="1"/>
  <c r="F492" i="1"/>
  <c r="T492" i="1" s="1"/>
  <c r="BC491" i="1"/>
  <c r="AW491" i="1"/>
  <c r="AT491" i="1"/>
  <c r="AR491" i="1"/>
  <c r="AS491" i="1" s="1"/>
  <c r="AJ491" i="1"/>
  <c r="AB491" i="1"/>
  <c r="X491" i="1"/>
  <c r="U491" i="1"/>
  <c r="R491" i="1"/>
  <c r="N491" i="1"/>
  <c r="D491" i="1" s="1"/>
  <c r="M491" i="1"/>
  <c r="L491" i="1"/>
  <c r="K491" i="1"/>
  <c r="L490" i="1" s="1"/>
  <c r="J491" i="1"/>
  <c r="F491" i="1"/>
  <c r="T491" i="1" s="1"/>
  <c r="BC490" i="1"/>
  <c r="AT490" i="1"/>
  <c r="AR490" i="1"/>
  <c r="AS490" i="1" s="1"/>
  <c r="AU490" i="1" s="1"/>
  <c r="AJ490" i="1"/>
  <c r="AB490" i="1"/>
  <c r="X490" i="1"/>
  <c r="U490" i="1"/>
  <c r="R490" i="1"/>
  <c r="N490" i="1"/>
  <c r="M490" i="1"/>
  <c r="K490" i="1"/>
  <c r="J490" i="1"/>
  <c r="F490" i="1"/>
  <c r="T490" i="1" s="1"/>
  <c r="D490" i="1"/>
  <c r="AE490" i="1" s="1"/>
  <c r="AT40" i="1"/>
  <c r="AZ40" i="1" s="1"/>
  <c r="AT41" i="1"/>
  <c r="AZ41" i="1" s="1"/>
  <c r="AT42" i="1"/>
  <c r="AZ42" i="1" s="1"/>
  <c r="AT43" i="1"/>
  <c r="AZ43" i="1" s="1"/>
  <c r="AT44" i="1"/>
  <c r="AZ44" i="1" s="1"/>
  <c r="BB44" i="1" s="1" a="1"/>
  <c r="BB44" i="1" s="1"/>
  <c r="AT45" i="1"/>
  <c r="AZ45" i="1" s="1"/>
  <c r="BB45" i="1" s="1" a="1"/>
  <c r="BB45" i="1" s="1"/>
  <c r="AT46" i="1"/>
  <c r="AZ46" i="1" s="1"/>
  <c r="AT47" i="1"/>
  <c r="AZ47" i="1" s="1"/>
  <c r="AE75" i="1"/>
  <c r="AE76" i="1"/>
  <c r="AE77" i="1"/>
  <c r="AE78" i="1"/>
  <c r="AE79" i="1"/>
  <c r="AK482" i="1"/>
  <c r="AB482" i="1"/>
  <c r="X482" i="1"/>
  <c r="U482" i="1"/>
  <c r="T482" i="1"/>
  <c r="R482" i="1"/>
  <c r="O482" i="1"/>
  <c r="N482" i="1"/>
  <c r="M482" i="1"/>
  <c r="L482" i="1"/>
  <c r="K482" i="1"/>
  <c r="J482" i="1"/>
  <c r="F482" i="1"/>
  <c r="D482" i="1"/>
  <c r="AK481" i="1"/>
  <c r="AB481" i="1"/>
  <c r="X481" i="1"/>
  <c r="R481" i="1"/>
  <c r="U481" i="1" s="1"/>
  <c r="O481" i="1"/>
  <c r="N481" i="1"/>
  <c r="M481" i="1"/>
  <c r="K481" i="1"/>
  <c r="L480" i="1" s="1"/>
  <c r="J481" i="1"/>
  <c r="D481" i="1"/>
  <c r="AK480" i="1"/>
  <c r="AB480" i="1"/>
  <c r="X480" i="1"/>
  <c r="R480" i="1"/>
  <c r="U480" i="1" s="1"/>
  <c r="O480" i="1"/>
  <c r="M480" i="1"/>
  <c r="K480" i="1"/>
  <c r="L479" i="1" s="1"/>
  <c r="J480" i="1"/>
  <c r="D480" i="1"/>
  <c r="P480" i="1" s="1"/>
  <c r="AB479" i="1"/>
  <c r="X479" i="1"/>
  <c r="R479" i="1"/>
  <c r="U479" i="1" s="1"/>
  <c r="P479" i="1"/>
  <c r="O479" i="1"/>
  <c r="M479" i="1"/>
  <c r="K479" i="1"/>
  <c r="J479" i="1"/>
  <c r="F479" i="1"/>
  <c r="T479" i="1" s="1"/>
  <c r="D479" i="1"/>
  <c r="AB478" i="1"/>
  <c r="X478" i="1"/>
  <c r="R478" i="1"/>
  <c r="U478" i="1" s="1"/>
  <c r="O478" i="1"/>
  <c r="AK478" i="1" s="1"/>
  <c r="N478" i="1"/>
  <c r="D478" i="1" s="1"/>
  <c r="M478" i="1"/>
  <c r="K478" i="1"/>
  <c r="L478" i="1" s="1"/>
  <c r="J478" i="1"/>
  <c r="AB477" i="1"/>
  <c r="X477" i="1"/>
  <c r="R477" i="1"/>
  <c r="U477" i="1" s="1"/>
  <c r="N477" i="1"/>
  <c r="D477" i="1" s="1"/>
  <c r="M477" i="1"/>
  <c r="L477" i="1"/>
  <c r="K477" i="1"/>
  <c r="J477" i="1"/>
  <c r="F477" i="1"/>
  <c r="T477" i="1" s="1"/>
  <c r="AB476" i="1"/>
  <c r="X476" i="1"/>
  <c r="R476" i="1"/>
  <c r="U476" i="1" s="1"/>
  <c r="N476" i="1"/>
  <c r="D476" i="1" s="1"/>
  <c r="M476" i="1"/>
  <c r="K476" i="1"/>
  <c r="J476" i="1"/>
  <c r="AB475" i="1"/>
  <c r="X475" i="1"/>
  <c r="R475" i="1"/>
  <c r="U475" i="1" s="1"/>
  <c r="P475" i="1"/>
  <c r="N475" i="1"/>
  <c r="M475" i="1"/>
  <c r="K475" i="1"/>
  <c r="F475" i="1" s="1"/>
  <c r="T475" i="1" s="1"/>
  <c r="J475" i="1"/>
  <c r="D475" i="1"/>
  <c r="AB474" i="1"/>
  <c r="X474" i="1"/>
  <c r="U474" i="1"/>
  <c r="R474" i="1"/>
  <c r="N474" i="1"/>
  <c r="D474" i="1" s="1"/>
  <c r="M474" i="1"/>
  <c r="K474" i="1"/>
  <c r="L473" i="1" s="1"/>
  <c r="J474" i="1"/>
  <c r="F474" i="1"/>
  <c r="T474" i="1" s="1"/>
  <c r="AB473" i="1"/>
  <c r="X473" i="1"/>
  <c r="U473" i="1"/>
  <c r="R473" i="1"/>
  <c r="N473" i="1"/>
  <c r="M473" i="1"/>
  <c r="K473" i="1"/>
  <c r="L472" i="1" s="1"/>
  <c r="J473" i="1"/>
  <c r="F473" i="1"/>
  <c r="T473" i="1" s="1"/>
  <c r="D473" i="1"/>
  <c r="AB472" i="1"/>
  <c r="X472" i="1"/>
  <c r="U472" i="1"/>
  <c r="T472" i="1"/>
  <c r="R472" i="1"/>
  <c r="N472" i="1"/>
  <c r="M472" i="1"/>
  <c r="K472" i="1"/>
  <c r="J472" i="1"/>
  <c r="F472" i="1"/>
  <c r="D472" i="1"/>
  <c r="AB471" i="1"/>
  <c r="X471" i="1"/>
  <c r="T471" i="1"/>
  <c r="R471" i="1"/>
  <c r="U471" i="1" s="1"/>
  <c r="N471" i="1"/>
  <c r="M471" i="1"/>
  <c r="L471" i="1"/>
  <c r="K471" i="1"/>
  <c r="J471" i="1"/>
  <c r="F471" i="1"/>
  <c r="D471" i="1"/>
  <c r="AB470" i="1"/>
  <c r="X470" i="1"/>
  <c r="R470" i="1"/>
  <c r="U470" i="1" s="1"/>
  <c r="N470" i="1"/>
  <c r="M470" i="1"/>
  <c r="L470" i="1"/>
  <c r="K470" i="1"/>
  <c r="L469" i="1" s="1"/>
  <c r="J470" i="1"/>
  <c r="D470" i="1"/>
  <c r="P470" i="1" s="1"/>
  <c r="AB469" i="1"/>
  <c r="X469" i="1"/>
  <c r="R469" i="1"/>
  <c r="U469" i="1" s="1"/>
  <c r="N469" i="1"/>
  <c r="D469" i="1" s="1"/>
  <c r="M469" i="1"/>
  <c r="K469" i="1"/>
  <c r="J469" i="1"/>
  <c r="AB468" i="1"/>
  <c r="X468" i="1"/>
  <c r="R468" i="1"/>
  <c r="U468" i="1" s="1"/>
  <c r="P468" i="1"/>
  <c r="N468" i="1"/>
  <c r="M468" i="1"/>
  <c r="K468" i="1"/>
  <c r="J468" i="1"/>
  <c r="F468" i="1"/>
  <c r="T468" i="1" s="1"/>
  <c r="D468" i="1"/>
  <c r="AE467" i="1"/>
  <c r="AB467" i="1"/>
  <c r="X467" i="1"/>
  <c r="R467" i="1"/>
  <c r="U467" i="1" s="1"/>
  <c r="N467" i="1"/>
  <c r="M467" i="1"/>
  <c r="K467" i="1"/>
  <c r="L467" i="1" s="1"/>
  <c r="J467" i="1"/>
  <c r="D467" i="1"/>
  <c r="AB466" i="1"/>
  <c r="X466" i="1"/>
  <c r="R466" i="1"/>
  <c r="U466" i="1" s="1"/>
  <c r="N466" i="1"/>
  <c r="D466" i="1" s="1"/>
  <c r="M466" i="1"/>
  <c r="L466" i="1"/>
  <c r="K466" i="1"/>
  <c r="F466" i="1" s="1"/>
  <c r="T466" i="1" s="1"/>
  <c r="J466" i="1"/>
  <c r="AB465" i="1"/>
  <c r="X465" i="1"/>
  <c r="R465" i="1"/>
  <c r="U465" i="1" s="1"/>
  <c r="N465" i="1"/>
  <c r="D465" i="1" s="1"/>
  <c r="M465" i="1"/>
  <c r="L465" i="1"/>
  <c r="K465" i="1"/>
  <c r="F465" i="1" s="1"/>
  <c r="T465" i="1" s="1"/>
  <c r="J465" i="1"/>
  <c r="AB464" i="1"/>
  <c r="X464" i="1"/>
  <c r="U464" i="1"/>
  <c r="R464" i="1"/>
  <c r="P464" i="1"/>
  <c r="N464" i="1"/>
  <c r="M464" i="1"/>
  <c r="K464" i="1"/>
  <c r="F464" i="1" s="1"/>
  <c r="T464" i="1" s="1"/>
  <c r="J464" i="1"/>
  <c r="D464" i="1"/>
  <c r="AB463" i="1"/>
  <c r="X463" i="1"/>
  <c r="U463" i="1"/>
  <c r="R463" i="1"/>
  <c r="N463" i="1"/>
  <c r="D463" i="1" s="1"/>
  <c r="M463" i="1"/>
  <c r="L463" i="1"/>
  <c r="K463" i="1"/>
  <c r="L462" i="1" s="1"/>
  <c r="J463" i="1"/>
  <c r="AB462" i="1"/>
  <c r="X462" i="1"/>
  <c r="U462" i="1"/>
  <c r="R462" i="1"/>
  <c r="N462" i="1"/>
  <c r="M462" i="1"/>
  <c r="K462" i="1"/>
  <c r="J462" i="1"/>
  <c r="F462" i="1"/>
  <c r="T462" i="1" s="1"/>
  <c r="D462" i="1"/>
  <c r="AB461" i="1"/>
  <c r="X461" i="1"/>
  <c r="U461" i="1"/>
  <c r="R461" i="1"/>
  <c r="N461" i="1"/>
  <c r="M461" i="1"/>
  <c r="L461" i="1"/>
  <c r="K461" i="1"/>
  <c r="J461" i="1"/>
  <c r="F461" i="1"/>
  <c r="T461" i="1" s="1"/>
  <c r="D461" i="1"/>
  <c r="AB460" i="1"/>
  <c r="X460" i="1"/>
  <c r="T460" i="1"/>
  <c r="R460" i="1"/>
  <c r="U460" i="1" s="1"/>
  <c r="N460" i="1"/>
  <c r="M460" i="1"/>
  <c r="K460" i="1"/>
  <c r="L459" i="1" s="1"/>
  <c r="J460" i="1"/>
  <c r="F460" i="1"/>
  <c r="D460" i="1"/>
  <c r="AB459" i="1"/>
  <c r="X459" i="1"/>
  <c r="R459" i="1"/>
  <c r="U459" i="1" s="1"/>
  <c r="N459" i="1"/>
  <c r="M459" i="1"/>
  <c r="K459" i="1"/>
  <c r="J459" i="1"/>
  <c r="D459" i="1"/>
  <c r="P459" i="1" s="1"/>
  <c r="AB458" i="1"/>
  <c r="X458" i="1"/>
  <c r="R458" i="1"/>
  <c r="U458" i="1" s="1"/>
  <c r="N458" i="1"/>
  <c r="D458" i="1" s="1"/>
  <c r="M458" i="1"/>
  <c r="K458" i="1"/>
  <c r="F458" i="1" s="1"/>
  <c r="T458" i="1" s="1"/>
  <c r="J458" i="1"/>
  <c r="AB457" i="1"/>
  <c r="X457" i="1"/>
  <c r="R457" i="1"/>
  <c r="U457" i="1" s="1"/>
  <c r="N457" i="1"/>
  <c r="M457" i="1"/>
  <c r="K457" i="1"/>
  <c r="L456" i="1" s="1"/>
  <c r="J457" i="1"/>
  <c r="D457" i="1"/>
  <c r="AB456" i="1"/>
  <c r="X456" i="1"/>
  <c r="U456" i="1"/>
  <c r="T456" i="1"/>
  <c r="R456" i="1"/>
  <c r="N456" i="1"/>
  <c r="M456" i="1"/>
  <c r="K456" i="1"/>
  <c r="L455" i="1" s="1"/>
  <c r="J456" i="1"/>
  <c r="F456" i="1"/>
  <c r="D456" i="1"/>
  <c r="P456" i="1" s="1"/>
  <c r="BC455" i="1"/>
  <c r="AR455" i="1"/>
  <c r="AS455" i="1" s="1"/>
  <c r="AU455" i="1" s="1"/>
  <c r="AJ455" i="1"/>
  <c r="AB455" i="1"/>
  <c r="X455" i="1"/>
  <c r="U455" i="1"/>
  <c r="AF455" i="1" s="1"/>
  <c r="R455" i="1"/>
  <c r="AE455" i="1"/>
  <c r="N455" i="1"/>
  <c r="M455" i="1"/>
  <c r="K455" i="1"/>
  <c r="J455" i="1"/>
  <c r="F455" i="1"/>
  <c r="T455" i="1" s="1"/>
  <c r="D455" i="1"/>
  <c r="P455" i="1" s="1"/>
  <c r="BC454" i="1"/>
  <c r="AR454" i="1"/>
  <c r="AS454" i="1" s="1"/>
  <c r="AU454" i="1" s="1"/>
  <c r="AJ454" i="1"/>
  <c r="AB454" i="1"/>
  <c r="X454" i="1"/>
  <c r="R454" i="1"/>
  <c r="U454" i="1" s="1"/>
  <c r="AF454" i="1" s="1"/>
  <c r="AE454" i="1"/>
  <c r="N454" i="1"/>
  <c r="M454" i="1"/>
  <c r="K454" i="1"/>
  <c r="L454" i="1" s="1"/>
  <c r="J454" i="1"/>
  <c r="D454" i="1"/>
  <c r="P454" i="1" s="1"/>
  <c r="BC453" i="1"/>
  <c r="AR453" i="1"/>
  <c r="AS453" i="1" s="1"/>
  <c r="AU453" i="1" s="1"/>
  <c r="AJ453" i="1"/>
  <c r="AB453" i="1"/>
  <c r="X453" i="1"/>
  <c r="U453" i="1"/>
  <c r="AF453" i="1" s="1"/>
  <c r="R453" i="1"/>
  <c r="AE453" i="1"/>
  <c r="P453" i="1"/>
  <c r="N453" i="1"/>
  <c r="D453" i="1" s="1"/>
  <c r="M453" i="1"/>
  <c r="K453" i="1"/>
  <c r="L453" i="1" s="1"/>
  <c r="J453" i="1"/>
  <c r="F453" i="1"/>
  <c r="T453" i="1" s="1"/>
  <c r="BC452" i="1"/>
  <c r="AR452" i="1"/>
  <c r="AS452" i="1" s="1"/>
  <c r="AU452" i="1" s="1"/>
  <c r="AT452" i="1"/>
  <c r="AJ452" i="1"/>
  <c r="AB452" i="1"/>
  <c r="X452" i="1"/>
  <c r="U452" i="1"/>
  <c r="AF452" i="1" s="1"/>
  <c r="R452" i="1"/>
  <c r="P452" i="1"/>
  <c r="N452" i="1"/>
  <c r="D452" i="1" s="1"/>
  <c r="AE452" i="1" s="1"/>
  <c r="M452" i="1"/>
  <c r="L452" i="1"/>
  <c r="K452" i="1"/>
  <c r="J452" i="1"/>
  <c r="F452" i="1"/>
  <c r="T452" i="1" s="1"/>
  <c r="BC451" i="1"/>
  <c r="AR451" i="1"/>
  <c r="AS451" i="1" s="1"/>
  <c r="AU451" i="1" s="1"/>
  <c r="AJ451" i="1"/>
  <c r="AB451" i="1"/>
  <c r="X451" i="1"/>
  <c r="U451" i="1"/>
  <c r="R451" i="1"/>
  <c r="N451" i="1"/>
  <c r="M451" i="1"/>
  <c r="L451" i="1"/>
  <c r="K451" i="1"/>
  <c r="J451" i="1"/>
  <c r="F451" i="1"/>
  <c r="T451" i="1" s="1"/>
  <c r="D451" i="1"/>
  <c r="P451" i="1" s="1"/>
  <c r="BC450" i="1"/>
  <c r="AR450" i="1"/>
  <c r="AS450" i="1" s="1"/>
  <c r="AU450" i="1" s="1"/>
  <c r="BA450" i="1" s="1"/>
  <c r="AJ450" i="1"/>
  <c r="AB450" i="1"/>
  <c r="X450" i="1"/>
  <c r="U450" i="1"/>
  <c r="AF450" i="1" s="1"/>
  <c r="R450" i="1"/>
  <c r="N450" i="1"/>
  <c r="M450" i="1"/>
  <c r="K450" i="1"/>
  <c r="L449" i="1" s="1"/>
  <c r="J450" i="1"/>
  <c r="D450" i="1"/>
  <c r="P450" i="1" s="1"/>
  <c r="BC449" i="1"/>
  <c r="AU449" i="1"/>
  <c r="BA449" i="1" s="1"/>
  <c r="AR449" i="1"/>
  <c r="AS449" i="1" s="1"/>
  <c r="AJ449" i="1"/>
  <c r="AB449" i="1"/>
  <c r="X449" i="1"/>
  <c r="U449" i="1"/>
  <c r="AF449" i="1" s="1"/>
  <c r="R449" i="1"/>
  <c r="N449" i="1"/>
  <c r="M449" i="1"/>
  <c r="K449" i="1"/>
  <c r="J449" i="1"/>
  <c r="F449" i="1"/>
  <c r="T449" i="1" s="1"/>
  <c r="D449" i="1"/>
  <c r="BC448" i="1"/>
  <c r="AR448" i="1"/>
  <c r="AS448" i="1" s="1"/>
  <c r="AU448" i="1" s="1"/>
  <c r="AJ448" i="1"/>
  <c r="AB448" i="1"/>
  <c r="X448" i="1"/>
  <c r="R448" i="1"/>
  <c r="U448" i="1" s="1"/>
  <c r="N448" i="1"/>
  <c r="D448" i="1" s="1"/>
  <c r="M448" i="1"/>
  <c r="K448" i="1"/>
  <c r="J448" i="1"/>
  <c r="BC447" i="1"/>
  <c r="AU447" i="1"/>
  <c r="AS447" i="1"/>
  <c r="AR447" i="1"/>
  <c r="AJ447" i="1"/>
  <c r="AB447" i="1"/>
  <c r="X447" i="1"/>
  <c r="R447" i="1"/>
  <c r="U447" i="1" s="1"/>
  <c r="P447" i="1"/>
  <c r="N447" i="1"/>
  <c r="D447" i="1" s="1"/>
  <c r="AE447" i="1" s="1"/>
  <c r="M447" i="1"/>
  <c r="K447" i="1"/>
  <c r="F447" i="1" s="1"/>
  <c r="T447" i="1" s="1"/>
  <c r="J447" i="1"/>
  <c r="BC446" i="1"/>
  <c r="AU446" i="1"/>
  <c r="AY446" i="1" s="1"/>
  <c r="AS446" i="1"/>
  <c r="AR446" i="1"/>
  <c r="AJ446" i="1"/>
  <c r="AF446" i="1"/>
  <c r="AB446" i="1"/>
  <c r="X446" i="1"/>
  <c r="U446" i="1"/>
  <c r="R446" i="1"/>
  <c r="P446" i="1"/>
  <c r="N446" i="1"/>
  <c r="D446" i="1" s="1"/>
  <c r="AE446" i="1" s="1"/>
  <c r="M446" i="1"/>
  <c r="L446" i="1"/>
  <c r="K446" i="1"/>
  <c r="F446" i="1" s="1"/>
  <c r="T446" i="1" s="1"/>
  <c r="J446" i="1"/>
  <c r="BC445" i="1"/>
  <c r="BA445" i="1"/>
  <c r="AY445" i="1"/>
  <c r="AS445" i="1"/>
  <c r="AU445" i="1" s="1"/>
  <c r="AR445" i="1"/>
  <c r="AJ445" i="1"/>
  <c r="AB445" i="1"/>
  <c r="X445" i="1"/>
  <c r="U445" i="1"/>
  <c r="R445" i="1"/>
  <c r="N445" i="1"/>
  <c r="D445" i="1" s="1"/>
  <c r="M445" i="1"/>
  <c r="L445" i="1"/>
  <c r="K445" i="1"/>
  <c r="F445" i="1" s="1"/>
  <c r="T445" i="1" s="1"/>
  <c r="J445" i="1"/>
  <c r="BC444" i="1"/>
  <c r="BA444" i="1"/>
  <c r="AY444" i="1"/>
  <c r="AS444" i="1"/>
  <c r="AU444" i="1" s="1"/>
  <c r="AR444" i="1"/>
  <c r="AJ444" i="1"/>
  <c r="AB444" i="1"/>
  <c r="X444" i="1"/>
  <c r="T444" i="1"/>
  <c r="R444" i="1"/>
  <c r="U444" i="1" s="1"/>
  <c r="AE444" i="1"/>
  <c r="N444" i="1"/>
  <c r="M444" i="1"/>
  <c r="K444" i="1"/>
  <c r="L443" i="1" s="1"/>
  <c r="J444" i="1"/>
  <c r="F444" i="1"/>
  <c r="D444" i="1"/>
  <c r="P444" i="1" s="1"/>
  <c r="BC443" i="1"/>
  <c r="AR443" i="1"/>
  <c r="AS443" i="1" s="1"/>
  <c r="AU443" i="1" s="1"/>
  <c r="AJ443" i="1"/>
  <c r="AB443" i="1"/>
  <c r="X443" i="1"/>
  <c r="R443" i="1"/>
  <c r="U443" i="1" s="1"/>
  <c r="AF443" i="1" s="1"/>
  <c r="N443" i="1"/>
  <c r="M443" i="1"/>
  <c r="K443" i="1"/>
  <c r="J443" i="1"/>
  <c r="F443" i="1"/>
  <c r="T443" i="1" s="1"/>
  <c r="D443" i="1"/>
  <c r="AE443" i="1" s="1"/>
  <c r="BC442" i="1"/>
  <c r="AR442" i="1"/>
  <c r="AS442" i="1" s="1"/>
  <c r="AU442" i="1" s="1"/>
  <c r="AJ442" i="1"/>
  <c r="AB442" i="1"/>
  <c r="X442" i="1"/>
  <c r="R442" i="1"/>
  <c r="U442" i="1" s="1"/>
  <c r="N442" i="1"/>
  <c r="M442" i="1"/>
  <c r="K442" i="1"/>
  <c r="J442" i="1"/>
  <c r="D442" i="1"/>
  <c r="AE442" i="1" s="1"/>
  <c r="BC441" i="1"/>
  <c r="AR441" i="1"/>
  <c r="AS441" i="1" s="1"/>
  <c r="AU441" i="1" s="1"/>
  <c r="AJ441" i="1"/>
  <c r="AB441" i="1"/>
  <c r="X441" i="1"/>
  <c r="R441" i="1"/>
  <c r="U441" i="1" s="1"/>
  <c r="N441" i="1"/>
  <c r="D441" i="1" s="1"/>
  <c r="AE441" i="1" s="1"/>
  <c r="M441" i="1"/>
  <c r="L441" i="1"/>
  <c r="K441" i="1"/>
  <c r="J441" i="1"/>
  <c r="F441" i="1"/>
  <c r="T441" i="1" s="1"/>
  <c r="BC440" i="1"/>
  <c r="AR440" i="1"/>
  <c r="AS440" i="1" s="1"/>
  <c r="AU440" i="1" s="1"/>
  <c r="AJ440" i="1"/>
  <c r="AF440" i="1"/>
  <c r="AB440" i="1"/>
  <c r="X440" i="1"/>
  <c r="U440" i="1"/>
  <c r="R440" i="1"/>
  <c r="N440" i="1"/>
  <c r="D440" i="1" s="1"/>
  <c r="AE440" i="1" s="1"/>
  <c r="M440" i="1"/>
  <c r="K440" i="1"/>
  <c r="L440" i="1" s="1"/>
  <c r="J440" i="1"/>
  <c r="F440" i="1"/>
  <c r="T440" i="1" s="1"/>
  <c r="BC439" i="1"/>
  <c r="AR439" i="1"/>
  <c r="AS439" i="1" s="1"/>
  <c r="AU439" i="1" s="1"/>
  <c r="AJ439" i="1"/>
  <c r="AB439" i="1"/>
  <c r="X439" i="1"/>
  <c r="U439" i="1"/>
  <c r="R439" i="1"/>
  <c r="N439" i="1"/>
  <c r="D439" i="1" s="1"/>
  <c r="M439" i="1"/>
  <c r="K439" i="1"/>
  <c r="J439" i="1"/>
  <c r="F439" i="1"/>
  <c r="T439" i="1" s="1"/>
  <c r="BC438" i="1"/>
  <c r="BA438" i="1"/>
  <c r="AY438" i="1"/>
  <c r="AR438" i="1"/>
  <c r="AS438" i="1" s="1"/>
  <c r="AU438" i="1" s="1"/>
  <c r="AJ438" i="1"/>
  <c r="AB438" i="1"/>
  <c r="X438" i="1"/>
  <c r="R438" i="1"/>
  <c r="U438" i="1" s="1"/>
  <c r="N438" i="1"/>
  <c r="D438" i="1" s="1"/>
  <c r="M438" i="1"/>
  <c r="L438" i="1"/>
  <c r="K438" i="1"/>
  <c r="F438" i="1" s="1"/>
  <c r="T438" i="1" s="1"/>
  <c r="J438" i="1"/>
  <c r="BC437" i="1"/>
  <c r="AR437" i="1"/>
  <c r="AS437" i="1" s="1"/>
  <c r="AU437" i="1" s="1"/>
  <c r="AJ437" i="1"/>
  <c r="AB437" i="1"/>
  <c r="X437" i="1"/>
  <c r="R437" i="1"/>
  <c r="U437" i="1" s="1"/>
  <c r="N437" i="1"/>
  <c r="D437" i="1" s="1"/>
  <c r="M437" i="1"/>
  <c r="K437" i="1"/>
  <c r="F437" i="1" s="1"/>
  <c r="T437" i="1" s="1"/>
  <c r="J437" i="1"/>
  <c r="BC436" i="1"/>
  <c r="AR436" i="1"/>
  <c r="AS436" i="1" s="1"/>
  <c r="AU436" i="1" s="1"/>
  <c r="AJ436" i="1"/>
  <c r="AB436" i="1"/>
  <c r="X436" i="1"/>
  <c r="U436" i="1"/>
  <c r="T436" i="1"/>
  <c r="R436" i="1"/>
  <c r="N436" i="1"/>
  <c r="M436" i="1"/>
  <c r="K436" i="1"/>
  <c r="J436" i="1"/>
  <c r="F436" i="1"/>
  <c r="D436" i="1"/>
  <c r="AE436" i="1" s="1"/>
  <c r="AK431" i="1"/>
  <c r="AB431" i="1"/>
  <c r="X431" i="1"/>
  <c r="U431" i="1"/>
  <c r="T431" i="1"/>
  <c r="R431" i="1"/>
  <c r="O431" i="1"/>
  <c r="N431" i="1"/>
  <c r="M431" i="1"/>
  <c r="L431" i="1"/>
  <c r="K431" i="1"/>
  <c r="L430" i="1" s="1"/>
  <c r="J431" i="1"/>
  <c r="F431" i="1"/>
  <c r="D431" i="1"/>
  <c r="AK430" i="1"/>
  <c r="AB430" i="1"/>
  <c r="X430" i="1"/>
  <c r="R430" i="1"/>
  <c r="U430" i="1" s="1"/>
  <c r="O430" i="1"/>
  <c r="N430" i="1"/>
  <c r="M430" i="1"/>
  <c r="K430" i="1"/>
  <c r="L429" i="1" s="1"/>
  <c r="J430" i="1"/>
  <c r="F430" i="1"/>
  <c r="T430" i="1" s="1"/>
  <c r="D430" i="1"/>
  <c r="AK429" i="1"/>
  <c r="AB429" i="1"/>
  <c r="X429" i="1"/>
  <c r="T429" i="1"/>
  <c r="R429" i="1"/>
  <c r="U429" i="1" s="1"/>
  <c r="O429" i="1"/>
  <c r="M429" i="1"/>
  <c r="K429" i="1"/>
  <c r="L428" i="1" s="1"/>
  <c r="J429" i="1"/>
  <c r="F429" i="1"/>
  <c r="D429" i="1"/>
  <c r="P429" i="1" s="1"/>
  <c r="AB428" i="1"/>
  <c r="X428" i="1"/>
  <c r="T428" i="1"/>
  <c r="R428" i="1"/>
  <c r="U428" i="1" s="1"/>
  <c r="P428" i="1"/>
  <c r="O428" i="1"/>
  <c r="M428" i="1"/>
  <c r="K428" i="1"/>
  <c r="J428" i="1"/>
  <c r="F428" i="1"/>
  <c r="D428" i="1"/>
  <c r="AB427" i="1"/>
  <c r="X427" i="1"/>
  <c r="T427" i="1"/>
  <c r="R427" i="1"/>
  <c r="U427" i="1" s="1"/>
  <c r="O427" i="1"/>
  <c r="AK427" i="1" s="1"/>
  <c r="N427" i="1"/>
  <c r="D427" i="1" s="1"/>
  <c r="M427" i="1"/>
  <c r="L427" i="1"/>
  <c r="K427" i="1"/>
  <c r="J427" i="1"/>
  <c r="F427" i="1"/>
  <c r="AB426" i="1"/>
  <c r="X426" i="1"/>
  <c r="R426" i="1"/>
  <c r="U426" i="1" s="1"/>
  <c r="N426" i="1"/>
  <c r="D426" i="1" s="1"/>
  <c r="M426" i="1"/>
  <c r="L426" i="1"/>
  <c r="K426" i="1"/>
  <c r="J426" i="1"/>
  <c r="F426" i="1"/>
  <c r="T426" i="1" s="1"/>
  <c r="AB425" i="1"/>
  <c r="X425" i="1"/>
  <c r="R425" i="1"/>
  <c r="U425" i="1" s="1"/>
  <c r="N425" i="1"/>
  <c r="D425" i="1" s="1"/>
  <c r="M425" i="1"/>
  <c r="K425" i="1"/>
  <c r="F425" i="1" s="1"/>
  <c r="T425" i="1" s="1"/>
  <c r="J425" i="1"/>
  <c r="AB424" i="1"/>
  <c r="X424" i="1"/>
  <c r="R424" i="1"/>
  <c r="U424" i="1" s="1"/>
  <c r="N424" i="1"/>
  <c r="D424" i="1" s="1"/>
  <c r="M424" i="1"/>
  <c r="K424" i="1"/>
  <c r="F424" i="1" s="1"/>
  <c r="T424" i="1" s="1"/>
  <c r="J424" i="1"/>
  <c r="AB423" i="1"/>
  <c r="X423" i="1"/>
  <c r="U423" i="1"/>
  <c r="R423" i="1"/>
  <c r="N423" i="1"/>
  <c r="D423" i="1" s="1"/>
  <c r="M423" i="1"/>
  <c r="K423" i="1"/>
  <c r="L422" i="1" s="1"/>
  <c r="J423" i="1"/>
  <c r="F423" i="1"/>
  <c r="T423" i="1" s="1"/>
  <c r="AB422" i="1"/>
  <c r="X422" i="1"/>
  <c r="U422" i="1"/>
  <c r="T422" i="1"/>
  <c r="R422" i="1"/>
  <c r="N422" i="1"/>
  <c r="M422" i="1"/>
  <c r="K422" i="1"/>
  <c r="J422" i="1"/>
  <c r="F422" i="1"/>
  <c r="D422" i="1"/>
  <c r="AB421" i="1"/>
  <c r="X421" i="1"/>
  <c r="U421" i="1"/>
  <c r="R421" i="1"/>
  <c r="N421" i="1"/>
  <c r="M421" i="1"/>
  <c r="L421" i="1"/>
  <c r="K421" i="1"/>
  <c r="J421" i="1"/>
  <c r="F421" i="1"/>
  <c r="T421" i="1" s="1"/>
  <c r="D421" i="1"/>
  <c r="AB420" i="1"/>
  <c r="X420" i="1"/>
  <c r="R420" i="1"/>
  <c r="U420" i="1" s="1"/>
  <c r="N420" i="1"/>
  <c r="M420" i="1"/>
  <c r="K420" i="1"/>
  <c r="L419" i="1" s="1"/>
  <c r="J420" i="1"/>
  <c r="F420" i="1"/>
  <c r="T420" i="1" s="1"/>
  <c r="D420" i="1"/>
  <c r="AB419" i="1"/>
  <c r="X419" i="1"/>
  <c r="T419" i="1"/>
  <c r="R419" i="1"/>
  <c r="U419" i="1" s="1"/>
  <c r="N419" i="1"/>
  <c r="M419" i="1"/>
  <c r="K419" i="1"/>
  <c r="L418" i="1" s="1"/>
  <c r="J419" i="1"/>
  <c r="F419" i="1"/>
  <c r="D419" i="1"/>
  <c r="P419" i="1" s="1"/>
  <c r="AB418" i="1"/>
  <c r="X418" i="1"/>
  <c r="U418" i="1"/>
  <c r="R418" i="1"/>
  <c r="N418" i="1"/>
  <c r="M418" i="1"/>
  <c r="K418" i="1"/>
  <c r="L417" i="1" s="1"/>
  <c r="J418" i="1"/>
  <c r="F418" i="1"/>
  <c r="T418" i="1" s="1"/>
  <c r="D418" i="1"/>
  <c r="AB417" i="1"/>
  <c r="X417" i="1"/>
  <c r="T417" i="1"/>
  <c r="R417" i="1"/>
  <c r="U417" i="1" s="1"/>
  <c r="P417" i="1"/>
  <c r="N417" i="1"/>
  <c r="M417" i="1"/>
  <c r="K417" i="1"/>
  <c r="J417" i="1"/>
  <c r="F417" i="1"/>
  <c r="D417" i="1"/>
  <c r="AE416" i="1"/>
  <c r="AB416" i="1"/>
  <c r="X416" i="1"/>
  <c r="R416" i="1"/>
  <c r="U416" i="1" s="1"/>
  <c r="P416" i="1"/>
  <c r="N416" i="1"/>
  <c r="D416" i="1" s="1"/>
  <c r="M416" i="1"/>
  <c r="K416" i="1"/>
  <c r="L416" i="1" s="1"/>
  <c r="J416" i="1"/>
  <c r="AB415" i="1"/>
  <c r="X415" i="1"/>
  <c r="R415" i="1"/>
  <c r="U415" i="1" s="1"/>
  <c r="N415" i="1"/>
  <c r="D415" i="1" s="1"/>
  <c r="M415" i="1"/>
  <c r="L415" i="1"/>
  <c r="K415" i="1"/>
  <c r="J415" i="1"/>
  <c r="F415" i="1"/>
  <c r="T415" i="1" s="1"/>
  <c r="AB414" i="1"/>
  <c r="X414" i="1"/>
  <c r="R414" i="1"/>
  <c r="U414" i="1" s="1"/>
  <c r="N414" i="1"/>
  <c r="D414" i="1" s="1"/>
  <c r="M414" i="1"/>
  <c r="L414" i="1"/>
  <c r="K414" i="1"/>
  <c r="F414" i="1" s="1"/>
  <c r="T414" i="1" s="1"/>
  <c r="J414" i="1"/>
  <c r="AB413" i="1"/>
  <c r="X413" i="1"/>
  <c r="R413" i="1"/>
  <c r="U413" i="1" s="1"/>
  <c r="N413" i="1"/>
  <c r="D413" i="1" s="1"/>
  <c r="M413" i="1"/>
  <c r="L413" i="1"/>
  <c r="K413" i="1"/>
  <c r="F413" i="1" s="1"/>
  <c r="T413" i="1" s="1"/>
  <c r="J413" i="1"/>
  <c r="AB412" i="1"/>
  <c r="X412" i="1"/>
  <c r="U412" i="1"/>
  <c r="R412" i="1"/>
  <c r="N412" i="1"/>
  <c r="D412" i="1" s="1"/>
  <c r="M412" i="1"/>
  <c r="L412" i="1"/>
  <c r="K412" i="1"/>
  <c r="J412" i="1"/>
  <c r="F412" i="1"/>
  <c r="T412" i="1" s="1"/>
  <c r="AB411" i="1"/>
  <c r="X411" i="1"/>
  <c r="U411" i="1"/>
  <c r="T411" i="1"/>
  <c r="R411" i="1"/>
  <c r="N411" i="1"/>
  <c r="M411" i="1"/>
  <c r="K411" i="1"/>
  <c r="L411" i="1" s="1"/>
  <c r="J411" i="1"/>
  <c r="F411" i="1"/>
  <c r="D411" i="1"/>
  <c r="AB410" i="1"/>
  <c r="X410" i="1"/>
  <c r="U410" i="1"/>
  <c r="R410" i="1"/>
  <c r="N410" i="1"/>
  <c r="M410" i="1"/>
  <c r="K410" i="1"/>
  <c r="L409" i="1" s="1"/>
  <c r="J410" i="1"/>
  <c r="F410" i="1"/>
  <c r="T410" i="1" s="1"/>
  <c r="D410" i="1"/>
  <c r="AB409" i="1"/>
  <c r="X409" i="1"/>
  <c r="R409" i="1"/>
  <c r="U409" i="1" s="1"/>
  <c r="N409" i="1"/>
  <c r="M409" i="1"/>
  <c r="K409" i="1"/>
  <c r="L408" i="1" s="1"/>
  <c r="J409" i="1"/>
  <c r="D409" i="1"/>
  <c r="AB408" i="1"/>
  <c r="X408" i="1"/>
  <c r="T408" i="1"/>
  <c r="R408" i="1"/>
  <c r="U408" i="1" s="1"/>
  <c r="N408" i="1"/>
  <c r="M408" i="1"/>
  <c r="K408" i="1"/>
  <c r="J408" i="1"/>
  <c r="F408" i="1"/>
  <c r="D408" i="1"/>
  <c r="P408" i="1" s="1"/>
  <c r="AB407" i="1"/>
  <c r="X407" i="1"/>
  <c r="U407" i="1"/>
  <c r="R407" i="1"/>
  <c r="N407" i="1"/>
  <c r="M407" i="1"/>
  <c r="K407" i="1"/>
  <c r="L407" i="1" s="1"/>
  <c r="J407" i="1"/>
  <c r="F407" i="1"/>
  <c r="T407" i="1" s="1"/>
  <c r="D407" i="1"/>
  <c r="AB406" i="1"/>
  <c r="X406" i="1"/>
  <c r="T406" i="1"/>
  <c r="R406" i="1"/>
  <c r="U406" i="1" s="1"/>
  <c r="N406" i="1"/>
  <c r="D406" i="1" s="1"/>
  <c r="M406" i="1"/>
  <c r="L406" i="1"/>
  <c r="K406" i="1"/>
  <c r="J406" i="1"/>
  <c r="F406" i="1"/>
  <c r="AB405" i="1"/>
  <c r="X405" i="1"/>
  <c r="R405" i="1"/>
  <c r="U405" i="1" s="1"/>
  <c r="N405" i="1"/>
  <c r="D405" i="1" s="1"/>
  <c r="M405" i="1"/>
  <c r="L405" i="1"/>
  <c r="K405" i="1"/>
  <c r="F405" i="1" s="1"/>
  <c r="T405" i="1" s="1"/>
  <c r="J405" i="1"/>
  <c r="BC404" i="1"/>
  <c r="AR404" i="1"/>
  <c r="AS404" i="1" s="1"/>
  <c r="AU404" i="1" s="1"/>
  <c r="AJ404" i="1"/>
  <c r="AF404" i="1"/>
  <c r="AB404" i="1"/>
  <c r="X404" i="1"/>
  <c r="R404" i="1"/>
  <c r="U404" i="1" s="1"/>
  <c r="N404" i="1"/>
  <c r="D404" i="1" s="1"/>
  <c r="AE404" i="1" s="1"/>
  <c r="M404" i="1"/>
  <c r="L404" i="1"/>
  <c r="K404" i="1"/>
  <c r="F404" i="1" s="1"/>
  <c r="T404" i="1" s="1"/>
  <c r="J404" i="1"/>
  <c r="BC403" i="1"/>
  <c r="AR403" i="1"/>
  <c r="AS403" i="1" s="1"/>
  <c r="AU403" i="1" s="1"/>
  <c r="AJ403" i="1"/>
  <c r="AB403" i="1"/>
  <c r="X403" i="1"/>
  <c r="U403" i="1"/>
  <c r="R403" i="1"/>
  <c r="N403" i="1"/>
  <c r="D403" i="1" s="1"/>
  <c r="M403" i="1"/>
  <c r="K403" i="1"/>
  <c r="L402" i="1" s="1"/>
  <c r="J403" i="1"/>
  <c r="BC402" i="1"/>
  <c r="AR402" i="1"/>
  <c r="AS402" i="1" s="1"/>
  <c r="AU402" i="1" s="1"/>
  <c r="AJ402" i="1"/>
  <c r="AB402" i="1"/>
  <c r="X402" i="1"/>
  <c r="T402" i="1"/>
  <c r="R402" i="1"/>
  <c r="U402" i="1" s="1"/>
  <c r="N402" i="1"/>
  <c r="D402" i="1" s="1"/>
  <c r="M402" i="1"/>
  <c r="K402" i="1"/>
  <c r="J402" i="1"/>
  <c r="F402" i="1"/>
  <c r="BC401" i="1"/>
  <c r="AR401" i="1"/>
  <c r="AS401" i="1" s="1"/>
  <c r="AU401" i="1" s="1"/>
  <c r="AJ401" i="1"/>
  <c r="AB401" i="1"/>
  <c r="X401" i="1"/>
  <c r="U401" i="1"/>
  <c r="R401" i="1"/>
  <c r="N401" i="1"/>
  <c r="M401" i="1"/>
  <c r="L401" i="1"/>
  <c r="K401" i="1"/>
  <c r="L400" i="1" s="1"/>
  <c r="J401" i="1"/>
  <c r="D401" i="1"/>
  <c r="BC400" i="1"/>
  <c r="AU400" i="1"/>
  <c r="BA400" i="1" s="1"/>
  <c r="AS400" i="1"/>
  <c r="AR400" i="1"/>
  <c r="AJ400" i="1"/>
  <c r="AB400" i="1"/>
  <c r="X400" i="1"/>
  <c r="T400" i="1"/>
  <c r="R400" i="1"/>
  <c r="U400" i="1" s="1"/>
  <c r="AF400" i="1" s="1"/>
  <c r="N400" i="1"/>
  <c r="D400" i="1" s="1"/>
  <c r="M400" i="1"/>
  <c r="K400" i="1"/>
  <c r="J400" i="1"/>
  <c r="F400" i="1"/>
  <c r="BC399" i="1"/>
  <c r="AR399" i="1"/>
  <c r="AS399" i="1" s="1"/>
  <c r="AU399" i="1" s="1"/>
  <c r="AJ399" i="1"/>
  <c r="AB399" i="1"/>
  <c r="X399" i="1"/>
  <c r="T399" i="1"/>
  <c r="R399" i="1"/>
  <c r="U399" i="1" s="1"/>
  <c r="AF399" i="1" s="1"/>
  <c r="AE399" i="1"/>
  <c r="N399" i="1"/>
  <c r="M399" i="1"/>
  <c r="K399" i="1"/>
  <c r="F399" i="1" s="1"/>
  <c r="J399" i="1"/>
  <c r="D399" i="1"/>
  <c r="P399" i="1" s="1"/>
  <c r="BC398" i="1"/>
  <c r="AR398" i="1"/>
  <c r="AS398" i="1" s="1"/>
  <c r="AU398" i="1" s="1"/>
  <c r="AJ398" i="1"/>
  <c r="AF398" i="1"/>
  <c r="AB398" i="1"/>
  <c r="X398" i="1"/>
  <c r="U398" i="1"/>
  <c r="R398" i="1"/>
  <c r="N398" i="1"/>
  <c r="D398" i="1" s="1"/>
  <c r="AE398" i="1" s="1"/>
  <c r="M398" i="1"/>
  <c r="K398" i="1"/>
  <c r="L398" i="1" s="1"/>
  <c r="J398" i="1"/>
  <c r="BC397" i="1"/>
  <c r="AS397" i="1"/>
  <c r="AU397" i="1" s="1"/>
  <c r="AR397" i="1"/>
  <c r="AJ397" i="1"/>
  <c r="AB397" i="1"/>
  <c r="X397" i="1"/>
  <c r="U397" i="1"/>
  <c r="R397" i="1"/>
  <c r="N397" i="1"/>
  <c r="D397" i="1" s="1"/>
  <c r="M397" i="1"/>
  <c r="L397" i="1"/>
  <c r="K397" i="1"/>
  <c r="L396" i="1" s="1"/>
  <c r="J397" i="1"/>
  <c r="BC396" i="1"/>
  <c r="BA396" i="1"/>
  <c r="AY396" i="1"/>
  <c r="AS396" i="1"/>
  <c r="AU396" i="1" s="1"/>
  <c r="AR396" i="1"/>
  <c r="AJ396" i="1"/>
  <c r="AB396" i="1"/>
  <c r="X396" i="1"/>
  <c r="T396" i="1"/>
  <c r="R396" i="1"/>
  <c r="U396" i="1" s="1"/>
  <c r="N396" i="1"/>
  <c r="D396" i="1" s="1"/>
  <c r="M396" i="1"/>
  <c r="K396" i="1"/>
  <c r="J396" i="1"/>
  <c r="F396" i="1"/>
  <c r="BC395" i="1"/>
  <c r="AR395" i="1"/>
  <c r="AS395" i="1" s="1"/>
  <c r="AU395" i="1" s="1"/>
  <c r="AJ395" i="1"/>
  <c r="AB395" i="1"/>
  <c r="X395" i="1"/>
  <c r="U395" i="1"/>
  <c r="R395" i="1"/>
  <c r="N395" i="1"/>
  <c r="M395" i="1"/>
  <c r="K395" i="1"/>
  <c r="L394" i="1" s="1"/>
  <c r="J395" i="1"/>
  <c r="D395" i="1"/>
  <c r="AE395" i="1" s="1"/>
  <c r="BC394" i="1"/>
  <c r="AR394" i="1"/>
  <c r="AS394" i="1" s="1"/>
  <c r="AU394" i="1" s="1"/>
  <c r="AJ394" i="1"/>
  <c r="AB394" i="1"/>
  <c r="X394" i="1"/>
  <c r="R394" i="1"/>
  <c r="U394" i="1" s="1"/>
  <c r="N394" i="1"/>
  <c r="D394" i="1" s="1"/>
  <c r="M394" i="1"/>
  <c r="K394" i="1"/>
  <c r="J394" i="1"/>
  <c r="F394" i="1"/>
  <c r="T394" i="1" s="1"/>
  <c r="BC393" i="1"/>
  <c r="AS393" i="1"/>
  <c r="AU393" i="1" s="1"/>
  <c r="AR393" i="1"/>
  <c r="AJ393" i="1"/>
  <c r="AB393" i="1"/>
  <c r="X393" i="1"/>
  <c r="R393" i="1"/>
  <c r="U393" i="1" s="1"/>
  <c r="N393" i="1"/>
  <c r="M393" i="1"/>
  <c r="K393" i="1"/>
  <c r="F393" i="1" s="1"/>
  <c r="T393" i="1" s="1"/>
  <c r="J393" i="1"/>
  <c r="D393" i="1"/>
  <c r="AE393" i="1" s="1"/>
  <c r="BC392" i="1"/>
  <c r="AR392" i="1"/>
  <c r="AS392" i="1" s="1"/>
  <c r="AU392" i="1" s="1"/>
  <c r="AJ392" i="1"/>
  <c r="AB392" i="1"/>
  <c r="X392" i="1"/>
  <c r="R392" i="1"/>
  <c r="U392" i="1" s="1"/>
  <c r="AF392" i="1" s="1"/>
  <c r="N392" i="1"/>
  <c r="D392" i="1" s="1"/>
  <c r="AE392" i="1" s="1"/>
  <c r="M392" i="1"/>
  <c r="L392" i="1"/>
  <c r="K392" i="1"/>
  <c r="L391" i="1" s="1"/>
  <c r="J392" i="1"/>
  <c r="F392" i="1"/>
  <c r="T392" i="1" s="1"/>
  <c r="BC391" i="1"/>
  <c r="BA391" i="1"/>
  <c r="AY391" i="1"/>
  <c r="AU391" i="1"/>
  <c r="AS391" i="1"/>
  <c r="AR391" i="1"/>
  <c r="AJ391" i="1"/>
  <c r="AB391" i="1"/>
  <c r="X391" i="1"/>
  <c r="U391" i="1"/>
  <c r="R391" i="1"/>
  <c r="N391" i="1"/>
  <c r="D391" i="1" s="1"/>
  <c r="M391" i="1"/>
  <c r="K391" i="1"/>
  <c r="J391" i="1"/>
  <c r="F391" i="1"/>
  <c r="T391" i="1" s="1"/>
  <c r="BC390" i="1"/>
  <c r="AR390" i="1"/>
  <c r="AS390" i="1" s="1"/>
  <c r="AU390" i="1" s="1"/>
  <c r="AJ390" i="1"/>
  <c r="AB390" i="1"/>
  <c r="X390" i="1"/>
  <c r="R390" i="1"/>
  <c r="U390" i="1" s="1"/>
  <c r="AE390" i="1"/>
  <c r="N390" i="1"/>
  <c r="M390" i="1"/>
  <c r="K390" i="1"/>
  <c r="L390" i="1" s="1"/>
  <c r="J390" i="1"/>
  <c r="D390" i="1"/>
  <c r="P390" i="1" s="1"/>
  <c r="BC389" i="1"/>
  <c r="AT389" i="1"/>
  <c r="AR389" i="1"/>
  <c r="AS389" i="1" s="1"/>
  <c r="AU389" i="1" s="1"/>
  <c r="AJ389" i="1"/>
  <c r="AB389" i="1"/>
  <c r="X389" i="1"/>
  <c r="U389" i="1"/>
  <c r="R389" i="1"/>
  <c r="AE389" i="1"/>
  <c r="P389" i="1"/>
  <c r="N389" i="1"/>
  <c r="M389" i="1"/>
  <c r="L389" i="1"/>
  <c r="K389" i="1"/>
  <c r="L388" i="1" s="1"/>
  <c r="J389" i="1"/>
  <c r="F389" i="1"/>
  <c r="T389" i="1" s="1"/>
  <c r="D389" i="1"/>
  <c r="BC388" i="1"/>
  <c r="AR388" i="1"/>
  <c r="AS388" i="1" s="1"/>
  <c r="AU388" i="1" s="1"/>
  <c r="AJ388" i="1"/>
  <c r="AB388" i="1"/>
  <c r="X388" i="1"/>
  <c r="T388" i="1"/>
  <c r="R388" i="1"/>
  <c r="U388" i="1" s="1"/>
  <c r="AF388" i="1" s="1"/>
  <c r="AE388" i="1"/>
  <c r="P388" i="1"/>
  <c r="N388" i="1"/>
  <c r="M388" i="1"/>
  <c r="K388" i="1"/>
  <c r="J388" i="1"/>
  <c r="F388" i="1"/>
  <c r="D388" i="1"/>
  <c r="BC387" i="1"/>
  <c r="AR387" i="1"/>
  <c r="AS387" i="1" s="1"/>
  <c r="AU387" i="1" s="1"/>
  <c r="AJ387" i="1"/>
  <c r="AB387" i="1"/>
  <c r="X387" i="1"/>
  <c r="T387" i="1"/>
  <c r="R387" i="1"/>
  <c r="U387" i="1" s="1"/>
  <c r="N387" i="1"/>
  <c r="M387" i="1"/>
  <c r="L387" i="1"/>
  <c r="K387" i="1"/>
  <c r="F387" i="1" s="1"/>
  <c r="J387" i="1"/>
  <c r="D387" i="1"/>
  <c r="AE387" i="1" s="1"/>
  <c r="BC386" i="1"/>
  <c r="AR386" i="1"/>
  <c r="AS386" i="1" s="1"/>
  <c r="AU386" i="1" s="1"/>
  <c r="AJ386" i="1"/>
  <c r="AB386" i="1"/>
  <c r="X386" i="1"/>
  <c r="U386" i="1"/>
  <c r="R386" i="1"/>
  <c r="AE386" i="1"/>
  <c r="P386" i="1"/>
  <c r="N386" i="1"/>
  <c r="M386" i="1"/>
  <c r="K386" i="1"/>
  <c r="L385" i="1" s="1"/>
  <c r="J386" i="1"/>
  <c r="F386" i="1"/>
  <c r="T386" i="1" s="1"/>
  <c r="D386" i="1"/>
  <c r="BC385" i="1"/>
  <c r="AS385" i="1"/>
  <c r="AU385" i="1" s="1"/>
  <c r="AR385" i="1"/>
  <c r="AJ385" i="1"/>
  <c r="AB385" i="1"/>
  <c r="X385" i="1"/>
  <c r="T385" i="1"/>
  <c r="R385" i="1"/>
  <c r="U385" i="1" s="1"/>
  <c r="N385" i="1"/>
  <c r="D385" i="1" s="1"/>
  <c r="M385" i="1"/>
  <c r="K385" i="1"/>
  <c r="J385" i="1"/>
  <c r="F385" i="1"/>
  <c r="AK373" i="1"/>
  <c r="AB373" i="1"/>
  <c r="X373" i="1"/>
  <c r="U373" i="1"/>
  <c r="R373" i="1"/>
  <c r="O373" i="1"/>
  <c r="N373" i="1"/>
  <c r="M373" i="1"/>
  <c r="L373" i="1"/>
  <c r="K373" i="1"/>
  <c r="J373" i="1"/>
  <c r="D373" i="1"/>
  <c r="AK372" i="1"/>
  <c r="AB372" i="1"/>
  <c r="X372" i="1"/>
  <c r="U372" i="1"/>
  <c r="R372" i="1"/>
  <c r="O372" i="1"/>
  <c r="N372" i="1"/>
  <c r="M372" i="1"/>
  <c r="K372" i="1"/>
  <c r="L371" i="1" s="1"/>
  <c r="J372" i="1"/>
  <c r="D372" i="1"/>
  <c r="AK371" i="1"/>
  <c r="AB371" i="1"/>
  <c r="X371" i="1"/>
  <c r="T371" i="1"/>
  <c r="R371" i="1"/>
  <c r="U371" i="1" s="1"/>
  <c r="O371" i="1"/>
  <c r="M371" i="1"/>
  <c r="K371" i="1"/>
  <c r="L370" i="1" s="1"/>
  <c r="J371" i="1"/>
  <c r="F371" i="1"/>
  <c r="D371" i="1"/>
  <c r="P371" i="1" s="1"/>
  <c r="AB370" i="1"/>
  <c r="X370" i="1"/>
  <c r="T370" i="1"/>
  <c r="R370" i="1"/>
  <c r="U370" i="1" s="1"/>
  <c r="P370" i="1"/>
  <c r="O370" i="1"/>
  <c r="M370" i="1"/>
  <c r="K370" i="1"/>
  <c r="L369" i="1" s="1"/>
  <c r="J370" i="1"/>
  <c r="F370" i="1"/>
  <c r="D370" i="1"/>
  <c r="AB369" i="1"/>
  <c r="X369" i="1"/>
  <c r="T369" i="1"/>
  <c r="R369" i="1"/>
  <c r="U369" i="1" s="1"/>
  <c r="P369" i="1"/>
  <c r="O369" i="1"/>
  <c r="N369" i="1"/>
  <c r="D369" i="1" s="1"/>
  <c r="M369" i="1"/>
  <c r="K369" i="1"/>
  <c r="J369" i="1"/>
  <c r="F369" i="1"/>
  <c r="AB368" i="1"/>
  <c r="X368" i="1"/>
  <c r="R368" i="1"/>
  <c r="U368" i="1" s="1"/>
  <c r="P368" i="1"/>
  <c r="N368" i="1"/>
  <c r="D368" i="1" s="1"/>
  <c r="M368" i="1"/>
  <c r="L368" i="1"/>
  <c r="K368" i="1"/>
  <c r="J368" i="1"/>
  <c r="F368" i="1"/>
  <c r="T368" i="1" s="1"/>
  <c r="AB367" i="1"/>
  <c r="X367" i="1"/>
  <c r="R367" i="1"/>
  <c r="U367" i="1" s="1"/>
  <c r="N367" i="1"/>
  <c r="D367" i="1" s="1"/>
  <c r="M367" i="1"/>
  <c r="K367" i="1"/>
  <c r="F367" i="1" s="1"/>
  <c r="T367" i="1" s="1"/>
  <c r="J367" i="1"/>
  <c r="AB366" i="1"/>
  <c r="X366" i="1"/>
  <c r="R366" i="1"/>
  <c r="U366" i="1" s="1"/>
  <c r="N366" i="1"/>
  <c r="D366" i="1" s="1"/>
  <c r="M366" i="1"/>
  <c r="K366" i="1"/>
  <c r="F366" i="1" s="1"/>
  <c r="T366" i="1" s="1"/>
  <c r="J366" i="1"/>
  <c r="AB365" i="1"/>
  <c r="X365" i="1"/>
  <c r="U365" i="1"/>
  <c r="R365" i="1"/>
  <c r="N365" i="1"/>
  <c r="D365" i="1" s="1"/>
  <c r="M365" i="1"/>
  <c r="K365" i="1"/>
  <c r="J365" i="1"/>
  <c r="F365" i="1"/>
  <c r="T365" i="1" s="1"/>
  <c r="AB364" i="1"/>
  <c r="X364" i="1"/>
  <c r="U364" i="1"/>
  <c r="R364" i="1"/>
  <c r="N364" i="1"/>
  <c r="M364" i="1"/>
  <c r="K364" i="1"/>
  <c r="L363" i="1" s="1"/>
  <c r="J364" i="1"/>
  <c r="F364" i="1"/>
  <c r="T364" i="1" s="1"/>
  <c r="D364" i="1"/>
  <c r="AB363" i="1"/>
  <c r="X363" i="1"/>
  <c r="U363" i="1"/>
  <c r="R363" i="1"/>
  <c r="N363" i="1"/>
  <c r="M363" i="1"/>
  <c r="K363" i="1"/>
  <c r="J363" i="1"/>
  <c r="D363" i="1"/>
  <c r="AB362" i="1"/>
  <c r="X362" i="1"/>
  <c r="R362" i="1"/>
  <c r="U362" i="1" s="1"/>
  <c r="N362" i="1"/>
  <c r="M362" i="1"/>
  <c r="K362" i="1"/>
  <c r="L361" i="1" s="1"/>
  <c r="J362" i="1"/>
  <c r="D362" i="1"/>
  <c r="AB361" i="1"/>
  <c r="X361" i="1"/>
  <c r="U361" i="1"/>
  <c r="R361" i="1"/>
  <c r="N361" i="1"/>
  <c r="M361" i="1"/>
  <c r="K361" i="1"/>
  <c r="L360" i="1" s="1"/>
  <c r="J361" i="1"/>
  <c r="F361" i="1"/>
  <c r="T361" i="1" s="1"/>
  <c r="D361" i="1"/>
  <c r="AB360" i="1"/>
  <c r="X360" i="1"/>
  <c r="R360" i="1"/>
  <c r="U360" i="1" s="1"/>
  <c r="P360" i="1"/>
  <c r="N360" i="1"/>
  <c r="M360" i="1"/>
  <c r="K360" i="1"/>
  <c r="L359" i="1" s="1"/>
  <c r="J360" i="1"/>
  <c r="F360" i="1"/>
  <c r="T360" i="1" s="1"/>
  <c r="D360" i="1"/>
  <c r="AB359" i="1"/>
  <c r="X359" i="1"/>
  <c r="T359" i="1"/>
  <c r="R359" i="1"/>
  <c r="U359" i="1" s="1"/>
  <c r="N359" i="1"/>
  <c r="M359" i="1"/>
  <c r="K359" i="1"/>
  <c r="J359" i="1"/>
  <c r="F359" i="1"/>
  <c r="D359" i="1"/>
  <c r="AE358" i="1"/>
  <c r="AB358" i="1"/>
  <c r="X358" i="1"/>
  <c r="T358" i="1"/>
  <c r="R358" i="1"/>
  <c r="U358" i="1" s="1"/>
  <c r="N358" i="1"/>
  <c r="D358" i="1" s="1"/>
  <c r="P358" i="1" s="1"/>
  <c r="M358" i="1"/>
  <c r="K358" i="1"/>
  <c r="L358" i="1" s="1"/>
  <c r="J358" i="1"/>
  <c r="F358" i="1"/>
  <c r="AB357" i="1"/>
  <c r="X357" i="1"/>
  <c r="R357" i="1"/>
  <c r="U357" i="1" s="1"/>
  <c r="P357" i="1"/>
  <c r="N357" i="1"/>
  <c r="D357" i="1" s="1"/>
  <c r="M357" i="1"/>
  <c r="L357" i="1"/>
  <c r="K357" i="1"/>
  <c r="F357" i="1" s="1"/>
  <c r="T357" i="1" s="1"/>
  <c r="J357" i="1"/>
  <c r="AB356" i="1"/>
  <c r="X356" i="1"/>
  <c r="R356" i="1"/>
  <c r="U356" i="1" s="1"/>
  <c r="N356" i="1"/>
  <c r="D356" i="1" s="1"/>
  <c r="M356" i="1"/>
  <c r="K356" i="1"/>
  <c r="F356" i="1" s="1"/>
  <c r="T356" i="1" s="1"/>
  <c r="J356" i="1"/>
  <c r="AB355" i="1"/>
  <c r="X355" i="1"/>
  <c r="R355" i="1"/>
  <c r="U355" i="1" s="1"/>
  <c r="N355" i="1"/>
  <c r="D355" i="1" s="1"/>
  <c r="M355" i="1"/>
  <c r="K355" i="1"/>
  <c r="F355" i="1" s="1"/>
  <c r="T355" i="1" s="1"/>
  <c r="J355" i="1"/>
  <c r="AB354" i="1"/>
  <c r="X354" i="1"/>
  <c r="U354" i="1"/>
  <c r="R354" i="1"/>
  <c r="N354" i="1"/>
  <c r="D354" i="1" s="1"/>
  <c r="M354" i="1"/>
  <c r="K354" i="1"/>
  <c r="L353" i="1" s="1"/>
  <c r="J354" i="1"/>
  <c r="F354" i="1"/>
  <c r="T354" i="1" s="1"/>
  <c r="AB353" i="1"/>
  <c r="X353" i="1"/>
  <c r="U353" i="1"/>
  <c r="R353" i="1"/>
  <c r="N353" i="1"/>
  <c r="M353" i="1"/>
  <c r="K353" i="1"/>
  <c r="J353" i="1"/>
  <c r="F353" i="1"/>
  <c r="T353" i="1" s="1"/>
  <c r="D353" i="1"/>
  <c r="AB352" i="1"/>
  <c r="X352" i="1"/>
  <c r="U352" i="1"/>
  <c r="R352" i="1"/>
  <c r="N352" i="1"/>
  <c r="M352" i="1"/>
  <c r="K352" i="1"/>
  <c r="L351" i="1" s="1"/>
  <c r="J352" i="1"/>
  <c r="D352" i="1"/>
  <c r="AB351" i="1"/>
  <c r="X351" i="1"/>
  <c r="U351" i="1"/>
  <c r="T351" i="1"/>
  <c r="R351" i="1"/>
  <c r="N351" i="1"/>
  <c r="M351" i="1"/>
  <c r="K351" i="1"/>
  <c r="J351" i="1"/>
  <c r="F351" i="1"/>
  <c r="D351" i="1"/>
  <c r="AB350" i="1"/>
  <c r="X350" i="1"/>
  <c r="R350" i="1"/>
  <c r="U350" i="1" s="1"/>
  <c r="N350" i="1"/>
  <c r="M350" i="1"/>
  <c r="K350" i="1"/>
  <c r="L350" i="1" s="1"/>
  <c r="J350" i="1"/>
  <c r="F350" i="1"/>
  <c r="T350" i="1" s="1"/>
  <c r="D350" i="1"/>
  <c r="P350" i="1" s="1"/>
  <c r="AB349" i="1"/>
  <c r="X349" i="1"/>
  <c r="R349" i="1"/>
  <c r="U349" i="1" s="1"/>
  <c r="N349" i="1"/>
  <c r="D349" i="1" s="1"/>
  <c r="M349" i="1"/>
  <c r="K349" i="1"/>
  <c r="F349" i="1" s="1"/>
  <c r="T349" i="1" s="1"/>
  <c r="J349" i="1"/>
  <c r="AB348" i="1"/>
  <c r="X348" i="1"/>
  <c r="R348" i="1"/>
  <c r="U348" i="1" s="1"/>
  <c r="N348" i="1"/>
  <c r="D348" i="1" s="1"/>
  <c r="P348" i="1" s="1"/>
  <c r="M348" i="1"/>
  <c r="K348" i="1"/>
  <c r="F348" i="1" s="1"/>
  <c r="T348" i="1" s="1"/>
  <c r="J348" i="1"/>
  <c r="AB347" i="1"/>
  <c r="X347" i="1"/>
  <c r="U347" i="1"/>
  <c r="R347" i="1"/>
  <c r="P347" i="1"/>
  <c r="N347" i="1"/>
  <c r="D347" i="1" s="1"/>
  <c r="M347" i="1"/>
  <c r="K347" i="1"/>
  <c r="J347" i="1"/>
  <c r="F347" i="1"/>
  <c r="T347" i="1" s="1"/>
  <c r="BC346" i="1"/>
  <c r="AR346" i="1"/>
  <c r="AS346" i="1" s="1"/>
  <c r="AU346" i="1" s="1"/>
  <c r="AJ346" i="1"/>
  <c r="AB346" i="1"/>
  <c r="X346" i="1"/>
  <c r="U346" i="1"/>
  <c r="T346" i="1"/>
  <c r="R346" i="1"/>
  <c r="N346" i="1"/>
  <c r="D346" i="1" s="1"/>
  <c r="M346" i="1"/>
  <c r="L346" i="1"/>
  <c r="K346" i="1"/>
  <c r="J346" i="1"/>
  <c r="F346" i="1"/>
  <c r="BC345" i="1"/>
  <c r="BA345" i="1"/>
  <c r="AY345" i="1"/>
  <c r="AS345" i="1"/>
  <c r="AU345" i="1" s="1"/>
  <c r="AR345" i="1"/>
  <c r="AJ345" i="1"/>
  <c r="AB345" i="1"/>
  <c r="X345" i="1"/>
  <c r="R345" i="1"/>
  <c r="U345" i="1" s="1"/>
  <c r="AE345" i="1"/>
  <c r="N345" i="1"/>
  <c r="M345" i="1"/>
  <c r="K345" i="1"/>
  <c r="L344" i="1" s="1"/>
  <c r="J345" i="1"/>
  <c r="D345" i="1"/>
  <c r="P345" i="1" s="1"/>
  <c r="BC344" i="1"/>
  <c r="BA344" i="1"/>
  <c r="AY344" i="1"/>
  <c r="AU344" i="1"/>
  <c r="AR344" i="1"/>
  <c r="AS344" i="1" s="1"/>
  <c r="AJ344" i="1"/>
  <c r="AB344" i="1"/>
  <c r="X344" i="1"/>
  <c r="R344" i="1"/>
  <c r="U344" i="1" s="1"/>
  <c r="AF344" i="1" s="1"/>
  <c r="AE344" i="1"/>
  <c r="P344" i="1"/>
  <c r="N344" i="1"/>
  <c r="M344" i="1"/>
  <c r="K344" i="1"/>
  <c r="L343" i="1" s="1"/>
  <c r="J344" i="1"/>
  <c r="F344" i="1"/>
  <c r="T344" i="1" s="1"/>
  <c r="D344" i="1"/>
  <c r="BC343" i="1"/>
  <c r="AR343" i="1"/>
  <c r="AS343" i="1" s="1"/>
  <c r="AU343" i="1" s="1"/>
  <c r="AJ343" i="1"/>
  <c r="AB343" i="1"/>
  <c r="X343" i="1"/>
  <c r="T343" i="1"/>
  <c r="R343" i="1"/>
  <c r="U343" i="1" s="1"/>
  <c r="N343" i="1"/>
  <c r="D343" i="1" s="1"/>
  <c r="M343" i="1"/>
  <c r="K343" i="1"/>
  <c r="F343" i="1" s="1"/>
  <c r="J343" i="1"/>
  <c r="BC342" i="1"/>
  <c r="AS342" i="1"/>
  <c r="AU342" i="1" s="1"/>
  <c r="AR342" i="1"/>
  <c r="AJ342" i="1"/>
  <c r="AB342" i="1"/>
  <c r="X342" i="1"/>
  <c r="R342" i="1"/>
  <c r="U342" i="1" s="1"/>
  <c r="N342" i="1"/>
  <c r="D342" i="1" s="1"/>
  <c r="M342" i="1"/>
  <c r="K342" i="1"/>
  <c r="L342" i="1" s="1"/>
  <c r="J342" i="1"/>
  <c r="BC341" i="1"/>
  <c r="AR341" i="1"/>
  <c r="AS341" i="1" s="1"/>
  <c r="AU341" i="1" s="1"/>
  <c r="AJ341" i="1"/>
  <c r="AB341" i="1"/>
  <c r="X341" i="1"/>
  <c r="U341" i="1"/>
  <c r="AF341" i="1" s="1"/>
  <c r="R341" i="1"/>
  <c r="N341" i="1"/>
  <c r="D341" i="1" s="1"/>
  <c r="AE341" i="1" s="1"/>
  <c r="M341" i="1"/>
  <c r="K341" i="1"/>
  <c r="J341" i="1"/>
  <c r="F341" i="1"/>
  <c r="T341" i="1" s="1"/>
  <c r="BC340" i="1"/>
  <c r="AR340" i="1"/>
  <c r="AS340" i="1" s="1"/>
  <c r="AU340" i="1" s="1"/>
  <c r="AJ340" i="1"/>
  <c r="AB340" i="1"/>
  <c r="X340" i="1"/>
  <c r="U340" i="1"/>
  <c r="R340" i="1"/>
  <c r="N340" i="1"/>
  <c r="D340" i="1" s="1"/>
  <c r="M340" i="1"/>
  <c r="K340" i="1"/>
  <c r="L339" i="1" s="1"/>
  <c r="J340" i="1"/>
  <c r="BC339" i="1"/>
  <c r="BA339" i="1"/>
  <c r="AY339" i="1"/>
  <c r="AS339" i="1"/>
  <c r="AU339" i="1" s="1"/>
  <c r="AR339" i="1"/>
  <c r="AJ339" i="1"/>
  <c r="AB339" i="1"/>
  <c r="X339" i="1"/>
  <c r="R339" i="1"/>
  <c r="U339" i="1" s="1"/>
  <c r="AF339" i="1" s="1"/>
  <c r="N339" i="1"/>
  <c r="D339" i="1" s="1"/>
  <c r="M339" i="1"/>
  <c r="K339" i="1"/>
  <c r="F339" i="1" s="1"/>
  <c r="T339" i="1" s="1"/>
  <c r="J339" i="1"/>
  <c r="BC338" i="1"/>
  <c r="AR338" i="1"/>
  <c r="AS338" i="1" s="1"/>
  <c r="AU338" i="1" s="1"/>
  <c r="AJ338" i="1"/>
  <c r="AB338" i="1"/>
  <c r="X338" i="1"/>
  <c r="U338" i="1"/>
  <c r="AF338" i="1" s="1"/>
  <c r="R338" i="1"/>
  <c r="N338" i="1"/>
  <c r="M338" i="1"/>
  <c r="L338" i="1"/>
  <c r="K338" i="1"/>
  <c r="J338" i="1"/>
  <c r="F338" i="1"/>
  <c r="T338" i="1" s="1"/>
  <c r="D338" i="1"/>
  <c r="AE338" i="1" s="1"/>
  <c r="BC337" i="1"/>
  <c r="AR337" i="1"/>
  <c r="AS337" i="1" s="1"/>
  <c r="AU337" i="1" s="1"/>
  <c r="AJ337" i="1"/>
  <c r="AB337" i="1"/>
  <c r="X337" i="1"/>
  <c r="R337" i="1"/>
  <c r="U337" i="1" s="1"/>
  <c r="N337" i="1"/>
  <c r="D337" i="1" s="1"/>
  <c r="M337" i="1"/>
  <c r="K337" i="1"/>
  <c r="F337" i="1" s="1"/>
  <c r="T337" i="1" s="1"/>
  <c r="J337" i="1"/>
  <c r="BC336" i="1"/>
  <c r="AR336" i="1"/>
  <c r="AS336" i="1" s="1"/>
  <c r="AU336" i="1" s="1"/>
  <c r="AJ336" i="1"/>
  <c r="AB336" i="1"/>
  <c r="X336" i="1"/>
  <c r="T336" i="1"/>
  <c r="R336" i="1"/>
  <c r="U336" i="1" s="1"/>
  <c r="AE336" i="1"/>
  <c r="P336" i="1"/>
  <c r="N336" i="1"/>
  <c r="M336" i="1"/>
  <c r="K336" i="1"/>
  <c r="J336" i="1"/>
  <c r="F336" i="1"/>
  <c r="D336" i="1"/>
  <c r="BC335" i="1"/>
  <c r="AR335" i="1"/>
  <c r="AS335" i="1" s="1"/>
  <c r="AU335" i="1" s="1"/>
  <c r="AT335" i="1"/>
  <c r="AJ335" i="1"/>
  <c r="AB335" i="1"/>
  <c r="X335" i="1"/>
  <c r="U335" i="1"/>
  <c r="R335" i="1"/>
  <c r="P335" i="1"/>
  <c r="N335" i="1"/>
  <c r="D335" i="1" s="1"/>
  <c r="AE335" i="1" s="1"/>
  <c r="M335" i="1"/>
  <c r="K335" i="1"/>
  <c r="L334" i="1" s="1"/>
  <c r="J335" i="1"/>
  <c r="F335" i="1"/>
  <c r="T335" i="1" s="1"/>
  <c r="BC334" i="1"/>
  <c r="AR334" i="1"/>
  <c r="AS334" i="1" s="1"/>
  <c r="AU334" i="1" s="1"/>
  <c r="AJ334" i="1"/>
  <c r="AB334" i="1"/>
  <c r="X334" i="1"/>
  <c r="R334" i="1"/>
  <c r="U334" i="1" s="1"/>
  <c r="N334" i="1"/>
  <c r="D334" i="1" s="1"/>
  <c r="M334" i="1"/>
  <c r="K334" i="1"/>
  <c r="F334" i="1" s="1"/>
  <c r="T334" i="1" s="1"/>
  <c r="J334" i="1"/>
  <c r="BC333" i="1"/>
  <c r="AR333" i="1"/>
  <c r="AS333" i="1" s="1"/>
  <c r="AU333" i="1" s="1"/>
  <c r="AJ333" i="1"/>
  <c r="AB333" i="1"/>
  <c r="X333" i="1"/>
  <c r="R333" i="1"/>
  <c r="U333" i="1" s="1"/>
  <c r="AF333" i="1" s="1"/>
  <c r="N333" i="1"/>
  <c r="D333" i="1" s="1"/>
  <c r="M333" i="1"/>
  <c r="K333" i="1"/>
  <c r="F333" i="1" s="1"/>
  <c r="T333" i="1" s="1"/>
  <c r="J333" i="1"/>
  <c r="BC332" i="1"/>
  <c r="AR332" i="1"/>
  <c r="AS332" i="1" s="1"/>
  <c r="AU332" i="1" s="1"/>
  <c r="AJ332" i="1"/>
  <c r="AB332" i="1"/>
  <c r="X332" i="1"/>
  <c r="U332" i="1"/>
  <c r="AF332" i="1" s="1"/>
  <c r="R332" i="1"/>
  <c r="N332" i="1"/>
  <c r="D332" i="1" s="1"/>
  <c r="M332" i="1"/>
  <c r="K332" i="1"/>
  <c r="L331" i="1" s="1"/>
  <c r="J332" i="1"/>
  <c r="BC331" i="1"/>
  <c r="BA331" i="1"/>
  <c r="AY331" i="1"/>
  <c r="AU331" i="1"/>
  <c r="AS331" i="1"/>
  <c r="AR331" i="1"/>
  <c r="AJ331" i="1"/>
  <c r="AB331" i="1"/>
  <c r="X331" i="1"/>
  <c r="U331" i="1"/>
  <c r="R331" i="1"/>
  <c r="N331" i="1"/>
  <c r="M331" i="1"/>
  <c r="K331" i="1"/>
  <c r="L330" i="1" s="1"/>
  <c r="J331" i="1"/>
  <c r="F331" i="1"/>
  <c r="T331" i="1" s="1"/>
  <c r="D331" i="1"/>
  <c r="AE331" i="1" s="1"/>
  <c r="BC330" i="1"/>
  <c r="AS330" i="1"/>
  <c r="AU330" i="1" s="1"/>
  <c r="AR330" i="1"/>
  <c r="AJ330" i="1"/>
  <c r="AB330" i="1"/>
  <c r="X330" i="1"/>
  <c r="T330" i="1"/>
  <c r="R330" i="1"/>
  <c r="U330" i="1" s="1"/>
  <c r="N330" i="1"/>
  <c r="M330" i="1"/>
  <c r="K330" i="1"/>
  <c r="J330" i="1"/>
  <c r="F330" i="1"/>
  <c r="D330" i="1"/>
  <c r="P330" i="1" s="1"/>
  <c r="BC329" i="1"/>
  <c r="AR329" i="1"/>
  <c r="AS329" i="1" s="1"/>
  <c r="AU329" i="1" s="1"/>
  <c r="AJ329" i="1"/>
  <c r="AB329" i="1"/>
  <c r="X329" i="1"/>
  <c r="T329" i="1"/>
  <c r="R329" i="1"/>
  <c r="U329" i="1" s="1"/>
  <c r="AF329" i="1" s="1"/>
  <c r="AE329" i="1"/>
  <c r="P329" i="1"/>
  <c r="N329" i="1"/>
  <c r="M329" i="1"/>
  <c r="L329" i="1"/>
  <c r="K329" i="1"/>
  <c r="L328" i="1" s="1"/>
  <c r="J329" i="1"/>
  <c r="F329" i="1"/>
  <c r="D329" i="1"/>
  <c r="BC328" i="1"/>
  <c r="AR328" i="1"/>
  <c r="AS328" i="1" s="1"/>
  <c r="AU328" i="1" s="1"/>
  <c r="AJ328" i="1"/>
  <c r="AB328" i="1"/>
  <c r="X328" i="1"/>
  <c r="R328" i="1"/>
  <c r="U328" i="1" s="1"/>
  <c r="N328" i="1"/>
  <c r="D328" i="1" s="1"/>
  <c r="M328" i="1"/>
  <c r="K328" i="1"/>
  <c r="F328" i="1" s="1"/>
  <c r="T328" i="1" s="1"/>
  <c r="J328" i="1"/>
  <c r="BC327" i="1"/>
  <c r="AR327" i="1"/>
  <c r="AS327" i="1" s="1"/>
  <c r="AU327" i="1" s="1"/>
  <c r="AJ327" i="1"/>
  <c r="AB327" i="1"/>
  <c r="X327" i="1"/>
  <c r="R327" i="1"/>
  <c r="U327" i="1" s="1"/>
  <c r="AF327" i="1" s="1"/>
  <c r="AG327" i="1" s="1"/>
  <c r="N327" i="1"/>
  <c r="D327" i="1" s="1"/>
  <c r="M327" i="1"/>
  <c r="K327" i="1"/>
  <c r="F327" i="1" s="1"/>
  <c r="T327" i="1" s="1"/>
  <c r="J327" i="1"/>
  <c r="AK320" i="1"/>
  <c r="AB320" i="1"/>
  <c r="X320" i="1"/>
  <c r="U320" i="1"/>
  <c r="R320" i="1"/>
  <c r="O320" i="1"/>
  <c r="N320" i="1"/>
  <c r="M320" i="1"/>
  <c r="L320" i="1"/>
  <c r="K320" i="1"/>
  <c r="J320" i="1"/>
  <c r="F320" i="1"/>
  <c r="T320" i="1" s="1"/>
  <c r="D320" i="1"/>
  <c r="AK319" i="1"/>
  <c r="AB319" i="1"/>
  <c r="X319" i="1"/>
  <c r="T319" i="1"/>
  <c r="R319" i="1"/>
  <c r="U319" i="1" s="1"/>
  <c r="O319" i="1"/>
  <c r="N319" i="1"/>
  <c r="M319" i="1"/>
  <c r="K319" i="1"/>
  <c r="L319" i="1" s="1"/>
  <c r="J319" i="1"/>
  <c r="F319" i="1"/>
  <c r="D319" i="1"/>
  <c r="AB318" i="1"/>
  <c r="X318" i="1"/>
  <c r="R318" i="1"/>
  <c r="U318" i="1" s="1"/>
  <c r="O318" i="1"/>
  <c r="M318" i="1"/>
  <c r="L318" i="1"/>
  <c r="K318" i="1"/>
  <c r="F318" i="1" s="1"/>
  <c r="T318" i="1" s="1"/>
  <c r="J318" i="1"/>
  <c r="D318" i="1"/>
  <c r="P318" i="1" s="1"/>
  <c r="AB317" i="1"/>
  <c r="X317" i="1"/>
  <c r="R317" i="1"/>
  <c r="U317" i="1" s="1"/>
  <c r="P317" i="1"/>
  <c r="O317" i="1"/>
  <c r="M317" i="1"/>
  <c r="L317" i="1"/>
  <c r="K317" i="1"/>
  <c r="J317" i="1"/>
  <c r="F317" i="1"/>
  <c r="T317" i="1" s="1"/>
  <c r="D317" i="1"/>
  <c r="AB316" i="1"/>
  <c r="X316" i="1"/>
  <c r="U316" i="1"/>
  <c r="R316" i="1"/>
  <c r="O316" i="1"/>
  <c r="N316" i="1"/>
  <c r="D316" i="1" s="1"/>
  <c r="M316" i="1"/>
  <c r="K316" i="1"/>
  <c r="J316" i="1"/>
  <c r="AB315" i="1"/>
  <c r="X315" i="1"/>
  <c r="U315" i="1"/>
  <c r="R315" i="1"/>
  <c r="N315" i="1"/>
  <c r="D315" i="1" s="1"/>
  <c r="M315" i="1"/>
  <c r="L315" i="1"/>
  <c r="K315" i="1"/>
  <c r="J315" i="1"/>
  <c r="F315" i="1"/>
  <c r="T315" i="1" s="1"/>
  <c r="AB314" i="1"/>
  <c r="X314" i="1"/>
  <c r="U314" i="1"/>
  <c r="R314" i="1"/>
  <c r="N314" i="1"/>
  <c r="M314" i="1"/>
  <c r="K314" i="1"/>
  <c r="J314" i="1"/>
  <c r="F314" i="1"/>
  <c r="T314" i="1" s="1"/>
  <c r="D314" i="1"/>
  <c r="AB313" i="1"/>
  <c r="X313" i="1"/>
  <c r="U313" i="1"/>
  <c r="R313" i="1"/>
  <c r="N313" i="1"/>
  <c r="M313" i="1"/>
  <c r="K313" i="1"/>
  <c r="J313" i="1"/>
  <c r="D313" i="1"/>
  <c r="AB312" i="1"/>
  <c r="X312" i="1"/>
  <c r="U312" i="1"/>
  <c r="R312" i="1"/>
  <c r="N312" i="1"/>
  <c r="M312" i="1"/>
  <c r="K312" i="1"/>
  <c r="L311" i="1" s="1"/>
  <c r="J312" i="1"/>
  <c r="F312" i="1"/>
  <c r="T312" i="1" s="1"/>
  <c r="D312" i="1"/>
  <c r="AB311" i="1"/>
  <c r="X311" i="1"/>
  <c r="U311" i="1"/>
  <c r="R311" i="1"/>
  <c r="N311" i="1"/>
  <c r="M311" i="1"/>
  <c r="K311" i="1"/>
  <c r="J311" i="1"/>
  <c r="F311" i="1"/>
  <c r="T311" i="1" s="1"/>
  <c r="D311" i="1"/>
  <c r="AB310" i="1"/>
  <c r="X310" i="1"/>
  <c r="U310" i="1"/>
  <c r="R310" i="1"/>
  <c r="N310" i="1"/>
  <c r="M310" i="1"/>
  <c r="K310" i="1"/>
  <c r="L309" i="1" s="1"/>
  <c r="J310" i="1"/>
  <c r="F310" i="1"/>
  <c r="T310" i="1" s="1"/>
  <c r="D310" i="1"/>
  <c r="P310" i="1" s="1"/>
  <c r="AB309" i="1"/>
  <c r="X309" i="1"/>
  <c r="T309" i="1"/>
  <c r="R309" i="1"/>
  <c r="U309" i="1" s="1"/>
  <c r="N309" i="1"/>
  <c r="M309" i="1"/>
  <c r="K309" i="1"/>
  <c r="F309" i="1" s="1"/>
  <c r="J309" i="1"/>
  <c r="D309" i="1"/>
  <c r="AB308" i="1"/>
  <c r="X308" i="1"/>
  <c r="R308" i="1"/>
  <c r="U308" i="1" s="1"/>
  <c r="N308" i="1"/>
  <c r="D308" i="1" s="1"/>
  <c r="P308" i="1" s="1"/>
  <c r="M308" i="1"/>
  <c r="K308" i="1"/>
  <c r="L308" i="1" s="1"/>
  <c r="J308" i="1"/>
  <c r="F308" i="1"/>
  <c r="T308" i="1" s="1"/>
  <c r="AB307" i="1"/>
  <c r="X307" i="1"/>
  <c r="T307" i="1"/>
  <c r="R307" i="1"/>
  <c r="U307" i="1" s="1"/>
  <c r="N307" i="1"/>
  <c r="D307" i="1" s="1"/>
  <c r="M307" i="1"/>
  <c r="L307" i="1"/>
  <c r="K307" i="1"/>
  <c r="J307" i="1"/>
  <c r="F307" i="1"/>
  <c r="AB306" i="1"/>
  <c r="X306" i="1"/>
  <c r="U306" i="1"/>
  <c r="R306" i="1"/>
  <c r="P306" i="1"/>
  <c r="N306" i="1"/>
  <c r="D306" i="1" s="1"/>
  <c r="M306" i="1"/>
  <c r="L306" i="1"/>
  <c r="K306" i="1"/>
  <c r="F306" i="1" s="1"/>
  <c r="T306" i="1" s="1"/>
  <c r="J306" i="1"/>
  <c r="AE305" i="1"/>
  <c r="AB305" i="1"/>
  <c r="X305" i="1"/>
  <c r="U305" i="1"/>
  <c r="R305" i="1"/>
  <c r="N305" i="1"/>
  <c r="D305" i="1" s="1"/>
  <c r="M305" i="1"/>
  <c r="K305" i="1"/>
  <c r="J305" i="1"/>
  <c r="AB304" i="1"/>
  <c r="X304" i="1"/>
  <c r="U304" i="1"/>
  <c r="R304" i="1"/>
  <c r="P304" i="1"/>
  <c r="N304" i="1"/>
  <c r="D304" i="1" s="1"/>
  <c r="M304" i="1"/>
  <c r="L304" i="1"/>
  <c r="K304" i="1"/>
  <c r="J304" i="1"/>
  <c r="F304" i="1"/>
  <c r="T304" i="1" s="1"/>
  <c r="AB303" i="1"/>
  <c r="X303" i="1"/>
  <c r="U303" i="1"/>
  <c r="R303" i="1"/>
  <c r="N303" i="1"/>
  <c r="M303" i="1"/>
  <c r="L303" i="1"/>
  <c r="K303" i="1"/>
  <c r="F303" i="1" s="1"/>
  <c r="T303" i="1" s="1"/>
  <c r="J303" i="1"/>
  <c r="D303" i="1"/>
  <c r="AB302" i="1"/>
  <c r="X302" i="1"/>
  <c r="U302" i="1"/>
  <c r="R302" i="1"/>
  <c r="N302" i="1"/>
  <c r="M302" i="1"/>
  <c r="K302" i="1"/>
  <c r="J302" i="1"/>
  <c r="D302" i="1"/>
  <c r="AB301" i="1"/>
  <c r="X301" i="1"/>
  <c r="U301" i="1"/>
  <c r="R301" i="1"/>
  <c r="N301" i="1"/>
  <c r="M301" i="1"/>
  <c r="K301" i="1"/>
  <c r="L300" i="1" s="1"/>
  <c r="J301" i="1"/>
  <c r="F301" i="1"/>
  <c r="T301" i="1" s="1"/>
  <c r="D301" i="1"/>
  <c r="AB300" i="1"/>
  <c r="X300" i="1"/>
  <c r="R300" i="1"/>
  <c r="U300" i="1" s="1"/>
  <c r="N300" i="1"/>
  <c r="M300" i="1"/>
  <c r="K300" i="1"/>
  <c r="J300" i="1"/>
  <c r="F300" i="1"/>
  <c r="T300" i="1" s="1"/>
  <c r="D300" i="1"/>
  <c r="AB299" i="1"/>
  <c r="X299" i="1"/>
  <c r="U299" i="1"/>
  <c r="R299" i="1"/>
  <c r="N299" i="1"/>
  <c r="M299" i="1"/>
  <c r="K299" i="1"/>
  <c r="J299" i="1"/>
  <c r="F299" i="1"/>
  <c r="T299" i="1" s="1"/>
  <c r="D299" i="1"/>
  <c r="AB298" i="1"/>
  <c r="X298" i="1"/>
  <c r="R298" i="1"/>
  <c r="U298" i="1" s="1"/>
  <c r="N298" i="1"/>
  <c r="M298" i="1"/>
  <c r="K298" i="1"/>
  <c r="F298" i="1" s="1"/>
  <c r="T298" i="1" s="1"/>
  <c r="J298" i="1"/>
  <c r="D298" i="1"/>
  <c r="AB297" i="1"/>
  <c r="X297" i="1"/>
  <c r="R297" i="1"/>
  <c r="U297" i="1" s="1"/>
  <c r="N297" i="1"/>
  <c r="D297" i="1" s="1"/>
  <c r="P297" i="1" s="1"/>
  <c r="M297" i="1"/>
  <c r="L297" i="1"/>
  <c r="K297" i="1"/>
  <c r="J297" i="1"/>
  <c r="F297" i="1"/>
  <c r="T297" i="1" s="1"/>
  <c r="AB296" i="1"/>
  <c r="X296" i="1"/>
  <c r="T296" i="1"/>
  <c r="R296" i="1"/>
  <c r="U296" i="1" s="1"/>
  <c r="N296" i="1"/>
  <c r="D296" i="1" s="1"/>
  <c r="M296" i="1"/>
  <c r="L296" i="1"/>
  <c r="K296" i="1"/>
  <c r="J296" i="1"/>
  <c r="F296" i="1"/>
  <c r="AB295" i="1"/>
  <c r="X295" i="1"/>
  <c r="R295" i="1"/>
  <c r="U295" i="1" s="1"/>
  <c r="N295" i="1"/>
  <c r="D295" i="1" s="1"/>
  <c r="M295" i="1"/>
  <c r="L295" i="1"/>
  <c r="K295" i="1"/>
  <c r="F295" i="1" s="1"/>
  <c r="T295" i="1" s="1"/>
  <c r="J295" i="1"/>
  <c r="AB294" i="1"/>
  <c r="X294" i="1"/>
  <c r="T294" i="1"/>
  <c r="R294" i="1"/>
  <c r="U294" i="1" s="1"/>
  <c r="N294" i="1"/>
  <c r="M294" i="1"/>
  <c r="L294" i="1"/>
  <c r="K294" i="1"/>
  <c r="J294" i="1"/>
  <c r="F294" i="1"/>
  <c r="D294" i="1"/>
  <c r="P294" i="1" s="1"/>
  <c r="BC293" i="1"/>
  <c r="AY293" i="1"/>
  <c r="AU293" i="1"/>
  <c r="BA293" i="1" s="1"/>
  <c r="AR293" i="1"/>
  <c r="AS293" i="1" s="1"/>
  <c r="AJ293" i="1"/>
  <c r="AF293" i="1"/>
  <c r="AB293" i="1"/>
  <c r="X293" i="1"/>
  <c r="R293" i="1"/>
  <c r="U293" i="1" s="1"/>
  <c r="N293" i="1"/>
  <c r="D293" i="1" s="1"/>
  <c r="M293" i="1"/>
  <c r="K293" i="1"/>
  <c r="J293" i="1"/>
  <c r="BC292" i="1"/>
  <c r="AS292" i="1"/>
  <c r="AU292" i="1" s="1"/>
  <c r="AR292" i="1"/>
  <c r="AJ292" i="1"/>
  <c r="AB292" i="1"/>
  <c r="X292" i="1"/>
  <c r="U292" i="1"/>
  <c r="AF292" i="1" s="1"/>
  <c r="R292" i="1"/>
  <c r="N292" i="1"/>
  <c r="D292" i="1" s="1"/>
  <c r="AE292" i="1" s="1"/>
  <c r="M292" i="1"/>
  <c r="K292" i="1"/>
  <c r="L291" i="1" s="1"/>
  <c r="J292" i="1"/>
  <c r="F292" i="1"/>
  <c r="T292" i="1" s="1"/>
  <c r="BC291" i="1"/>
  <c r="AR291" i="1"/>
  <c r="AS291" i="1" s="1"/>
  <c r="AU291" i="1" s="1"/>
  <c r="AT291" i="1"/>
  <c r="AJ291" i="1"/>
  <c r="AB291" i="1"/>
  <c r="X291" i="1"/>
  <c r="U291" i="1"/>
  <c r="AF291" i="1" s="1"/>
  <c r="R291" i="1"/>
  <c r="P291" i="1"/>
  <c r="N291" i="1"/>
  <c r="D291" i="1" s="1"/>
  <c r="AE291" i="1" s="1"/>
  <c r="M291" i="1"/>
  <c r="K291" i="1"/>
  <c r="L290" i="1" s="1"/>
  <c r="J291" i="1"/>
  <c r="F291" i="1"/>
  <c r="T291" i="1" s="1"/>
  <c r="BC290" i="1"/>
  <c r="BA290" i="1"/>
  <c r="AS290" i="1"/>
  <c r="AU290" i="1" s="1"/>
  <c r="AY290" i="1" s="1"/>
  <c r="AR290" i="1"/>
  <c r="AJ290" i="1"/>
  <c r="AB290" i="1"/>
  <c r="X290" i="1"/>
  <c r="U290" i="1"/>
  <c r="T290" i="1"/>
  <c r="R290" i="1"/>
  <c r="N290" i="1"/>
  <c r="D290" i="1" s="1"/>
  <c r="M290" i="1"/>
  <c r="K290" i="1"/>
  <c r="J290" i="1"/>
  <c r="F290" i="1"/>
  <c r="BC289" i="1"/>
  <c r="BA289" i="1"/>
  <c r="AS289" i="1"/>
  <c r="AU289" i="1" s="1"/>
  <c r="AY289" i="1" s="1"/>
  <c r="AR289" i="1"/>
  <c r="AJ289" i="1"/>
  <c r="AB289" i="1"/>
  <c r="X289" i="1"/>
  <c r="T289" i="1"/>
  <c r="R289" i="1"/>
  <c r="U289" i="1" s="1"/>
  <c r="AF289" i="1" s="1"/>
  <c r="N289" i="1"/>
  <c r="M289" i="1"/>
  <c r="L289" i="1"/>
  <c r="K289" i="1"/>
  <c r="J289" i="1"/>
  <c r="F289" i="1"/>
  <c r="D289" i="1"/>
  <c r="P289" i="1" s="1"/>
  <c r="BC288" i="1"/>
  <c r="AR288" i="1"/>
  <c r="AS288" i="1" s="1"/>
  <c r="AU288" i="1" s="1"/>
  <c r="AJ288" i="1"/>
  <c r="AB288" i="1"/>
  <c r="X288" i="1"/>
  <c r="T288" i="1"/>
  <c r="R288" i="1"/>
  <c r="U288" i="1" s="1"/>
  <c r="AF288" i="1" s="1"/>
  <c r="AE288" i="1"/>
  <c r="P288" i="1"/>
  <c r="N288" i="1"/>
  <c r="M288" i="1"/>
  <c r="L288" i="1"/>
  <c r="K288" i="1"/>
  <c r="J288" i="1"/>
  <c r="F288" i="1"/>
  <c r="D288" i="1"/>
  <c r="BC287" i="1"/>
  <c r="AR287" i="1"/>
  <c r="AS287" i="1" s="1"/>
  <c r="AU287" i="1" s="1"/>
  <c r="AJ287" i="1"/>
  <c r="AB287" i="1"/>
  <c r="X287" i="1"/>
  <c r="R287" i="1"/>
  <c r="U287" i="1" s="1"/>
  <c r="AF287" i="1" s="1"/>
  <c r="N287" i="1"/>
  <c r="D287" i="1" s="1"/>
  <c r="M287" i="1"/>
  <c r="K287" i="1"/>
  <c r="J287" i="1"/>
  <c r="BC286" i="1"/>
  <c r="AS286" i="1"/>
  <c r="AU286" i="1" s="1"/>
  <c r="AR286" i="1"/>
  <c r="AJ286" i="1"/>
  <c r="AB286" i="1"/>
  <c r="X286" i="1"/>
  <c r="T286" i="1"/>
  <c r="R286" i="1"/>
  <c r="U286" i="1" s="1"/>
  <c r="N286" i="1"/>
  <c r="D286" i="1" s="1"/>
  <c r="M286" i="1"/>
  <c r="L286" i="1"/>
  <c r="K286" i="1"/>
  <c r="J286" i="1"/>
  <c r="F286" i="1"/>
  <c r="BC285" i="1"/>
  <c r="AS285" i="1"/>
  <c r="AU285" i="1" s="1"/>
  <c r="AR285" i="1"/>
  <c r="AJ285" i="1"/>
  <c r="AB285" i="1"/>
  <c r="X285" i="1"/>
  <c r="R285" i="1"/>
  <c r="U285" i="1" s="1"/>
  <c r="AF285" i="1" s="1"/>
  <c r="N285" i="1"/>
  <c r="D285" i="1" s="1"/>
  <c r="AE285" i="1" s="1"/>
  <c r="M285" i="1"/>
  <c r="L285" i="1"/>
  <c r="K285" i="1"/>
  <c r="F285" i="1" s="1"/>
  <c r="T285" i="1" s="1"/>
  <c r="J285" i="1"/>
  <c r="BC284" i="1"/>
  <c r="AS284" i="1"/>
  <c r="AU284" i="1" s="1"/>
  <c r="AR284" i="1"/>
  <c r="AJ284" i="1"/>
  <c r="AB284" i="1"/>
  <c r="X284" i="1"/>
  <c r="U284" i="1"/>
  <c r="T284" i="1"/>
  <c r="R284" i="1"/>
  <c r="AE284" i="1"/>
  <c r="N284" i="1"/>
  <c r="M284" i="1"/>
  <c r="K284" i="1"/>
  <c r="J284" i="1"/>
  <c r="F284" i="1"/>
  <c r="D284" i="1"/>
  <c r="P284" i="1" s="1"/>
  <c r="BC283" i="1"/>
  <c r="AS283" i="1"/>
  <c r="AU283" i="1" s="1"/>
  <c r="BA283" i="1" s="1"/>
  <c r="AR283" i="1"/>
  <c r="AJ283" i="1"/>
  <c r="AB283" i="1"/>
  <c r="X283" i="1"/>
  <c r="U283" i="1"/>
  <c r="AF283" i="1" s="1"/>
  <c r="T283" i="1"/>
  <c r="R283" i="1"/>
  <c r="N283" i="1"/>
  <c r="M283" i="1"/>
  <c r="L283" i="1"/>
  <c r="K283" i="1"/>
  <c r="J283" i="1"/>
  <c r="F283" i="1"/>
  <c r="D283" i="1"/>
  <c r="P283" i="1" s="1"/>
  <c r="BC282" i="1"/>
  <c r="AR282" i="1"/>
  <c r="AS282" i="1" s="1"/>
  <c r="AU282" i="1" s="1"/>
  <c r="AJ282" i="1"/>
  <c r="AF282" i="1"/>
  <c r="AB282" i="1"/>
  <c r="X282" i="1"/>
  <c r="T282" i="1"/>
  <c r="R282" i="1"/>
  <c r="U282" i="1" s="1"/>
  <c r="N282" i="1"/>
  <c r="M282" i="1"/>
  <c r="L282" i="1"/>
  <c r="K282" i="1"/>
  <c r="J282" i="1"/>
  <c r="F282" i="1"/>
  <c r="D282" i="1"/>
  <c r="AE282" i="1" s="1"/>
  <c r="BC281" i="1"/>
  <c r="AU281" i="1"/>
  <c r="BA281" i="1" s="1"/>
  <c r="AS281" i="1"/>
  <c r="AR281" i="1"/>
  <c r="AJ281" i="1"/>
  <c r="AB281" i="1"/>
  <c r="X281" i="1"/>
  <c r="R281" i="1"/>
  <c r="U281" i="1" s="1"/>
  <c r="N281" i="1"/>
  <c r="D281" i="1" s="1"/>
  <c r="M281" i="1"/>
  <c r="K281" i="1"/>
  <c r="J281" i="1"/>
  <c r="BC280" i="1"/>
  <c r="AU280" i="1"/>
  <c r="BA280" i="1" s="1"/>
  <c r="AS280" i="1"/>
  <c r="AR280" i="1"/>
  <c r="AJ280" i="1"/>
  <c r="AB280" i="1"/>
  <c r="X280" i="1"/>
  <c r="R280" i="1"/>
  <c r="U280" i="1" s="1"/>
  <c r="N280" i="1"/>
  <c r="D280" i="1" s="1"/>
  <c r="M280" i="1"/>
  <c r="L280" i="1"/>
  <c r="K280" i="1"/>
  <c r="F280" i="1" s="1"/>
  <c r="T280" i="1" s="1"/>
  <c r="J280" i="1"/>
  <c r="BC279" i="1"/>
  <c r="AS279" i="1"/>
  <c r="AU279" i="1" s="1"/>
  <c r="AR279" i="1"/>
  <c r="AJ279" i="1"/>
  <c r="AB279" i="1"/>
  <c r="X279" i="1"/>
  <c r="T279" i="1"/>
  <c r="R279" i="1"/>
  <c r="U279" i="1" s="1"/>
  <c r="AF279" i="1" s="1"/>
  <c r="N279" i="1"/>
  <c r="M279" i="1"/>
  <c r="K279" i="1"/>
  <c r="J279" i="1"/>
  <c r="F279" i="1"/>
  <c r="D279" i="1"/>
  <c r="AE279" i="1" s="1"/>
  <c r="BC278" i="1"/>
  <c r="AR278" i="1"/>
  <c r="AS278" i="1" s="1"/>
  <c r="AU278" i="1" s="1"/>
  <c r="AJ278" i="1"/>
  <c r="AB278" i="1"/>
  <c r="X278" i="1"/>
  <c r="R278" i="1"/>
  <c r="U278" i="1" s="1"/>
  <c r="AF278" i="1" s="1"/>
  <c r="N278" i="1"/>
  <c r="D278" i="1" s="1"/>
  <c r="M278" i="1"/>
  <c r="K278" i="1"/>
  <c r="F278" i="1" s="1"/>
  <c r="T278" i="1" s="1"/>
  <c r="J278" i="1"/>
  <c r="BC277" i="1"/>
  <c r="AR277" i="1"/>
  <c r="AS277" i="1" s="1"/>
  <c r="AU277" i="1" s="1"/>
  <c r="AJ277" i="1"/>
  <c r="AB277" i="1"/>
  <c r="X277" i="1"/>
  <c r="U277" i="1"/>
  <c r="AF277" i="1" s="1"/>
  <c r="R277" i="1"/>
  <c r="N277" i="1"/>
  <c r="M277" i="1"/>
  <c r="K277" i="1"/>
  <c r="L276" i="1" s="1"/>
  <c r="J277" i="1"/>
  <c r="F277" i="1"/>
  <c r="T277" i="1" s="1"/>
  <c r="D277" i="1"/>
  <c r="AE277" i="1" s="1"/>
  <c r="BC276" i="1"/>
  <c r="AR276" i="1"/>
  <c r="AU276" i="1" s="1"/>
  <c r="AJ276" i="1"/>
  <c r="AB276" i="1"/>
  <c r="X276" i="1"/>
  <c r="U276" i="1"/>
  <c r="T276" i="1"/>
  <c r="R276" i="1"/>
  <c r="N276" i="1"/>
  <c r="M276" i="1"/>
  <c r="K276" i="1"/>
  <c r="L275" i="1" s="1"/>
  <c r="J276" i="1"/>
  <c r="F276" i="1"/>
  <c r="D276" i="1"/>
  <c r="AE276" i="1" s="1"/>
  <c r="BC275" i="1"/>
  <c r="AR275" i="1"/>
  <c r="AS275" i="1" s="1"/>
  <c r="AU275" i="1" s="1"/>
  <c r="AJ275" i="1"/>
  <c r="AB275" i="1"/>
  <c r="X275" i="1"/>
  <c r="T275" i="1"/>
  <c r="R275" i="1"/>
  <c r="U275" i="1" s="1"/>
  <c r="AE275" i="1"/>
  <c r="N275" i="1"/>
  <c r="M275" i="1"/>
  <c r="K275" i="1"/>
  <c r="L274" i="1" s="1"/>
  <c r="J275" i="1"/>
  <c r="F275" i="1"/>
  <c r="D275" i="1"/>
  <c r="P275" i="1" s="1"/>
  <c r="BC274" i="1"/>
  <c r="AR274" i="1"/>
  <c r="AS274" i="1" s="1"/>
  <c r="AU274" i="1" s="1"/>
  <c r="BA274" i="1" s="1"/>
  <c r="AJ274" i="1"/>
  <c r="AB274" i="1"/>
  <c r="X274" i="1"/>
  <c r="T274" i="1"/>
  <c r="R274" i="1"/>
  <c r="U274" i="1" s="1"/>
  <c r="AF274" i="1" s="1"/>
  <c r="N274" i="1"/>
  <c r="D274" i="1" s="1"/>
  <c r="M274" i="1"/>
  <c r="K274" i="1"/>
  <c r="J274" i="1"/>
  <c r="F274" i="1"/>
  <c r="AK267" i="1"/>
  <c r="AB267" i="1"/>
  <c r="X267" i="1"/>
  <c r="U267" i="1"/>
  <c r="T267" i="1"/>
  <c r="R267" i="1"/>
  <c r="O267" i="1"/>
  <c r="N267" i="1"/>
  <c r="M267" i="1"/>
  <c r="L267" i="1"/>
  <c r="K267" i="1"/>
  <c r="L266" i="1" s="1"/>
  <c r="J267" i="1"/>
  <c r="F267" i="1"/>
  <c r="D267" i="1"/>
  <c r="AK266" i="1"/>
  <c r="AB266" i="1"/>
  <c r="X266" i="1"/>
  <c r="U266" i="1"/>
  <c r="T266" i="1"/>
  <c r="R266" i="1"/>
  <c r="O266" i="1"/>
  <c r="N266" i="1"/>
  <c r="M266" i="1"/>
  <c r="K266" i="1"/>
  <c r="L265" i="1" s="1"/>
  <c r="J266" i="1"/>
  <c r="F266" i="1"/>
  <c r="D266" i="1"/>
  <c r="AK265" i="1"/>
  <c r="AB265" i="1"/>
  <c r="X265" i="1"/>
  <c r="T265" i="1"/>
  <c r="R265" i="1"/>
  <c r="U265" i="1" s="1"/>
  <c r="O265" i="1"/>
  <c r="M265" i="1"/>
  <c r="K265" i="1"/>
  <c r="L264" i="1" s="1"/>
  <c r="J265" i="1"/>
  <c r="F265" i="1"/>
  <c r="D265" i="1"/>
  <c r="P265" i="1" s="1"/>
  <c r="AB264" i="1"/>
  <c r="X264" i="1"/>
  <c r="T264" i="1"/>
  <c r="R264" i="1"/>
  <c r="U264" i="1" s="1"/>
  <c r="P264" i="1"/>
  <c r="O264" i="1"/>
  <c r="M264" i="1"/>
  <c r="K264" i="1"/>
  <c r="L263" i="1" s="1"/>
  <c r="J264" i="1"/>
  <c r="F264" i="1"/>
  <c r="D264" i="1"/>
  <c r="AB263" i="1"/>
  <c r="X263" i="1"/>
  <c r="T263" i="1"/>
  <c r="R263" i="1"/>
  <c r="U263" i="1" s="1"/>
  <c r="P263" i="1"/>
  <c r="O263" i="1"/>
  <c r="N263" i="1"/>
  <c r="D263" i="1" s="1"/>
  <c r="M263" i="1"/>
  <c r="K263" i="1"/>
  <c r="J263" i="1"/>
  <c r="F263" i="1"/>
  <c r="AB262" i="1"/>
  <c r="X262" i="1"/>
  <c r="U262" i="1"/>
  <c r="R262" i="1"/>
  <c r="N262" i="1"/>
  <c r="D262" i="1" s="1"/>
  <c r="M262" i="1"/>
  <c r="L262" i="1"/>
  <c r="K262" i="1"/>
  <c r="J262" i="1"/>
  <c r="F262" i="1"/>
  <c r="T262" i="1" s="1"/>
  <c r="AB261" i="1"/>
  <c r="X261" i="1"/>
  <c r="R261" i="1"/>
  <c r="U261" i="1" s="1"/>
  <c r="N261" i="1"/>
  <c r="D261" i="1" s="1"/>
  <c r="M261" i="1"/>
  <c r="K261" i="1"/>
  <c r="J261" i="1"/>
  <c r="AB260" i="1"/>
  <c r="X260" i="1"/>
  <c r="U260" i="1"/>
  <c r="R260" i="1"/>
  <c r="N260" i="1"/>
  <c r="D260" i="1" s="1"/>
  <c r="M260" i="1"/>
  <c r="K260" i="1"/>
  <c r="F260" i="1" s="1"/>
  <c r="T260" i="1" s="1"/>
  <c r="J260" i="1"/>
  <c r="AB259" i="1"/>
  <c r="X259" i="1"/>
  <c r="U259" i="1"/>
  <c r="R259" i="1"/>
  <c r="N259" i="1"/>
  <c r="D259" i="1" s="1"/>
  <c r="M259" i="1"/>
  <c r="K259" i="1"/>
  <c r="L258" i="1" s="1"/>
  <c r="J259" i="1"/>
  <c r="AB258" i="1"/>
  <c r="X258" i="1"/>
  <c r="U258" i="1"/>
  <c r="R258" i="1"/>
  <c r="N258" i="1"/>
  <c r="M258" i="1"/>
  <c r="K258" i="1"/>
  <c r="L257" i="1" s="1"/>
  <c r="J258" i="1"/>
  <c r="F258" i="1"/>
  <c r="T258" i="1" s="1"/>
  <c r="D258" i="1"/>
  <c r="AB257" i="1"/>
  <c r="X257" i="1"/>
  <c r="U257" i="1"/>
  <c r="T257" i="1"/>
  <c r="R257" i="1"/>
  <c r="N257" i="1"/>
  <c r="M257" i="1"/>
  <c r="K257" i="1"/>
  <c r="L256" i="1" s="1"/>
  <c r="J257" i="1"/>
  <c r="F257" i="1"/>
  <c r="D257" i="1"/>
  <c r="AB256" i="1"/>
  <c r="X256" i="1"/>
  <c r="R256" i="1"/>
  <c r="U256" i="1" s="1"/>
  <c r="N256" i="1"/>
  <c r="M256" i="1"/>
  <c r="K256" i="1"/>
  <c r="L255" i="1" s="1"/>
  <c r="J256" i="1"/>
  <c r="F256" i="1"/>
  <c r="T256" i="1" s="1"/>
  <c r="D256" i="1"/>
  <c r="AB255" i="1"/>
  <c r="X255" i="1"/>
  <c r="T255" i="1"/>
  <c r="R255" i="1"/>
  <c r="U255" i="1" s="1"/>
  <c r="N255" i="1"/>
  <c r="M255" i="1"/>
  <c r="K255" i="1"/>
  <c r="L254" i="1" s="1"/>
  <c r="J255" i="1"/>
  <c r="F255" i="1"/>
  <c r="D255" i="1"/>
  <c r="AB254" i="1"/>
  <c r="X254" i="1"/>
  <c r="R254" i="1"/>
  <c r="U254" i="1" s="1"/>
  <c r="P254" i="1"/>
  <c r="N254" i="1"/>
  <c r="M254" i="1"/>
  <c r="K254" i="1"/>
  <c r="J254" i="1"/>
  <c r="F254" i="1"/>
  <c r="T254" i="1" s="1"/>
  <c r="D254" i="1"/>
  <c r="AB253" i="1"/>
  <c r="X253" i="1"/>
  <c r="T253" i="1"/>
  <c r="R253" i="1"/>
  <c r="U253" i="1" s="1"/>
  <c r="P253" i="1"/>
  <c r="N253" i="1"/>
  <c r="M253" i="1"/>
  <c r="L253" i="1"/>
  <c r="K253" i="1"/>
  <c r="J253" i="1"/>
  <c r="F253" i="1"/>
  <c r="D253" i="1"/>
  <c r="AE252" i="1"/>
  <c r="AB252" i="1"/>
  <c r="X252" i="1"/>
  <c r="R252" i="1"/>
  <c r="U252" i="1" s="1"/>
  <c r="N252" i="1"/>
  <c r="D252" i="1" s="1"/>
  <c r="M252" i="1"/>
  <c r="L252" i="1"/>
  <c r="K252" i="1"/>
  <c r="F252" i="1" s="1"/>
  <c r="T252" i="1" s="1"/>
  <c r="J252" i="1"/>
  <c r="AB251" i="1"/>
  <c r="X251" i="1"/>
  <c r="U251" i="1"/>
  <c r="R251" i="1"/>
  <c r="N251" i="1"/>
  <c r="D251" i="1" s="1"/>
  <c r="M251" i="1"/>
  <c r="L251" i="1"/>
  <c r="K251" i="1"/>
  <c r="J251" i="1"/>
  <c r="F251" i="1"/>
  <c r="T251" i="1" s="1"/>
  <c r="AB250" i="1"/>
  <c r="X250" i="1"/>
  <c r="R250" i="1"/>
  <c r="U250" i="1" s="1"/>
  <c r="P250" i="1"/>
  <c r="N250" i="1"/>
  <c r="D250" i="1" s="1"/>
  <c r="M250" i="1"/>
  <c r="K250" i="1"/>
  <c r="F250" i="1" s="1"/>
  <c r="T250" i="1" s="1"/>
  <c r="J250" i="1"/>
  <c r="AB249" i="1"/>
  <c r="X249" i="1"/>
  <c r="U249" i="1"/>
  <c r="R249" i="1"/>
  <c r="N249" i="1"/>
  <c r="D249" i="1" s="1"/>
  <c r="M249" i="1"/>
  <c r="K249" i="1"/>
  <c r="J249" i="1"/>
  <c r="AB248" i="1"/>
  <c r="X248" i="1"/>
  <c r="U248" i="1"/>
  <c r="R248" i="1"/>
  <c r="N248" i="1"/>
  <c r="D248" i="1" s="1"/>
  <c r="M248" i="1"/>
  <c r="K248" i="1"/>
  <c r="J248" i="1"/>
  <c r="F248" i="1"/>
  <c r="T248" i="1" s="1"/>
  <c r="AB247" i="1"/>
  <c r="X247" i="1"/>
  <c r="U247" i="1"/>
  <c r="R247" i="1"/>
  <c r="N247" i="1"/>
  <c r="M247" i="1"/>
  <c r="K247" i="1"/>
  <c r="L246" i="1" s="1"/>
  <c r="J247" i="1"/>
  <c r="F247" i="1"/>
  <c r="T247" i="1" s="1"/>
  <c r="D247" i="1"/>
  <c r="AB246" i="1"/>
  <c r="X246" i="1"/>
  <c r="U246" i="1"/>
  <c r="T246" i="1"/>
  <c r="R246" i="1"/>
  <c r="N246" i="1"/>
  <c r="M246" i="1"/>
  <c r="K246" i="1"/>
  <c r="J246" i="1"/>
  <c r="F246" i="1"/>
  <c r="D246" i="1"/>
  <c r="AB245" i="1"/>
  <c r="X245" i="1"/>
  <c r="U245" i="1"/>
  <c r="T245" i="1"/>
  <c r="R245" i="1"/>
  <c r="N245" i="1"/>
  <c r="M245" i="1"/>
  <c r="L245" i="1"/>
  <c r="K245" i="1"/>
  <c r="J245" i="1"/>
  <c r="F245" i="1"/>
  <c r="D245" i="1"/>
  <c r="AB244" i="1"/>
  <c r="X244" i="1"/>
  <c r="U244" i="1"/>
  <c r="T244" i="1"/>
  <c r="R244" i="1"/>
  <c r="N244" i="1"/>
  <c r="M244" i="1"/>
  <c r="L244" i="1"/>
  <c r="K244" i="1"/>
  <c r="J244" i="1"/>
  <c r="F244" i="1"/>
  <c r="D244" i="1"/>
  <c r="AB243" i="1"/>
  <c r="X243" i="1"/>
  <c r="R243" i="1"/>
  <c r="U243" i="1" s="1"/>
  <c r="P243" i="1"/>
  <c r="N243" i="1"/>
  <c r="D243" i="1" s="1"/>
  <c r="M243" i="1"/>
  <c r="L243" i="1"/>
  <c r="K243" i="1"/>
  <c r="J243" i="1"/>
  <c r="F243" i="1"/>
  <c r="T243" i="1" s="1"/>
  <c r="AB242" i="1"/>
  <c r="X242" i="1"/>
  <c r="R242" i="1"/>
  <c r="U242" i="1" s="1"/>
  <c r="N242" i="1"/>
  <c r="D242" i="1" s="1"/>
  <c r="M242" i="1"/>
  <c r="K242" i="1"/>
  <c r="F242" i="1" s="1"/>
  <c r="T242" i="1" s="1"/>
  <c r="J242" i="1"/>
  <c r="AB241" i="1"/>
  <c r="X241" i="1"/>
  <c r="R241" i="1"/>
  <c r="U241" i="1" s="1"/>
  <c r="N241" i="1"/>
  <c r="D241" i="1" s="1"/>
  <c r="M241" i="1"/>
  <c r="L241" i="1"/>
  <c r="K241" i="1"/>
  <c r="F241" i="1" s="1"/>
  <c r="T241" i="1" s="1"/>
  <c r="J241" i="1"/>
  <c r="BC240" i="1"/>
  <c r="AR240" i="1"/>
  <c r="AS240" i="1" s="1"/>
  <c r="AU240" i="1" s="1"/>
  <c r="BA240" i="1" s="1"/>
  <c r="AJ240" i="1"/>
  <c r="AB240" i="1"/>
  <c r="X240" i="1"/>
  <c r="U240" i="1"/>
  <c r="R240" i="1"/>
  <c r="N240" i="1"/>
  <c r="M240" i="1"/>
  <c r="K240" i="1"/>
  <c r="L239" i="1" s="1"/>
  <c r="J240" i="1"/>
  <c r="D240" i="1"/>
  <c r="BC239" i="1"/>
  <c r="AR239" i="1"/>
  <c r="AS239" i="1" s="1"/>
  <c r="AU239" i="1" s="1"/>
  <c r="BA239" i="1" s="1"/>
  <c r="AJ239" i="1"/>
  <c r="AB239" i="1"/>
  <c r="X239" i="1"/>
  <c r="T239" i="1"/>
  <c r="R239" i="1"/>
  <c r="U239" i="1" s="1"/>
  <c r="AF239" i="1" s="1"/>
  <c r="N239" i="1"/>
  <c r="M239" i="1"/>
  <c r="K239" i="1"/>
  <c r="L238" i="1" s="1"/>
  <c r="J239" i="1"/>
  <c r="F239" i="1"/>
  <c r="D239" i="1"/>
  <c r="BC238" i="1"/>
  <c r="AR238" i="1"/>
  <c r="AS238" i="1" s="1"/>
  <c r="AU238" i="1" s="1"/>
  <c r="AJ238" i="1"/>
  <c r="AB238" i="1"/>
  <c r="X238" i="1"/>
  <c r="R238" i="1"/>
  <c r="U238" i="1" s="1"/>
  <c r="AF238" i="1" s="1"/>
  <c r="N238" i="1"/>
  <c r="M238" i="1"/>
  <c r="K238" i="1"/>
  <c r="L237" i="1" s="1"/>
  <c r="J238" i="1"/>
  <c r="F238" i="1"/>
  <c r="T238" i="1" s="1"/>
  <c r="D238" i="1"/>
  <c r="AE238" i="1" s="1"/>
  <c r="BC237" i="1"/>
  <c r="AS237" i="1"/>
  <c r="AU237" i="1" s="1"/>
  <c r="AR237" i="1"/>
  <c r="AJ237" i="1"/>
  <c r="AB237" i="1"/>
  <c r="X237" i="1"/>
  <c r="R237" i="1"/>
  <c r="U237" i="1" s="1"/>
  <c r="AF237" i="1" s="1"/>
  <c r="AE237" i="1"/>
  <c r="N237" i="1"/>
  <c r="D237" i="1" s="1"/>
  <c r="P237" i="1" s="1"/>
  <c r="M237" i="1"/>
  <c r="K237" i="1"/>
  <c r="J237" i="1"/>
  <c r="F237" i="1"/>
  <c r="T237" i="1" s="1"/>
  <c r="BC236" i="1"/>
  <c r="AR236" i="1"/>
  <c r="AS236" i="1" s="1"/>
  <c r="AU236" i="1" s="1"/>
  <c r="AJ236" i="1"/>
  <c r="AF236" i="1"/>
  <c r="AB236" i="1"/>
  <c r="X236" i="1"/>
  <c r="R236" i="1"/>
  <c r="U236" i="1" s="1"/>
  <c r="N236" i="1"/>
  <c r="D236" i="1" s="1"/>
  <c r="AE236" i="1" s="1"/>
  <c r="M236" i="1"/>
  <c r="L236" i="1"/>
  <c r="K236" i="1"/>
  <c r="J236" i="1"/>
  <c r="F236" i="1"/>
  <c r="T236" i="1" s="1"/>
  <c r="BC235" i="1"/>
  <c r="AR235" i="1"/>
  <c r="AS235" i="1" s="1"/>
  <c r="AU235" i="1" s="1"/>
  <c r="AJ235" i="1"/>
  <c r="AB235" i="1"/>
  <c r="X235" i="1"/>
  <c r="R235" i="1"/>
  <c r="U235" i="1" s="1"/>
  <c r="AF235" i="1" s="1"/>
  <c r="N235" i="1"/>
  <c r="D235" i="1" s="1"/>
  <c r="M235" i="1"/>
  <c r="K235" i="1"/>
  <c r="F235" i="1" s="1"/>
  <c r="T235" i="1" s="1"/>
  <c r="J235" i="1"/>
  <c r="BC234" i="1"/>
  <c r="AR234" i="1"/>
  <c r="AS234" i="1" s="1"/>
  <c r="AU234" i="1" s="1"/>
  <c r="BA234" i="1" s="1"/>
  <c r="AJ234" i="1"/>
  <c r="AB234" i="1"/>
  <c r="X234" i="1"/>
  <c r="U234" i="1"/>
  <c r="T234" i="1"/>
  <c r="R234" i="1"/>
  <c r="N234" i="1"/>
  <c r="M234" i="1"/>
  <c r="L234" i="1"/>
  <c r="K234" i="1"/>
  <c r="J234" i="1"/>
  <c r="F234" i="1"/>
  <c r="D234" i="1"/>
  <c r="BC233" i="1"/>
  <c r="BA233" i="1"/>
  <c r="AY233" i="1"/>
  <c r="AR233" i="1"/>
  <c r="AS233" i="1" s="1"/>
  <c r="AU233" i="1" s="1"/>
  <c r="AJ233" i="1"/>
  <c r="AB233" i="1"/>
  <c r="X233" i="1"/>
  <c r="R233" i="1"/>
  <c r="U233" i="1" s="1"/>
  <c r="N233" i="1"/>
  <c r="M233" i="1"/>
  <c r="K233" i="1"/>
  <c r="L232" i="1" s="1"/>
  <c r="J233" i="1"/>
  <c r="F233" i="1"/>
  <c r="T233" i="1" s="1"/>
  <c r="D233" i="1"/>
  <c r="BC232" i="1"/>
  <c r="AR232" i="1"/>
  <c r="AS232" i="1" s="1"/>
  <c r="AU232" i="1" s="1"/>
  <c r="AJ232" i="1"/>
  <c r="AB232" i="1"/>
  <c r="X232" i="1"/>
  <c r="T232" i="1"/>
  <c r="R232" i="1"/>
  <c r="U232" i="1" s="1"/>
  <c r="N232" i="1"/>
  <c r="M232" i="1"/>
  <c r="K232" i="1"/>
  <c r="L231" i="1" s="1"/>
  <c r="J232" i="1"/>
  <c r="F232" i="1"/>
  <c r="D232" i="1"/>
  <c r="AE232" i="1" s="1"/>
  <c r="BC231" i="1"/>
  <c r="AS231" i="1"/>
  <c r="AU231" i="1" s="1"/>
  <c r="AR231" i="1"/>
  <c r="AJ231" i="1"/>
  <c r="AB231" i="1"/>
  <c r="X231" i="1"/>
  <c r="R231" i="1"/>
  <c r="U231" i="1" s="1"/>
  <c r="AF231" i="1" s="1"/>
  <c r="AE231" i="1"/>
  <c r="P231" i="1"/>
  <c r="N231" i="1"/>
  <c r="D231" i="1" s="1"/>
  <c r="M231" i="1"/>
  <c r="K231" i="1"/>
  <c r="J231" i="1"/>
  <c r="F231" i="1"/>
  <c r="T231" i="1" s="1"/>
  <c r="BC230" i="1"/>
  <c r="AR230" i="1"/>
  <c r="AS230" i="1" s="1"/>
  <c r="AU230" i="1" s="1"/>
  <c r="AJ230" i="1"/>
  <c r="AF230" i="1"/>
  <c r="AB230" i="1"/>
  <c r="X230" i="1"/>
  <c r="R230" i="1"/>
  <c r="U230" i="1" s="1"/>
  <c r="N230" i="1"/>
  <c r="D230" i="1" s="1"/>
  <c r="AE230" i="1" s="1"/>
  <c r="M230" i="1"/>
  <c r="L230" i="1"/>
  <c r="K230" i="1"/>
  <c r="J230" i="1"/>
  <c r="F230" i="1"/>
  <c r="T230" i="1" s="1"/>
  <c r="BC229" i="1"/>
  <c r="AR229" i="1"/>
  <c r="AS229" i="1" s="1"/>
  <c r="AU229" i="1" s="1"/>
  <c r="AJ229" i="1"/>
  <c r="AB229" i="1"/>
  <c r="X229" i="1"/>
  <c r="U229" i="1"/>
  <c r="R229" i="1"/>
  <c r="AE229" i="1"/>
  <c r="P229" i="1"/>
  <c r="N229" i="1"/>
  <c r="D229" i="1" s="1"/>
  <c r="M229" i="1"/>
  <c r="K229" i="1"/>
  <c r="F229" i="1" s="1"/>
  <c r="T229" i="1" s="1"/>
  <c r="J229" i="1"/>
  <c r="BC228" i="1"/>
  <c r="AR228" i="1"/>
  <c r="AS228" i="1" s="1"/>
  <c r="AU228" i="1" s="1"/>
  <c r="AJ228" i="1"/>
  <c r="AB228" i="1"/>
  <c r="X228" i="1"/>
  <c r="U228" i="1"/>
  <c r="AF229" i="1" s="1"/>
  <c r="T228" i="1"/>
  <c r="R228" i="1"/>
  <c r="AE228" i="1"/>
  <c r="N228" i="1"/>
  <c r="M228" i="1"/>
  <c r="K228" i="1"/>
  <c r="L227" i="1" s="1"/>
  <c r="J228" i="1"/>
  <c r="F228" i="1"/>
  <c r="D228" i="1"/>
  <c r="P228" i="1" s="1"/>
  <c r="BC227" i="1"/>
  <c r="AR227" i="1"/>
  <c r="AS227" i="1" s="1"/>
  <c r="AU227" i="1" s="1"/>
  <c r="BA227" i="1" s="1"/>
  <c r="AJ227" i="1"/>
  <c r="AB227" i="1"/>
  <c r="X227" i="1"/>
  <c r="T227" i="1"/>
  <c r="R227" i="1"/>
  <c r="U227" i="1" s="1"/>
  <c r="N227" i="1"/>
  <c r="M227" i="1"/>
  <c r="K227" i="1"/>
  <c r="J227" i="1"/>
  <c r="F227" i="1"/>
  <c r="D227" i="1"/>
  <c r="BC226" i="1"/>
  <c r="AR226" i="1"/>
  <c r="AS226" i="1" s="1"/>
  <c r="AU226" i="1" s="1"/>
  <c r="AJ226" i="1"/>
  <c r="AB226" i="1"/>
  <c r="X226" i="1"/>
  <c r="T226" i="1"/>
  <c r="R226" i="1"/>
  <c r="U226" i="1" s="1"/>
  <c r="AF226" i="1" s="1"/>
  <c r="N226" i="1"/>
  <c r="M226" i="1"/>
  <c r="K226" i="1"/>
  <c r="L225" i="1" s="1"/>
  <c r="J226" i="1"/>
  <c r="F226" i="1"/>
  <c r="D226" i="1"/>
  <c r="AE226" i="1" s="1"/>
  <c r="BC225" i="1"/>
  <c r="AR225" i="1"/>
  <c r="AS225" i="1" s="1"/>
  <c r="AU225" i="1" s="1"/>
  <c r="AJ225" i="1"/>
  <c r="AB225" i="1"/>
  <c r="X225" i="1"/>
  <c r="R225" i="1"/>
  <c r="U225" i="1" s="1"/>
  <c r="AF225" i="1" s="1"/>
  <c r="P225" i="1"/>
  <c r="N225" i="1"/>
  <c r="M225" i="1"/>
  <c r="K225" i="1"/>
  <c r="L224" i="1" s="1"/>
  <c r="J225" i="1"/>
  <c r="F225" i="1"/>
  <c r="T225" i="1" s="1"/>
  <c r="D225" i="1"/>
  <c r="BC224" i="1"/>
  <c r="AU224" i="1"/>
  <c r="BA224" i="1" s="1"/>
  <c r="AS224" i="1"/>
  <c r="AR224" i="1"/>
  <c r="AJ224" i="1"/>
  <c r="AB224" i="1"/>
  <c r="X224" i="1"/>
  <c r="T224" i="1"/>
  <c r="R224" i="1"/>
  <c r="U224" i="1" s="1"/>
  <c r="N224" i="1"/>
  <c r="D224" i="1" s="1"/>
  <c r="M224" i="1"/>
  <c r="K224" i="1"/>
  <c r="J224" i="1"/>
  <c r="F224" i="1"/>
  <c r="BC223" i="1"/>
  <c r="AR223" i="1"/>
  <c r="AS223" i="1" s="1"/>
  <c r="AU223" i="1" s="1"/>
  <c r="AJ223" i="1"/>
  <c r="AB223" i="1"/>
  <c r="X223" i="1"/>
  <c r="R223" i="1"/>
  <c r="U223" i="1" s="1"/>
  <c r="N223" i="1"/>
  <c r="D223" i="1" s="1"/>
  <c r="M223" i="1"/>
  <c r="L223" i="1"/>
  <c r="K223" i="1"/>
  <c r="J223" i="1"/>
  <c r="F223" i="1"/>
  <c r="T223" i="1" s="1"/>
  <c r="BC222" i="1"/>
  <c r="AR222" i="1"/>
  <c r="AS222" i="1" s="1"/>
  <c r="AU222" i="1" s="1"/>
  <c r="AJ222" i="1"/>
  <c r="AB222" i="1"/>
  <c r="X222" i="1"/>
  <c r="R222" i="1"/>
  <c r="U222" i="1" s="1"/>
  <c r="N222" i="1"/>
  <c r="D222" i="1" s="1"/>
  <c r="M222" i="1"/>
  <c r="K222" i="1"/>
  <c r="F222" i="1" s="1"/>
  <c r="T222" i="1" s="1"/>
  <c r="J222" i="1"/>
  <c r="BC221" i="1"/>
  <c r="AR221" i="1"/>
  <c r="AS221" i="1" s="1"/>
  <c r="AU221" i="1" s="1"/>
  <c r="AJ221" i="1"/>
  <c r="AB221" i="1"/>
  <c r="X221" i="1"/>
  <c r="U221" i="1"/>
  <c r="AF221" i="1" s="1"/>
  <c r="R221" i="1"/>
  <c r="N221" i="1"/>
  <c r="D221" i="1" s="1"/>
  <c r="AE221" i="1" s="1"/>
  <c r="M221" i="1"/>
  <c r="K221" i="1"/>
  <c r="J221" i="1"/>
  <c r="F221" i="1"/>
  <c r="T221" i="1" s="1"/>
  <c r="BC220" i="1"/>
  <c r="AR220" i="1"/>
  <c r="AS220" i="1" s="1"/>
  <c r="AU220" i="1" s="1"/>
  <c r="AJ220" i="1"/>
  <c r="AB220" i="1"/>
  <c r="X220" i="1"/>
  <c r="U220" i="1"/>
  <c r="R220" i="1"/>
  <c r="N220" i="1"/>
  <c r="D220" i="1" s="1"/>
  <c r="AE220" i="1" s="1"/>
  <c r="M220" i="1"/>
  <c r="K220" i="1"/>
  <c r="L219" i="1" s="1"/>
  <c r="J220" i="1"/>
  <c r="F220" i="1"/>
  <c r="T220" i="1" s="1"/>
  <c r="BC219" i="1"/>
  <c r="AR219" i="1"/>
  <c r="AS219" i="1" s="1"/>
  <c r="AU219" i="1" s="1"/>
  <c r="AJ219" i="1"/>
  <c r="AB219" i="1"/>
  <c r="X219" i="1"/>
  <c r="T219" i="1"/>
  <c r="R219" i="1"/>
  <c r="U219" i="1" s="1"/>
  <c r="N219" i="1"/>
  <c r="D219" i="1" s="1"/>
  <c r="M219" i="1"/>
  <c r="K219" i="1"/>
  <c r="J219" i="1"/>
  <c r="F219" i="1"/>
  <c r="BC218" i="1"/>
  <c r="AR218" i="1"/>
  <c r="AS218" i="1" s="1"/>
  <c r="AU218" i="1" s="1"/>
  <c r="AJ218" i="1"/>
  <c r="AB218" i="1"/>
  <c r="X218" i="1"/>
  <c r="R218" i="1"/>
  <c r="U218" i="1" s="1"/>
  <c r="N218" i="1"/>
  <c r="D218" i="1" s="1"/>
  <c r="M218" i="1"/>
  <c r="K218" i="1"/>
  <c r="F218" i="1" s="1"/>
  <c r="T218" i="1" s="1"/>
  <c r="J218" i="1"/>
  <c r="BC217" i="1"/>
  <c r="AS217" i="1"/>
  <c r="AU217" i="1" s="1"/>
  <c r="AR217" i="1"/>
  <c r="AJ217" i="1"/>
  <c r="AB217" i="1"/>
  <c r="X217" i="1"/>
  <c r="T217" i="1"/>
  <c r="R217" i="1"/>
  <c r="U217" i="1" s="1"/>
  <c r="AF217" i="1" s="1"/>
  <c r="N217" i="1"/>
  <c r="D217" i="1" s="1"/>
  <c r="M217" i="1"/>
  <c r="K217" i="1"/>
  <c r="J217" i="1"/>
  <c r="F217" i="1"/>
  <c r="BC216" i="1"/>
  <c r="AR216" i="1"/>
  <c r="AS216" i="1" s="1"/>
  <c r="AU216" i="1" s="1"/>
  <c r="AJ216" i="1"/>
  <c r="AB216" i="1"/>
  <c r="X216" i="1"/>
  <c r="R216" i="1"/>
  <c r="U216" i="1" s="1"/>
  <c r="AF216" i="1" s="1"/>
  <c r="N216" i="1"/>
  <c r="D216" i="1" s="1"/>
  <c r="M216" i="1"/>
  <c r="L216" i="1"/>
  <c r="K216" i="1"/>
  <c r="J216" i="1"/>
  <c r="F216" i="1"/>
  <c r="T216" i="1" s="1"/>
  <c r="BC215" i="1"/>
  <c r="AR215" i="1"/>
  <c r="AS215" i="1" s="1"/>
  <c r="AU215" i="1" s="1"/>
  <c r="AJ215" i="1"/>
  <c r="AB215" i="1"/>
  <c r="X215" i="1"/>
  <c r="U215" i="1"/>
  <c r="AF215" i="1" s="1"/>
  <c r="R215" i="1"/>
  <c r="N215" i="1"/>
  <c r="D215" i="1" s="1"/>
  <c r="AE215" i="1" s="1"/>
  <c r="M215" i="1"/>
  <c r="K215" i="1"/>
  <c r="L214" i="1" s="1"/>
  <c r="J215" i="1"/>
  <c r="F215" i="1"/>
  <c r="T215" i="1" s="1"/>
  <c r="BC214" i="1"/>
  <c r="AU214" i="1"/>
  <c r="BA214" i="1" s="1"/>
  <c r="AS214" i="1"/>
  <c r="AR214" i="1"/>
  <c r="AJ214" i="1"/>
  <c r="AB214" i="1"/>
  <c r="X214" i="1"/>
  <c r="R214" i="1"/>
  <c r="U214" i="1" s="1"/>
  <c r="AF214" i="1" s="1"/>
  <c r="N214" i="1"/>
  <c r="D214" i="1" s="1"/>
  <c r="M214" i="1"/>
  <c r="K214" i="1"/>
  <c r="J214" i="1"/>
  <c r="F214" i="1"/>
  <c r="T214" i="1" s="1"/>
  <c r="BC213" i="1"/>
  <c r="AR213" i="1"/>
  <c r="AS213" i="1" s="1"/>
  <c r="AU213" i="1" s="1"/>
  <c r="AJ213" i="1"/>
  <c r="AB213" i="1"/>
  <c r="X213" i="1"/>
  <c r="U213" i="1"/>
  <c r="R213" i="1"/>
  <c r="N213" i="1"/>
  <c r="D213" i="1" s="1"/>
  <c r="M213" i="1"/>
  <c r="K213" i="1"/>
  <c r="L212" i="1" s="1"/>
  <c r="J213" i="1"/>
  <c r="BC212" i="1"/>
  <c r="AR212" i="1"/>
  <c r="AS212" i="1" s="1"/>
  <c r="AU212" i="1" s="1"/>
  <c r="AJ212" i="1"/>
  <c r="AB212" i="1"/>
  <c r="X212" i="1"/>
  <c r="R212" i="1"/>
  <c r="U212" i="1" s="1"/>
  <c r="AE212" i="1"/>
  <c r="P212" i="1"/>
  <c r="N212" i="1"/>
  <c r="M212" i="1"/>
  <c r="K212" i="1"/>
  <c r="J212" i="1"/>
  <c r="F212" i="1"/>
  <c r="T212" i="1" s="1"/>
  <c r="D212" i="1"/>
  <c r="AB211" i="1"/>
  <c r="X211" i="1"/>
  <c r="R211" i="1"/>
  <c r="U211" i="1" s="1"/>
  <c r="O211" i="1"/>
  <c r="AK211" i="1" s="1"/>
  <c r="N211" i="1"/>
  <c r="D211" i="1" s="1"/>
  <c r="M211" i="1"/>
  <c r="L211" i="1"/>
  <c r="K211" i="1"/>
  <c r="J211" i="1"/>
  <c r="F211" i="1"/>
  <c r="T211" i="1" s="1"/>
  <c r="BG3" i="1"/>
  <c r="BC45" i="1"/>
  <c r="BC74" i="1"/>
  <c r="BC161" i="1"/>
  <c r="BC162" i="1"/>
  <c r="BC163" i="1"/>
  <c r="BC164" i="1"/>
  <c r="BC165" i="1"/>
  <c r="BC166" i="1"/>
  <c r="BC167" i="1"/>
  <c r="BC168" i="1"/>
  <c r="BC169" i="1"/>
  <c r="BC170" i="1"/>
  <c r="BC171" i="1"/>
  <c r="BC172" i="1"/>
  <c r="BC173" i="1"/>
  <c r="BC174" i="1"/>
  <c r="BC175" i="1"/>
  <c r="BC176" i="1"/>
  <c r="BC177" i="1"/>
  <c r="BC178" i="1"/>
  <c r="BC179" i="1"/>
  <c r="BC180" i="1"/>
  <c r="BC181" i="1"/>
  <c r="BC182" i="1"/>
  <c r="BC183" i="1"/>
  <c r="BC184" i="1"/>
  <c r="BA45" i="1"/>
  <c r="BA74" i="1"/>
  <c r="BA163" i="1"/>
  <c r="BA165" i="1"/>
  <c r="BA166" i="1"/>
  <c r="BA167" i="1"/>
  <c r="BA168" i="1"/>
  <c r="BA169" i="1"/>
  <c r="BA170" i="1"/>
  <c r="BA171" i="1"/>
  <c r="BA172" i="1"/>
  <c r="BA173" i="1"/>
  <c r="BA174" i="1"/>
  <c r="BA175" i="1"/>
  <c r="BA176" i="1"/>
  <c r="BA177" i="1"/>
  <c r="BA178" i="1"/>
  <c r="BA179" i="1"/>
  <c r="BA180" i="1"/>
  <c r="BA181" i="1"/>
  <c r="BA182" i="1"/>
  <c r="BA183" i="1"/>
  <c r="BA184" i="1"/>
  <c r="AY45" i="1"/>
  <c r="AY74" i="1"/>
  <c r="AY163" i="1"/>
  <c r="AY165" i="1"/>
  <c r="AY166" i="1"/>
  <c r="AY167" i="1"/>
  <c r="AY168" i="1"/>
  <c r="AY169" i="1"/>
  <c r="AY170" i="1"/>
  <c r="AY171" i="1"/>
  <c r="AY172" i="1"/>
  <c r="AY173" i="1"/>
  <c r="AY174" i="1"/>
  <c r="AY175" i="1"/>
  <c r="AY176" i="1"/>
  <c r="AY177" i="1"/>
  <c r="AY178" i="1"/>
  <c r="AY179" i="1"/>
  <c r="AY180" i="1"/>
  <c r="AY181" i="1"/>
  <c r="AY182" i="1"/>
  <c r="AY183" i="1"/>
  <c r="AY184" i="1"/>
  <c r="I16" i="2"/>
  <c r="I15" i="2"/>
  <c r="AC401" i="1" s="1"/>
  <c r="I14" i="2"/>
  <c r="AU45" i="1"/>
  <c r="AU74" i="1"/>
  <c r="AU165" i="1"/>
  <c r="AU166" i="1"/>
  <c r="AU167" i="1"/>
  <c r="AU168" i="1"/>
  <c r="AU169" i="1"/>
  <c r="AU170" i="1"/>
  <c r="AU171" i="1"/>
  <c r="AU172" i="1"/>
  <c r="AU173" i="1"/>
  <c r="AU174" i="1"/>
  <c r="AU175" i="1"/>
  <c r="AU176" i="1"/>
  <c r="AU177" i="1"/>
  <c r="AU178" i="1"/>
  <c r="AU179" i="1"/>
  <c r="AU180" i="1"/>
  <c r="AU181" i="1"/>
  <c r="AU182" i="1"/>
  <c r="AU183" i="1"/>
  <c r="AU184" i="1"/>
  <c r="F53" i="3"/>
  <c r="AB5" i="3"/>
  <c r="AB6" i="3"/>
  <c r="AB7" i="3"/>
  <c r="AB8" i="3"/>
  <c r="AB9" i="3"/>
  <c r="AB10" i="3"/>
  <c r="AB11" i="3"/>
  <c r="AB12" i="3"/>
  <c r="AB13" i="3"/>
  <c r="AB14" i="3"/>
  <c r="AB15" i="3"/>
  <c r="AB16" i="3"/>
  <c r="AB17" i="3"/>
  <c r="AB18" i="3"/>
  <c r="AB19" i="3"/>
  <c r="AB4" i="3"/>
  <c r="Y5" i="3"/>
  <c r="Y6" i="3"/>
  <c r="Y7" i="3"/>
  <c r="Y8" i="3"/>
  <c r="Y9" i="3"/>
  <c r="Y10" i="3"/>
  <c r="Y11" i="3"/>
  <c r="Y12" i="3"/>
  <c r="Y13" i="3"/>
  <c r="Y14" i="3"/>
  <c r="Y15" i="3"/>
  <c r="Y16" i="3"/>
  <c r="Y17" i="3"/>
  <c r="Y18" i="3"/>
  <c r="Y19" i="3"/>
  <c r="Y20" i="3"/>
  <c r="Y21" i="3"/>
  <c r="Y22" i="3"/>
  <c r="Y23" i="3"/>
  <c r="Y24" i="3"/>
  <c r="Y25" i="3"/>
  <c r="Y26" i="3"/>
  <c r="Y27" i="3"/>
  <c r="Y28" i="3"/>
  <c r="Y29" i="3"/>
  <c r="Y30" i="3"/>
  <c r="Y31" i="3"/>
  <c r="Y32" i="3"/>
  <c r="Y33" i="3"/>
  <c r="Y34" i="3"/>
  <c r="Y35" i="3"/>
  <c r="Y36" i="3"/>
  <c r="Y37" i="3"/>
  <c r="Y38" i="3"/>
  <c r="Y39" i="3"/>
  <c r="Y40" i="3"/>
  <c r="Y41" i="3"/>
  <c r="Y42" i="3"/>
  <c r="Y43" i="3"/>
  <c r="Y44" i="3"/>
  <c r="Y45" i="3"/>
  <c r="Y46" i="3"/>
  <c r="Y47" i="3"/>
  <c r="Y48" i="3"/>
  <c r="Y49" i="3"/>
  <c r="Y50" i="3"/>
  <c r="Y51" i="3"/>
  <c r="Y52" i="3"/>
  <c r="Y53" i="3"/>
  <c r="Y54" i="3"/>
  <c r="Y55" i="3"/>
  <c r="Y56" i="3"/>
  <c r="Y57" i="3"/>
  <c r="Y58" i="3"/>
  <c r="Y59" i="3"/>
  <c r="Y60" i="3"/>
  <c r="Y61" i="3"/>
  <c r="Y62" i="3"/>
  <c r="Y4" i="3"/>
  <c r="V5" i="3"/>
  <c r="V6" i="3"/>
  <c r="V7" i="3"/>
  <c r="V8" i="3"/>
  <c r="V9" i="3"/>
  <c r="V10" i="3"/>
  <c r="V11" i="3"/>
  <c r="V12" i="3"/>
  <c r="V13" i="3"/>
  <c r="V14" i="3"/>
  <c r="V15" i="3"/>
  <c r="V16" i="3"/>
  <c r="V17" i="3"/>
  <c r="V18" i="3"/>
  <c r="V19" i="3"/>
  <c r="V20" i="3"/>
  <c r="V21" i="3"/>
  <c r="V22" i="3"/>
  <c r="V23" i="3"/>
  <c r="V24" i="3"/>
  <c r="V25" i="3"/>
  <c r="V26" i="3"/>
  <c r="V27" i="3"/>
  <c r="V28" i="3"/>
  <c r="V29" i="3"/>
  <c r="V30" i="3"/>
  <c r="V31" i="3"/>
  <c r="V32" i="3"/>
  <c r="V33" i="3"/>
  <c r="V34" i="3"/>
  <c r="V35" i="3"/>
  <c r="V36" i="3"/>
  <c r="V37" i="3"/>
  <c r="V38" i="3"/>
  <c r="V39" i="3"/>
  <c r="V40" i="3"/>
  <c r="V41" i="3"/>
  <c r="V42" i="3"/>
  <c r="V43" i="3"/>
  <c r="V44" i="3"/>
  <c r="V45" i="3"/>
  <c r="V46" i="3"/>
  <c r="V47" i="3"/>
  <c r="V48" i="3"/>
  <c r="V49" i="3"/>
  <c r="V50" i="3"/>
  <c r="V51" i="3"/>
  <c r="V52" i="3"/>
  <c r="V53" i="3"/>
  <c r="V54" i="3"/>
  <c r="V55" i="3"/>
  <c r="V56" i="3"/>
  <c r="V57" i="3"/>
  <c r="V58" i="3"/>
  <c r="V59" i="3"/>
  <c r="V60" i="3"/>
  <c r="V61" i="3"/>
  <c r="V62" i="3"/>
  <c r="V4" i="3"/>
  <c r="S5" i="3"/>
  <c r="S6" i="3"/>
  <c r="S7" i="3"/>
  <c r="S8" i="3"/>
  <c r="S9"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40" i="3"/>
  <c r="S41" i="3"/>
  <c r="S42" i="3"/>
  <c r="S43" i="3"/>
  <c r="S44" i="3"/>
  <c r="S45" i="3"/>
  <c r="S46" i="3"/>
  <c r="S47" i="3"/>
  <c r="S4" i="3"/>
  <c r="P38" i="3"/>
  <c r="P39" i="3"/>
  <c r="P40" i="3"/>
  <c r="P41" i="3"/>
  <c r="P42" i="3"/>
  <c r="P43" i="3"/>
  <c r="P44" i="3"/>
  <c r="P45" i="3"/>
  <c r="P46" i="3"/>
  <c r="P47" i="3"/>
  <c r="P48" i="3"/>
  <c r="P49" i="3"/>
  <c r="P50" i="3"/>
  <c r="P51" i="3"/>
  <c r="P52" i="3"/>
  <c r="P53" i="3"/>
  <c r="P54" i="3"/>
  <c r="P55" i="3"/>
  <c r="P56" i="3"/>
  <c r="P57" i="3"/>
  <c r="P58" i="3"/>
  <c r="P59" i="3"/>
  <c r="P60" i="3"/>
  <c r="P61" i="3"/>
  <c r="P5" i="3"/>
  <c r="P6" i="3"/>
  <c r="P7" i="3"/>
  <c r="P8" i="3"/>
  <c r="P9" i="3"/>
  <c r="P10" i="3"/>
  <c r="P11" i="3"/>
  <c r="P12" i="3"/>
  <c r="P13" i="3"/>
  <c r="P14" i="3"/>
  <c r="P15" i="3"/>
  <c r="P16" i="3"/>
  <c r="P17" i="3"/>
  <c r="P18" i="3"/>
  <c r="P19" i="3"/>
  <c r="P20" i="3"/>
  <c r="P21" i="3"/>
  <c r="P22" i="3"/>
  <c r="P23" i="3"/>
  <c r="P24" i="3"/>
  <c r="P25" i="3"/>
  <c r="P26" i="3"/>
  <c r="P27" i="3"/>
  <c r="P28" i="3"/>
  <c r="P29" i="3"/>
  <c r="P30" i="3"/>
  <c r="P31" i="3"/>
  <c r="P32" i="3"/>
  <c r="P33" i="3"/>
  <c r="P34" i="3"/>
  <c r="P35" i="3"/>
  <c r="P36" i="3"/>
  <c r="P37" i="3"/>
  <c r="P4" i="3"/>
  <c r="J5" i="3"/>
  <c r="J6" i="3"/>
  <c r="J7" i="3"/>
  <c r="J8" i="3"/>
  <c r="J9" i="3"/>
  <c r="J10" i="3"/>
  <c r="J11" i="3"/>
  <c r="J12" i="3"/>
  <c r="J13" i="3"/>
  <c r="J14" i="3"/>
  <c r="J15" i="3"/>
  <c r="J16" i="3"/>
  <c r="J17" i="3"/>
  <c r="J18" i="3"/>
  <c r="J19" i="3"/>
  <c r="J20" i="3"/>
  <c r="J21" i="3"/>
  <c r="J22" i="3"/>
  <c r="J23" i="3"/>
  <c r="J24" i="3"/>
  <c r="J25" i="3"/>
  <c r="J26" i="3"/>
  <c r="J27" i="3"/>
  <c r="J28" i="3"/>
  <c r="J29" i="3"/>
  <c r="J30" i="3"/>
  <c r="J4" i="3"/>
  <c r="M5" i="3"/>
  <c r="M6" i="3"/>
  <c r="M7" i="3"/>
  <c r="M8" i="3"/>
  <c r="M9" i="3"/>
  <c r="M10" i="3"/>
  <c r="M11" i="3"/>
  <c r="M12" i="3"/>
  <c r="M13" i="3"/>
  <c r="M14" i="3"/>
  <c r="M15" i="3"/>
  <c r="M16" i="3"/>
  <c r="M17" i="3"/>
  <c r="M18" i="3"/>
  <c r="M19" i="3"/>
  <c r="M20" i="3"/>
  <c r="M21" i="3"/>
  <c r="M22" i="3"/>
  <c r="M23" i="3"/>
  <c r="M24" i="3"/>
  <c r="M25" i="3"/>
  <c r="M26" i="3"/>
  <c r="M27" i="3"/>
  <c r="M28" i="3"/>
  <c r="M29" i="3"/>
  <c r="M30" i="3"/>
  <c r="M4" i="3"/>
  <c r="G28" i="3"/>
  <c r="G5" i="3"/>
  <c r="G6" i="3"/>
  <c r="G7" i="3"/>
  <c r="G8" i="3"/>
  <c r="G9" i="3"/>
  <c r="G10" i="3"/>
  <c r="G11" i="3"/>
  <c r="G12" i="3"/>
  <c r="G13" i="3"/>
  <c r="G14" i="3"/>
  <c r="G15" i="3"/>
  <c r="G16" i="3"/>
  <c r="G17" i="3"/>
  <c r="G18" i="3"/>
  <c r="G19" i="3"/>
  <c r="G20" i="3"/>
  <c r="G21" i="3"/>
  <c r="G22" i="3"/>
  <c r="G23" i="3"/>
  <c r="G24" i="3"/>
  <c r="G25" i="3"/>
  <c r="G26" i="3"/>
  <c r="G27" i="3"/>
  <c r="G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4" i="3"/>
  <c r="A5" i="3"/>
  <c r="A6" i="3"/>
  <c r="A7" i="3"/>
  <c r="A8" i="3"/>
  <c r="A9" i="3"/>
  <c r="A10" i="3"/>
  <c r="A11" i="3"/>
  <c r="A12" i="3"/>
  <c r="A13" i="3"/>
  <c r="A14" i="3"/>
  <c r="A15" i="3"/>
  <c r="A16" i="3"/>
  <c r="A17" i="3"/>
  <c r="A18" i="3"/>
  <c r="A19" i="3"/>
  <c r="A20" i="3"/>
  <c r="A21" i="3"/>
  <c r="A22" i="3"/>
  <c r="A4" i="3"/>
  <c r="AR45" i="1"/>
  <c r="AR74" i="1"/>
  <c r="AR161" i="1"/>
  <c r="AS161" i="1" s="1"/>
  <c r="AR162" i="1"/>
  <c r="AS162" i="1" s="1"/>
  <c r="AU162" i="1" s="1"/>
  <c r="AR163" i="1"/>
  <c r="AR164" i="1"/>
  <c r="AR165" i="1"/>
  <c r="AR166" i="1"/>
  <c r="AR167" i="1"/>
  <c r="AR168" i="1"/>
  <c r="AR169" i="1"/>
  <c r="AR170" i="1"/>
  <c r="AR171" i="1"/>
  <c r="AR172" i="1"/>
  <c r="AR173" i="1"/>
  <c r="AR174" i="1"/>
  <c r="AR175" i="1"/>
  <c r="AR176" i="1"/>
  <c r="AR177" i="1"/>
  <c r="AR178" i="1"/>
  <c r="AR179" i="1"/>
  <c r="AR180" i="1"/>
  <c r="AR181" i="1"/>
  <c r="AR182" i="1"/>
  <c r="AR183" i="1"/>
  <c r="AR184" i="1"/>
  <c r="AS45" i="1"/>
  <c r="AS74" i="1"/>
  <c r="AS163" i="1"/>
  <c r="AS164" i="1"/>
  <c r="AU164" i="1" s="1"/>
  <c r="AS165" i="1"/>
  <c r="AS166" i="1"/>
  <c r="AS167" i="1"/>
  <c r="AS168" i="1"/>
  <c r="AS169" i="1"/>
  <c r="AS170" i="1"/>
  <c r="AS171" i="1"/>
  <c r="AS172" i="1"/>
  <c r="AS173" i="1"/>
  <c r="AS174" i="1"/>
  <c r="AS175" i="1"/>
  <c r="AS176" i="1"/>
  <c r="AS177" i="1"/>
  <c r="AS178" i="1"/>
  <c r="AS179" i="1"/>
  <c r="AS180" i="1"/>
  <c r="AS181" i="1"/>
  <c r="AS182" i="1"/>
  <c r="AS183" i="1"/>
  <c r="AS184" i="1"/>
  <c r="Z74" i="1"/>
  <c r="AJ161" i="1"/>
  <c r="AJ180" i="1"/>
  <c r="AJ181" i="1"/>
  <c r="AJ182" i="1"/>
  <c r="AJ183" i="1"/>
  <c r="AJ184" i="1"/>
  <c r="AJ2" i="1"/>
  <c r="C31" i="2"/>
  <c r="AK207" i="1"/>
  <c r="AK208" i="1"/>
  <c r="AK209" i="1"/>
  <c r="AK210" i="1"/>
  <c r="AK268" i="1"/>
  <c r="AK269" i="1"/>
  <c r="AK270" i="1"/>
  <c r="AK271" i="1"/>
  <c r="AK272" i="1"/>
  <c r="AK273" i="1"/>
  <c r="AK321" i="1"/>
  <c r="AK322" i="1"/>
  <c r="AK323" i="1"/>
  <c r="AK324" i="1"/>
  <c r="AK325" i="1"/>
  <c r="AK326" i="1"/>
  <c r="AK374" i="1"/>
  <c r="AK375" i="1"/>
  <c r="AK376" i="1"/>
  <c r="AK377" i="1"/>
  <c r="AK378" i="1"/>
  <c r="AK379" i="1"/>
  <c r="AK380" i="1"/>
  <c r="AK381" i="1"/>
  <c r="AK382" i="1"/>
  <c r="AK383" i="1"/>
  <c r="AK384" i="1"/>
  <c r="AK432" i="1"/>
  <c r="AK433" i="1"/>
  <c r="AK434" i="1"/>
  <c r="AK435" i="1"/>
  <c r="AK483" i="1"/>
  <c r="AK484" i="1"/>
  <c r="AK485" i="1"/>
  <c r="AK486" i="1"/>
  <c r="AK487" i="1"/>
  <c r="AK488" i="1"/>
  <c r="AK489" i="1"/>
  <c r="AE48" i="1"/>
  <c r="AQ48" i="1" s="1"/>
  <c r="AE49" i="1"/>
  <c r="AQ49" i="1" s="1"/>
  <c r="BH49" i="1" s="1"/>
  <c r="AE50" i="1"/>
  <c r="AQ50" i="1" s="1"/>
  <c r="AE51" i="1"/>
  <c r="AQ51" i="1" s="1"/>
  <c r="AE52" i="1"/>
  <c r="AQ52" i="1" s="1"/>
  <c r="AE118" i="1"/>
  <c r="AE119" i="1"/>
  <c r="AE120" i="1"/>
  <c r="AE121" i="1"/>
  <c r="AE122" i="1"/>
  <c r="AE123" i="1"/>
  <c r="AE124" i="1"/>
  <c r="AE125" i="1"/>
  <c r="AE126" i="1"/>
  <c r="AE127" i="1"/>
  <c r="AE128" i="1"/>
  <c r="AE129" i="1"/>
  <c r="AE130" i="1"/>
  <c r="AE131" i="1"/>
  <c r="AE132" i="1"/>
  <c r="AE141" i="1"/>
  <c r="AE432" i="1"/>
  <c r="AQ432" i="1" s="1"/>
  <c r="AE433" i="1"/>
  <c r="AE434" i="1"/>
  <c r="AE435" i="1"/>
  <c r="AC2" i="1"/>
  <c r="AE2" i="1" s="1"/>
  <c r="Z3" i="1" s="1"/>
  <c r="BC3" i="1" s="1"/>
  <c r="AB4" i="1"/>
  <c r="AB5" i="1"/>
  <c r="AB6" i="1"/>
  <c r="AB7" i="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68" i="1"/>
  <c r="AB269" i="1"/>
  <c r="AB270" i="1"/>
  <c r="AB271" i="1"/>
  <c r="AB272" i="1"/>
  <c r="AB273" i="1"/>
  <c r="AB321" i="1"/>
  <c r="AB322" i="1"/>
  <c r="AB323" i="1"/>
  <c r="AB324" i="1"/>
  <c r="AB325" i="1"/>
  <c r="AB326" i="1"/>
  <c r="AB374" i="1"/>
  <c r="AB375" i="1"/>
  <c r="AB376" i="1"/>
  <c r="AB377" i="1"/>
  <c r="AB378" i="1"/>
  <c r="AB379" i="1"/>
  <c r="AB380" i="1"/>
  <c r="AB381" i="1"/>
  <c r="AB382" i="1"/>
  <c r="AB383" i="1"/>
  <c r="AB384" i="1"/>
  <c r="AB432" i="1"/>
  <c r="AB433" i="1"/>
  <c r="AB434" i="1"/>
  <c r="AB435" i="1"/>
  <c r="AB483" i="1"/>
  <c r="AB484" i="1"/>
  <c r="AB485" i="1"/>
  <c r="AB486" i="1"/>
  <c r="AB487" i="1"/>
  <c r="AB488" i="1"/>
  <c r="AB489" i="1"/>
  <c r="AB3" i="1"/>
  <c r="X3" i="1"/>
  <c r="X4" i="1"/>
  <c r="X5" i="1"/>
  <c r="X6" i="1"/>
  <c r="X7" i="1"/>
  <c r="X8" i="1"/>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53" i="1"/>
  <c r="X54" i="1"/>
  <c r="X55" i="1"/>
  <c r="X56" i="1"/>
  <c r="X57" i="1"/>
  <c r="X58" i="1"/>
  <c r="X59" i="1"/>
  <c r="X60" i="1"/>
  <c r="X61" i="1"/>
  <c r="X62" i="1"/>
  <c r="X63" i="1"/>
  <c r="X64" i="1"/>
  <c r="X65" i="1"/>
  <c r="X66" i="1"/>
  <c r="X67" i="1"/>
  <c r="X68" i="1"/>
  <c r="X69" i="1"/>
  <c r="X70" i="1"/>
  <c r="X71" i="1"/>
  <c r="X72" i="1"/>
  <c r="X73" i="1"/>
  <c r="X74"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33" i="1"/>
  <c r="X134" i="1"/>
  <c r="X135" i="1"/>
  <c r="X136" i="1"/>
  <c r="X137" i="1"/>
  <c r="X138" i="1"/>
  <c r="X139" i="1"/>
  <c r="X140"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68" i="1"/>
  <c r="X269" i="1"/>
  <c r="X270" i="1"/>
  <c r="X271" i="1"/>
  <c r="X272" i="1"/>
  <c r="X273" i="1"/>
  <c r="X321" i="1"/>
  <c r="X322" i="1"/>
  <c r="X323" i="1"/>
  <c r="X324" i="1"/>
  <c r="X325" i="1"/>
  <c r="X326" i="1"/>
  <c r="X374" i="1"/>
  <c r="X375" i="1"/>
  <c r="X376" i="1"/>
  <c r="X377" i="1"/>
  <c r="X378" i="1"/>
  <c r="X379" i="1"/>
  <c r="X380" i="1"/>
  <c r="X381" i="1"/>
  <c r="X382" i="1"/>
  <c r="X383" i="1"/>
  <c r="X384" i="1"/>
  <c r="X432" i="1"/>
  <c r="X433" i="1"/>
  <c r="X434" i="1"/>
  <c r="X435" i="1"/>
  <c r="X483" i="1"/>
  <c r="X484" i="1"/>
  <c r="X485" i="1"/>
  <c r="X486" i="1"/>
  <c r="X487" i="1"/>
  <c r="X488" i="1"/>
  <c r="X489" i="1"/>
  <c r="X2" i="1"/>
  <c r="U3" i="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69" i="1"/>
  <c r="U270" i="1"/>
  <c r="U271" i="1"/>
  <c r="U272" i="1"/>
  <c r="U273" i="1"/>
  <c r="U322" i="1"/>
  <c r="U323" i="1"/>
  <c r="U324" i="1"/>
  <c r="U325" i="1"/>
  <c r="U326" i="1"/>
  <c r="U433" i="1"/>
  <c r="U484" i="1"/>
  <c r="U2" i="1"/>
  <c r="J16" i="2"/>
  <c r="J15" i="2"/>
  <c r="J14" i="2"/>
  <c r="K16" i="2"/>
  <c r="K15" i="2"/>
  <c r="K14" i="2"/>
  <c r="H16" i="2"/>
  <c r="H14" i="2"/>
  <c r="H12" i="2"/>
  <c r="H10" i="2"/>
  <c r="S3" i="2"/>
  <c r="S4" i="2"/>
  <c r="S5" i="2"/>
  <c r="S2" i="2"/>
  <c r="R3" i="2"/>
  <c r="R4" i="2"/>
  <c r="R5" i="2"/>
  <c r="R2" i="2"/>
  <c r="P6" i="2"/>
  <c r="T3"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68" i="1"/>
  <c r="T269" i="1"/>
  <c r="T270" i="1"/>
  <c r="T271" i="1"/>
  <c r="T272" i="1"/>
  <c r="T273" i="1"/>
  <c r="T321" i="1"/>
  <c r="T322" i="1"/>
  <c r="T323" i="1"/>
  <c r="T324" i="1"/>
  <c r="T325" i="1"/>
  <c r="T326" i="1"/>
  <c r="T374" i="1"/>
  <c r="T375" i="1"/>
  <c r="T376" i="1"/>
  <c r="T377" i="1"/>
  <c r="T378" i="1"/>
  <c r="T379" i="1"/>
  <c r="T380" i="1"/>
  <c r="T381" i="1"/>
  <c r="T382" i="1"/>
  <c r="T383" i="1"/>
  <c r="T384" i="1"/>
  <c r="T432" i="1"/>
  <c r="T433" i="1"/>
  <c r="T434" i="1"/>
  <c r="T435" i="1"/>
  <c r="T483" i="1"/>
  <c r="T484" i="1"/>
  <c r="T485" i="1"/>
  <c r="T486" i="1"/>
  <c r="T487" i="1"/>
  <c r="T488" i="1"/>
  <c r="T489" i="1"/>
  <c r="T2" i="1"/>
  <c r="O483" i="1"/>
  <c r="O484" i="1"/>
  <c r="O485" i="1"/>
  <c r="O486" i="1"/>
  <c r="O487" i="1"/>
  <c r="O488" i="1"/>
  <c r="O489" i="1"/>
  <c r="O208" i="1"/>
  <c r="O209" i="1"/>
  <c r="O210" i="1"/>
  <c r="O268" i="1"/>
  <c r="O269" i="1"/>
  <c r="O270" i="1"/>
  <c r="O271" i="1"/>
  <c r="O272" i="1"/>
  <c r="O273" i="1"/>
  <c r="O321" i="1"/>
  <c r="O322" i="1"/>
  <c r="O323" i="1"/>
  <c r="O324" i="1"/>
  <c r="O325" i="1"/>
  <c r="O326" i="1"/>
  <c r="O374" i="1"/>
  <c r="O375" i="1"/>
  <c r="O376" i="1"/>
  <c r="O377" i="1"/>
  <c r="O378" i="1"/>
  <c r="O379" i="1"/>
  <c r="O380" i="1"/>
  <c r="O381" i="1"/>
  <c r="O382" i="1"/>
  <c r="O383" i="1"/>
  <c r="O384" i="1"/>
  <c r="O432" i="1"/>
  <c r="O433" i="1"/>
  <c r="O434" i="1"/>
  <c r="O435" i="1"/>
  <c r="O207" i="1"/>
  <c r="R2" i="1"/>
  <c r="R3" i="1"/>
  <c r="R4"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68" i="1"/>
  <c r="U268" i="1" s="1"/>
  <c r="R269" i="1"/>
  <c r="R270" i="1"/>
  <c r="R271" i="1"/>
  <c r="R272" i="1"/>
  <c r="R273" i="1"/>
  <c r="R321" i="1"/>
  <c r="U321" i="1" s="1"/>
  <c r="R322" i="1"/>
  <c r="R323" i="1"/>
  <c r="R324" i="1"/>
  <c r="R325" i="1"/>
  <c r="R326" i="1"/>
  <c r="R374" i="1"/>
  <c r="U374" i="1" s="1"/>
  <c r="R375" i="1"/>
  <c r="U375" i="1" s="1"/>
  <c r="R376" i="1"/>
  <c r="U376" i="1" s="1"/>
  <c r="R377" i="1"/>
  <c r="U377" i="1" s="1"/>
  <c r="R378" i="1"/>
  <c r="U378" i="1" s="1"/>
  <c r="R379" i="1"/>
  <c r="U379" i="1" s="1"/>
  <c r="R380" i="1"/>
  <c r="U380" i="1" s="1"/>
  <c r="R381" i="1"/>
  <c r="U381" i="1" s="1"/>
  <c r="R382" i="1"/>
  <c r="U382" i="1" s="1"/>
  <c r="R383" i="1"/>
  <c r="U383" i="1" s="1"/>
  <c r="R384" i="1"/>
  <c r="U384" i="1" s="1"/>
  <c r="R432" i="1"/>
  <c r="U432" i="1" s="1"/>
  <c r="R433" i="1"/>
  <c r="R434" i="1"/>
  <c r="U434" i="1" s="1"/>
  <c r="R435" i="1"/>
  <c r="U435" i="1" s="1"/>
  <c r="R483" i="1"/>
  <c r="U483" i="1" s="1"/>
  <c r="R484" i="1"/>
  <c r="R485" i="1"/>
  <c r="U485" i="1" s="1"/>
  <c r="R486" i="1"/>
  <c r="U486" i="1" s="1"/>
  <c r="R487" i="1"/>
  <c r="U487" i="1" s="1"/>
  <c r="R488" i="1"/>
  <c r="U488" i="1" s="1"/>
  <c r="R489" i="1"/>
  <c r="U489" i="1" s="1"/>
  <c r="K3" i="1"/>
  <c r="K4" i="1"/>
  <c r="K5" i="1"/>
  <c r="K6" i="1"/>
  <c r="K7" i="1"/>
  <c r="K8" i="1"/>
  <c r="K9" i="1"/>
  <c r="F9" i="1" s="1"/>
  <c r="K10" i="1"/>
  <c r="K11" i="1"/>
  <c r="K12" i="1"/>
  <c r="K13" i="1"/>
  <c r="K14" i="1"/>
  <c r="K15" i="1"/>
  <c r="K16" i="1"/>
  <c r="K17" i="1"/>
  <c r="K18" i="1"/>
  <c r="K19" i="1"/>
  <c r="K20" i="1"/>
  <c r="K21" i="1"/>
  <c r="F21" i="1" s="1"/>
  <c r="K22" i="1"/>
  <c r="K23" i="1"/>
  <c r="K24" i="1"/>
  <c r="K25" i="1"/>
  <c r="K26" i="1"/>
  <c r="K27" i="1"/>
  <c r="K28" i="1"/>
  <c r="K29" i="1"/>
  <c r="K30" i="1"/>
  <c r="K31" i="1"/>
  <c r="K32" i="1"/>
  <c r="K33" i="1"/>
  <c r="F33" i="1" s="1"/>
  <c r="K34" i="1"/>
  <c r="K35" i="1"/>
  <c r="K36" i="1"/>
  <c r="K37" i="1"/>
  <c r="K38" i="1"/>
  <c r="K39" i="1"/>
  <c r="K40" i="1"/>
  <c r="K41" i="1"/>
  <c r="K42" i="1"/>
  <c r="K43" i="1"/>
  <c r="K44" i="1"/>
  <c r="K45" i="1"/>
  <c r="F45" i="1" s="1"/>
  <c r="K46" i="1"/>
  <c r="K47" i="1"/>
  <c r="K48" i="1"/>
  <c r="K49" i="1"/>
  <c r="K50" i="1"/>
  <c r="K51" i="1"/>
  <c r="K52" i="1"/>
  <c r="K53" i="1"/>
  <c r="K54" i="1"/>
  <c r="K55" i="1"/>
  <c r="K56" i="1"/>
  <c r="K57" i="1"/>
  <c r="F57" i="1" s="1"/>
  <c r="K58" i="1"/>
  <c r="K59" i="1"/>
  <c r="K60" i="1"/>
  <c r="K61" i="1"/>
  <c r="K62" i="1"/>
  <c r="K63" i="1"/>
  <c r="K64" i="1"/>
  <c r="K65" i="1"/>
  <c r="K66" i="1"/>
  <c r="K67" i="1"/>
  <c r="K68" i="1"/>
  <c r="K69" i="1"/>
  <c r="F69" i="1" s="1"/>
  <c r="K70" i="1"/>
  <c r="K71" i="1"/>
  <c r="K72" i="1"/>
  <c r="K73" i="1"/>
  <c r="K74" i="1"/>
  <c r="K75" i="1"/>
  <c r="K76" i="1"/>
  <c r="K77" i="1"/>
  <c r="K78" i="1"/>
  <c r="K79" i="1"/>
  <c r="K80" i="1"/>
  <c r="K81" i="1"/>
  <c r="F81" i="1" s="1"/>
  <c r="K82" i="1"/>
  <c r="K83" i="1"/>
  <c r="K84" i="1"/>
  <c r="K85" i="1"/>
  <c r="K86" i="1"/>
  <c r="K87" i="1"/>
  <c r="K88" i="1"/>
  <c r="K89" i="1"/>
  <c r="K90" i="1"/>
  <c r="K91" i="1"/>
  <c r="K92" i="1"/>
  <c r="K93" i="1"/>
  <c r="F93" i="1" s="1"/>
  <c r="K94" i="1"/>
  <c r="K95" i="1"/>
  <c r="K96" i="1"/>
  <c r="K97" i="1"/>
  <c r="K98" i="1"/>
  <c r="K99" i="1"/>
  <c r="K100" i="1"/>
  <c r="K101" i="1"/>
  <c r="K102" i="1"/>
  <c r="K103" i="1"/>
  <c r="K104" i="1"/>
  <c r="K105" i="1"/>
  <c r="F105" i="1" s="1"/>
  <c r="K106" i="1"/>
  <c r="K107" i="1"/>
  <c r="K108" i="1"/>
  <c r="K109" i="1"/>
  <c r="K110" i="1"/>
  <c r="K111" i="1"/>
  <c r="K112" i="1"/>
  <c r="K113" i="1"/>
  <c r="K114" i="1"/>
  <c r="K115" i="1"/>
  <c r="K116" i="1"/>
  <c r="K117" i="1"/>
  <c r="F117" i="1" s="1"/>
  <c r="K118" i="1"/>
  <c r="K119" i="1"/>
  <c r="K120" i="1"/>
  <c r="K121" i="1"/>
  <c r="K122" i="1"/>
  <c r="K123" i="1"/>
  <c r="K124" i="1"/>
  <c r="K125" i="1"/>
  <c r="K126" i="1"/>
  <c r="K127" i="1"/>
  <c r="K128" i="1"/>
  <c r="K129" i="1"/>
  <c r="F129" i="1" s="1"/>
  <c r="K130" i="1"/>
  <c r="K131" i="1"/>
  <c r="K132" i="1"/>
  <c r="K133" i="1"/>
  <c r="K134" i="1"/>
  <c r="K135" i="1"/>
  <c r="K136" i="1"/>
  <c r="K137" i="1"/>
  <c r="K138" i="1"/>
  <c r="K139" i="1"/>
  <c r="K140" i="1"/>
  <c r="K141" i="1"/>
  <c r="F141" i="1" s="1"/>
  <c r="K142" i="1"/>
  <c r="K143" i="1"/>
  <c r="K144" i="1"/>
  <c r="K145" i="1"/>
  <c r="K146" i="1"/>
  <c r="K147" i="1"/>
  <c r="K148" i="1"/>
  <c r="K149" i="1"/>
  <c r="K150" i="1"/>
  <c r="K151" i="1"/>
  <c r="K152" i="1"/>
  <c r="K153" i="1"/>
  <c r="F153" i="1" s="1"/>
  <c r="K154" i="1"/>
  <c r="K155" i="1"/>
  <c r="K156" i="1"/>
  <c r="K157" i="1"/>
  <c r="K158" i="1"/>
  <c r="K159" i="1"/>
  <c r="K160" i="1"/>
  <c r="K161" i="1"/>
  <c r="K162" i="1"/>
  <c r="K163" i="1"/>
  <c r="K164" i="1"/>
  <c r="K165" i="1"/>
  <c r="F165" i="1" s="1"/>
  <c r="K166" i="1"/>
  <c r="K167" i="1"/>
  <c r="K168" i="1"/>
  <c r="K169" i="1"/>
  <c r="K170" i="1"/>
  <c r="K171" i="1"/>
  <c r="K172" i="1"/>
  <c r="K173" i="1"/>
  <c r="K174" i="1"/>
  <c r="K175" i="1"/>
  <c r="K176" i="1"/>
  <c r="K177" i="1"/>
  <c r="F177" i="1" s="1"/>
  <c r="K178" i="1"/>
  <c r="K179" i="1"/>
  <c r="K180" i="1"/>
  <c r="K181" i="1"/>
  <c r="K182" i="1"/>
  <c r="K183" i="1"/>
  <c r="K184" i="1"/>
  <c r="K185" i="1"/>
  <c r="K186" i="1"/>
  <c r="K187" i="1"/>
  <c r="K188" i="1"/>
  <c r="K189" i="1"/>
  <c r="F189" i="1" s="1"/>
  <c r="K190" i="1"/>
  <c r="K191" i="1"/>
  <c r="K192" i="1"/>
  <c r="K193" i="1"/>
  <c r="K194" i="1"/>
  <c r="K195" i="1"/>
  <c r="K196" i="1"/>
  <c r="K197" i="1"/>
  <c r="K198" i="1"/>
  <c r="K199" i="1"/>
  <c r="K200" i="1"/>
  <c r="K201" i="1"/>
  <c r="F201" i="1" s="1"/>
  <c r="K202" i="1"/>
  <c r="K203" i="1"/>
  <c r="K204" i="1"/>
  <c r="K205" i="1"/>
  <c r="K206" i="1"/>
  <c r="K207" i="1"/>
  <c r="K208" i="1"/>
  <c r="K209" i="1"/>
  <c r="K210" i="1"/>
  <c r="K268" i="1"/>
  <c r="K269" i="1"/>
  <c r="K270" i="1"/>
  <c r="K271" i="1"/>
  <c r="K272" i="1"/>
  <c r="K273" i="1"/>
  <c r="F273" i="1" s="1"/>
  <c r="K321" i="1"/>
  <c r="F321" i="1" s="1"/>
  <c r="K322" i="1"/>
  <c r="K323" i="1"/>
  <c r="K324" i="1"/>
  <c r="K325" i="1"/>
  <c r="K326" i="1"/>
  <c r="K374" i="1"/>
  <c r="K375" i="1"/>
  <c r="K376" i="1"/>
  <c r="K377" i="1"/>
  <c r="K378" i="1"/>
  <c r="K379" i="1"/>
  <c r="K380" i="1"/>
  <c r="K381" i="1"/>
  <c r="F381" i="1" s="1"/>
  <c r="K382" i="1"/>
  <c r="K383" i="1"/>
  <c r="K384" i="1"/>
  <c r="K432" i="1"/>
  <c r="K433" i="1"/>
  <c r="K434" i="1"/>
  <c r="K435" i="1"/>
  <c r="K483" i="1"/>
  <c r="K484" i="1"/>
  <c r="K485" i="1"/>
  <c r="K486" i="1"/>
  <c r="K487" i="1"/>
  <c r="K488" i="1"/>
  <c r="K489" i="1"/>
  <c r="F489" i="1" s="1"/>
  <c r="K2" i="1"/>
  <c r="F3" i="1"/>
  <c r="F4" i="1"/>
  <c r="F5" i="1"/>
  <c r="F6" i="1"/>
  <c r="F7" i="1"/>
  <c r="F8" i="1"/>
  <c r="F10" i="1"/>
  <c r="F11" i="1"/>
  <c r="F12" i="1"/>
  <c r="F13" i="1"/>
  <c r="F14" i="1"/>
  <c r="F15" i="1"/>
  <c r="F16" i="1"/>
  <c r="F17" i="1"/>
  <c r="F18" i="1"/>
  <c r="F19" i="1"/>
  <c r="F20" i="1"/>
  <c r="F22" i="1"/>
  <c r="F23" i="1"/>
  <c r="F24" i="1"/>
  <c r="F25" i="1"/>
  <c r="F26" i="1"/>
  <c r="F27" i="1"/>
  <c r="F28" i="1"/>
  <c r="F29" i="1"/>
  <c r="F30" i="1"/>
  <c r="F31" i="1"/>
  <c r="F32" i="1"/>
  <c r="F34" i="1"/>
  <c r="F35" i="1"/>
  <c r="F36" i="1"/>
  <c r="F37" i="1"/>
  <c r="F38" i="1"/>
  <c r="F39" i="1"/>
  <c r="F40" i="1"/>
  <c r="F41" i="1"/>
  <c r="F42" i="1"/>
  <c r="F43" i="1"/>
  <c r="F44" i="1"/>
  <c r="F46" i="1"/>
  <c r="F47" i="1"/>
  <c r="F48" i="1"/>
  <c r="F49" i="1"/>
  <c r="F50" i="1"/>
  <c r="F51" i="1"/>
  <c r="F52" i="1"/>
  <c r="F53" i="1"/>
  <c r="F54" i="1"/>
  <c r="F55" i="1"/>
  <c r="F56" i="1"/>
  <c r="F58" i="1"/>
  <c r="F59" i="1"/>
  <c r="F60" i="1"/>
  <c r="F61" i="1"/>
  <c r="F62" i="1"/>
  <c r="F63" i="1"/>
  <c r="F64" i="1"/>
  <c r="F65" i="1"/>
  <c r="F66" i="1"/>
  <c r="F67" i="1"/>
  <c r="F68" i="1"/>
  <c r="F70" i="1"/>
  <c r="F71" i="1"/>
  <c r="F72" i="1"/>
  <c r="F73" i="1"/>
  <c r="F74" i="1"/>
  <c r="F75" i="1"/>
  <c r="F76" i="1"/>
  <c r="F77" i="1"/>
  <c r="F78" i="1"/>
  <c r="F79" i="1"/>
  <c r="F80" i="1"/>
  <c r="F82" i="1"/>
  <c r="F83" i="1"/>
  <c r="F84" i="1"/>
  <c r="F85" i="1"/>
  <c r="F86" i="1"/>
  <c r="F87" i="1"/>
  <c r="F88" i="1"/>
  <c r="F89" i="1"/>
  <c r="F90" i="1"/>
  <c r="F91" i="1"/>
  <c r="F92" i="1"/>
  <c r="F94" i="1"/>
  <c r="F95" i="1"/>
  <c r="F96" i="1"/>
  <c r="F97" i="1"/>
  <c r="F98" i="1"/>
  <c r="F99" i="1"/>
  <c r="F100" i="1"/>
  <c r="F101" i="1"/>
  <c r="F102" i="1"/>
  <c r="F103" i="1"/>
  <c r="F104" i="1"/>
  <c r="F106" i="1"/>
  <c r="F107" i="1"/>
  <c r="F108" i="1"/>
  <c r="F109" i="1"/>
  <c r="F110" i="1"/>
  <c r="F111" i="1"/>
  <c r="F112" i="1"/>
  <c r="F113" i="1"/>
  <c r="F114" i="1"/>
  <c r="F115" i="1"/>
  <c r="F116" i="1"/>
  <c r="F118" i="1"/>
  <c r="F119" i="1"/>
  <c r="F120" i="1"/>
  <c r="F121" i="1"/>
  <c r="F122" i="1"/>
  <c r="F123" i="1"/>
  <c r="F124" i="1"/>
  <c r="F125" i="1"/>
  <c r="F126" i="1"/>
  <c r="F127" i="1"/>
  <c r="F128" i="1"/>
  <c r="F130" i="1"/>
  <c r="F131" i="1"/>
  <c r="F132" i="1"/>
  <c r="F133" i="1"/>
  <c r="F134" i="1"/>
  <c r="F135" i="1"/>
  <c r="F136" i="1"/>
  <c r="F137" i="1"/>
  <c r="F138" i="1"/>
  <c r="F139" i="1"/>
  <c r="F140" i="1"/>
  <c r="F142" i="1"/>
  <c r="F143" i="1"/>
  <c r="F144" i="1"/>
  <c r="F145" i="1"/>
  <c r="F146" i="1"/>
  <c r="F147" i="1"/>
  <c r="F148" i="1"/>
  <c r="F149" i="1"/>
  <c r="F150" i="1"/>
  <c r="F151" i="1"/>
  <c r="F152" i="1"/>
  <c r="F154" i="1"/>
  <c r="F155" i="1"/>
  <c r="F156" i="1"/>
  <c r="F157" i="1"/>
  <c r="F158" i="1"/>
  <c r="F159" i="1"/>
  <c r="F160" i="1"/>
  <c r="F161" i="1"/>
  <c r="F162" i="1"/>
  <c r="F163" i="1"/>
  <c r="F164" i="1"/>
  <c r="F166" i="1"/>
  <c r="F167" i="1"/>
  <c r="F168" i="1"/>
  <c r="F169" i="1"/>
  <c r="F170" i="1"/>
  <c r="F171" i="1"/>
  <c r="F172" i="1"/>
  <c r="F173" i="1"/>
  <c r="F174" i="1"/>
  <c r="F175" i="1"/>
  <c r="F176" i="1"/>
  <c r="F178" i="1"/>
  <c r="F179" i="1"/>
  <c r="F180" i="1"/>
  <c r="F181" i="1"/>
  <c r="F182" i="1"/>
  <c r="F183" i="1"/>
  <c r="F184" i="1"/>
  <c r="F185" i="1"/>
  <c r="F186" i="1"/>
  <c r="F187" i="1"/>
  <c r="F188" i="1"/>
  <c r="F190" i="1"/>
  <c r="F191" i="1"/>
  <c r="F192" i="1"/>
  <c r="F193" i="1"/>
  <c r="F194" i="1"/>
  <c r="F195" i="1"/>
  <c r="F196" i="1"/>
  <c r="F197" i="1"/>
  <c r="F198" i="1"/>
  <c r="F199" i="1"/>
  <c r="F200" i="1"/>
  <c r="F202" i="1"/>
  <c r="F203" i="1"/>
  <c r="F204" i="1"/>
  <c r="F205" i="1"/>
  <c r="F206" i="1"/>
  <c r="F207" i="1"/>
  <c r="F208" i="1"/>
  <c r="F209" i="1"/>
  <c r="F210" i="1"/>
  <c r="F268" i="1"/>
  <c r="F269" i="1"/>
  <c r="F270" i="1"/>
  <c r="F271" i="1"/>
  <c r="F272" i="1"/>
  <c r="F322" i="1"/>
  <c r="F323" i="1"/>
  <c r="F324" i="1"/>
  <c r="F325" i="1"/>
  <c r="F326" i="1"/>
  <c r="F374" i="1"/>
  <c r="F375" i="1"/>
  <c r="F376" i="1"/>
  <c r="F377" i="1"/>
  <c r="F378" i="1"/>
  <c r="F379" i="1"/>
  <c r="F380" i="1"/>
  <c r="F382" i="1"/>
  <c r="F383" i="1"/>
  <c r="F384" i="1"/>
  <c r="F432" i="1"/>
  <c r="F433" i="1"/>
  <c r="F434" i="1"/>
  <c r="F435" i="1"/>
  <c r="F483" i="1"/>
  <c r="F484" i="1"/>
  <c r="F485" i="1"/>
  <c r="F486" i="1"/>
  <c r="F487" i="1"/>
  <c r="F488" i="1"/>
  <c r="F2" i="1"/>
  <c r="N3" i="1"/>
  <c r="N4" i="1"/>
  <c r="N5" i="1"/>
  <c r="N6" i="1"/>
  <c r="N7" i="1"/>
  <c r="N9" i="1"/>
  <c r="N10" i="1"/>
  <c r="N11" i="1"/>
  <c r="N12" i="1"/>
  <c r="N13" i="1"/>
  <c r="N14" i="1"/>
  <c r="D14" i="1" s="1"/>
  <c r="P14" i="1" s="1"/>
  <c r="N15" i="1"/>
  <c r="N16" i="1"/>
  <c r="N17" i="1"/>
  <c r="N18" i="1"/>
  <c r="N19" i="1"/>
  <c r="N21" i="1"/>
  <c r="N22" i="1"/>
  <c r="N23" i="1"/>
  <c r="N24" i="1"/>
  <c r="N26" i="1"/>
  <c r="D26" i="1" s="1"/>
  <c r="P26" i="1" s="1"/>
  <c r="N27" i="1"/>
  <c r="N28" i="1"/>
  <c r="N30" i="1"/>
  <c r="N31" i="1"/>
  <c r="N32" i="1"/>
  <c r="N33" i="1"/>
  <c r="N34" i="1"/>
  <c r="N35" i="1"/>
  <c r="N36" i="1"/>
  <c r="N37" i="1"/>
  <c r="N38" i="1"/>
  <c r="D38" i="1" s="1"/>
  <c r="P38" i="1" s="1"/>
  <c r="N39" i="1"/>
  <c r="N40" i="1"/>
  <c r="N41" i="1"/>
  <c r="N42" i="1"/>
  <c r="N43" i="1"/>
  <c r="N44" i="1"/>
  <c r="N45" i="1"/>
  <c r="N46" i="1"/>
  <c r="N47" i="1"/>
  <c r="N48" i="1"/>
  <c r="N49" i="1"/>
  <c r="N50" i="1"/>
  <c r="D50" i="1" s="1"/>
  <c r="P50" i="1" s="1"/>
  <c r="N51" i="1"/>
  <c r="N52" i="1"/>
  <c r="N54" i="1"/>
  <c r="N55" i="1"/>
  <c r="N56" i="1"/>
  <c r="N57" i="1"/>
  <c r="N58" i="1"/>
  <c r="N59" i="1"/>
  <c r="N60" i="1"/>
  <c r="N61" i="1"/>
  <c r="N62" i="1"/>
  <c r="D62" i="1" s="1"/>
  <c r="P62" i="1" s="1"/>
  <c r="N63" i="1"/>
  <c r="N64" i="1"/>
  <c r="N65" i="1"/>
  <c r="N66" i="1"/>
  <c r="N67" i="1"/>
  <c r="N68" i="1"/>
  <c r="N69" i="1"/>
  <c r="N70" i="1"/>
  <c r="N71" i="1"/>
  <c r="N72" i="1"/>
  <c r="N73" i="1"/>
  <c r="N74" i="1"/>
  <c r="D74" i="1" s="1"/>
  <c r="P74" i="1" s="1"/>
  <c r="N75" i="1"/>
  <c r="N76" i="1"/>
  <c r="N77" i="1"/>
  <c r="N79" i="1"/>
  <c r="N80" i="1"/>
  <c r="N81" i="1"/>
  <c r="N82" i="1"/>
  <c r="N83" i="1"/>
  <c r="N84" i="1"/>
  <c r="N85" i="1"/>
  <c r="N86" i="1"/>
  <c r="D86" i="1" s="1"/>
  <c r="P86" i="1" s="1"/>
  <c r="N87" i="1"/>
  <c r="N88" i="1"/>
  <c r="N89" i="1"/>
  <c r="N90" i="1"/>
  <c r="N91" i="1"/>
  <c r="N92" i="1"/>
  <c r="N93" i="1"/>
  <c r="N94" i="1"/>
  <c r="N95" i="1"/>
  <c r="N96" i="1"/>
  <c r="N97" i="1"/>
  <c r="N98" i="1"/>
  <c r="D98" i="1" s="1"/>
  <c r="P98" i="1" s="1"/>
  <c r="N99" i="1"/>
  <c r="N100" i="1"/>
  <c r="N101" i="1"/>
  <c r="N102" i="1"/>
  <c r="N103" i="1"/>
  <c r="N104" i="1"/>
  <c r="N105" i="1"/>
  <c r="N106" i="1"/>
  <c r="N107" i="1"/>
  <c r="N108" i="1"/>
  <c r="N109" i="1"/>
  <c r="N110" i="1"/>
  <c r="D110" i="1" s="1"/>
  <c r="P110" i="1" s="1"/>
  <c r="N111" i="1"/>
  <c r="N112" i="1"/>
  <c r="N113" i="1"/>
  <c r="N114" i="1"/>
  <c r="N115" i="1"/>
  <c r="N116" i="1"/>
  <c r="N117" i="1"/>
  <c r="N118" i="1"/>
  <c r="N119" i="1"/>
  <c r="N120" i="1"/>
  <c r="N121" i="1"/>
  <c r="D122" i="1"/>
  <c r="N123" i="1"/>
  <c r="N124" i="1"/>
  <c r="N125" i="1"/>
  <c r="N126" i="1"/>
  <c r="N127" i="1"/>
  <c r="N128" i="1"/>
  <c r="N129" i="1"/>
  <c r="N130" i="1"/>
  <c r="N131" i="1"/>
  <c r="N132" i="1"/>
  <c r="N133" i="1"/>
  <c r="D134" i="1"/>
  <c r="N135" i="1"/>
  <c r="N136" i="1"/>
  <c r="N137" i="1"/>
  <c r="N138" i="1"/>
  <c r="N141" i="1"/>
  <c r="N144" i="1"/>
  <c r="D146" i="1"/>
  <c r="N147" i="1"/>
  <c r="N148" i="1"/>
  <c r="N149" i="1"/>
  <c r="N152" i="1"/>
  <c r="N153" i="1"/>
  <c r="N154" i="1"/>
  <c r="N155" i="1"/>
  <c r="N156" i="1"/>
  <c r="N158" i="1"/>
  <c r="D158" i="1" s="1"/>
  <c r="N160" i="1"/>
  <c r="N161" i="1"/>
  <c r="N165" i="1"/>
  <c r="N166" i="1"/>
  <c r="D166" i="1" s="1"/>
  <c r="N167" i="1"/>
  <c r="N168" i="1"/>
  <c r="N169" i="1"/>
  <c r="N170" i="1"/>
  <c r="D170" i="1" s="1"/>
  <c r="N171" i="1"/>
  <c r="N172" i="1"/>
  <c r="N173" i="1"/>
  <c r="N174" i="1"/>
  <c r="N175" i="1"/>
  <c r="N176" i="1"/>
  <c r="N177" i="1"/>
  <c r="N178" i="1"/>
  <c r="N179" i="1"/>
  <c r="N180" i="1"/>
  <c r="N181" i="1"/>
  <c r="N182" i="1"/>
  <c r="D182" i="1" s="1"/>
  <c r="N183" i="1"/>
  <c r="N184" i="1"/>
  <c r="N185" i="1"/>
  <c r="N186" i="1"/>
  <c r="N187" i="1"/>
  <c r="N188" i="1"/>
  <c r="N189" i="1"/>
  <c r="N190" i="1"/>
  <c r="N191" i="1"/>
  <c r="N192" i="1"/>
  <c r="N193" i="1"/>
  <c r="N194" i="1"/>
  <c r="D194" i="1" s="1"/>
  <c r="N195" i="1"/>
  <c r="N196" i="1"/>
  <c r="N197" i="1"/>
  <c r="N198" i="1"/>
  <c r="N199" i="1"/>
  <c r="N200" i="1"/>
  <c r="N201" i="1"/>
  <c r="N202" i="1"/>
  <c r="N203" i="1"/>
  <c r="N204" i="1"/>
  <c r="N205" i="1"/>
  <c r="N206" i="1"/>
  <c r="D206" i="1" s="1"/>
  <c r="N207" i="1"/>
  <c r="N210" i="1"/>
  <c r="N268" i="1"/>
  <c r="N269" i="1"/>
  <c r="N270" i="1"/>
  <c r="N271" i="1"/>
  <c r="N272" i="1"/>
  <c r="N273" i="1"/>
  <c r="N322" i="1"/>
  <c r="N323" i="1"/>
  <c r="N324" i="1"/>
  <c r="N325" i="1"/>
  <c r="N326" i="1"/>
  <c r="D326" i="1" s="1"/>
  <c r="N374" i="1"/>
  <c r="D374" i="1" s="1"/>
  <c r="N375" i="1"/>
  <c r="N377" i="1"/>
  <c r="N378" i="1"/>
  <c r="N379" i="1"/>
  <c r="N380" i="1"/>
  <c r="N381" i="1"/>
  <c r="N382" i="1"/>
  <c r="N383" i="1"/>
  <c r="N384" i="1"/>
  <c r="N432" i="1"/>
  <c r="N433" i="1"/>
  <c r="N434" i="1"/>
  <c r="D434" i="1" s="1"/>
  <c r="N435" i="1"/>
  <c r="N484" i="1"/>
  <c r="N485" i="1"/>
  <c r="N486" i="1"/>
  <c r="N487" i="1"/>
  <c r="N488" i="1"/>
  <c r="N489" i="1"/>
  <c r="N2" i="1"/>
  <c r="D3" i="1"/>
  <c r="D4" i="1"/>
  <c r="D5" i="1"/>
  <c r="D6" i="1"/>
  <c r="D7" i="1"/>
  <c r="D8" i="1"/>
  <c r="D9" i="1"/>
  <c r="D10" i="1"/>
  <c r="D11" i="1"/>
  <c r="D12" i="1"/>
  <c r="D13" i="1"/>
  <c r="D15" i="1"/>
  <c r="D16" i="1"/>
  <c r="D17" i="1"/>
  <c r="D18" i="1"/>
  <c r="D19" i="1"/>
  <c r="D20" i="1"/>
  <c r="D21" i="1"/>
  <c r="D22" i="1"/>
  <c r="D23" i="1"/>
  <c r="D24" i="1"/>
  <c r="D25" i="1"/>
  <c r="D27" i="1"/>
  <c r="D28" i="1"/>
  <c r="D29" i="1"/>
  <c r="D30" i="1"/>
  <c r="D31" i="1"/>
  <c r="D32" i="1"/>
  <c r="D33" i="1"/>
  <c r="D34" i="1"/>
  <c r="D35" i="1"/>
  <c r="D36" i="1"/>
  <c r="D37" i="1"/>
  <c r="D39" i="1"/>
  <c r="D40" i="1"/>
  <c r="D41" i="1"/>
  <c r="D42" i="1"/>
  <c r="D43" i="1"/>
  <c r="D44" i="1"/>
  <c r="D45" i="1"/>
  <c r="D46" i="1"/>
  <c r="D47" i="1"/>
  <c r="D48" i="1"/>
  <c r="D49" i="1"/>
  <c r="D51" i="1"/>
  <c r="D52" i="1"/>
  <c r="D53" i="1"/>
  <c r="D54" i="1"/>
  <c r="D55" i="1"/>
  <c r="D56" i="1"/>
  <c r="D57" i="1"/>
  <c r="D58" i="1"/>
  <c r="D59" i="1"/>
  <c r="D60" i="1"/>
  <c r="D61" i="1"/>
  <c r="D63" i="1"/>
  <c r="D64" i="1"/>
  <c r="D65" i="1"/>
  <c r="D66" i="1"/>
  <c r="D67" i="1"/>
  <c r="D68" i="1"/>
  <c r="D69" i="1"/>
  <c r="D70" i="1"/>
  <c r="D71" i="1"/>
  <c r="D72" i="1"/>
  <c r="D73" i="1"/>
  <c r="D75" i="1"/>
  <c r="D76" i="1"/>
  <c r="D77" i="1"/>
  <c r="D78" i="1"/>
  <c r="D79" i="1"/>
  <c r="D80" i="1"/>
  <c r="D81" i="1"/>
  <c r="D82" i="1"/>
  <c r="D83" i="1"/>
  <c r="D84" i="1"/>
  <c r="D85" i="1"/>
  <c r="D87" i="1"/>
  <c r="D88" i="1"/>
  <c r="D89" i="1"/>
  <c r="D90" i="1"/>
  <c r="D91" i="1"/>
  <c r="D92" i="1"/>
  <c r="D93" i="1"/>
  <c r="D94" i="1"/>
  <c r="D95" i="1"/>
  <c r="D96" i="1"/>
  <c r="D97" i="1"/>
  <c r="D99" i="1"/>
  <c r="D100" i="1"/>
  <c r="D101" i="1"/>
  <c r="D102" i="1"/>
  <c r="D103" i="1"/>
  <c r="D104" i="1"/>
  <c r="D105" i="1"/>
  <c r="D106" i="1"/>
  <c r="D107" i="1"/>
  <c r="D108" i="1"/>
  <c r="D109" i="1"/>
  <c r="D111" i="1"/>
  <c r="D112" i="1"/>
  <c r="D113" i="1"/>
  <c r="D114" i="1"/>
  <c r="D115" i="1"/>
  <c r="D116" i="1"/>
  <c r="D117" i="1"/>
  <c r="D118" i="1"/>
  <c r="D119" i="1"/>
  <c r="D120" i="1"/>
  <c r="D121" i="1"/>
  <c r="D123" i="1"/>
  <c r="D124" i="1"/>
  <c r="D125" i="1"/>
  <c r="D126" i="1"/>
  <c r="D127" i="1"/>
  <c r="D128" i="1"/>
  <c r="D129" i="1"/>
  <c r="D130" i="1"/>
  <c r="D131" i="1"/>
  <c r="D132" i="1"/>
  <c r="D133" i="1"/>
  <c r="D135" i="1"/>
  <c r="D136" i="1"/>
  <c r="D137" i="1"/>
  <c r="D138" i="1"/>
  <c r="D139" i="1"/>
  <c r="D140" i="1"/>
  <c r="D141" i="1"/>
  <c r="D142" i="1"/>
  <c r="D143" i="1"/>
  <c r="D144" i="1"/>
  <c r="D145" i="1"/>
  <c r="D147" i="1"/>
  <c r="D148" i="1"/>
  <c r="D149" i="1"/>
  <c r="D150" i="1"/>
  <c r="D151" i="1"/>
  <c r="D152" i="1"/>
  <c r="D153" i="1"/>
  <c r="D154" i="1"/>
  <c r="D155" i="1"/>
  <c r="D156" i="1"/>
  <c r="D157" i="1"/>
  <c r="D159" i="1"/>
  <c r="D160" i="1"/>
  <c r="D161" i="1"/>
  <c r="D162" i="1"/>
  <c r="D163" i="1"/>
  <c r="D164" i="1"/>
  <c r="D165" i="1"/>
  <c r="AE165" i="1" s="1"/>
  <c r="D167" i="1"/>
  <c r="AE167" i="1" s="1"/>
  <c r="D168" i="1"/>
  <c r="AE168" i="1" s="1"/>
  <c r="D169" i="1"/>
  <c r="AE169" i="1" s="1"/>
  <c r="D171" i="1"/>
  <c r="AE171" i="1" s="1"/>
  <c r="D172" i="1"/>
  <c r="AE172" i="1" s="1"/>
  <c r="D173" i="1"/>
  <c r="AE173" i="1" s="1"/>
  <c r="D174" i="1"/>
  <c r="AE174" i="1" s="1"/>
  <c r="D175" i="1"/>
  <c r="AE175" i="1" s="1"/>
  <c r="D176" i="1"/>
  <c r="AE176" i="1" s="1"/>
  <c r="D177" i="1"/>
  <c r="AE177" i="1" s="1"/>
  <c r="D178" i="1"/>
  <c r="AE178" i="1" s="1"/>
  <c r="D179" i="1"/>
  <c r="AE179" i="1" s="1"/>
  <c r="D180" i="1"/>
  <c r="AE180" i="1" s="1"/>
  <c r="D181" i="1"/>
  <c r="AE181" i="1" s="1"/>
  <c r="D183" i="1"/>
  <c r="AE183" i="1" s="1"/>
  <c r="D184" i="1"/>
  <c r="AE184" i="1" s="1"/>
  <c r="D185" i="1"/>
  <c r="D186" i="1"/>
  <c r="D187" i="1"/>
  <c r="D188" i="1"/>
  <c r="D189" i="1"/>
  <c r="D190" i="1"/>
  <c r="D191" i="1"/>
  <c r="D192" i="1"/>
  <c r="D193" i="1"/>
  <c r="D195" i="1"/>
  <c r="D196" i="1"/>
  <c r="D197" i="1"/>
  <c r="D198" i="1"/>
  <c r="D199" i="1"/>
  <c r="D200" i="1"/>
  <c r="D201" i="1"/>
  <c r="D202" i="1"/>
  <c r="D203" i="1"/>
  <c r="D204" i="1"/>
  <c r="D205" i="1"/>
  <c r="D207" i="1"/>
  <c r="D208" i="1"/>
  <c r="D209" i="1"/>
  <c r="D210" i="1"/>
  <c r="D268" i="1"/>
  <c r="D269" i="1"/>
  <c r="D270" i="1"/>
  <c r="D271" i="1"/>
  <c r="D272" i="1"/>
  <c r="D273" i="1"/>
  <c r="D321" i="1"/>
  <c r="D322" i="1"/>
  <c r="D323" i="1"/>
  <c r="D324" i="1"/>
  <c r="D325" i="1"/>
  <c r="D375" i="1"/>
  <c r="D376" i="1"/>
  <c r="D377" i="1"/>
  <c r="D378" i="1"/>
  <c r="D379" i="1"/>
  <c r="D380" i="1"/>
  <c r="D381" i="1"/>
  <c r="D382" i="1"/>
  <c r="D383" i="1"/>
  <c r="D384" i="1"/>
  <c r="D432" i="1"/>
  <c r="D433" i="1"/>
  <c r="D435" i="1"/>
  <c r="D483" i="1"/>
  <c r="D484" i="1"/>
  <c r="D485" i="1"/>
  <c r="D486" i="1"/>
  <c r="D487" i="1"/>
  <c r="D488" i="1"/>
  <c r="D489" i="1"/>
  <c r="D2" i="1"/>
  <c r="P3" i="1"/>
  <c r="P4" i="1"/>
  <c r="P5" i="1"/>
  <c r="P6" i="1"/>
  <c r="P7" i="1"/>
  <c r="P9" i="1"/>
  <c r="P10" i="1"/>
  <c r="P11" i="1"/>
  <c r="P12" i="1"/>
  <c r="P13" i="1"/>
  <c r="P15" i="1"/>
  <c r="P16" i="1"/>
  <c r="P17" i="1"/>
  <c r="P18" i="1"/>
  <c r="P19" i="1"/>
  <c r="P20" i="1"/>
  <c r="P21" i="1"/>
  <c r="P22" i="1"/>
  <c r="P23" i="1"/>
  <c r="P24" i="1"/>
  <c r="P25" i="1"/>
  <c r="P27" i="1"/>
  <c r="P28" i="1"/>
  <c r="P29" i="1"/>
  <c r="P30" i="1"/>
  <c r="P31" i="1"/>
  <c r="P32" i="1"/>
  <c r="P33" i="1"/>
  <c r="P34" i="1"/>
  <c r="P35" i="1"/>
  <c r="P36" i="1"/>
  <c r="P37" i="1"/>
  <c r="P39" i="1"/>
  <c r="P40" i="1"/>
  <c r="P41" i="1"/>
  <c r="P42" i="1"/>
  <c r="P43" i="1"/>
  <c r="P44" i="1"/>
  <c r="P45" i="1"/>
  <c r="P46" i="1"/>
  <c r="P47" i="1"/>
  <c r="P48" i="1"/>
  <c r="P49" i="1"/>
  <c r="P51" i="1"/>
  <c r="P52" i="1"/>
  <c r="P53" i="1"/>
  <c r="P54" i="1"/>
  <c r="P55" i="1"/>
  <c r="P56" i="1"/>
  <c r="P57" i="1"/>
  <c r="P58" i="1"/>
  <c r="P59" i="1"/>
  <c r="P60" i="1"/>
  <c r="P61" i="1"/>
  <c r="P63" i="1"/>
  <c r="P65" i="1"/>
  <c r="P66" i="1"/>
  <c r="P67" i="1"/>
  <c r="P68" i="1"/>
  <c r="P69" i="1"/>
  <c r="P70" i="1"/>
  <c r="P71" i="1"/>
  <c r="P72" i="1"/>
  <c r="P73" i="1"/>
  <c r="P75" i="1"/>
  <c r="P76" i="1"/>
  <c r="P77" i="1"/>
  <c r="P78" i="1"/>
  <c r="P79" i="1"/>
  <c r="P80" i="1"/>
  <c r="P81" i="1"/>
  <c r="P82" i="1"/>
  <c r="P83" i="1"/>
  <c r="P84" i="1"/>
  <c r="P85" i="1"/>
  <c r="P87" i="1"/>
  <c r="P88" i="1"/>
  <c r="P89" i="1"/>
  <c r="P90" i="1"/>
  <c r="P91" i="1"/>
  <c r="P92" i="1"/>
  <c r="P93" i="1"/>
  <c r="P94" i="1"/>
  <c r="P95" i="1"/>
  <c r="P96" i="1"/>
  <c r="P97" i="1"/>
  <c r="P99" i="1"/>
  <c r="P100" i="1"/>
  <c r="P101" i="1"/>
  <c r="P102" i="1"/>
  <c r="P103" i="1"/>
  <c r="P104" i="1"/>
  <c r="P105" i="1"/>
  <c r="P106" i="1"/>
  <c r="P107" i="1"/>
  <c r="P108" i="1"/>
  <c r="P109" i="1"/>
  <c r="P111" i="1"/>
  <c r="P112" i="1"/>
  <c r="P113" i="1"/>
  <c r="P114" i="1"/>
  <c r="P115" i="1"/>
  <c r="P117" i="1"/>
  <c r="P118" i="1"/>
  <c r="P119" i="1"/>
  <c r="P120" i="1"/>
  <c r="P121" i="1"/>
  <c r="P123" i="1"/>
  <c r="P124" i="1"/>
  <c r="P125" i="1"/>
  <c r="P126" i="1"/>
  <c r="P127" i="1"/>
  <c r="P129" i="1"/>
  <c r="P130" i="1"/>
  <c r="P131" i="1"/>
  <c r="P132" i="1"/>
  <c r="P133" i="1"/>
  <c r="P135" i="1"/>
  <c r="P136" i="1"/>
  <c r="P137" i="1"/>
  <c r="P138" i="1"/>
  <c r="P139" i="1"/>
  <c r="P141" i="1"/>
  <c r="P142" i="1"/>
  <c r="P143" i="1"/>
  <c r="P144" i="1"/>
  <c r="P145" i="1"/>
  <c r="P147" i="1"/>
  <c r="P148" i="1"/>
  <c r="P149" i="1"/>
  <c r="P150" i="1"/>
  <c r="P151" i="1"/>
  <c r="P153" i="1"/>
  <c r="P154" i="1"/>
  <c r="P155" i="1"/>
  <c r="P156" i="1"/>
  <c r="P157" i="1"/>
  <c r="P159" i="1"/>
  <c r="P160" i="1"/>
  <c r="P161" i="1"/>
  <c r="P162" i="1"/>
  <c r="P163" i="1"/>
  <c r="P165" i="1"/>
  <c r="P167" i="1"/>
  <c r="P168" i="1"/>
  <c r="P169" i="1"/>
  <c r="P171" i="1"/>
  <c r="P172" i="1"/>
  <c r="P173" i="1"/>
  <c r="P174" i="1"/>
  <c r="P175" i="1"/>
  <c r="P177" i="1"/>
  <c r="P178" i="1"/>
  <c r="P179" i="1"/>
  <c r="P180" i="1"/>
  <c r="P181" i="1"/>
  <c r="P183" i="1"/>
  <c r="P184" i="1"/>
  <c r="P185" i="1"/>
  <c r="P186" i="1"/>
  <c r="P187" i="1"/>
  <c r="P189" i="1"/>
  <c r="P190" i="1"/>
  <c r="P191" i="1"/>
  <c r="P192" i="1"/>
  <c r="P193" i="1"/>
  <c r="P195" i="1"/>
  <c r="P196" i="1"/>
  <c r="P197" i="1"/>
  <c r="P198" i="1"/>
  <c r="P199" i="1"/>
  <c r="P201" i="1"/>
  <c r="P202" i="1"/>
  <c r="P203" i="1"/>
  <c r="P204" i="1"/>
  <c r="P205" i="1"/>
  <c r="P207" i="1"/>
  <c r="P208" i="1"/>
  <c r="P210" i="1"/>
  <c r="P268" i="1"/>
  <c r="P269" i="1"/>
  <c r="P270" i="1"/>
  <c r="P271" i="1"/>
  <c r="P321" i="1"/>
  <c r="P322" i="1"/>
  <c r="P323" i="1"/>
  <c r="P324" i="1"/>
  <c r="P325" i="1"/>
  <c r="P375" i="1"/>
  <c r="P376" i="1"/>
  <c r="P377" i="1"/>
  <c r="P378" i="1"/>
  <c r="P379" i="1"/>
  <c r="P381" i="1"/>
  <c r="P382" i="1"/>
  <c r="P383" i="1"/>
  <c r="P384" i="1"/>
  <c r="P432" i="1"/>
  <c r="P433" i="1"/>
  <c r="P435" i="1"/>
  <c r="P484" i="1"/>
  <c r="P485" i="1"/>
  <c r="P486" i="1"/>
  <c r="P487" i="1"/>
  <c r="M58" i="4"/>
  <c r="N58" i="4" s="1"/>
  <c r="K58" i="4"/>
  <c r="L58" i="4" s="1"/>
  <c r="J58" i="4"/>
  <c r="M57" i="4"/>
  <c r="K57" i="4"/>
  <c r="L56" i="4" s="1"/>
  <c r="J57" i="4"/>
  <c r="M56" i="4"/>
  <c r="N55" i="4" s="1"/>
  <c r="K56" i="4"/>
  <c r="L55" i="4" s="1"/>
  <c r="J56" i="4"/>
  <c r="M55" i="4"/>
  <c r="K55" i="4"/>
  <c r="J55" i="4"/>
  <c r="M54" i="4"/>
  <c r="N53" i="4" s="1"/>
  <c r="L54" i="4"/>
  <c r="K54" i="4"/>
  <c r="L53" i="4" s="1"/>
  <c r="J54" i="4"/>
  <c r="M53" i="4"/>
  <c r="K53" i="4"/>
  <c r="J53" i="4"/>
  <c r="M52" i="4"/>
  <c r="N52" i="4" s="1"/>
  <c r="K52" i="4"/>
  <c r="L51" i="4" s="1"/>
  <c r="J52" i="4"/>
  <c r="N51" i="4"/>
  <c r="M51" i="4"/>
  <c r="K51" i="4"/>
  <c r="J51" i="4"/>
  <c r="M50" i="4"/>
  <c r="N50" i="4" s="1"/>
  <c r="K50" i="4"/>
  <c r="L50" i="4" s="1"/>
  <c r="J50" i="4"/>
  <c r="M49" i="4"/>
  <c r="N48" i="4" s="1"/>
  <c r="L49" i="4"/>
  <c r="K49" i="4"/>
  <c r="J49" i="4"/>
  <c r="M48" i="4"/>
  <c r="K48" i="4"/>
  <c r="L48" i="4" s="1"/>
  <c r="J48" i="4"/>
  <c r="M47" i="4"/>
  <c r="N46" i="4" s="1"/>
  <c r="K47" i="4"/>
  <c r="L46" i="4" s="1"/>
  <c r="J47" i="4"/>
  <c r="M46" i="4"/>
  <c r="N45" i="4" s="1"/>
  <c r="K46" i="4"/>
  <c r="J46" i="4"/>
  <c r="M45" i="4"/>
  <c r="K45" i="4"/>
  <c r="L44" i="4" s="1"/>
  <c r="J45" i="4"/>
  <c r="N44" i="4"/>
  <c r="M44" i="4"/>
  <c r="N43" i="4" s="1"/>
  <c r="K44" i="4"/>
  <c r="L43" i="4" s="1"/>
  <c r="J44" i="4"/>
  <c r="M43" i="4"/>
  <c r="K43" i="4"/>
  <c r="J43" i="4"/>
  <c r="M42" i="4"/>
  <c r="N41" i="4" s="1"/>
  <c r="L42" i="4"/>
  <c r="K42" i="4"/>
  <c r="L41" i="4" s="1"/>
  <c r="J42" i="4"/>
  <c r="M41" i="4"/>
  <c r="K41" i="4"/>
  <c r="J41" i="4"/>
  <c r="M40" i="4"/>
  <c r="N40" i="4" s="1"/>
  <c r="K40" i="4"/>
  <c r="L39" i="4" s="1"/>
  <c r="J40" i="4"/>
  <c r="N39" i="4"/>
  <c r="M39" i="4"/>
  <c r="K39" i="4"/>
  <c r="J39" i="4"/>
  <c r="M38" i="4"/>
  <c r="N38" i="4" s="1"/>
  <c r="K38" i="4"/>
  <c r="L38" i="4" s="1"/>
  <c r="J38" i="4"/>
  <c r="M37" i="4"/>
  <c r="N36" i="4" s="1"/>
  <c r="L37" i="4"/>
  <c r="K37" i="4"/>
  <c r="J37" i="4"/>
  <c r="M36" i="4"/>
  <c r="K36" i="4"/>
  <c r="L36" i="4" s="1"/>
  <c r="J36" i="4"/>
  <c r="M35" i="4"/>
  <c r="N34" i="4" s="1"/>
  <c r="K35" i="4"/>
  <c r="L34" i="4" s="1"/>
  <c r="J35" i="4"/>
  <c r="M34" i="4"/>
  <c r="N33" i="4" s="1"/>
  <c r="K34" i="4"/>
  <c r="J34" i="4"/>
  <c r="M33" i="4"/>
  <c r="K33" i="4"/>
  <c r="L32" i="4" s="1"/>
  <c r="J33" i="4"/>
  <c r="N32" i="4"/>
  <c r="M32" i="4"/>
  <c r="N31" i="4" s="1"/>
  <c r="K32" i="4"/>
  <c r="L31" i="4" s="1"/>
  <c r="J32" i="4"/>
  <c r="M31" i="4"/>
  <c r="K31" i="4"/>
  <c r="J31" i="4"/>
  <c r="M30" i="4"/>
  <c r="N29" i="4" s="1"/>
  <c r="L30" i="4"/>
  <c r="K30" i="4"/>
  <c r="L29" i="4" s="1"/>
  <c r="J30" i="4"/>
  <c r="M29" i="4"/>
  <c r="K29" i="4"/>
  <c r="J29" i="4"/>
  <c r="M28" i="4"/>
  <c r="N28" i="4" s="1"/>
  <c r="K28" i="4"/>
  <c r="L27" i="4" s="1"/>
  <c r="J28" i="4"/>
  <c r="N27" i="4"/>
  <c r="M27" i="4"/>
  <c r="K27" i="4"/>
  <c r="J27" i="4"/>
  <c r="M26" i="4"/>
  <c r="N26" i="4" s="1"/>
  <c r="K26" i="4"/>
  <c r="L26" i="4" s="1"/>
  <c r="J26" i="4"/>
  <c r="M25" i="4"/>
  <c r="N24" i="4" s="1"/>
  <c r="L25" i="4"/>
  <c r="K25" i="4"/>
  <c r="J25" i="4"/>
  <c r="M24" i="4"/>
  <c r="K24" i="4"/>
  <c r="L24" i="4" s="1"/>
  <c r="J24" i="4"/>
  <c r="M23" i="4"/>
  <c r="N22" i="4" s="1"/>
  <c r="K23" i="4"/>
  <c r="L22" i="4" s="1"/>
  <c r="J23" i="4"/>
  <c r="M22" i="4"/>
  <c r="N21" i="4" s="1"/>
  <c r="K22" i="4"/>
  <c r="J22" i="4"/>
  <c r="M21" i="4"/>
  <c r="K21" i="4"/>
  <c r="L20" i="4" s="1"/>
  <c r="J21" i="4"/>
  <c r="N20" i="4"/>
  <c r="M20" i="4"/>
  <c r="N19" i="4" s="1"/>
  <c r="K20" i="4"/>
  <c r="L19" i="4" s="1"/>
  <c r="J20" i="4"/>
  <c r="M19" i="4"/>
  <c r="K19" i="4"/>
  <c r="J19" i="4"/>
  <c r="M18" i="4"/>
  <c r="N17" i="4" s="1"/>
  <c r="L18" i="4"/>
  <c r="K18" i="4"/>
  <c r="L17" i="4" s="1"/>
  <c r="J18" i="4"/>
  <c r="M17" i="4"/>
  <c r="K17" i="4"/>
  <c r="J17" i="4"/>
  <c r="M16" i="4"/>
  <c r="N16" i="4" s="1"/>
  <c r="K16" i="4"/>
  <c r="L15" i="4" s="1"/>
  <c r="J16" i="4"/>
  <c r="N15" i="4"/>
  <c r="M15" i="4"/>
  <c r="K15" i="4"/>
  <c r="J15" i="4"/>
  <c r="M14" i="4"/>
  <c r="N14" i="4" s="1"/>
  <c r="K14" i="4"/>
  <c r="L14" i="4" s="1"/>
  <c r="J14" i="4"/>
  <c r="M13" i="4"/>
  <c r="N12" i="4" s="1"/>
  <c r="L13" i="4"/>
  <c r="K13" i="4"/>
  <c r="J13" i="4"/>
  <c r="M12" i="4"/>
  <c r="K12" i="4"/>
  <c r="L12" i="4" s="1"/>
  <c r="J12" i="4"/>
  <c r="M11" i="4"/>
  <c r="N10" i="4" s="1"/>
  <c r="K11" i="4"/>
  <c r="L10" i="4" s="1"/>
  <c r="J11" i="4"/>
  <c r="M10" i="4"/>
  <c r="K10" i="4"/>
  <c r="J10" i="4"/>
  <c r="M2" i="1"/>
  <c r="M3" i="1"/>
  <c r="M4"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68" i="1"/>
  <c r="M269" i="1"/>
  <c r="M270" i="1"/>
  <c r="M271" i="1"/>
  <c r="M272" i="1"/>
  <c r="M273" i="1"/>
  <c r="M321" i="1"/>
  <c r="M322" i="1"/>
  <c r="M323" i="1"/>
  <c r="M324" i="1"/>
  <c r="M325" i="1"/>
  <c r="M326" i="1"/>
  <c r="M374" i="1"/>
  <c r="M375" i="1"/>
  <c r="M376" i="1"/>
  <c r="M377" i="1"/>
  <c r="M378" i="1"/>
  <c r="M379" i="1"/>
  <c r="M380" i="1"/>
  <c r="M381" i="1"/>
  <c r="M382" i="1"/>
  <c r="M383" i="1"/>
  <c r="M384" i="1"/>
  <c r="M432" i="1"/>
  <c r="M433" i="1"/>
  <c r="M434" i="1"/>
  <c r="M435" i="1"/>
  <c r="M483" i="1"/>
  <c r="M484" i="1"/>
  <c r="M485" i="1"/>
  <c r="M486" i="1"/>
  <c r="M487" i="1"/>
  <c r="M488" i="1"/>
  <c r="M489" i="1"/>
  <c r="E21" i="2"/>
  <c r="E22" i="2"/>
  <c r="E23" i="2"/>
  <c r="E24" i="2"/>
  <c r="E20" i="2"/>
  <c r="S371" i="1" s="1"/>
  <c r="H21" i="2"/>
  <c r="H22" i="2"/>
  <c r="H23" i="2"/>
  <c r="H24" i="2"/>
  <c r="H20" i="2"/>
  <c r="AE3" i="14" l="1"/>
  <c r="U27" i="14"/>
  <c r="U26" i="14"/>
  <c r="U24" i="14"/>
  <c r="U23" i="14"/>
  <c r="U260" i="14"/>
  <c r="U523" i="14"/>
  <c r="U439" i="14"/>
  <c r="U319" i="14"/>
  <c r="U307" i="14"/>
  <c r="U259" i="14"/>
  <c r="U522" i="14"/>
  <c r="U474" i="14"/>
  <c r="U438" i="14"/>
  <c r="U414" i="14"/>
  <c r="U390" i="14"/>
  <c r="U366" i="14"/>
  <c r="U318" i="14"/>
  <c r="U306" i="14"/>
  <c r="U258" i="14"/>
  <c r="U210" i="14"/>
  <c r="U198" i="14"/>
  <c r="U150" i="14"/>
  <c r="U138" i="14"/>
  <c r="U126" i="14"/>
  <c r="U78" i="14"/>
  <c r="U54" i="14"/>
  <c r="U437" i="14"/>
  <c r="U197" i="14"/>
  <c r="U149" i="14"/>
  <c r="U101" i="14"/>
  <c r="U520" i="14"/>
  <c r="U316" i="14"/>
  <c r="U256" i="14"/>
  <c r="U196" i="14"/>
  <c r="U160" i="14"/>
  <c r="U136" i="14"/>
  <c r="U100" i="14"/>
  <c r="U519" i="14"/>
  <c r="U495" i="14"/>
  <c r="U471" i="14"/>
  <c r="U423" i="14"/>
  <c r="U411" i="14"/>
  <c r="U387" i="14"/>
  <c r="U375" i="14"/>
  <c r="U363" i="14"/>
  <c r="U303" i="14"/>
  <c r="U267" i="14"/>
  <c r="U255" i="14"/>
  <c r="U207" i="14"/>
  <c r="U195" i="14"/>
  <c r="U159" i="14"/>
  <c r="U147" i="14"/>
  <c r="U135" i="14"/>
  <c r="U123" i="14"/>
  <c r="U51" i="14"/>
  <c r="U494" i="14"/>
  <c r="U482" i="14"/>
  <c r="U470" i="14"/>
  <c r="U422" i="14"/>
  <c r="U386" i="14"/>
  <c r="U362" i="14"/>
  <c r="U326" i="14"/>
  <c r="U266" i="14"/>
  <c r="U254" i="14"/>
  <c r="U194" i="14"/>
  <c r="U170" i="14"/>
  <c r="U158" i="14"/>
  <c r="U146" i="14"/>
  <c r="U134" i="14"/>
  <c r="U122" i="14"/>
  <c r="U86" i="14"/>
  <c r="U50" i="14"/>
  <c r="U493" i="14"/>
  <c r="U481" i="14"/>
  <c r="U469" i="14"/>
  <c r="U433" i="14"/>
  <c r="U421" i="14"/>
  <c r="U385" i="14"/>
  <c r="U373" i="14"/>
  <c r="U361" i="14"/>
  <c r="U325" i="14"/>
  <c r="U313" i="14"/>
  <c r="U265" i="14"/>
  <c r="U253" i="14"/>
  <c r="U217" i="14"/>
  <c r="U169" i="14"/>
  <c r="U157" i="14"/>
  <c r="U145" i="14"/>
  <c r="U133" i="14"/>
  <c r="U121" i="14"/>
  <c r="U85" i="14"/>
  <c r="U49" i="14"/>
  <c r="U528" i="14"/>
  <c r="U516" i="14"/>
  <c r="U492" i="14"/>
  <c r="U480" i="14"/>
  <c r="U468" i="14"/>
  <c r="U420" i="14"/>
  <c r="U384" i="14"/>
  <c r="U372" i="14"/>
  <c r="U360" i="14"/>
  <c r="U312" i="14"/>
  <c r="U300" i="14"/>
  <c r="U252" i="14"/>
  <c r="U216" i="14"/>
  <c r="U204" i="14"/>
  <c r="U168" i="14"/>
  <c r="U156" i="14"/>
  <c r="U132" i="14"/>
  <c r="U84" i="14"/>
  <c r="U48" i="14"/>
  <c r="U320" i="14"/>
  <c r="U527" i="14"/>
  <c r="U491" i="14"/>
  <c r="U467" i="14"/>
  <c r="U431" i="14"/>
  <c r="U419" i="14"/>
  <c r="U383" i="14"/>
  <c r="U371" i="14"/>
  <c r="U359" i="14"/>
  <c r="U311" i="14"/>
  <c r="U263" i="14"/>
  <c r="U251" i="14"/>
  <c r="U215" i="14"/>
  <c r="U203" i="14"/>
  <c r="U155" i="14"/>
  <c r="U131" i="14"/>
  <c r="U83" i="14"/>
  <c r="U47" i="14"/>
  <c r="U524" i="14"/>
  <c r="U526" i="14"/>
  <c r="U490" i="14"/>
  <c r="U478" i="14"/>
  <c r="U466" i="14"/>
  <c r="U430" i="14"/>
  <c r="U418" i="14"/>
  <c r="U382" i="14"/>
  <c r="U358" i="14"/>
  <c r="U322" i="14"/>
  <c r="U310" i="14"/>
  <c r="U250" i="14"/>
  <c r="J17" i="14"/>
  <c r="J29" i="14"/>
  <c r="J41" i="14"/>
  <c r="J53" i="14"/>
  <c r="J65" i="14"/>
  <c r="J77" i="14"/>
  <c r="J89" i="14"/>
  <c r="J101" i="14"/>
  <c r="J113" i="14"/>
  <c r="J125" i="14"/>
  <c r="J137" i="14"/>
  <c r="J149" i="14"/>
  <c r="J161" i="14"/>
  <c r="J173" i="14"/>
  <c r="J185" i="14"/>
  <c r="J197" i="14"/>
  <c r="J209" i="14"/>
  <c r="J221" i="14"/>
  <c r="J233" i="14"/>
  <c r="J245" i="14"/>
  <c r="J257" i="14"/>
  <c r="J269" i="14"/>
  <c r="J281" i="14"/>
  <c r="J293" i="14"/>
  <c r="J305" i="14"/>
  <c r="J317" i="14"/>
  <c r="J329" i="14"/>
  <c r="J341" i="14"/>
  <c r="J353" i="14"/>
  <c r="J365" i="14"/>
  <c r="J377" i="14"/>
  <c r="J389" i="14"/>
  <c r="J18" i="14"/>
  <c r="J30" i="14"/>
  <c r="J42" i="14"/>
  <c r="J54" i="14"/>
  <c r="J66" i="14"/>
  <c r="J78" i="14"/>
  <c r="J90" i="14"/>
  <c r="J102" i="14"/>
  <c r="J114" i="14"/>
  <c r="J126" i="14"/>
  <c r="J19" i="14"/>
  <c r="J31" i="14"/>
  <c r="J43" i="14"/>
  <c r="J55" i="14"/>
  <c r="J67" i="14"/>
  <c r="J79" i="14"/>
  <c r="J91" i="14"/>
  <c r="J103" i="14"/>
  <c r="J20" i="14"/>
  <c r="J32" i="14"/>
  <c r="J44" i="14"/>
  <c r="J56" i="14"/>
  <c r="J68" i="14"/>
  <c r="J80" i="14"/>
  <c r="J92" i="14"/>
  <c r="J10" i="14"/>
  <c r="J22" i="14"/>
  <c r="J34" i="14"/>
  <c r="J46" i="14"/>
  <c r="J58" i="14"/>
  <c r="J70" i="14"/>
  <c r="J82" i="14"/>
  <c r="J94" i="14"/>
  <c r="J106" i="14"/>
  <c r="J118" i="14"/>
  <c r="J130" i="14"/>
  <c r="J529" i="14"/>
  <c r="J517" i="14"/>
  <c r="J505" i="14"/>
  <c r="J493" i="14"/>
  <c r="J481" i="14"/>
  <c r="J469" i="14"/>
  <c r="J457" i="14"/>
  <c r="J445" i="14"/>
  <c r="J433" i="14"/>
  <c r="J421" i="14"/>
  <c r="J409" i="14"/>
  <c r="J397" i="14"/>
  <c r="J384" i="14"/>
  <c r="J371" i="14"/>
  <c r="J358" i="14"/>
  <c r="J345" i="14"/>
  <c r="J332" i="14"/>
  <c r="J319" i="14"/>
  <c r="J306" i="14"/>
  <c r="J292" i="14"/>
  <c r="J279" i="14"/>
  <c r="J266" i="14"/>
  <c r="J253" i="14"/>
  <c r="J240" i="14"/>
  <c r="J227" i="14"/>
  <c r="J214" i="14"/>
  <c r="J201" i="14"/>
  <c r="J188" i="14"/>
  <c r="J175" i="14"/>
  <c r="J162" i="14"/>
  <c r="J148" i="14"/>
  <c r="J135" i="14"/>
  <c r="J120" i="14"/>
  <c r="J104" i="14"/>
  <c r="J84" i="14"/>
  <c r="J62" i="14"/>
  <c r="J40" i="14"/>
  <c r="J23" i="14"/>
  <c r="J9" i="14"/>
  <c r="J528" i="14"/>
  <c r="J516" i="14"/>
  <c r="J504" i="14"/>
  <c r="J492" i="14"/>
  <c r="J480" i="14"/>
  <c r="J468" i="14"/>
  <c r="J456" i="14"/>
  <c r="J444" i="14"/>
  <c r="J432" i="14"/>
  <c r="J420" i="14"/>
  <c r="J408" i="14"/>
  <c r="J396" i="14"/>
  <c r="J383" i="14"/>
  <c r="J370" i="14"/>
  <c r="J357" i="14"/>
  <c r="J344" i="14"/>
  <c r="J331" i="14"/>
  <c r="J318" i="14"/>
  <c r="J304" i="14"/>
  <c r="J291" i="14"/>
  <c r="J278" i="14"/>
  <c r="J265" i="14"/>
  <c r="J252" i="14"/>
  <c r="J239" i="14"/>
  <c r="J226" i="14"/>
  <c r="J213" i="14"/>
  <c r="J200" i="14"/>
  <c r="J187" i="14"/>
  <c r="J174" i="14"/>
  <c r="J160" i="14"/>
  <c r="J147" i="14"/>
  <c r="J134" i="14"/>
  <c r="J119" i="14"/>
  <c r="J100" i="14"/>
  <c r="J83" i="14"/>
  <c r="J61" i="14"/>
  <c r="J39" i="14"/>
  <c r="J21" i="14"/>
  <c r="P535" i="14"/>
  <c r="M535" i="14"/>
  <c r="N535" i="14" s="1"/>
  <c r="P511" i="14"/>
  <c r="M511" i="14"/>
  <c r="N511" i="14" s="1"/>
  <c r="P499" i="14"/>
  <c r="M499" i="14"/>
  <c r="N499" i="14" s="1"/>
  <c r="P487" i="14"/>
  <c r="M487" i="14"/>
  <c r="N487" i="14" s="1"/>
  <c r="P463" i="14"/>
  <c r="M463" i="14"/>
  <c r="N463" i="14" s="1"/>
  <c r="P451" i="14"/>
  <c r="M451" i="14"/>
  <c r="N451" i="14" s="1"/>
  <c r="P403" i="14"/>
  <c r="M403" i="14"/>
  <c r="N403" i="14" s="1"/>
  <c r="P391" i="14"/>
  <c r="M391" i="14"/>
  <c r="N391" i="14" s="1"/>
  <c r="P379" i="14"/>
  <c r="M379" i="14"/>
  <c r="N379" i="14" s="1"/>
  <c r="P367" i="14"/>
  <c r="M367" i="14"/>
  <c r="N367" i="14" s="1"/>
  <c r="P355" i="14"/>
  <c r="M355" i="14"/>
  <c r="N355" i="14" s="1"/>
  <c r="P343" i="14"/>
  <c r="M343" i="14"/>
  <c r="N343" i="14" s="1"/>
  <c r="P331" i="14"/>
  <c r="M331" i="14"/>
  <c r="N331" i="14" s="1"/>
  <c r="P295" i="14"/>
  <c r="M295" i="14"/>
  <c r="N295" i="14" s="1"/>
  <c r="P283" i="14"/>
  <c r="M283" i="14"/>
  <c r="N283" i="14" s="1"/>
  <c r="P271" i="14"/>
  <c r="M271" i="14"/>
  <c r="N271" i="14" s="1"/>
  <c r="P235" i="14"/>
  <c r="M235" i="14"/>
  <c r="N235" i="14" s="1"/>
  <c r="P223" i="14"/>
  <c r="M223" i="14"/>
  <c r="N223" i="14" s="1"/>
  <c r="J539" i="14"/>
  <c r="J527" i="14"/>
  <c r="J515" i="14"/>
  <c r="J503" i="14"/>
  <c r="J491" i="14"/>
  <c r="J479" i="14"/>
  <c r="J467" i="14"/>
  <c r="J455" i="14"/>
  <c r="J443" i="14"/>
  <c r="J431" i="14"/>
  <c r="J419" i="14"/>
  <c r="J407" i="14"/>
  <c r="J395" i="14"/>
  <c r="J382" i="14"/>
  <c r="J369" i="14"/>
  <c r="J356" i="14"/>
  <c r="J343" i="14"/>
  <c r="J330" i="14"/>
  <c r="J316" i="14"/>
  <c r="J303" i="14"/>
  <c r="J290" i="14"/>
  <c r="J277" i="14"/>
  <c r="J264" i="14"/>
  <c r="J251" i="14"/>
  <c r="J238" i="14"/>
  <c r="J225" i="14"/>
  <c r="J212" i="14"/>
  <c r="J199" i="14"/>
  <c r="J186" i="14"/>
  <c r="J172" i="14"/>
  <c r="J159" i="14"/>
  <c r="J146" i="14"/>
  <c r="J133" i="14"/>
  <c r="J117" i="14"/>
  <c r="J99" i="14"/>
  <c r="J81" i="14"/>
  <c r="J60" i="14"/>
  <c r="J38" i="14"/>
  <c r="J16" i="14"/>
  <c r="P534" i="14"/>
  <c r="M534" i="14"/>
  <c r="N534" i="14" s="1"/>
  <c r="P510" i="14"/>
  <c r="M510" i="14"/>
  <c r="N510" i="14" s="1"/>
  <c r="P498" i="14"/>
  <c r="M498" i="14"/>
  <c r="N498" i="14" s="1"/>
  <c r="P486" i="14"/>
  <c r="S486" i="14" s="1"/>
  <c r="M486" i="14"/>
  <c r="N486" i="14" s="1"/>
  <c r="P450" i="14"/>
  <c r="M450" i="14"/>
  <c r="N450" i="14" s="1"/>
  <c r="P426" i="14"/>
  <c r="M426" i="14"/>
  <c r="N426" i="14" s="1"/>
  <c r="P402" i="14"/>
  <c r="M402" i="14"/>
  <c r="N402" i="14" s="1"/>
  <c r="P378" i="14"/>
  <c r="M378" i="14"/>
  <c r="N378" i="14" s="1"/>
  <c r="P354" i="14"/>
  <c r="M354" i="14"/>
  <c r="N354" i="14" s="1"/>
  <c r="P342" i="14"/>
  <c r="M342" i="14"/>
  <c r="N342" i="14" s="1"/>
  <c r="P330" i="14"/>
  <c r="M330" i="14"/>
  <c r="N330" i="14" s="1"/>
  <c r="P294" i="14"/>
  <c r="M294" i="14"/>
  <c r="N294" i="14" s="1"/>
  <c r="J538" i="14"/>
  <c r="J526" i="14"/>
  <c r="J514" i="14"/>
  <c r="J502" i="14"/>
  <c r="J490" i="14"/>
  <c r="J478" i="14"/>
  <c r="J466" i="14"/>
  <c r="J454" i="14"/>
  <c r="J442" i="14"/>
  <c r="J430" i="14"/>
  <c r="J418" i="14"/>
  <c r="J406" i="14"/>
  <c r="J394" i="14"/>
  <c r="J381" i="14"/>
  <c r="J368" i="14"/>
  <c r="J355" i="14"/>
  <c r="J342" i="14"/>
  <c r="J328" i="14"/>
  <c r="J315" i="14"/>
  <c r="J302" i="14"/>
  <c r="J289" i="14"/>
  <c r="J276" i="14"/>
  <c r="J263" i="14"/>
  <c r="J250" i="14"/>
  <c r="J237" i="14"/>
  <c r="J224" i="14"/>
  <c r="J211" i="14"/>
  <c r="J198" i="14"/>
  <c r="J184" i="14"/>
  <c r="J171" i="14"/>
  <c r="J158" i="14"/>
  <c r="J145" i="14"/>
  <c r="J132" i="14"/>
  <c r="J116" i="14"/>
  <c r="J98" i="14"/>
  <c r="J76" i="14"/>
  <c r="J59" i="14"/>
  <c r="J37" i="14"/>
  <c r="J15" i="14"/>
  <c r="P533" i="14"/>
  <c r="M533" i="14"/>
  <c r="N533" i="14" s="1"/>
  <c r="P509" i="14"/>
  <c r="M509" i="14"/>
  <c r="N509" i="14" s="1"/>
  <c r="P497" i="14"/>
  <c r="M497" i="14"/>
  <c r="N497" i="14" s="1"/>
  <c r="P485" i="14"/>
  <c r="M485" i="14"/>
  <c r="N485" i="14" s="1"/>
  <c r="P461" i="14"/>
  <c r="M461" i="14"/>
  <c r="N461" i="14" s="1"/>
  <c r="P449" i="14"/>
  <c r="M449" i="14"/>
  <c r="N449" i="14" s="1"/>
  <c r="J537" i="14"/>
  <c r="J525" i="14"/>
  <c r="J513" i="14"/>
  <c r="J501" i="14"/>
  <c r="J489" i="14"/>
  <c r="J477" i="14"/>
  <c r="J465" i="14"/>
  <c r="J453" i="14"/>
  <c r="J441" i="14"/>
  <c r="J429" i="14"/>
  <c r="J417" i="14"/>
  <c r="J405" i="14"/>
  <c r="J393" i="14"/>
  <c r="J380" i="14"/>
  <c r="J367" i="14"/>
  <c r="J354" i="14"/>
  <c r="J340" i="14"/>
  <c r="J327" i="14"/>
  <c r="J314" i="14"/>
  <c r="J301" i="14"/>
  <c r="J288" i="14"/>
  <c r="J275" i="14"/>
  <c r="J262" i="14"/>
  <c r="J249" i="14"/>
  <c r="J236" i="14"/>
  <c r="J223" i="14"/>
  <c r="J210" i="14"/>
  <c r="J196" i="14"/>
  <c r="J183" i="14"/>
  <c r="J170" i="14"/>
  <c r="J157" i="14"/>
  <c r="J144" i="14"/>
  <c r="J131" i="14"/>
  <c r="J115" i="14"/>
  <c r="J97" i="14"/>
  <c r="J75" i="14"/>
  <c r="J57" i="14"/>
  <c r="J36" i="14"/>
  <c r="J14" i="14"/>
  <c r="P532" i="14"/>
  <c r="M532" i="14"/>
  <c r="N532" i="14" s="1"/>
  <c r="P508" i="14"/>
  <c r="M508" i="14"/>
  <c r="N508" i="14" s="1"/>
  <c r="P496" i="14"/>
  <c r="M496" i="14"/>
  <c r="N496" i="14" s="1"/>
  <c r="P460" i="14"/>
  <c r="M460" i="14"/>
  <c r="N460" i="14" s="1"/>
  <c r="P448" i="14"/>
  <c r="M448" i="14"/>
  <c r="N448" i="14" s="1"/>
  <c r="J536" i="14"/>
  <c r="J524" i="14"/>
  <c r="J512" i="14"/>
  <c r="J500" i="14"/>
  <c r="J488" i="14"/>
  <c r="J476" i="14"/>
  <c r="J464" i="14"/>
  <c r="J452" i="14"/>
  <c r="J440" i="14"/>
  <c r="J428" i="14"/>
  <c r="J416" i="14"/>
  <c r="J404" i="14"/>
  <c r="J392" i="14"/>
  <c r="J379" i="14"/>
  <c r="J366" i="14"/>
  <c r="J352" i="14"/>
  <c r="J339" i="14"/>
  <c r="J326" i="14"/>
  <c r="J313" i="14"/>
  <c r="J300" i="14"/>
  <c r="J287" i="14"/>
  <c r="J274" i="14"/>
  <c r="J261" i="14"/>
  <c r="J248" i="14"/>
  <c r="J235" i="14"/>
  <c r="J222" i="14"/>
  <c r="J208" i="14"/>
  <c r="J195" i="14"/>
  <c r="J182" i="14"/>
  <c r="J169" i="14"/>
  <c r="J156" i="14"/>
  <c r="J143" i="14"/>
  <c r="J129" i="14"/>
  <c r="J112" i="14"/>
  <c r="J96" i="14"/>
  <c r="J74" i="14"/>
  <c r="J52" i="14"/>
  <c r="J35" i="14"/>
  <c r="J13" i="14"/>
  <c r="P531" i="14"/>
  <c r="M531" i="14"/>
  <c r="N531" i="14" s="1"/>
  <c r="P507" i="14"/>
  <c r="M507" i="14"/>
  <c r="N507" i="14" s="1"/>
  <c r="P483" i="14"/>
  <c r="M483" i="14"/>
  <c r="N483" i="14" s="1"/>
  <c r="J535" i="14"/>
  <c r="J523" i="14"/>
  <c r="J511" i="14"/>
  <c r="J499" i="14"/>
  <c r="J487" i="14"/>
  <c r="J475" i="14"/>
  <c r="J463" i="14"/>
  <c r="J451" i="14"/>
  <c r="J439" i="14"/>
  <c r="J427" i="14"/>
  <c r="J415" i="14"/>
  <c r="J403" i="14"/>
  <c r="J391" i="14"/>
  <c r="J378" i="14"/>
  <c r="J364" i="14"/>
  <c r="J351" i="14"/>
  <c r="J338" i="14"/>
  <c r="J325" i="14"/>
  <c r="J312" i="14"/>
  <c r="J299" i="14"/>
  <c r="J286" i="14"/>
  <c r="J273" i="14"/>
  <c r="J260" i="14"/>
  <c r="J247" i="14"/>
  <c r="J234" i="14"/>
  <c r="J220" i="14"/>
  <c r="J207" i="14"/>
  <c r="J194" i="14"/>
  <c r="J181" i="14"/>
  <c r="J168" i="14"/>
  <c r="J155" i="14"/>
  <c r="J142" i="14"/>
  <c r="J128" i="14"/>
  <c r="J111" i="14"/>
  <c r="J95" i="14"/>
  <c r="J73" i="14"/>
  <c r="J51" i="14"/>
  <c r="J33" i="14"/>
  <c r="J12" i="14"/>
  <c r="P530" i="14"/>
  <c r="M530" i="14"/>
  <c r="N530" i="14" s="1"/>
  <c r="P518" i="14"/>
  <c r="S518" i="14" s="1"/>
  <c r="M518" i="14"/>
  <c r="N518" i="14" s="1"/>
  <c r="P506" i="14"/>
  <c r="M506" i="14"/>
  <c r="N506" i="14" s="1"/>
  <c r="P458" i="14"/>
  <c r="M458" i="14"/>
  <c r="N458" i="14" s="1"/>
  <c r="P446" i="14"/>
  <c r="M446" i="14"/>
  <c r="N446" i="14" s="1"/>
  <c r="J534" i="14"/>
  <c r="J522" i="14"/>
  <c r="J510" i="14"/>
  <c r="J498" i="14"/>
  <c r="J486" i="14"/>
  <c r="J474" i="14"/>
  <c r="J462" i="14"/>
  <c r="J450" i="14"/>
  <c r="J438" i="14"/>
  <c r="J426" i="14"/>
  <c r="J414" i="14"/>
  <c r="J402" i="14"/>
  <c r="J390" i="14"/>
  <c r="J376" i="14"/>
  <c r="J363" i="14"/>
  <c r="J350" i="14"/>
  <c r="J337" i="14"/>
  <c r="J324" i="14"/>
  <c r="J311" i="14"/>
  <c r="J298" i="14"/>
  <c r="J285" i="14"/>
  <c r="J272" i="14"/>
  <c r="J259" i="14"/>
  <c r="J246" i="14"/>
  <c r="J232" i="14"/>
  <c r="J219" i="14"/>
  <c r="J206" i="14"/>
  <c r="J193" i="14"/>
  <c r="J180" i="14"/>
  <c r="J167" i="14"/>
  <c r="J154" i="14"/>
  <c r="J141" i="14"/>
  <c r="J127" i="14"/>
  <c r="J110" i="14"/>
  <c r="J93" i="14"/>
  <c r="J72" i="14"/>
  <c r="J50" i="14"/>
  <c r="J28" i="14"/>
  <c r="J11" i="14"/>
  <c r="J533" i="14"/>
  <c r="J521" i="14"/>
  <c r="J509" i="14"/>
  <c r="J497" i="14"/>
  <c r="J485" i="14"/>
  <c r="J473" i="14"/>
  <c r="J461" i="14"/>
  <c r="J449" i="14"/>
  <c r="J437" i="14"/>
  <c r="J425" i="14"/>
  <c r="J413" i="14"/>
  <c r="J401" i="14"/>
  <c r="J388" i="14"/>
  <c r="J375" i="14"/>
  <c r="J362" i="14"/>
  <c r="J349" i="14"/>
  <c r="J336" i="14"/>
  <c r="J323" i="14"/>
  <c r="J310" i="14"/>
  <c r="J297" i="14"/>
  <c r="J284" i="14"/>
  <c r="J271" i="14"/>
  <c r="J258" i="14"/>
  <c r="J244" i="14"/>
  <c r="J231" i="14"/>
  <c r="J218" i="14"/>
  <c r="J205" i="14"/>
  <c r="J192" i="14"/>
  <c r="J179" i="14"/>
  <c r="J166" i="14"/>
  <c r="J153" i="14"/>
  <c r="J140" i="14"/>
  <c r="J124" i="14"/>
  <c r="J109" i="14"/>
  <c r="J88" i="14"/>
  <c r="J71" i="14"/>
  <c r="J49" i="14"/>
  <c r="J27" i="14"/>
  <c r="P504" i="14"/>
  <c r="M504" i="14"/>
  <c r="N504" i="14" s="1"/>
  <c r="P456" i="14"/>
  <c r="M456" i="14"/>
  <c r="N456" i="14" s="1"/>
  <c r="J532" i="14"/>
  <c r="J520" i="14"/>
  <c r="J508" i="14"/>
  <c r="J496" i="14"/>
  <c r="J484" i="14"/>
  <c r="J472" i="14"/>
  <c r="J460" i="14"/>
  <c r="J448" i="14"/>
  <c r="J436" i="14"/>
  <c r="J424" i="14"/>
  <c r="J412" i="14"/>
  <c r="J400" i="14"/>
  <c r="J387" i="14"/>
  <c r="J374" i="14"/>
  <c r="J361" i="14"/>
  <c r="J348" i="14"/>
  <c r="J335" i="14"/>
  <c r="J322" i="14"/>
  <c r="J309" i="14"/>
  <c r="J296" i="14"/>
  <c r="J283" i="14"/>
  <c r="J270" i="14"/>
  <c r="J256" i="14"/>
  <c r="J243" i="14"/>
  <c r="J230" i="14"/>
  <c r="J217" i="14"/>
  <c r="J204" i="14"/>
  <c r="J191" i="14"/>
  <c r="J178" i="14"/>
  <c r="J165" i="14"/>
  <c r="J152" i="14"/>
  <c r="J139" i="14"/>
  <c r="J123" i="14"/>
  <c r="J108" i="14"/>
  <c r="J87" i="14"/>
  <c r="J69" i="14"/>
  <c r="J48" i="14"/>
  <c r="J26" i="14"/>
  <c r="J531" i="14"/>
  <c r="J519" i="14"/>
  <c r="J507" i="14"/>
  <c r="J495" i="14"/>
  <c r="J483" i="14"/>
  <c r="J471" i="14"/>
  <c r="J459" i="14"/>
  <c r="J447" i="14"/>
  <c r="J435" i="14"/>
  <c r="J423" i="14"/>
  <c r="J411" i="14"/>
  <c r="J399" i="14"/>
  <c r="J386" i="14"/>
  <c r="J373" i="14"/>
  <c r="J360" i="14"/>
  <c r="J347" i="14"/>
  <c r="J334" i="14"/>
  <c r="J321" i="14"/>
  <c r="J308" i="14"/>
  <c r="J295" i="14"/>
  <c r="J282" i="14"/>
  <c r="J268" i="14"/>
  <c r="J255" i="14"/>
  <c r="J242" i="14"/>
  <c r="J229" i="14"/>
  <c r="J216" i="14"/>
  <c r="J203" i="14"/>
  <c r="J190" i="14"/>
  <c r="J177" i="14"/>
  <c r="J164" i="14"/>
  <c r="J151" i="14"/>
  <c r="J138" i="14"/>
  <c r="J122" i="14"/>
  <c r="J107" i="14"/>
  <c r="J86" i="14"/>
  <c r="J64" i="14"/>
  <c r="J47" i="14"/>
  <c r="J25" i="14"/>
  <c r="J530" i="14"/>
  <c r="J518" i="14"/>
  <c r="J506" i="14"/>
  <c r="J494" i="14"/>
  <c r="J482" i="14"/>
  <c r="J470" i="14"/>
  <c r="J458" i="14"/>
  <c r="J446" i="14"/>
  <c r="J434" i="14"/>
  <c r="J422" i="14"/>
  <c r="J410" i="14"/>
  <c r="J398" i="14"/>
  <c r="J385" i="14"/>
  <c r="J372" i="14"/>
  <c r="J359" i="14"/>
  <c r="J346" i="14"/>
  <c r="J333" i="14"/>
  <c r="J320" i="14"/>
  <c r="J307" i="14"/>
  <c r="J294" i="14"/>
  <c r="J280" i="14"/>
  <c r="J267" i="14"/>
  <c r="J254" i="14"/>
  <c r="J241" i="14"/>
  <c r="J228" i="14"/>
  <c r="J215" i="14"/>
  <c r="J202" i="14"/>
  <c r="J189" i="14"/>
  <c r="J176" i="14"/>
  <c r="J163" i="14"/>
  <c r="J150" i="14"/>
  <c r="J136" i="14"/>
  <c r="J121" i="14"/>
  <c r="J105" i="14"/>
  <c r="J85" i="14"/>
  <c r="J63" i="14"/>
  <c r="J45" i="14"/>
  <c r="J24" i="14"/>
  <c r="P187" i="14"/>
  <c r="M187" i="14"/>
  <c r="N187" i="14" s="1"/>
  <c r="P175" i="14"/>
  <c r="M175" i="14"/>
  <c r="N175" i="14" s="1"/>
  <c r="P163" i="14"/>
  <c r="M163" i="14"/>
  <c r="N163" i="14" s="1"/>
  <c r="P139" i="14"/>
  <c r="M139" i="14"/>
  <c r="N139" i="14" s="1"/>
  <c r="P115" i="14"/>
  <c r="M115" i="14"/>
  <c r="N115" i="14" s="1"/>
  <c r="P103" i="14"/>
  <c r="M103" i="14"/>
  <c r="N103" i="14" s="1"/>
  <c r="P91" i="14"/>
  <c r="M91" i="14"/>
  <c r="N91" i="14" s="1"/>
  <c r="P67" i="14"/>
  <c r="M67" i="14"/>
  <c r="N67" i="14" s="1"/>
  <c r="P31" i="14"/>
  <c r="M31" i="14"/>
  <c r="N31" i="14" s="1"/>
  <c r="S538" i="14"/>
  <c r="S514" i="14"/>
  <c r="S502" i="14"/>
  <c r="S454" i="14"/>
  <c r="S442" i="14"/>
  <c r="S406" i="14"/>
  <c r="S394" i="14"/>
  <c r="S370" i="14"/>
  <c r="S346" i="14"/>
  <c r="S334" i="14"/>
  <c r="S298" i="14"/>
  <c r="S286" i="14"/>
  <c r="S274" i="14"/>
  <c r="S262" i="14"/>
  <c r="S238" i="14"/>
  <c r="S214" i="14"/>
  <c r="M214" i="14"/>
  <c r="N214" i="14" s="1"/>
  <c r="S202" i="14"/>
  <c r="M202" i="14"/>
  <c r="N202" i="14" s="1"/>
  <c r="S190" i="14"/>
  <c r="M154" i="14"/>
  <c r="N154" i="14" s="1"/>
  <c r="S154" i="14"/>
  <c r="S130" i="14"/>
  <c r="M130" i="14"/>
  <c r="N130" i="14" s="1"/>
  <c r="M82" i="14"/>
  <c r="N82" i="14" s="1"/>
  <c r="S82" i="14"/>
  <c r="S58" i="14"/>
  <c r="M58" i="14"/>
  <c r="N58" i="14" s="1"/>
  <c r="S46" i="14"/>
  <c r="M46" i="14"/>
  <c r="N46" i="14" s="1"/>
  <c r="S22" i="14"/>
  <c r="M22" i="14"/>
  <c r="N22" i="14" s="1"/>
  <c r="R10" i="14"/>
  <c r="S10" i="14" s="1"/>
  <c r="U10" i="14" s="1"/>
  <c r="M10" i="14"/>
  <c r="N10" i="14" s="1"/>
  <c r="M529" i="14"/>
  <c r="N529" i="14" s="1"/>
  <c r="M517" i="14"/>
  <c r="N517" i="14" s="1"/>
  <c r="M505" i="14"/>
  <c r="N505" i="14" s="1"/>
  <c r="M493" i="14"/>
  <c r="N493" i="14" s="1"/>
  <c r="M481" i="14"/>
  <c r="N481" i="14" s="1"/>
  <c r="M469" i="14"/>
  <c r="N469" i="14" s="1"/>
  <c r="M457" i="14"/>
  <c r="N457" i="14" s="1"/>
  <c r="M445" i="14"/>
  <c r="N445" i="14" s="1"/>
  <c r="M433" i="14"/>
  <c r="N433" i="14" s="1"/>
  <c r="M421" i="14"/>
  <c r="N421" i="14" s="1"/>
  <c r="M409" i="14"/>
  <c r="N409" i="14" s="1"/>
  <c r="M397" i="14"/>
  <c r="N397" i="14" s="1"/>
  <c r="M385" i="14"/>
  <c r="N385" i="14" s="1"/>
  <c r="M373" i="14"/>
  <c r="N373" i="14" s="1"/>
  <c r="M361" i="14"/>
  <c r="N361" i="14" s="1"/>
  <c r="M349" i="14"/>
  <c r="N349" i="14" s="1"/>
  <c r="M337" i="14"/>
  <c r="N337" i="14" s="1"/>
  <c r="M325" i="14"/>
  <c r="N325" i="14" s="1"/>
  <c r="M313" i="14"/>
  <c r="N313" i="14" s="1"/>
  <c r="M301" i="14"/>
  <c r="N301" i="14" s="1"/>
  <c r="M289" i="14"/>
  <c r="N289" i="14" s="1"/>
  <c r="M277" i="14"/>
  <c r="N277" i="14" s="1"/>
  <c r="M265" i="14"/>
  <c r="N265" i="14" s="1"/>
  <c r="M253" i="14"/>
  <c r="N253" i="14" s="1"/>
  <c r="M240" i="14"/>
  <c r="N240" i="14" s="1"/>
  <c r="M227" i="14"/>
  <c r="N227" i="14" s="1"/>
  <c r="M209" i="14"/>
  <c r="N209" i="14" s="1"/>
  <c r="M194" i="14"/>
  <c r="N194" i="14" s="1"/>
  <c r="M179" i="14"/>
  <c r="N179" i="14" s="1"/>
  <c r="M161" i="14"/>
  <c r="N161" i="14" s="1"/>
  <c r="M146" i="14"/>
  <c r="N146" i="14" s="1"/>
  <c r="M111" i="14"/>
  <c r="N111" i="14" s="1"/>
  <c r="M95" i="14"/>
  <c r="N95" i="14" s="1"/>
  <c r="M75" i="14"/>
  <c r="N75" i="14" s="1"/>
  <c r="M59" i="14"/>
  <c r="N59" i="14" s="1"/>
  <c r="M39" i="14"/>
  <c r="N39" i="14" s="1"/>
  <c r="S537" i="14"/>
  <c r="S513" i="14"/>
  <c r="S501" i="14"/>
  <c r="S477" i="14"/>
  <c r="S453" i="14"/>
  <c r="S405" i="14"/>
  <c r="S393" i="14"/>
  <c r="S345" i="14"/>
  <c r="S333" i="14"/>
  <c r="S321" i="14"/>
  <c r="S297" i="14"/>
  <c r="S285" i="14"/>
  <c r="S273" i="14"/>
  <c r="S261" i="14"/>
  <c r="S249" i="14"/>
  <c r="S237" i="14"/>
  <c r="S225" i="14"/>
  <c r="S189" i="14"/>
  <c r="S177" i="14"/>
  <c r="S165" i="14"/>
  <c r="S141" i="14"/>
  <c r="M528" i="14"/>
  <c r="N528" i="14" s="1"/>
  <c r="M516" i="14"/>
  <c r="N516" i="14" s="1"/>
  <c r="M492" i="14"/>
  <c r="N492" i="14" s="1"/>
  <c r="M480" i="14"/>
  <c r="N480" i="14" s="1"/>
  <c r="M468" i="14"/>
  <c r="N468" i="14" s="1"/>
  <c r="M444" i="14"/>
  <c r="N444" i="14" s="1"/>
  <c r="M432" i="14"/>
  <c r="N432" i="14" s="1"/>
  <c r="M420" i="14"/>
  <c r="N420" i="14" s="1"/>
  <c r="M408" i="14"/>
  <c r="N408" i="14" s="1"/>
  <c r="M396" i="14"/>
  <c r="N396" i="14" s="1"/>
  <c r="M384" i="14"/>
  <c r="N384" i="14" s="1"/>
  <c r="M372" i="14"/>
  <c r="N372" i="14" s="1"/>
  <c r="M360" i="14"/>
  <c r="N360" i="14" s="1"/>
  <c r="M348" i="14"/>
  <c r="N348" i="14" s="1"/>
  <c r="M336" i="14"/>
  <c r="N336" i="14" s="1"/>
  <c r="M324" i="14"/>
  <c r="N324" i="14" s="1"/>
  <c r="M312" i="14"/>
  <c r="N312" i="14" s="1"/>
  <c r="M300" i="14"/>
  <c r="N300" i="14" s="1"/>
  <c r="M288" i="14"/>
  <c r="N288" i="14" s="1"/>
  <c r="M276" i="14"/>
  <c r="N276" i="14" s="1"/>
  <c r="M264" i="14"/>
  <c r="N264" i="14" s="1"/>
  <c r="M252" i="14"/>
  <c r="N252" i="14" s="1"/>
  <c r="M239" i="14"/>
  <c r="N239" i="14" s="1"/>
  <c r="M225" i="14"/>
  <c r="N225" i="14" s="1"/>
  <c r="M208" i="14"/>
  <c r="N208" i="14" s="1"/>
  <c r="M193" i="14"/>
  <c r="N193" i="14" s="1"/>
  <c r="M177" i="14"/>
  <c r="N177" i="14" s="1"/>
  <c r="M160" i="14"/>
  <c r="N160" i="14" s="1"/>
  <c r="M145" i="14"/>
  <c r="N145" i="14" s="1"/>
  <c r="M126" i="14"/>
  <c r="N126" i="14" s="1"/>
  <c r="M110" i="14"/>
  <c r="N110" i="14" s="1"/>
  <c r="M90" i="14"/>
  <c r="N90" i="14" s="1"/>
  <c r="M74" i="14"/>
  <c r="N74" i="14" s="1"/>
  <c r="M54" i="14"/>
  <c r="N54" i="14" s="1"/>
  <c r="M38" i="14"/>
  <c r="N38" i="14" s="1"/>
  <c r="S536" i="14"/>
  <c r="S512" i="14"/>
  <c r="S500" i="14"/>
  <c r="S488" i="14"/>
  <c r="S476" i="14"/>
  <c r="S464" i="14"/>
  <c r="V4" i="14"/>
  <c r="D7" i="12" s="1"/>
  <c r="S452" i="14"/>
  <c r="S428" i="14"/>
  <c r="S404" i="14"/>
  <c r="S392" i="14"/>
  <c r="S368" i="14"/>
  <c r="S344" i="14"/>
  <c r="S332" i="14"/>
  <c r="S296" i="14"/>
  <c r="S284" i="14"/>
  <c r="S272" i="14"/>
  <c r="S248" i="14"/>
  <c r="S236" i="14"/>
  <c r="S212" i="14"/>
  <c r="M212" i="14"/>
  <c r="N212" i="14" s="1"/>
  <c r="S200" i="14"/>
  <c r="M200" i="14"/>
  <c r="N200" i="14" s="1"/>
  <c r="S176" i="14"/>
  <c r="S152" i="14"/>
  <c r="M152" i="14"/>
  <c r="N152" i="14" s="1"/>
  <c r="S128" i="14"/>
  <c r="M128" i="14"/>
  <c r="N128" i="14" s="1"/>
  <c r="S80" i="14"/>
  <c r="M80" i="14"/>
  <c r="N80" i="14" s="1"/>
  <c r="S68" i="14"/>
  <c r="S56" i="14"/>
  <c r="M56" i="14"/>
  <c r="N56" i="14" s="1"/>
  <c r="S44" i="14"/>
  <c r="M44" i="14"/>
  <c r="N44" i="14" s="1"/>
  <c r="R20" i="14"/>
  <c r="S20" i="14" s="1"/>
  <c r="U20" i="14" s="1"/>
  <c r="M20" i="14"/>
  <c r="N20" i="14" s="1"/>
  <c r="M539" i="14"/>
  <c r="N539" i="14" s="1"/>
  <c r="M527" i="14"/>
  <c r="N527" i="14" s="1"/>
  <c r="M515" i="14"/>
  <c r="N515" i="14" s="1"/>
  <c r="M503" i="14"/>
  <c r="N503" i="14" s="1"/>
  <c r="M491" i="14"/>
  <c r="N491" i="14" s="1"/>
  <c r="M479" i="14"/>
  <c r="N479" i="14" s="1"/>
  <c r="M467" i="14"/>
  <c r="N467" i="14" s="1"/>
  <c r="M455" i="14"/>
  <c r="N455" i="14" s="1"/>
  <c r="M443" i="14"/>
  <c r="N443" i="14" s="1"/>
  <c r="M431" i="14"/>
  <c r="N431" i="14" s="1"/>
  <c r="M419" i="14"/>
  <c r="N419" i="14" s="1"/>
  <c r="M407" i="14"/>
  <c r="N407" i="14" s="1"/>
  <c r="M395" i="14"/>
  <c r="N395" i="14" s="1"/>
  <c r="M383" i="14"/>
  <c r="N383" i="14" s="1"/>
  <c r="M371" i="14"/>
  <c r="N371" i="14" s="1"/>
  <c r="M359" i="14"/>
  <c r="N359" i="14" s="1"/>
  <c r="M347" i="14"/>
  <c r="N347" i="14" s="1"/>
  <c r="M335" i="14"/>
  <c r="N335" i="14" s="1"/>
  <c r="M323" i="14"/>
  <c r="N323" i="14" s="1"/>
  <c r="M311" i="14"/>
  <c r="N311" i="14" s="1"/>
  <c r="M299" i="14"/>
  <c r="N299" i="14" s="1"/>
  <c r="M287" i="14"/>
  <c r="N287" i="14" s="1"/>
  <c r="M275" i="14"/>
  <c r="N275" i="14" s="1"/>
  <c r="M263" i="14"/>
  <c r="N263" i="14" s="1"/>
  <c r="M251" i="14"/>
  <c r="N251" i="14" s="1"/>
  <c r="M238" i="14"/>
  <c r="N238" i="14" s="1"/>
  <c r="M222" i="14"/>
  <c r="N222" i="14" s="1"/>
  <c r="M207" i="14"/>
  <c r="N207" i="14" s="1"/>
  <c r="M192" i="14"/>
  <c r="N192" i="14" s="1"/>
  <c r="M174" i="14"/>
  <c r="N174" i="14" s="1"/>
  <c r="M159" i="14"/>
  <c r="N159" i="14" s="1"/>
  <c r="M144" i="14"/>
  <c r="N144" i="14" s="1"/>
  <c r="M125" i="14"/>
  <c r="N125" i="14" s="1"/>
  <c r="M109" i="14"/>
  <c r="N109" i="14" s="1"/>
  <c r="M89" i="14"/>
  <c r="N89" i="14" s="1"/>
  <c r="M73" i="14"/>
  <c r="N73" i="14" s="1"/>
  <c r="M53" i="14"/>
  <c r="N53" i="14" s="1"/>
  <c r="M37" i="14"/>
  <c r="N37" i="14" s="1"/>
  <c r="M17" i="14"/>
  <c r="N17" i="14" s="1"/>
  <c r="S535" i="14"/>
  <c r="S511" i="14"/>
  <c r="S499" i="14"/>
  <c r="S487" i="14"/>
  <c r="S463" i="14"/>
  <c r="S451" i="14"/>
  <c r="S403" i="14"/>
  <c r="S391" i="14"/>
  <c r="S379" i="14"/>
  <c r="S367" i="14"/>
  <c r="S355" i="14"/>
  <c r="S343" i="14"/>
  <c r="S331" i="14"/>
  <c r="S295" i="14"/>
  <c r="S283" i="14"/>
  <c r="S271" i="14"/>
  <c r="S247" i="14"/>
  <c r="M247" i="14"/>
  <c r="N247" i="14" s="1"/>
  <c r="S235" i="14"/>
  <c r="S223" i="14"/>
  <c r="S211" i="14"/>
  <c r="M211" i="14"/>
  <c r="N211" i="14" s="1"/>
  <c r="S199" i="14"/>
  <c r="M199" i="14"/>
  <c r="N199" i="14" s="1"/>
  <c r="S187" i="14"/>
  <c r="S175" i="14"/>
  <c r="S163" i="14"/>
  <c r="S151" i="14"/>
  <c r="M151" i="14"/>
  <c r="N151" i="14" s="1"/>
  <c r="S139" i="14"/>
  <c r="S127" i="14"/>
  <c r="M127" i="14"/>
  <c r="N127" i="14" s="1"/>
  <c r="S115" i="14"/>
  <c r="S103" i="14"/>
  <c r="S91" i="14"/>
  <c r="S79" i="14"/>
  <c r="M79" i="14"/>
  <c r="N79" i="14" s="1"/>
  <c r="S67" i="14"/>
  <c r="S55" i="14"/>
  <c r="M55" i="14"/>
  <c r="N55" i="14" s="1"/>
  <c r="S43" i="14"/>
  <c r="M43" i="14"/>
  <c r="N43" i="14" s="1"/>
  <c r="S31" i="14"/>
  <c r="R19" i="14"/>
  <c r="S19" i="14" s="1"/>
  <c r="U19" i="14" s="1"/>
  <c r="M19" i="14"/>
  <c r="N19" i="14" s="1"/>
  <c r="M538" i="14"/>
  <c r="N538" i="14" s="1"/>
  <c r="M526" i="14"/>
  <c r="N526" i="14" s="1"/>
  <c r="M514" i="14"/>
  <c r="N514" i="14" s="1"/>
  <c r="M502" i="14"/>
  <c r="N502" i="14" s="1"/>
  <c r="M490" i="14"/>
  <c r="N490" i="14" s="1"/>
  <c r="M478" i="14"/>
  <c r="N478" i="14" s="1"/>
  <c r="M466" i="14"/>
  <c r="N466" i="14" s="1"/>
  <c r="M454" i="14"/>
  <c r="N454" i="14" s="1"/>
  <c r="M442" i="14"/>
  <c r="N442" i="14" s="1"/>
  <c r="M430" i="14"/>
  <c r="N430" i="14" s="1"/>
  <c r="M418" i="14"/>
  <c r="N418" i="14" s="1"/>
  <c r="M406" i="14"/>
  <c r="N406" i="14" s="1"/>
  <c r="M394" i="14"/>
  <c r="N394" i="14" s="1"/>
  <c r="M382" i="14"/>
  <c r="N382" i="14" s="1"/>
  <c r="M370" i="14"/>
  <c r="N370" i="14" s="1"/>
  <c r="M358" i="14"/>
  <c r="N358" i="14" s="1"/>
  <c r="M346" i="14"/>
  <c r="N346" i="14" s="1"/>
  <c r="M334" i="14"/>
  <c r="N334" i="14" s="1"/>
  <c r="M322" i="14"/>
  <c r="N322" i="14" s="1"/>
  <c r="M310" i="14"/>
  <c r="N310" i="14" s="1"/>
  <c r="M298" i="14"/>
  <c r="N298" i="14" s="1"/>
  <c r="M286" i="14"/>
  <c r="N286" i="14" s="1"/>
  <c r="M274" i="14"/>
  <c r="N274" i="14" s="1"/>
  <c r="M262" i="14"/>
  <c r="N262" i="14" s="1"/>
  <c r="M250" i="14"/>
  <c r="N250" i="14" s="1"/>
  <c r="M237" i="14"/>
  <c r="N237" i="14" s="1"/>
  <c r="M221" i="14"/>
  <c r="N221" i="14" s="1"/>
  <c r="M206" i="14"/>
  <c r="N206" i="14" s="1"/>
  <c r="M173" i="14"/>
  <c r="N173" i="14" s="1"/>
  <c r="M158" i="14"/>
  <c r="N158" i="14" s="1"/>
  <c r="M143" i="14"/>
  <c r="N143" i="14" s="1"/>
  <c r="M124" i="14"/>
  <c r="N124" i="14" s="1"/>
  <c r="M108" i="14"/>
  <c r="N108" i="14" s="1"/>
  <c r="M88" i="14"/>
  <c r="N88" i="14" s="1"/>
  <c r="M72" i="14"/>
  <c r="N72" i="14" s="1"/>
  <c r="M52" i="14"/>
  <c r="N52" i="14" s="1"/>
  <c r="M36" i="14"/>
  <c r="N36" i="14" s="1"/>
  <c r="M16" i="14"/>
  <c r="N16" i="14" s="1"/>
  <c r="S534" i="14"/>
  <c r="S510" i="14"/>
  <c r="S498" i="14"/>
  <c r="S450" i="14"/>
  <c r="S426" i="14"/>
  <c r="S402" i="14"/>
  <c r="S378" i="14"/>
  <c r="S354" i="14"/>
  <c r="S342" i="14"/>
  <c r="S330" i="14"/>
  <c r="S294" i="14"/>
  <c r="S282" i="14"/>
  <c r="S270" i="14"/>
  <c r="S246" i="14"/>
  <c r="S234" i="14"/>
  <c r="S222" i="14"/>
  <c r="S186" i="14"/>
  <c r="S174" i="14"/>
  <c r="S162" i="14"/>
  <c r="S114" i="14"/>
  <c r="S102" i="14"/>
  <c r="S90" i="14"/>
  <c r="S66" i="14"/>
  <c r="S42" i="14"/>
  <c r="S30" i="14"/>
  <c r="M537" i="14"/>
  <c r="N537" i="14" s="1"/>
  <c r="M513" i="14"/>
  <c r="N513" i="14" s="1"/>
  <c r="M501" i="14"/>
  <c r="N501" i="14" s="1"/>
  <c r="M477" i="14"/>
  <c r="N477" i="14" s="1"/>
  <c r="M453" i="14"/>
  <c r="N453" i="14" s="1"/>
  <c r="M405" i="14"/>
  <c r="N405" i="14" s="1"/>
  <c r="M393" i="14"/>
  <c r="N393" i="14" s="1"/>
  <c r="M345" i="14"/>
  <c r="N345" i="14" s="1"/>
  <c r="M333" i="14"/>
  <c r="N333" i="14" s="1"/>
  <c r="M321" i="14"/>
  <c r="N321" i="14" s="1"/>
  <c r="M297" i="14"/>
  <c r="N297" i="14" s="1"/>
  <c r="M285" i="14"/>
  <c r="N285" i="14" s="1"/>
  <c r="M273" i="14"/>
  <c r="N273" i="14" s="1"/>
  <c r="M261" i="14"/>
  <c r="N261" i="14" s="1"/>
  <c r="M249" i="14"/>
  <c r="N249" i="14" s="1"/>
  <c r="M236" i="14"/>
  <c r="N236" i="14" s="1"/>
  <c r="M220" i="14"/>
  <c r="N220" i="14" s="1"/>
  <c r="M205" i="14"/>
  <c r="N205" i="14" s="1"/>
  <c r="M189" i="14"/>
  <c r="N189" i="14" s="1"/>
  <c r="M172" i="14"/>
  <c r="N172" i="14" s="1"/>
  <c r="M157" i="14"/>
  <c r="N157" i="14" s="1"/>
  <c r="M141" i="14"/>
  <c r="N141" i="14" s="1"/>
  <c r="M123" i="14"/>
  <c r="N123" i="14" s="1"/>
  <c r="M107" i="14"/>
  <c r="N107" i="14" s="1"/>
  <c r="M87" i="14"/>
  <c r="N87" i="14" s="1"/>
  <c r="M71" i="14"/>
  <c r="N71" i="14" s="1"/>
  <c r="M51" i="14"/>
  <c r="N51" i="14" s="1"/>
  <c r="M35" i="14"/>
  <c r="N35" i="14" s="1"/>
  <c r="M15" i="14"/>
  <c r="N15" i="14" s="1"/>
  <c r="S533" i="14"/>
  <c r="S509" i="14"/>
  <c r="S497" i="14"/>
  <c r="S485" i="14"/>
  <c r="S461" i="14"/>
  <c r="S449" i="14"/>
  <c r="S425" i="14"/>
  <c r="S413" i="14"/>
  <c r="S401" i="14"/>
  <c r="S377" i="14"/>
  <c r="S341" i="14"/>
  <c r="S329" i="14"/>
  <c r="S317" i="14"/>
  <c r="S293" i="14"/>
  <c r="S281" i="14"/>
  <c r="S245" i="14"/>
  <c r="S233" i="14"/>
  <c r="S221" i="14"/>
  <c r="S185" i="14"/>
  <c r="S173" i="14"/>
  <c r="S113" i="14"/>
  <c r="S89" i="14"/>
  <c r="S65" i="14"/>
  <c r="S41" i="14"/>
  <c r="S29" i="14"/>
  <c r="M536" i="14"/>
  <c r="N536" i="14" s="1"/>
  <c r="M524" i="14"/>
  <c r="N524" i="14" s="1"/>
  <c r="M512" i="14"/>
  <c r="N512" i="14" s="1"/>
  <c r="M500" i="14"/>
  <c r="N500" i="14" s="1"/>
  <c r="M488" i="14"/>
  <c r="N488" i="14" s="1"/>
  <c r="M476" i="14"/>
  <c r="N476" i="14" s="1"/>
  <c r="M464" i="14"/>
  <c r="N464" i="14" s="1"/>
  <c r="M452" i="14"/>
  <c r="N452" i="14" s="1"/>
  <c r="M428" i="14"/>
  <c r="N428" i="14" s="1"/>
  <c r="M404" i="14"/>
  <c r="N404" i="14" s="1"/>
  <c r="M392" i="14"/>
  <c r="N392" i="14" s="1"/>
  <c r="M368" i="14"/>
  <c r="N368" i="14" s="1"/>
  <c r="M344" i="14"/>
  <c r="N344" i="14" s="1"/>
  <c r="M332" i="14"/>
  <c r="N332" i="14" s="1"/>
  <c r="M320" i="14"/>
  <c r="N320" i="14" s="1"/>
  <c r="M296" i="14"/>
  <c r="N296" i="14" s="1"/>
  <c r="M284" i="14"/>
  <c r="N284" i="14" s="1"/>
  <c r="M272" i="14"/>
  <c r="N272" i="14" s="1"/>
  <c r="M260" i="14"/>
  <c r="N260" i="14" s="1"/>
  <c r="M248" i="14"/>
  <c r="N248" i="14" s="1"/>
  <c r="M234" i="14"/>
  <c r="N234" i="14" s="1"/>
  <c r="M219" i="14"/>
  <c r="N219" i="14" s="1"/>
  <c r="M204" i="14"/>
  <c r="N204" i="14" s="1"/>
  <c r="M186" i="14"/>
  <c r="N186" i="14" s="1"/>
  <c r="M171" i="14"/>
  <c r="N171" i="14" s="1"/>
  <c r="M156" i="14"/>
  <c r="N156" i="14" s="1"/>
  <c r="M138" i="14"/>
  <c r="N138" i="14" s="1"/>
  <c r="M122" i="14"/>
  <c r="N122" i="14" s="1"/>
  <c r="M102" i="14"/>
  <c r="N102" i="14" s="1"/>
  <c r="M86" i="14"/>
  <c r="N86" i="14" s="1"/>
  <c r="M66" i="14"/>
  <c r="N66" i="14" s="1"/>
  <c r="M50" i="14"/>
  <c r="N50" i="14" s="1"/>
  <c r="M30" i="14"/>
  <c r="N30" i="14" s="1"/>
  <c r="M14" i="14"/>
  <c r="N14" i="14" s="1"/>
  <c r="S532" i="14"/>
  <c r="S508" i="14"/>
  <c r="S496" i="14"/>
  <c r="S460" i="14"/>
  <c r="S448" i="14"/>
  <c r="S412" i="14"/>
  <c r="S400" i="14"/>
  <c r="S376" i="14"/>
  <c r="S352" i="14"/>
  <c r="S340" i="14"/>
  <c r="S328" i="14"/>
  <c r="S292" i="14"/>
  <c r="S280" i="14"/>
  <c r="S268" i="14"/>
  <c r="S244" i="14"/>
  <c r="S232" i="14"/>
  <c r="S220" i="14"/>
  <c r="S208" i="14"/>
  <c r="S184" i="14"/>
  <c r="S172" i="14"/>
  <c r="S112" i="14"/>
  <c r="S88" i="14"/>
  <c r="S64" i="14"/>
  <c r="M523" i="14"/>
  <c r="N523" i="14" s="1"/>
  <c r="M439" i="14"/>
  <c r="N439" i="14" s="1"/>
  <c r="M319" i="14"/>
  <c r="N319" i="14" s="1"/>
  <c r="M307" i="14"/>
  <c r="N307" i="14" s="1"/>
  <c r="M259" i="14"/>
  <c r="N259" i="14" s="1"/>
  <c r="M246" i="14"/>
  <c r="N246" i="14" s="1"/>
  <c r="M233" i="14"/>
  <c r="N233" i="14" s="1"/>
  <c r="M218" i="14"/>
  <c r="N218" i="14" s="1"/>
  <c r="M203" i="14"/>
  <c r="N203" i="14" s="1"/>
  <c r="M185" i="14"/>
  <c r="N185" i="14" s="1"/>
  <c r="M170" i="14"/>
  <c r="N170" i="14" s="1"/>
  <c r="M155" i="14"/>
  <c r="N155" i="14" s="1"/>
  <c r="M137" i="14"/>
  <c r="N137" i="14" s="1"/>
  <c r="M121" i="14"/>
  <c r="N121" i="14" s="1"/>
  <c r="M101" i="14"/>
  <c r="N101" i="14" s="1"/>
  <c r="M85" i="14"/>
  <c r="N85" i="14" s="1"/>
  <c r="M65" i="14"/>
  <c r="N65" i="14" s="1"/>
  <c r="M49" i="14"/>
  <c r="N49" i="14" s="1"/>
  <c r="M29" i="14"/>
  <c r="M13" i="14"/>
  <c r="N13" i="14" s="1"/>
  <c r="S531" i="14"/>
  <c r="S507" i="14"/>
  <c r="S483" i="14"/>
  <c r="S459" i="14"/>
  <c r="S447" i="14"/>
  <c r="S435" i="14"/>
  <c r="S399" i="14"/>
  <c r="S351" i="14"/>
  <c r="S339" i="14"/>
  <c r="S327" i="14"/>
  <c r="S315" i="14"/>
  <c r="S291" i="14"/>
  <c r="S279" i="14"/>
  <c r="S243" i="14"/>
  <c r="S231" i="14"/>
  <c r="S219" i="14"/>
  <c r="S183" i="14"/>
  <c r="S171" i="14"/>
  <c r="S111" i="14"/>
  <c r="S99" i="14"/>
  <c r="S87" i="14"/>
  <c r="S75" i="14"/>
  <c r="S63" i="14"/>
  <c r="S39" i="14"/>
  <c r="M522" i="14"/>
  <c r="N522" i="14" s="1"/>
  <c r="M474" i="14"/>
  <c r="N474" i="14" s="1"/>
  <c r="M438" i="14"/>
  <c r="N438" i="14" s="1"/>
  <c r="M414" i="14"/>
  <c r="N414" i="14" s="1"/>
  <c r="M390" i="14"/>
  <c r="N390" i="14" s="1"/>
  <c r="M366" i="14"/>
  <c r="N366" i="14" s="1"/>
  <c r="M318" i="14"/>
  <c r="N318" i="14" s="1"/>
  <c r="M306" i="14"/>
  <c r="N306" i="14" s="1"/>
  <c r="M282" i="14"/>
  <c r="N282" i="14" s="1"/>
  <c r="M270" i="14"/>
  <c r="N270" i="14" s="1"/>
  <c r="M258" i="14"/>
  <c r="N258" i="14" s="1"/>
  <c r="M245" i="14"/>
  <c r="N245" i="14" s="1"/>
  <c r="M232" i="14"/>
  <c r="N232" i="14" s="1"/>
  <c r="M217" i="14"/>
  <c r="N217" i="14" s="1"/>
  <c r="M184" i="14"/>
  <c r="N184" i="14" s="1"/>
  <c r="M169" i="14"/>
  <c r="N169" i="14" s="1"/>
  <c r="M136" i="14"/>
  <c r="N136" i="14" s="1"/>
  <c r="M120" i="14"/>
  <c r="N120" i="14" s="1"/>
  <c r="M100" i="14"/>
  <c r="N100" i="14" s="1"/>
  <c r="M84" i="14"/>
  <c r="N84" i="14" s="1"/>
  <c r="M64" i="14"/>
  <c r="N64" i="14" s="1"/>
  <c r="M48" i="14"/>
  <c r="N48" i="14" s="1"/>
  <c r="M28" i="14"/>
  <c r="N28" i="14" s="1"/>
  <c r="M12" i="14"/>
  <c r="N12" i="14" s="1"/>
  <c r="U305" i="14"/>
  <c r="S530" i="14"/>
  <c r="S506" i="14"/>
  <c r="S458" i="14"/>
  <c r="S446" i="14"/>
  <c r="S434" i="14"/>
  <c r="S410" i="14"/>
  <c r="S398" i="14"/>
  <c r="S374" i="14"/>
  <c r="S350" i="14"/>
  <c r="S338" i="14"/>
  <c r="S314" i="14"/>
  <c r="S302" i="14"/>
  <c r="S290" i="14"/>
  <c r="S278" i="14"/>
  <c r="S242" i="14"/>
  <c r="S230" i="14"/>
  <c r="S218" i="14"/>
  <c r="S206" i="14"/>
  <c r="S182" i="14"/>
  <c r="S110" i="14"/>
  <c r="S98" i="14"/>
  <c r="S74" i="14"/>
  <c r="S62" i="14"/>
  <c r="S38" i="14"/>
  <c r="M521" i="14"/>
  <c r="N521" i="14" s="1"/>
  <c r="M473" i="14"/>
  <c r="N473" i="14" s="1"/>
  <c r="M437" i="14"/>
  <c r="N437" i="14" s="1"/>
  <c r="M425" i="14"/>
  <c r="N425" i="14" s="1"/>
  <c r="M413" i="14"/>
  <c r="N413" i="14" s="1"/>
  <c r="M401" i="14"/>
  <c r="N401" i="14" s="1"/>
  <c r="M389" i="14"/>
  <c r="N389" i="14" s="1"/>
  <c r="M377" i="14"/>
  <c r="N377" i="14" s="1"/>
  <c r="M365" i="14"/>
  <c r="N365" i="14" s="1"/>
  <c r="M353" i="14"/>
  <c r="N353" i="14" s="1"/>
  <c r="M341" i="14"/>
  <c r="N341" i="14" s="1"/>
  <c r="M329" i="14"/>
  <c r="N329" i="14" s="1"/>
  <c r="M317" i="14"/>
  <c r="N317" i="14" s="1"/>
  <c r="M305" i="14"/>
  <c r="N305" i="14" s="1"/>
  <c r="M293" i="14"/>
  <c r="N293" i="14" s="1"/>
  <c r="M281" i="14"/>
  <c r="N281" i="14" s="1"/>
  <c r="M269" i="14"/>
  <c r="N269" i="14" s="1"/>
  <c r="M257" i="14"/>
  <c r="N257" i="14" s="1"/>
  <c r="M244" i="14"/>
  <c r="N244" i="14" s="1"/>
  <c r="M231" i="14"/>
  <c r="N231" i="14" s="1"/>
  <c r="M216" i="14"/>
  <c r="N216" i="14" s="1"/>
  <c r="M198" i="14"/>
  <c r="N198" i="14" s="1"/>
  <c r="M183" i="14"/>
  <c r="N183" i="14" s="1"/>
  <c r="M168" i="14"/>
  <c r="N168" i="14" s="1"/>
  <c r="M150" i="14"/>
  <c r="N150" i="14" s="1"/>
  <c r="M135" i="14"/>
  <c r="N135" i="14" s="1"/>
  <c r="M119" i="14"/>
  <c r="N119" i="14" s="1"/>
  <c r="M99" i="14"/>
  <c r="N99" i="14" s="1"/>
  <c r="M83" i="14"/>
  <c r="N83" i="14" s="1"/>
  <c r="M63" i="14"/>
  <c r="N63" i="14" s="1"/>
  <c r="M47" i="14"/>
  <c r="N47" i="14" s="1"/>
  <c r="M27" i="14"/>
  <c r="N27" i="14" s="1"/>
  <c r="U304" i="14"/>
  <c r="M226" i="14"/>
  <c r="N226" i="14" s="1"/>
  <c r="P226" i="14"/>
  <c r="S226" i="14" s="1"/>
  <c r="M190" i="14"/>
  <c r="N190" i="14" s="1"/>
  <c r="P190" i="14"/>
  <c r="P178" i="14"/>
  <c r="S178" i="14" s="1"/>
  <c r="M178" i="14"/>
  <c r="N178" i="14" s="1"/>
  <c r="M166" i="14"/>
  <c r="N166" i="14" s="1"/>
  <c r="P166" i="14"/>
  <c r="S166" i="14" s="1"/>
  <c r="M142" i="14"/>
  <c r="N142" i="14" s="1"/>
  <c r="P142" i="14"/>
  <c r="S142" i="14" s="1"/>
  <c r="M118" i="14"/>
  <c r="N118" i="14" s="1"/>
  <c r="P118" i="14"/>
  <c r="S118" i="14" s="1"/>
  <c r="M106" i="14"/>
  <c r="N106" i="14" s="1"/>
  <c r="P106" i="14"/>
  <c r="S106" i="14" s="1"/>
  <c r="M94" i="14"/>
  <c r="N94" i="14" s="1"/>
  <c r="P94" i="14"/>
  <c r="S94" i="14" s="1"/>
  <c r="M70" i="14"/>
  <c r="N70" i="14" s="1"/>
  <c r="P70" i="14"/>
  <c r="S70" i="14" s="1"/>
  <c r="P34" i="14"/>
  <c r="S34" i="14" s="1"/>
  <c r="M34" i="14"/>
  <c r="N34" i="14" s="1"/>
  <c r="S529" i="14"/>
  <c r="S517" i="14"/>
  <c r="S505" i="14"/>
  <c r="S457" i="14"/>
  <c r="S445" i="14"/>
  <c r="S409" i="14"/>
  <c r="S397" i="14"/>
  <c r="S349" i="14"/>
  <c r="S337" i="14"/>
  <c r="S301" i="14"/>
  <c r="S289" i="14"/>
  <c r="S277" i="14"/>
  <c r="S241" i="14"/>
  <c r="S229" i="14"/>
  <c r="S205" i="14"/>
  <c r="S193" i="14"/>
  <c r="S181" i="14"/>
  <c r="S109" i="14"/>
  <c r="S97" i="14"/>
  <c r="S73" i="14"/>
  <c r="S61" i="14"/>
  <c r="S37" i="14"/>
  <c r="M520" i="14"/>
  <c r="N520" i="14" s="1"/>
  <c r="M484" i="14"/>
  <c r="N484" i="14" s="1"/>
  <c r="M472" i="14"/>
  <c r="N472" i="14" s="1"/>
  <c r="M436" i="14"/>
  <c r="N436" i="14" s="1"/>
  <c r="M424" i="14"/>
  <c r="N424" i="14" s="1"/>
  <c r="M412" i="14"/>
  <c r="N412" i="14" s="1"/>
  <c r="M400" i="14"/>
  <c r="N400" i="14" s="1"/>
  <c r="M388" i="14"/>
  <c r="N388" i="14" s="1"/>
  <c r="M376" i="14"/>
  <c r="N376" i="14" s="1"/>
  <c r="M364" i="14"/>
  <c r="N364" i="14" s="1"/>
  <c r="M352" i="14"/>
  <c r="N352" i="14" s="1"/>
  <c r="M340" i="14"/>
  <c r="N340" i="14" s="1"/>
  <c r="M328" i="14"/>
  <c r="N328" i="14" s="1"/>
  <c r="M316" i="14"/>
  <c r="N316" i="14" s="1"/>
  <c r="M304" i="14"/>
  <c r="N304" i="14" s="1"/>
  <c r="M292" i="14"/>
  <c r="N292" i="14" s="1"/>
  <c r="M280" i="14"/>
  <c r="N280" i="14" s="1"/>
  <c r="M268" i="14"/>
  <c r="N268" i="14" s="1"/>
  <c r="M256" i="14"/>
  <c r="N256" i="14" s="1"/>
  <c r="M243" i="14"/>
  <c r="N243" i="14" s="1"/>
  <c r="M230" i="14"/>
  <c r="N230" i="14" s="1"/>
  <c r="M215" i="14"/>
  <c r="N215" i="14" s="1"/>
  <c r="M197" i="14"/>
  <c r="N197" i="14" s="1"/>
  <c r="M182" i="14"/>
  <c r="N182" i="14" s="1"/>
  <c r="M167" i="14"/>
  <c r="N167" i="14" s="1"/>
  <c r="M149" i="14"/>
  <c r="N149" i="14" s="1"/>
  <c r="M134" i="14"/>
  <c r="N134" i="14" s="1"/>
  <c r="M114" i="14"/>
  <c r="N114" i="14" s="1"/>
  <c r="M98" i="14"/>
  <c r="N98" i="14" s="1"/>
  <c r="M78" i="14"/>
  <c r="N78" i="14" s="1"/>
  <c r="M62" i="14"/>
  <c r="N62" i="14" s="1"/>
  <c r="M42" i="14"/>
  <c r="N42" i="14" s="1"/>
  <c r="M26" i="14"/>
  <c r="N26" i="14" s="1"/>
  <c r="M117" i="14"/>
  <c r="N117" i="14" s="1"/>
  <c r="P117" i="14"/>
  <c r="S117" i="14" s="1"/>
  <c r="M93" i="14"/>
  <c r="N93" i="14" s="1"/>
  <c r="P93" i="14"/>
  <c r="S93" i="14" s="1"/>
  <c r="M69" i="14"/>
  <c r="N69" i="14" s="1"/>
  <c r="P69" i="14"/>
  <c r="S69" i="14" s="1"/>
  <c r="P33" i="14"/>
  <c r="S33" i="14" s="1"/>
  <c r="M33" i="14"/>
  <c r="N33" i="14" s="1"/>
  <c r="P4" i="14"/>
  <c r="M9" i="14"/>
  <c r="R9" i="14"/>
  <c r="S9" i="14" s="1"/>
  <c r="U9" i="14" s="1"/>
  <c r="S504" i="14"/>
  <c r="S456" i="14"/>
  <c r="S444" i="14"/>
  <c r="S432" i="14"/>
  <c r="S408" i="14"/>
  <c r="S396" i="14"/>
  <c r="S348" i="14"/>
  <c r="S336" i="14"/>
  <c r="S324" i="14"/>
  <c r="S288" i="14"/>
  <c r="S276" i="14"/>
  <c r="S264" i="14"/>
  <c r="S240" i="14"/>
  <c r="S228" i="14"/>
  <c r="S192" i="14"/>
  <c r="S180" i="14"/>
  <c r="S144" i="14"/>
  <c r="S120" i="14"/>
  <c r="S108" i="14"/>
  <c r="S96" i="14"/>
  <c r="S72" i="14"/>
  <c r="S60" i="14"/>
  <c r="S36" i="14"/>
  <c r="M519" i="14"/>
  <c r="N519" i="14" s="1"/>
  <c r="M495" i="14"/>
  <c r="N495" i="14" s="1"/>
  <c r="M471" i="14"/>
  <c r="N471" i="14" s="1"/>
  <c r="M459" i="14"/>
  <c r="N459" i="14" s="1"/>
  <c r="M447" i="14"/>
  <c r="N447" i="14" s="1"/>
  <c r="M435" i="14"/>
  <c r="N435" i="14" s="1"/>
  <c r="M423" i="14"/>
  <c r="N423" i="14" s="1"/>
  <c r="M411" i="14"/>
  <c r="N411" i="14" s="1"/>
  <c r="M399" i="14"/>
  <c r="N399" i="14" s="1"/>
  <c r="M387" i="14"/>
  <c r="N387" i="14" s="1"/>
  <c r="M375" i="14"/>
  <c r="N375" i="14" s="1"/>
  <c r="M363" i="14"/>
  <c r="N363" i="14" s="1"/>
  <c r="M351" i="14"/>
  <c r="N351" i="14" s="1"/>
  <c r="M339" i="14"/>
  <c r="N339" i="14" s="1"/>
  <c r="M327" i="14"/>
  <c r="N327" i="14" s="1"/>
  <c r="M315" i="14"/>
  <c r="N315" i="14" s="1"/>
  <c r="M303" i="14"/>
  <c r="N303" i="14" s="1"/>
  <c r="M291" i="14"/>
  <c r="N291" i="14" s="1"/>
  <c r="M279" i="14"/>
  <c r="N279" i="14" s="1"/>
  <c r="M267" i="14"/>
  <c r="N267" i="14" s="1"/>
  <c r="M255" i="14"/>
  <c r="N255" i="14" s="1"/>
  <c r="M242" i="14"/>
  <c r="N242" i="14" s="1"/>
  <c r="M229" i="14"/>
  <c r="N229" i="14" s="1"/>
  <c r="M196" i="14"/>
  <c r="N196" i="14" s="1"/>
  <c r="M181" i="14"/>
  <c r="N181" i="14" s="1"/>
  <c r="M165" i="14"/>
  <c r="N165" i="14" s="1"/>
  <c r="M148" i="14"/>
  <c r="N148" i="14" s="1"/>
  <c r="M133" i="14"/>
  <c r="N133" i="14" s="1"/>
  <c r="M113" i="14"/>
  <c r="N113" i="14" s="1"/>
  <c r="M97" i="14"/>
  <c r="N97" i="14" s="1"/>
  <c r="M77" i="14"/>
  <c r="N77" i="14" s="1"/>
  <c r="M61" i="14"/>
  <c r="N61" i="14" s="1"/>
  <c r="M41" i="14"/>
  <c r="N41" i="14" s="1"/>
  <c r="M25" i="14"/>
  <c r="N25" i="14" s="1"/>
  <c r="P224" i="14"/>
  <c r="S224" i="14" s="1"/>
  <c r="M224" i="14"/>
  <c r="N224" i="14" s="1"/>
  <c r="P188" i="14"/>
  <c r="S188" i="14" s="1"/>
  <c r="M188" i="14"/>
  <c r="N188" i="14" s="1"/>
  <c r="P176" i="14"/>
  <c r="M176" i="14"/>
  <c r="N176" i="14" s="1"/>
  <c r="P164" i="14"/>
  <c r="S164" i="14" s="1"/>
  <c r="M164" i="14"/>
  <c r="N164" i="14" s="1"/>
  <c r="P140" i="14"/>
  <c r="S140" i="14" s="1"/>
  <c r="M140" i="14"/>
  <c r="N140" i="14" s="1"/>
  <c r="P116" i="14"/>
  <c r="S116" i="14" s="1"/>
  <c r="M116" i="14"/>
  <c r="N116" i="14" s="1"/>
  <c r="P104" i="14"/>
  <c r="S104" i="14" s="1"/>
  <c r="M104" i="14"/>
  <c r="N104" i="14" s="1"/>
  <c r="P92" i="14"/>
  <c r="S92" i="14" s="1"/>
  <c r="M92" i="14"/>
  <c r="N92" i="14" s="1"/>
  <c r="P68" i="14"/>
  <c r="M68" i="14"/>
  <c r="N68" i="14" s="1"/>
  <c r="P32" i="14"/>
  <c r="S32" i="14" s="1"/>
  <c r="M32" i="14"/>
  <c r="N32" i="14" s="1"/>
  <c r="S539" i="14"/>
  <c r="S515" i="14"/>
  <c r="S503" i="14"/>
  <c r="S479" i="14"/>
  <c r="S455" i="14"/>
  <c r="S443" i="14"/>
  <c r="S407" i="14"/>
  <c r="S395" i="14"/>
  <c r="S347" i="14"/>
  <c r="S335" i="14"/>
  <c r="S323" i="14"/>
  <c r="S299" i="14"/>
  <c r="S287" i="14"/>
  <c r="S275" i="14"/>
  <c r="S239" i="14"/>
  <c r="S227" i="14"/>
  <c r="S179" i="14"/>
  <c r="S167" i="14"/>
  <c r="S143" i="14"/>
  <c r="S119" i="14"/>
  <c r="S107" i="14"/>
  <c r="S95" i="14"/>
  <c r="S71" i="14"/>
  <c r="S59" i="14"/>
  <c r="S35" i="14"/>
  <c r="R11" i="14"/>
  <c r="S11" i="14" s="1"/>
  <c r="U11" i="14" s="1"/>
  <c r="M11" i="14"/>
  <c r="N11" i="14" s="1"/>
  <c r="M494" i="14"/>
  <c r="N494" i="14" s="1"/>
  <c r="M482" i="14"/>
  <c r="N482" i="14" s="1"/>
  <c r="M470" i="14"/>
  <c r="N470" i="14" s="1"/>
  <c r="M434" i="14"/>
  <c r="N434" i="14" s="1"/>
  <c r="M422" i="14"/>
  <c r="N422" i="14" s="1"/>
  <c r="M410" i="14"/>
  <c r="N410" i="14" s="1"/>
  <c r="M398" i="14"/>
  <c r="N398" i="14" s="1"/>
  <c r="M386" i="14"/>
  <c r="N386" i="14" s="1"/>
  <c r="M374" i="14"/>
  <c r="N374" i="14" s="1"/>
  <c r="M362" i="14"/>
  <c r="N362" i="14" s="1"/>
  <c r="M350" i="14"/>
  <c r="N350" i="14" s="1"/>
  <c r="M338" i="14"/>
  <c r="N338" i="14" s="1"/>
  <c r="M326" i="14"/>
  <c r="N326" i="14" s="1"/>
  <c r="M314" i="14"/>
  <c r="N314" i="14" s="1"/>
  <c r="M302" i="14"/>
  <c r="N302" i="14" s="1"/>
  <c r="M290" i="14"/>
  <c r="N290" i="14" s="1"/>
  <c r="M278" i="14"/>
  <c r="N278" i="14" s="1"/>
  <c r="M266" i="14"/>
  <c r="N266" i="14" s="1"/>
  <c r="M254" i="14"/>
  <c r="N254" i="14" s="1"/>
  <c r="M241" i="14"/>
  <c r="N241" i="14" s="1"/>
  <c r="M228" i="14"/>
  <c r="N228" i="14" s="1"/>
  <c r="M210" i="14"/>
  <c r="N210" i="14" s="1"/>
  <c r="M195" i="14"/>
  <c r="N195" i="14" s="1"/>
  <c r="M180" i="14"/>
  <c r="N180" i="14" s="1"/>
  <c r="M162" i="14"/>
  <c r="N162" i="14" s="1"/>
  <c r="M147" i="14"/>
  <c r="N147" i="14" s="1"/>
  <c r="M132" i="14"/>
  <c r="N132" i="14" s="1"/>
  <c r="M112" i="14"/>
  <c r="N112" i="14" s="1"/>
  <c r="M96" i="14"/>
  <c r="N96" i="14" s="1"/>
  <c r="M76" i="14"/>
  <c r="N76" i="14" s="1"/>
  <c r="M60" i="14"/>
  <c r="N60" i="14" s="1"/>
  <c r="M40" i="14"/>
  <c r="N40" i="14" s="1"/>
  <c r="M24" i="14"/>
  <c r="N24" i="14" s="1"/>
  <c r="U77" i="14"/>
  <c r="U484" i="14"/>
  <c r="U436" i="14"/>
  <c r="S415" i="14"/>
  <c r="U353" i="14"/>
  <c r="U257" i="14"/>
  <c r="U137" i="14"/>
  <c r="S25" i="14"/>
  <c r="S475" i="14"/>
  <c r="S462" i="14"/>
  <c r="S427" i="14"/>
  <c r="U269" i="14"/>
  <c r="U53" i="14"/>
  <c r="U40" i="14"/>
  <c r="U389" i="14"/>
  <c r="U388" i="14"/>
  <c r="U76" i="14"/>
  <c r="U52" i="14"/>
  <c r="U17" i="14"/>
  <c r="U28" i="14"/>
  <c r="U521" i="14"/>
  <c r="S191" i="14"/>
  <c r="U473" i="14"/>
  <c r="U161" i="14"/>
  <c r="U472" i="14"/>
  <c r="U148" i="14"/>
  <c r="U424" i="14"/>
  <c r="U365" i="14"/>
  <c r="U364" i="14"/>
  <c r="S416" i="14"/>
  <c r="S440" i="14"/>
  <c r="U125" i="14"/>
  <c r="U124" i="14"/>
  <c r="U209" i="14"/>
  <c r="U16" i="14"/>
  <c r="S525" i="14"/>
  <c r="S489" i="14"/>
  <c r="S465" i="14"/>
  <c r="S441" i="14"/>
  <c r="S429" i="14"/>
  <c r="S417" i="14"/>
  <c r="S381" i="14"/>
  <c r="S369" i="14"/>
  <c r="S357" i="14"/>
  <c r="S309" i="14"/>
  <c r="S213" i="14"/>
  <c r="S201" i="14"/>
  <c r="S153" i="14"/>
  <c r="S129" i="14"/>
  <c r="S105" i="14"/>
  <c r="S81" i="14"/>
  <c r="S57" i="14"/>
  <c r="S45" i="14"/>
  <c r="S21" i="14"/>
  <c r="S380" i="14"/>
  <c r="S356" i="14"/>
  <c r="S308" i="14"/>
  <c r="R5" i="14"/>
  <c r="R6" i="14" s="1"/>
  <c r="BQ3" i="1"/>
  <c r="F9" i="14"/>
  <c r="G9" i="14" s="1"/>
  <c r="F13" i="14"/>
  <c r="G13" i="14" s="1"/>
  <c r="F29" i="14"/>
  <c r="G29" i="14" s="1"/>
  <c r="F45" i="14"/>
  <c r="G45" i="14" s="1"/>
  <c r="F61" i="14"/>
  <c r="G61" i="14" s="1"/>
  <c r="F77" i="14"/>
  <c r="G77" i="14" s="1"/>
  <c r="F93" i="14"/>
  <c r="G93" i="14" s="1"/>
  <c r="F109" i="14"/>
  <c r="G109" i="14" s="1"/>
  <c r="F125" i="14"/>
  <c r="G125" i="14" s="1"/>
  <c r="F141" i="14"/>
  <c r="G141" i="14" s="1"/>
  <c r="F157" i="14"/>
  <c r="G157" i="14" s="1"/>
  <c r="F173" i="14"/>
  <c r="G173" i="14" s="1"/>
  <c r="F189" i="14"/>
  <c r="G189" i="14" s="1"/>
  <c r="F205" i="14"/>
  <c r="G205" i="14" s="1"/>
  <c r="F221" i="14"/>
  <c r="G221" i="14" s="1"/>
  <c r="F237" i="14"/>
  <c r="G237" i="14" s="1"/>
  <c r="F253" i="14"/>
  <c r="G253" i="14" s="1"/>
  <c r="F269" i="14"/>
  <c r="G269" i="14" s="1"/>
  <c r="F285" i="14"/>
  <c r="G285" i="14" s="1"/>
  <c r="F301" i="14"/>
  <c r="G301" i="14" s="1"/>
  <c r="F317" i="14"/>
  <c r="G317" i="14" s="1"/>
  <c r="F333" i="14"/>
  <c r="G333" i="14" s="1"/>
  <c r="F349" i="14"/>
  <c r="G349" i="14" s="1"/>
  <c r="F365" i="14"/>
  <c r="G365" i="14" s="1"/>
  <c r="F381" i="14"/>
  <c r="G381" i="14" s="1"/>
  <c r="F397" i="14"/>
  <c r="G397" i="14" s="1"/>
  <c r="F413" i="14"/>
  <c r="G413" i="14" s="1"/>
  <c r="F429" i="14"/>
  <c r="G429" i="14" s="1"/>
  <c r="F445" i="14"/>
  <c r="G445" i="14" s="1"/>
  <c r="F461" i="14"/>
  <c r="G461" i="14" s="1"/>
  <c r="F477" i="14"/>
  <c r="G477" i="14" s="1"/>
  <c r="F493" i="14"/>
  <c r="G493" i="14" s="1"/>
  <c r="F509" i="14"/>
  <c r="G509" i="14" s="1"/>
  <c r="F525" i="14"/>
  <c r="G525" i="14" s="1"/>
  <c r="F14" i="14"/>
  <c r="G14" i="14" s="1"/>
  <c r="F30" i="14"/>
  <c r="G30" i="14" s="1"/>
  <c r="F46" i="14"/>
  <c r="G46" i="14" s="1"/>
  <c r="F62" i="14"/>
  <c r="G62" i="14" s="1"/>
  <c r="F78" i="14"/>
  <c r="G78" i="14" s="1"/>
  <c r="F94" i="14"/>
  <c r="G94" i="14" s="1"/>
  <c r="F110" i="14"/>
  <c r="G110" i="14" s="1"/>
  <c r="F126" i="14"/>
  <c r="G126" i="14" s="1"/>
  <c r="F142" i="14"/>
  <c r="G142" i="14" s="1"/>
  <c r="F158" i="14"/>
  <c r="G158" i="14" s="1"/>
  <c r="F174" i="14"/>
  <c r="G174" i="14" s="1"/>
  <c r="F190" i="14"/>
  <c r="G190" i="14" s="1"/>
  <c r="F206" i="14"/>
  <c r="G206" i="14" s="1"/>
  <c r="F222" i="14"/>
  <c r="G222" i="14" s="1"/>
  <c r="F238" i="14"/>
  <c r="G238" i="14" s="1"/>
  <c r="F254" i="14"/>
  <c r="G254" i="14" s="1"/>
  <c r="F270" i="14"/>
  <c r="G270" i="14" s="1"/>
  <c r="F286" i="14"/>
  <c r="G286" i="14" s="1"/>
  <c r="F302" i="14"/>
  <c r="G302" i="14" s="1"/>
  <c r="F318" i="14"/>
  <c r="G318" i="14" s="1"/>
  <c r="F334" i="14"/>
  <c r="G334" i="14" s="1"/>
  <c r="F350" i="14"/>
  <c r="G350" i="14" s="1"/>
  <c r="F366" i="14"/>
  <c r="G366" i="14" s="1"/>
  <c r="F382" i="14"/>
  <c r="G382" i="14" s="1"/>
  <c r="F398" i="14"/>
  <c r="G398" i="14" s="1"/>
  <c r="F414" i="14"/>
  <c r="G414" i="14" s="1"/>
  <c r="F430" i="14"/>
  <c r="G430" i="14" s="1"/>
  <c r="F446" i="14"/>
  <c r="G446" i="14" s="1"/>
  <c r="F462" i="14"/>
  <c r="G462" i="14" s="1"/>
  <c r="F478" i="14"/>
  <c r="G478" i="14" s="1"/>
  <c r="F494" i="14"/>
  <c r="G494" i="14" s="1"/>
  <c r="F15" i="14"/>
  <c r="G15" i="14" s="1"/>
  <c r="F31" i="14"/>
  <c r="G31" i="14" s="1"/>
  <c r="F47" i="14"/>
  <c r="G47" i="14" s="1"/>
  <c r="F63" i="14"/>
  <c r="G63" i="14" s="1"/>
  <c r="F79" i="14"/>
  <c r="G79" i="14" s="1"/>
  <c r="F95" i="14"/>
  <c r="G95" i="14" s="1"/>
  <c r="F111" i="14"/>
  <c r="G111" i="14" s="1"/>
  <c r="F127" i="14"/>
  <c r="G127" i="14" s="1"/>
  <c r="F143" i="14"/>
  <c r="G143" i="14" s="1"/>
  <c r="F159" i="14"/>
  <c r="G159" i="14" s="1"/>
  <c r="F175" i="14"/>
  <c r="G175" i="14" s="1"/>
  <c r="F191" i="14"/>
  <c r="G191" i="14" s="1"/>
  <c r="F207" i="14"/>
  <c r="G207" i="14" s="1"/>
  <c r="F223" i="14"/>
  <c r="G223" i="14" s="1"/>
  <c r="F239" i="14"/>
  <c r="G239" i="14" s="1"/>
  <c r="F255" i="14"/>
  <c r="G255" i="14" s="1"/>
  <c r="F271" i="14"/>
  <c r="G271" i="14" s="1"/>
  <c r="F287" i="14"/>
  <c r="G287" i="14" s="1"/>
  <c r="F303" i="14"/>
  <c r="G303" i="14" s="1"/>
  <c r="F319" i="14"/>
  <c r="G319" i="14" s="1"/>
  <c r="F335" i="14"/>
  <c r="G335" i="14" s="1"/>
  <c r="F351" i="14"/>
  <c r="G351" i="14" s="1"/>
  <c r="F367" i="14"/>
  <c r="G367" i="14" s="1"/>
  <c r="F383" i="14"/>
  <c r="G383" i="14" s="1"/>
  <c r="F399" i="14"/>
  <c r="G399" i="14" s="1"/>
  <c r="F415" i="14"/>
  <c r="G415" i="14" s="1"/>
  <c r="F431" i="14"/>
  <c r="G431" i="14" s="1"/>
  <c r="F447" i="14"/>
  <c r="G447" i="14" s="1"/>
  <c r="F463" i="14"/>
  <c r="G463" i="14" s="1"/>
  <c r="F479" i="14"/>
  <c r="G479" i="14" s="1"/>
  <c r="F495" i="14"/>
  <c r="G495" i="14" s="1"/>
  <c r="F16" i="14"/>
  <c r="G16" i="14" s="1"/>
  <c r="F32" i="14"/>
  <c r="G32" i="14" s="1"/>
  <c r="F48" i="14"/>
  <c r="G48" i="14" s="1"/>
  <c r="F64" i="14"/>
  <c r="G64" i="14" s="1"/>
  <c r="F80" i="14"/>
  <c r="G80" i="14" s="1"/>
  <c r="F96" i="14"/>
  <c r="G96" i="14" s="1"/>
  <c r="F112" i="14"/>
  <c r="G112" i="14" s="1"/>
  <c r="F128" i="14"/>
  <c r="G128" i="14" s="1"/>
  <c r="F144" i="14"/>
  <c r="G144" i="14" s="1"/>
  <c r="F160" i="14"/>
  <c r="G160" i="14" s="1"/>
  <c r="F176" i="14"/>
  <c r="G176" i="14" s="1"/>
  <c r="F192" i="14"/>
  <c r="G192" i="14" s="1"/>
  <c r="F208" i="14"/>
  <c r="G208" i="14" s="1"/>
  <c r="F224" i="14"/>
  <c r="G224" i="14" s="1"/>
  <c r="F240" i="14"/>
  <c r="G240" i="14" s="1"/>
  <c r="F256" i="14"/>
  <c r="G256" i="14" s="1"/>
  <c r="F272" i="14"/>
  <c r="G272" i="14" s="1"/>
  <c r="F288" i="14"/>
  <c r="G288" i="14" s="1"/>
  <c r="F304" i="14"/>
  <c r="G304" i="14" s="1"/>
  <c r="F320" i="14"/>
  <c r="G320" i="14" s="1"/>
  <c r="F336" i="14"/>
  <c r="G336" i="14" s="1"/>
  <c r="F352" i="14"/>
  <c r="G352" i="14" s="1"/>
  <c r="F368" i="14"/>
  <c r="G368" i="14" s="1"/>
  <c r="F384" i="14"/>
  <c r="G384" i="14" s="1"/>
  <c r="F400" i="14"/>
  <c r="G400" i="14" s="1"/>
  <c r="F416" i="14"/>
  <c r="G416" i="14" s="1"/>
  <c r="F432" i="14"/>
  <c r="G432" i="14" s="1"/>
  <c r="F448" i="14"/>
  <c r="G448" i="14" s="1"/>
  <c r="F464" i="14"/>
  <c r="G464" i="14" s="1"/>
  <c r="F480" i="14"/>
  <c r="G480" i="14" s="1"/>
  <c r="F496" i="14"/>
  <c r="G496" i="14" s="1"/>
  <c r="F512" i="14"/>
  <c r="G512" i="14" s="1"/>
  <c r="F528" i="14"/>
  <c r="G528" i="14" s="1"/>
  <c r="F17" i="14"/>
  <c r="G17" i="14" s="1"/>
  <c r="F33" i="14"/>
  <c r="G33" i="14" s="1"/>
  <c r="F49" i="14"/>
  <c r="G49" i="14" s="1"/>
  <c r="F65" i="14"/>
  <c r="G65" i="14" s="1"/>
  <c r="F81" i="14"/>
  <c r="G81" i="14" s="1"/>
  <c r="F97" i="14"/>
  <c r="G97" i="14" s="1"/>
  <c r="F113" i="14"/>
  <c r="G113" i="14" s="1"/>
  <c r="F129" i="14"/>
  <c r="G129" i="14" s="1"/>
  <c r="F145" i="14"/>
  <c r="G145" i="14" s="1"/>
  <c r="F161" i="14"/>
  <c r="G161" i="14" s="1"/>
  <c r="F177" i="14"/>
  <c r="G177" i="14" s="1"/>
  <c r="F193" i="14"/>
  <c r="G193" i="14" s="1"/>
  <c r="F209" i="14"/>
  <c r="G209" i="14" s="1"/>
  <c r="F225" i="14"/>
  <c r="G225" i="14" s="1"/>
  <c r="F241" i="14"/>
  <c r="G241" i="14" s="1"/>
  <c r="F257" i="14"/>
  <c r="G257" i="14" s="1"/>
  <c r="F273" i="14"/>
  <c r="G273" i="14" s="1"/>
  <c r="F289" i="14"/>
  <c r="G289" i="14" s="1"/>
  <c r="F305" i="14"/>
  <c r="G305" i="14" s="1"/>
  <c r="F321" i="14"/>
  <c r="G321" i="14" s="1"/>
  <c r="F337" i="14"/>
  <c r="G337" i="14" s="1"/>
  <c r="F353" i="14"/>
  <c r="G353" i="14" s="1"/>
  <c r="F369" i="14"/>
  <c r="G369" i="14" s="1"/>
  <c r="F385" i="14"/>
  <c r="G385" i="14" s="1"/>
  <c r="F401" i="14"/>
  <c r="G401" i="14" s="1"/>
  <c r="F417" i="14"/>
  <c r="G417" i="14" s="1"/>
  <c r="F433" i="14"/>
  <c r="G433" i="14" s="1"/>
  <c r="F449" i="14"/>
  <c r="G449" i="14" s="1"/>
  <c r="F465" i="14"/>
  <c r="G465" i="14" s="1"/>
  <c r="F481" i="14"/>
  <c r="G481" i="14" s="1"/>
  <c r="F497" i="14"/>
  <c r="G497" i="14" s="1"/>
  <c r="F18" i="14"/>
  <c r="G18" i="14" s="1"/>
  <c r="F34" i="14"/>
  <c r="G34" i="14" s="1"/>
  <c r="F50" i="14"/>
  <c r="G50" i="14" s="1"/>
  <c r="F66" i="14"/>
  <c r="G66" i="14" s="1"/>
  <c r="F82" i="14"/>
  <c r="G82" i="14" s="1"/>
  <c r="F98" i="14"/>
  <c r="G98" i="14" s="1"/>
  <c r="F114" i="14"/>
  <c r="G114" i="14" s="1"/>
  <c r="F130" i="14"/>
  <c r="G130" i="14" s="1"/>
  <c r="F146" i="14"/>
  <c r="G146" i="14" s="1"/>
  <c r="F162" i="14"/>
  <c r="G162" i="14" s="1"/>
  <c r="F178" i="14"/>
  <c r="G178" i="14" s="1"/>
  <c r="F194" i="14"/>
  <c r="G194" i="14" s="1"/>
  <c r="F210" i="14"/>
  <c r="G210" i="14" s="1"/>
  <c r="F226" i="14"/>
  <c r="G226" i="14" s="1"/>
  <c r="F242" i="14"/>
  <c r="G242" i="14" s="1"/>
  <c r="F258" i="14"/>
  <c r="G258" i="14" s="1"/>
  <c r="F274" i="14"/>
  <c r="G274" i="14" s="1"/>
  <c r="F290" i="14"/>
  <c r="G290" i="14" s="1"/>
  <c r="F306" i="14"/>
  <c r="G306" i="14" s="1"/>
  <c r="F322" i="14"/>
  <c r="G322" i="14" s="1"/>
  <c r="F338" i="14"/>
  <c r="G338" i="14" s="1"/>
  <c r="F354" i="14"/>
  <c r="G354" i="14" s="1"/>
  <c r="F370" i="14"/>
  <c r="G370" i="14" s="1"/>
  <c r="F386" i="14"/>
  <c r="G386" i="14" s="1"/>
  <c r="F402" i="14"/>
  <c r="G402" i="14" s="1"/>
  <c r="F418" i="14"/>
  <c r="G418" i="14" s="1"/>
  <c r="F434" i="14"/>
  <c r="G434" i="14" s="1"/>
  <c r="F450" i="14"/>
  <c r="G450" i="14" s="1"/>
  <c r="F466" i="14"/>
  <c r="G466" i="14" s="1"/>
  <c r="F482" i="14"/>
  <c r="G482" i="14" s="1"/>
  <c r="F498" i="14"/>
  <c r="G498" i="14" s="1"/>
  <c r="F514" i="14"/>
  <c r="G514" i="14" s="1"/>
  <c r="F19" i="14"/>
  <c r="G19" i="14" s="1"/>
  <c r="F35" i="14"/>
  <c r="G35" i="14" s="1"/>
  <c r="F51" i="14"/>
  <c r="G51" i="14" s="1"/>
  <c r="F67" i="14"/>
  <c r="G67" i="14" s="1"/>
  <c r="F83" i="14"/>
  <c r="G83" i="14" s="1"/>
  <c r="F99" i="14"/>
  <c r="G99" i="14" s="1"/>
  <c r="F115" i="14"/>
  <c r="G115" i="14" s="1"/>
  <c r="F131" i="14"/>
  <c r="G131" i="14" s="1"/>
  <c r="F147" i="14"/>
  <c r="G147" i="14" s="1"/>
  <c r="F163" i="14"/>
  <c r="G163" i="14" s="1"/>
  <c r="F179" i="14"/>
  <c r="G179" i="14" s="1"/>
  <c r="F195" i="14"/>
  <c r="G195" i="14" s="1"/>
  <c r="F211" i="14"/>
  <c r="G211" i="14" s="1"/>
  <c r="F227" i="14"/>
  <c r="G227" i="14" s="1"/>
  <c r="F243" i="14"/>
  <c r="G243" i="14" s="1"/>
  <c r="F259" i="14"/>
  <c r="G259" i="14" s="1"/>
  <c r="F275" i="14"/>
  <c r="G275" i="14" s="1"/>
  <c r="F291" i="14"/>
  <c r="G291" i="14" s="1"/>
  <c r="F307" i="14"/>
  <c r="G307" i="14" s="1"/>
  <c r="F323" i="14"/>
  <c r="G323" i="14" s="1"/>
  <c r="F339" i="14"/>
  <c r="G339" i="14" s="1"/>
  <c r="F355" i="14"/>
  <c r="G355" i="14" s="1"/>
  <c r="F371" i="14"/>
  <c r="G371" i="14" s="1"/>
  <c r="F387" i="14"/>
  <c r="G387" i="14" s="1"/>
  <c r="F403" i="14"/>
  <c r="G403" i="14" s="1"/>
  <c r="F419" i="14"/>
  <c r="G419" i="14" s="1"/>
  <c r="F435" i="14"/>
  <c r="G435" i="14" s="1"/>
  <c r="F451" i="14"/>
  <c r="G451" i="14" s="1"/>
  <c r="F467" i="14"/>
  <c r="G467" i="14" s="1"/>
  <c r="F483" i="14"/>
  <c r="G483" i="14" s="1"/>
  <c r="F499" i="14"/>
  <c r="G499" i="14" s="1"/>
  <c r="F515" i="14"/>
  <c r="G515" i="14" s="1"/>
  <c r="F20" i="14"/>
  <c r="G20" i="14" s="1"/>
  <c r="F36" i="14"/>
  <c r="G36" i="14" s="1"/>
  <c r="F52" i="14"/>
  <c r="G52" i="14" s="1"/>
  <c r="F68" i="14"/>
  <c r="G68" i="14" s="1"/>
  <c r="F84" i="14"/>
  <c r="G84" i="14" s="1"/>
  <c r="F100" i="14"/>
  <c r="G100" i="14" s="1"/>
  <c r="F116" i="14"/>
  <c r="G116" i="14" s="1"/>
  <c r="F132" i="14"/>
  <c r="G132" i="14" s="1"/>
  <c r="F148" i="14"/>
  <c r="G148" i="14" s="1"/>
  <c r="F164" i="14"/>
  <c r="G164" i="14" s="1"/>
  <c r="F180" i="14"/>
  <c r="G180" i="14" s="1"/>
  <c r="F196" i="14"/>
  <c r="G196" i="14" s="1"/>
  <c r="F212" i="14"/>
  <c r="G212" i="14" s="1"/>
  <c r="F228" i="14"/>
  <c r="G228" i="14" s="1"/>
  <c r="F244" i="14"/>
  <c r="G244" i="14" s="1"/>
  <c r="F260" i="14"/>
  <c r="G260" i="14" s="1"/>
  <c r="F276" i="14"/>
  <c r="G276" i="14" s="1"/>
  <c r="F292" i="14"/>
  <c r="G292" i="14" s="1"/>
  <c r="F308" i="14"/>
  <c r="G308" i="14" s="1"/>
  <c r="F324" i="14"/>
  <c r="G324" i="14" s="1"/>
  <c r="F340" i="14"/>
  <c r="G340" i="14" s="1"/>
  <c r="F356" i="14"/>
  <c r="G356" i="14" s="1"/>
  <c r="F372" i="14"/>
  <c r="G372" i="14" s="1"/>
  <c r="F388" i="14"/>
  <c r="G388" i="14" s="1"/>
  <c r="F404" i="14"/>
  <c r="G404" i="14" s="1"/>
  <c r="F420" i="14"/>
  <c r="G420" i="14" s="1"/>
  <c r="F436" i="14"/>
  <c r="G436" i="14" s="1"/>
  <c r="F452" i="14"/>
  <c r="G452" i="14" s="1"/>
  <c r="F468" i="14"/>
  <c r="G468" i="14" s="1"/>
  <c r="F484" i="14"/>
  <c r="G484" i="14" s="1"/>
  <c r="F500" i="14"/>
  <c r="G500" i="14" s="1"/>
  <c r="F516" i="14"/>
  <c r="G516" i="14" s="1"/>
  <c r="F21" i="14"/>
  <c r="G21" i="14" s="1"/>
  <c r="F37" i="14"/>
  <c r="G37" i="14" s="1"/>
  <c r="F53" i="14"/>
  <c r="G53" i="14" s="1"/>
  <c r="F69" i="14"/>
  <c r="G69" i="14" s="1"/>
  <c r="F85" i="14"/>
  <c r="G85" i="14" s="1"/>
  <c r="F101" i="14"/>
  <c r="G101" i="14" s="1"/>
  <c r="F117" i="14"/>
  <c r="G117" i="14" s="1"/>
  <c r="F133" i="14"/>
  <c r="G133" i="14" s="1"/>
  <c r="F149" i="14"/>
  <c r="G149" i="14" s="1"/>
  <c r="F165" i="14"/>
  <c r="G165" i="14" s="1"/>
  <c r="F181" i="14"/>
  <c r="G181" i="14" s="1"/>
  <c r="F197" i="14"/>
  <c r="G197" i="14" s="1"/>
  <c r="F213" i="14"/>
  <c r="G213" i="14" s="1"/>
  <c r="F229" i="14"/>
  <c r="G229" i="14" s="1"/>
  <c r="F245" i="14"/>
  <c r="G245" i="14" s="1"/>
  <c r="F261" i="14"/>
  <c r="G261" i="14" s="1"/>
  <c r="F277" i="14"/>
  <c r="G277" i="14" s="1"/>
  <c r="F293" i="14"/>
  <c r="G293" i="14" s="1"/>
  <c r="F309" i="14"/>
  <c r="G309" i="14" s="1"/>
  <c r="F325" i="14"/>
  <c r="G325" i="14" s="1"/>
  <c r="F341" i="14"/>
  <c r="G341" i="14" s="1"/>
  <c r="F357" i="14"/>
  <c r="G357" i="14" s="1"/>
  <c r="F373" i="14"/>
  <c r="G373" i="14" s="1"/>
  <c r="F389" i="14"/>
  <c r="G389" i="14" s="1"/>
  <c r="F405" i="14"/>
  <c r="G405" i="14" s="1"/>
  <c r="F22" i="14"/>
  <c r="G22" i="14" s="1"/>
  <c r="F38" i="14"/>
  <c r="G38" i="14" s="1"/>
  <c r="F54" i="14"/>
  <c r="G54" i="14" s="1"/>
  <c r="F70" i="14"/>
  <c r="G70" i="14" s="1"/>
  <c r="F86" i="14"/>
  <c r="G86" i="14" s="1"/>
  <c r="F102" i="14"/>
  <c r="G102" i="14" s="1"/>
  <c r="F118" i="14"/>
  <c r="G118" i="14" s="1"/>
  <c r="F134" i="14"/>
  <c r="G134" i="14" s="1"/>
  <c r="F150" i="14"/>
  <c r="G150" i="14" s="1"/>
  <c r="F166" i="14"/>
  <c r="G166" i="14" s="1"/>
  <c r="F182" i="14"/>
  <c r="G182" i="14" s="1"/>
  <c r="F198" i="14"/>
  <c r="G198" i="14" s="1"/>
  <c r="F214" i="14"/>
  <c r="G214" i="14" s="1"/>
  <c r="F230" i="14"/>
  <c r="G230" i="14" s="1"/>
  <c r="F246" i="14"/>
  <c r="G246" i="14" s="1"/>
  <c r="F262" i="14"/>
  <c r="G262" i="14" s="1"/>
  <c r="F278" i="14"/>
  <c r="G278" i="14" s="1"/>
  <c r="F294" i="14"/>
  <c r="G294" i="14" s="1"/>
  <c r="F310" i="14"/>
  <c r="G310" i="14" s="1"/>
  <c r="F326" i="14"/>
  <c r="G326" i="14" s="1"/>
  <c r="F342" i="14"/>
  <c r="G342" i="14" s="1"/>
  <c r="F358" i="14"/>
  <c r="G358" i="14" s="1"/>
  <c r="F374" i="14"/>
  <c r="G374" i="14" s="1"/>
  <c r="F390" i="14"/>
  <c r="G390" i="14" s="1"/>
  <c r="F406" i="14"/>
  <c r="G406" i="14" s="1"/>
  <c r="F422" i="14"/>
  <c r="G422" i="14" s="1"/>
  <c r="F23" i="14"/>
  <c r="G23" i="14" s="1"/>
  <c r="F39" i="14"/>
  <c r="G39" i="14" s="1"/>
  <c r="F55" i="14"/>
  <c r="G55" i="14" s="1"/>
  <c r="F71" i="14"/>
  <c r="G71" i="14" s="1"/>
  <c r="F87" i="14"/>
  <c r="G87" i="14" s="1"/>
  <c r="F103" i="14"/>
  <c r="G103" i="14" s="1"/>
  <c r="F119" i="14"/>
  <c r="G119" i="14" s="1"/>
  <c r="F135" i="14"/>
  <c r="G135" i="14" s="1"/>
  <c r="F151" i="14"/>
  <c r="G151" i="14" s="1"/>
  <c r="F167" i="14"/>
  <c r="G167" i="14" s="1"/>
  <c r="F183" i="14"/>
  <c r="G183" i="14" s="1"/>
  <c r="F199" i="14"/>
  <c r="G199" i="14" s="1"/>
  <c r="F215" i="14"/>
  <c r="G215" i="14" s="1"/>
  <c r="F231" i="14"/>
  <c r="G231" i="14" s="1"/>
  <c r="F247" i="14"/>
  <c r="G247" i="14" s="1"/>
  <c r="F263" i="14"/>
  <c r="G263" i="14" s="1"/>
  <c r="F279" i="14"/>
  <c r="G279" i="14" s="1"/>
  <c r="F295" i="14"/>
  <c r="G295" i="14" s="1"/>
  <c r="F311" i="14"/>
  <c r="G311" i="14" s="1"/>
  <c r="F327" i="14"/>
  <c r="G327" i="14" s="1"/>
  <c r="F343" i="14"/>
  <c r="G343" i="14" s="1"/>
  <c r="F359" i="14"/>
  <c r="G359" i="14" s="1"/>
  <c r="F375" i="14"/>
  <c r="G375" i="14" s="1"/>
  <c r="F391" i="14"/>
  <c r="G391" i="14" s="1"/>
  <c r="F407" i="14"/>
  <c r="G407" i="14" s="1"/>
  <c r="F24" i="14"/>
  <c r="G24" i="14" s="1"/>
  <c r="F40" i="14"/>
  <c r="G40" i="14" s="1"/>
  <c r="F56" i="14"/>
  <c r="G56" i="14" s="1"/>
  <c r="F72" i="14"/>
  <c r="G72" i="14" s="1"/>
  <c r="F88" i="14"/>
  <c r="G88" i="14" s="1"/>
  <c r="F104" i="14"/>
  <c r="G104" i="14" s="1"/>
  <c r="F120" i="14"/>
  <c r="G120" i="14" s="1"/>
  <c r="F136" i="14"/>
  <c r="G136" i="14" s="1"/>
  <c r="F152" i="14"/>
  <c r="G152" i="14" s="1"/>
  <c r="F168" i="14"/>
  <c r="G168" i="14" s="1"/>
  <c r="F184" i="14"/>
  <c r="G184" i="14" s="1"/>
  <c r="F200" i="14"/>
  <c r="G200" i="14" s="1"/>
  <c r="F216" i="14"/>
  <c r="G216" i="14" s="1"/>
  <c r="F232" i="14"/>
  <c r="G232" i="14" s="1"/>
  <c r="F248" i="14"/>
  <c r="G248" i="14" s="1"/>
  <c r="F264" i="14"/>
  <c r="G264" i="14" s="1"/>
  <c r="F280" i="14"/>
  <c r="G280" i="14" s="1"/>
  <c r="F296" i="14"/>
  <c r="G296" i="14" s="1"/>
  <c r="F312" i="14"/>
  <c r="G312" i="14" s="1"/>
  <c r="F328" i="14"/>
  <c r="G328" i="14" s="1"/>
  <c r="F344" i="14"/>
  <c r="G344" i="14" s="1"/>
  <c r="F360" i="14"/>
  <c r="G360" i="14" s="1"/>
  <c r="F376" i="14"/>
  <c r="G376" i="14" s="1"/>
  <c r="F392" i="14"/>
  <c r="G392" i="14" s="1"/>
  <c r="F408" i="14"/>
  <c r="G408" i="14" s="1"/>
  <c r="F424" i="14"/>
  <c r="G424" i="14" s="1"/>
  <c r="F73" i="14"/>
  <c r="G73" i="14" s="1"/>
  <c r="F137" i="14"/>
  <c r="G137" i="14" s="1"/>
  <c r="F201" i="14"/>
  <c r="G201" i="14" s="1"/>
  <c r="F265" i="14"/>
  <c r="G265" i="14" s="1"/>
  <c r="F329" i="14"/>
  <c r="G329" i="14" s="1"/>
  <c r="F393" i="14"/>
  <c r="G393" i="14" s="1"/>
  <c r="F439" i="14"/>
  <c r="G439" i="14" s="1"/>
  <c r="F471" i="14"/>
  <c r="G471" i="14" s="1"/>
  <c r="F503" i="14"/>
  <c r="G503" i="14" s="1"/>
  <c r="F524" i="14"/>
  <c r="G524" i="14" s="1"/>
  <c r="F10" i="14"/>
  <c r="G10" i="14" s="1"/>
  <c r="F74" i="14"/>
  <c r="G74" i="14" s="1"/>
  <c r="F138" i="14"/>
  <c r="G138" i="14" s="1"/>
  <c r="F202" i="14"/>
  <c r="G202" i="14" s="1"/>
  <c r="F266" i="14"/>
  <c r="G266" i="14" s="1"/>
  <c r="F330" i="14"/>
  <c r="G330" i="14" s="1"/>
  <c r="F394" i="14"/>
  <c r="G394" i="14" s="1"/>
  <c r="F440" i="14"/>
  <c r="G440" i="14" s="1"/>
  <c r="F472" i="14"/>
  <c r="G472" i="14" s="1"/>
  <c r="F504" i="14"/>
  <c r="G504" i="14" s="1"/>
  <c r="F526" i="14"/>
  <c r="G526" i="14" s="1"/>
  <c r="F11" i="14"/>
  <c r="G11" i="14" s="1"/>
  <c r="F75" i="14"/>
  <c r="G75" i="14" s="1"/>
  <c r="F139" i="14"/>
  <c r="G139" i="14" s="1"/>
  <c r="F203" i="14"/>
  <c r="G203" i="14" s="1"/>
  <c r="F267" i="14"/>
  <c r="G267" i="14" s="1"/>
  <c r="F331" i="14"/>
  <c r="G331" i="14" s="1"/>
  <c r="F395" i="14"/>
  <c r="G395" i="14" s="1"/>
  <c r="F441" i="14"/>
  <c r="G441" i="14" s="1"/>
  <c r="F473" i="14"/>
  <c r="G473" i="14" s="1"/>
  <c r="F505" i="14"/>
  <c r="G505" i="14" s="1"/>
  <c r="F527" i="14"/>
  <c r="G527" i="14" s="1"/>
  <c r="F12" i="14"/>
  <c r="G12" i="14" s="1"/>
  <c r="F76" i="14"/>
  <c r="G76" i="14" s="1"/>
  <c r="F140" i="14"/>
  <c r="G140" i="14" s="1"/>
  <c r="F204" i="14"/>
  <c r="G204" i="14" s="1"/>
  <c r="F268" i="14"/>
  <c r="G268" i="14" s="1"/>
  <c r="F332" i="14"/>
  <c r="G332" i="14" s="1"/>
  <c r="F396" i="14"/>
  <c r="G396" i="14" s="1"/>
  <c r="F442" i="14"/>
  <c r="G442" i="14" s="1"/>
  <c r="F474" i="14"/>
  <c r="G474" i="14" s="1"/>
  <c r="F506" i="14"/>
  <c r="G506" i="14" s="1"/>
  <c r="F529" i="14"/>
  <c r="G529" i="14" s="1"/>
  <c r="F25" i="14"/>
  <c r="G25" i="14" s="1"/>
  <c r="F89" i="14"/>
  <c r="G89" i="14" s="1"/>
  <c r="F153" i="14"/>
  <c r="G153" i="14" s="1"/>
  <c r="F217" i="14"/>
  <c r="G217" i="14" s="1"/>
  <c r="F281" i="14"/>
  <c r="G281" i="14" s="1"/>
  <c r="F345" i="14"/>
  <c r="G345" i="14" s="1"/>
  <c r="F409" i="14"/>
  <c r="G409" i="14" s="1"/>
  <c r="F443" i="14"/>
  <c r="G443" i="14" s="1"/>
  <c r="F475" i="14"/>
  <c r="G475" i="14" s="1"/>
  <c r="F507" i="14"/>
  <c r="G507" i="14" s="1"/>
  <c r="F530" i="14"/>
  <c r="G530" i="14" s="1"/>
  <c r="F26" i="14"/>
  <c r="G26" i="14" s="1"/>
  <c r="F90" i="14"/>
  <c r="G90" i="14" s="1"/>
  <c r="F154" i="14"/>
  <c r="G154" i="14" s="1"/>
  <c r="F218" i="14"/>
  <c r="G218" i="14" s="1"/>
  <c r="F282" i="14"/>
  <c r="G282" i="14" s="1"/>
  <c r="F346" i="14"/>
  <c r="G346" i="14" s="1"/>
  <c r="F410" i="14"/>
  <c r="G410" i="14" s="1"/>
  <c r="F444" i="14"/>
  <c r="G444" i="14" s="1"/>
  <c r="F476" i="14"/>
  <c r="G476" i="14" s="1"/>
  <c r="F508" i="14"/>
  <c r="G508" i="14" s="1"/>
  <c r="F531" i="14"/>
  <c r="G531" i="14" s="1"/>
  <c r="F27" i="14"/>
  <c r="G27" i="14" s="1"/>
  <c r="F91" i="14"/>
  <c r="G91" i="14" s="1"/>
  <c r="F155" i="14"/>
  <c r="G155" i="14" s="1"/>
  <c r="F219" i="14"/>
  <c r="G219" i="14" s="1"/>
  <c r="F283" i="14"/>
  <c r="G283" i="14" s="1"/>
  <c r="F347" i="14"/>
  <c r="G347" i="14" s="1"/>
  <c r="F411" i="14"/>
  <c r="G411" i="14" s="1"/>
  <c r="F453" i="14"/>
  <c r="G453" i="14" s="1"/>
  <c r="F485" i="14"/>
  <c r="G485" i="14" s="1"/>
  <c r="F510" i="14"/>
  <c r="G510" i="14" s="1"/>
  <c r="F532" i="14"/>
  <c r="G532" i="14" s="1"/>
  <c r="F28" i="14"/>
  <c r="G28" i="14" s="1"/>
  <c r="F92" i="14"/>
  <c r="G92" i="14" s="1"/>
  <c r="F156" i="14"/>
  <c r="G156" i="14" s="1"/>
  <c r="F220" i="14"/>
  <c r="G220" i="14" s="1"/>
  <c r="F284" i="14"/>
  <c r="G284" i="14" s="1"/>
  <c r="F348" i="14"/>
  <c r="G348" i="14" s="1"/>
  <c r="F412" i="14"/>
  <c r="G412" i="14" s="1"/>
  <c r="F454" i="14"/>
  <c r="G454" i="14" s="1"/>
  <c r="F486" i="14"/>
  <c r="G486" i="14" s="1"/>
  <c r="F511" i="14"/>
  <c r="G511" i="14" s="1"/>
  <c r="F533" i="14"/>
  <c r="G533" i="14" s="1"/>
  <c r="F41" i="14"/>
  <c r="G41" i="14" s="1"/>
  <c r="F105" i="14"/>
  <c r="G105" i="14" s="1"/>
  <c r="F169" i="14"/>
  <c r="G169" i="14" s="1"/>
  <c r="F233" i="14"/>
  <c r="G233" i="14" s="1"/>
  <c r="F297" i="14"/>
  <c r="G297" i="14" s="1"/>
  <c r="F361" i="14"/>
  <c r="G361" i="14" s="1"/>
  <c r="F421" i="14"/>
  <c r="G421" i="14" s="1"/>
  <c r="F455" i="14"/>
  <c r="G455" i="14" s="1"/>
  <c r="F487" i="14"/>
  <c r="G487" i="14" s="1"/>
  <c r="F513" i="14"/>
  <c r="G513" i="14" s="1"/>
  <c r="F534" i="14"/>
  <c r="G534" i="14" s="1"/>
  <c r="F42" i="14"/>
  <c r="G42" i="14" s="1"/>
  <c r="F106" i="14"/>
  <c r="G106" i="14" s="1"/>
  <c r="F170" i="14"/>
  <c r="G170" i="14" s="1"/>
  <c r="F234" i="14"/>
  <c r="G234" i="14" s="1"/>
  <c r="F298" i="14"/>
  <c r="G298" i="14" s="1"/>
  <c r="F362" i="14"/>
  <c r="G362" i="14" s="1"/>
  <c r="F423" i="14"/>
  <c r="G423" i="14" s="1"/>
  <c r="F456" i="14"/>
  <c r="G456" i="14" s="1"/>
  <c r="F488" i="14"/>
  <c r="G488" i="14" s="1"/>
  <c r="F517" i="14"/>
  <c r="G517" i="14" s="1"/>
  <c r="F535" i="14"/>
  <c r="G535" i="14" s="1"/>
  <c r="F43" i="14"/>
  <c r="G43" i="14" s="1"/>
  <c r="F107" i="14"/>
  <c r="G107" i="14" s="1"/>
  <c r="F171" i="14"/>
  <c r="G171" i="14" s="1"/>
  <c r="F235" i="14"/>
  <c r="G235" i="14" s="1"/>
  <c r="F299" i="14"/>
  <c r="G299" i="14" s="1"/>
  <c r="F363" i="14"/>
  <c r="G363" i="14" s="1"/>
  <c r="F425" i="14"/>
  <c r="G425" i="14" s="1"/>
  <c r="F457" i="14"/>
  <c r="G457" i="14" s="1"/>
  <c r="F489" i="14"/>
  <c r="G489" i="14" s="1"/>
  <c r="F518" i="14"/>
  <c r="G518" i="14" s="1"/>
  <c r="F536" i="14"/>
  <c r="G536" i="14" s="1"/>
  <c r="F44" i="14"/>
  <c r="G44" i="14" s="1"/>
  <c r="F108" i="14"/>
  <c r="G108" i="14" s="1"/>
  <c r="F172" i="14"/>
  <c r="G172" i="14" s="1"/>
  <c r="F236" i="14"/>
  <c r="G236" i="14" s="1"/>
  <c r="F300" i="14"/>
  <c r="G300" i="14" s="1"/>
  <c r="F364" i="14"/>
  <c r="G364" i="14" s="1"/>
  <c r="F426" i="14"/>
  <c r="G426" i="14" s="1"/>
  <c r="F458" i="14"/>
  <c r="G458" i="14" s="1"/>
  <c r="F490" i="14"/>
  <c r="G490" i="14" s="1"/>
  <c r="F519" i="14"/>
  <c r="G519" i="14" s="1"/>
  <c r="F537" i="14"/>
  <c r="G537" i="14" s="1"/>
  <c r="F57" i="14"/>
  <c r="G57" i="14" s="1"/>
  <c r="F313" i="14"/>
  <c r="G313" i="14" s="1"/>
  <c r="F491" i="14"/>
  <c r="G491" i="14" s="1"/>
  <c r="F58" i="14"/>
  <c r="G58" i="14" s="1"/>
  <c r="F314" i="14"/>
  <c r="G314" i="14" s="1"/>
  <c r="F492" i="14"/>
  <c r="G492" i="14" s="1"/>
  <c r="F59" i="14"/>
  <c r="G59" i="14" s="1"/>
  <c r="F315" i="14"/>
  <c r="G315" i="14" s="1"/>
  <c r="F501" i="14"/>
  <c r="G501" i="14" s="1"/>
  <c r="F60" i="14"/>
  <c r="G60" i="14" s="1"/>
  <c r="F316" i="14"/>
  <c r="G316" i="14" s="1"/>
  <c r="F502" i="14"/>
  <c r="G502" i="14" s="1"/>
  <c r="F121" i="14"/>
  <c r="G121" i="14" s="1"/>
  <c r="F377" i="14"/>
  <c r="G377" i="14" s="1"/>
  <c r="F520" i="14"/>
  <c r="G520" i="14" s="1"/>
  <c r="F122" i="14"/>
  <c r="G122" i="14" s="1"/>
  <c r="F378" i="14"/>
  <c r="G378" i="14" s="1"/>
  <c r="F521" i="14"/>
  <c r="G521" i="14" s="1"/>
  <c r="F123" i="14"/>
  <c r="G123" i="14" s="1"/>
  <c r="F379" i="14"/>
  <c r="G379" i="14" s="1"/>
  <c r="F522" i="14"/>
  <c r="G522" i="14" s="1"/>
  <c r="F124" i="14"/>
  <c r="G124" i="14" s="1"/>
  <c r="F380" i="14"/>
  <c r="G380" i="14" s="1"/>
  <c r="F523" i="14"/>
  <c r="G523" i="14" s="1"/>
  <c r="F185" i="14"/>
  <c r="G185" i="14" s="1"/>
  <c r="F427" i="14"/>
  <c r="G427" i="14" s="1"/>
  <c r="F538" i="14"/>
  <c r="G538" i="14" s="1"/>
  <c r="F186" i="14"/>
  <c r="G186" i="14" s="1"/>
  <c r="F428" i="14"/>
  <c r="G428" i="14" s="1"/>
  <c r="F539" i="14"/>
  <c r="G539" i="14" s="1"/>
  <c r="F187" i="14"/>
  <c r="G187" i="14" s="1"/>
  <c r="F437" i="14"/>
  <c r="G437" i="14" s="1"/>
  <c r="F188" i="14"/>
  <c r="G188" i="14" s="1"/>
  <c r="F438" i="14"/>
  <c r="G438" i="14" s="1"/>
  <c r="F249" i="14"/>
  <c r="G249" i="14" s="1"/>
  <c r="F250" i="14"/>
  <c r="G250" i="14" s="1"/>
  <c r="F251" i="14"/>
  <c r="G251" i="14" s="1"/>
  <c r="F252" i="14"/>
  <c r="G252" i="14" s="1"/>
  <c r="F459" i="14"/>
  <c r="G459" i="14" s="1"/>
  <c r="F460" i="14"/>
  <c r="G460" i="14" s="1"/>
  <c r="F469" i="14"/>
  <c r="G469" i="14" s="1"/>
  <c r="F470" i="14"/>
  <c r="G470" i="14" s="1"/>
  <c r="AT52" i="1"/>
  <c r="BH52" i="1"/>
  <c r="BT52" i="1" s="1"/>
  <c r="AT51" i="1"/>
  <c r="BH51" i="1"/>
  <c r="AT50" i="1"/>
  <c r="BH50" i="1"/>
  <c r="BH48" i="1"/>
  <c r="AT48" i="1"/>
  <c r="BT49" i="1"/>
  <c r="AT49" i="1"/>
  <c r="BT35" i="1"/>
  <c r="AE449" i="1"/>
  <c r="AE401" i="1"/>
  <c r="BP3" i="1"/>
  <c r="BC497" i="1"/>
  <c r="BC503" i="1"/>
  <c r="AE505" i="1"/>
  <c r="BC492" i="1"/>
  <c r="P497" i="1"/>
  <c r="AE498" i="1"/>
  <c r="BC495" i="1"/>
  <c r="AE497" i="1"/>
  <c r="BC506" i="1"/>
  <c r="P522" i="1"/>
  <c r="BA164" i="1"/>
  <c r="AY164" i="1"/>
  <c r="BA162" i="1"/>
  <c r="AY162" i="1"/>
  <c r="AU161" i="1"/>
  <c r="BD160" i="1"/>
  <c r="AE219" i="1"/>
  <c r="P219" i="1"/>
  <c r="P217" i="1"/>
  <c r="AE217" i="1"/>
  <c r="C169" i="1"/>
  <c r="AE166" i="1"/>
  <c r="P166" i="1"/>
  <c r="BA275" i="1"/>
  <c r="AY275" i="1"/>
  <c r="AC216" i="1"/>
  <c r="AC228" i="1"/>
  <c r="AC279" i="1"/>
  <c r="AC283" i="1"/>
  <c r="AC289" i="1"/>
  <c r="AC293" i="1"/>
  <c r="AC336" i="1"/>
  <c r="AC392" i="1"/>
  <c r="AC393" i="1"/>
  <c r="AC400" i="1"/>
  <c r="AC439" i="1"/>
  <c r="AC239" i="1"/>
  <c r="AC280" i="1"/>
  <c r="AC339" i="1"/>
  <c r="AQ358" i="1"/>
  <c r="AC394" i="1"/>
  <c r="AC440" i="1"/>
  <c r="AQ435" i="1"/>
  <c r="AC229" i="1"/>
  <c r="AC240" i="1"/>
  <c r="AQ252" i="1"/>
  <c r="S265" i="1"/>
  <c r="AC275" i="1"/>
  <c r="AC281" i="1"/>
  <c r="AC331" i="1"/>
  <c r="AC338" i="1"/>
  <c r="AC395" i="1"/>
  <c r="AC453" i="1"/>
  <c r="Z185" i="1"/>
  <c r="AQ434" i="1"/>
  <c r="AC217" i="1"/>
  <c r="AC218" i="1"/>
  <c r="AC328" i="1"/>
  <c r="AC345" i="1"/>
  <c r="AC386" i="1"/>
  <c r="AC389" i="1"/>
  <c r="AC396" i="1"/>
  <c r="AC443" i="1"/>
  <c r="AQ433" i="1"/>
  <c r="AC225" i="1"/>
  <c r="AC230" i="1"/>
  <c r="AC290" i="1"/>
  <c r="AQ305" i="1"/>
  <c r="AC327" i="1"/>
  <c r="AC334" i="1"/>
  <c r="AC340" i="1"/>
  <c r="AC342" i="1"/>
  <c r="AC506" i="1"/>
  <c r="AC496" i="1"/>
  <c r="AC500" i="1"/>
  <c r="AC448" i="1"/>
  <c r="AC436" i="1"/>
  <c r="AC504" i="1"/>
  <c r="AC493" i="1"/>
  <c r="AC447" i="1"/>
  <c r="AC438" i="1"/>
  <c r="AC437" i="1"/>
  <c r="AC508" i="1"/>
  <c r="AC497" i="1"/>
  <c r="AC491" i="1"/>
  <c r="AC452" i="1"/>
  <c r="AC444" i="1"/>
  <c r="AC501" i="1"/>
  <c r="AC495" i="1"/>
  <c r="AC505" i="1"/>
  <c r="AC499" i="1"/>
  <c r="AC503" i="1"/>
  <c r="AC455" i="1"/>
  <c r="AC451" i="1"/>
  <c r="AC446" i="1"/>
  <c r="AC507" i="1"/>
  <c r="AC442" i="1"/>
  <c r="AC441" i="1"/>
  <c r="AC490" i="1"/>
  <c r="AC509" i="1"/>
  <c r="AC494" i="1"/>
  <c r="AC454" i="1"/>
  <c r="AC450" i="1"/>
  <c r="AC498" i="1"/>
  <c r="AQ467" i="1"/>
  <c r="AC502" i="1"/>
  <c r="AC492" i="1"/>
  <c r="AC234" i="1"/>
  <c r="AC235" i="1"/>
  <c r="AC284" i="1"/>
  <c r="AC288" i="1"/>
  <c r="AC333" i="1"/>
  <c r="AC341" i="1"/>
  <c r="AC387" i="1"/>
  <c r="AC402" i="1"/>
  <c r="AC403" i="1"/>
  <c r="AC404" i="1"/>
  <c r="AC449" i="1"/>
  <c r="AC226" i="1"/>
  <c r="AC236" i="1"/>
  <c r="AC285" i="1"/>
  <c r="AC332" i="1"/>
  <c r="AC335" i="1"/>
  <c r="AC343" i="1"/>
  <c r="AC390" i="1"/>
  <c r="AC212" i="1"/>
  <c r="AC213" i="1"/>
  <c r="AC214" i="1"/>
  <c r="AC219" i="1"/>
  <c r="AC231" i="1"/>
  <c r="AC282" i="1"/>
  <c r="AT344" i="1"/>
  <c r="S370" i="1"/>
  <c r="AC391" i="1"/>
  <c r="AC397" i="1"/>
  <c r="S480" i="1"/>
  <c r="S208" i="1"/>
  <c r="AC220" i="1"/>
  <c r="AC227" i="1"/>
  <c r="AC237" i="1"/>
  <c r="AC276" i="1"/>
  <c r="AC291" i="1"/>
  <c r="AC398" i="1"/>
  <c r="AQ416" i="1"/>
  <c r="AC222" i="1"/>
  <c r="AC329" i="1"/>
  <c r="AC346" i="1"/>
  <c r="AC445" i="1"/>
  <c r="AC221" i="1"/>
  <c r="AC223" i="1"/>
  <c r="AC232" i="1"/>
  <c r="AC238" i="1"/>
  <c r="AC278" i="1"/>
  <c r="AC385" i="1"/>
  <c r="AC388" i="1"/>
  <c r="AC215" i="1"/>
  <c r="AC224" i="1"/>
  <c r="AC233" i="1"/>
  <c r="AC277" i="1"/>
  <c r="AC286" i="1"/>
  <c r="AC287" i="1"/>
  <c r="AC292" i="1"/>
  <c r="AC330" i="1"/>
  <c r="AC337" i="1"/>
  <c r="AC344" i="1"/>
  <c r="AC399" i="1"/>
  <c r="S429" i="1"/>
  <c r="AQ521" i="1"/>
  <c r="P532" i="1"/>
  <c r="S532" i="1" s="1"/>
  <c r="P531" i="1"/>
  <c r="P530" i="1"/>
  <c r="AE504" i="1"/>
  <c r="P504" i="1"/>
  <c r="BE492" i="1"/>
  <c r="BF492" i="1" s="1"/>
  <c r="AE500" i="1"/>
  <c r="P500" i="1"/>
  <c r="BA490" i="1"/>
  <c r="BE490" i="1" s="1"/>
  <c r="BF490" i="1" s="1"/>
  <c r="AY490" i="1"/>
  <c r="AE496" i="1"/>
  <c r="P496" i="1"/>
  <c r="AU507" i="1"/>
  <c r="AX490" i="1" a="1"/>
  <c r="AX490" i="1" s="1"/>
  <c r="AE492" i="1"/>
  <c r="P492" i="1"/>
  <c r="AU503" i="1"/>
  <c r="AU499" i="1"/>
  <c r="AU505" i="1"/>
  <c r="AU495" i="1"/>
  <c r="AU501" i="1"/>
  <c r="AU491" i="1"/>
  <c r="BE496" i="1"/>
  <c r="BF496" i="1" s="1"/>
  <c r="AU497" i="1"/>
  <c r="AF498" i="1"/>
  <c r="AU493" i="1"/>
  <c r="AF494" i="1"/>
  <c r="AE507" i="1"/>
  <c r="P507" i="1"/>
  <c r="AU508" i="1"/>
  <c r="P510" i="1"/>
  <c r="AE503" i="1"/>
  <c r="P503" i="1"/>
  <c r="AE499" i="1"/>
  <c r="P499" i="1"/>
  <c r="AE495" i="1"/>
  <c r="P495" i="1"/>
  <c r="BE504" i="1"/>
  <c r="BF504" i="1" s="1"/>
  <c r="AF505" i="1"/>
  <c r="AE491" i="1"/>
  <c r="P491" i="1"/>
  <c r="BE500" i="1"/>
  <c r="BF500" i="1" s="1"/>
  <c r="AF501" i="1"/>
  <c r="AE508" i="1"/>
  <c r="P508" i="1"/>
  <c r="P518" i="1"/>
  <c r="P525" i="1"/>
  <c r="P526" i="1"/>
  <c r="P519" i="1"/>
  <c r="P523" i="1"/>
  <c r="P527" i="1"/>
  <c r="AF509" i="1"/>
  <c r="AU509" i="1"/>
  <c r="L510" i="1"/>
  <c r="P512" i="1"/>
  <c r="L513" i="1"/>
  <c r="F513" i="1"/>
  <c r="T513" i="1" s="1"/>
  <c r="P520" i="1"/>
  <c r="P489" i="1"/>
  <c r="S489" i="1" s="1"/>
  <c r="AW492" i="1"/>
  <c r="AW496" i="1"/>
  <c r="AW500" i="1"/>
  <c r="AW504" i="1"/>
  <c r="AW508" i="1"/>
  <c r="P513" i="1"/>
  <c r="P517" i="1"/>
  <c r="P528" i="1"/>
  <c r="P529" i="1"/>
  <c r="AX492" i="1" a="1"/>
  <c r="AX492" i="1" s="1"/>
  <c r="AX496" i="1" a="1"/>
  <c r="AX496" i="1" s="1"/>
  <c r="AX500" i="1" a="1"/>
  <c r="AX500" i="1" s="1"/>
  <c r="AX504" i="1" a="1"/>
  <c r="AX504" i="1" s="1"/>
  <c r="AX508" i="1" a="1"/>
  <c r="AX508" i="1" s="1"/>
  <c r="P511" i="1"/>
  <c r="P524" i="1"/>
  <c r="AX491" i="1" a="1"/>
  <c r="AX491" i="1" s="1"/>
  <c r="AX495" i="1" a="1"/>
  <c r="AX495" i="1" s="1"/>
  <c r="AX499" i="1" a="1"/>
  <c r="AX499" i="1" s="1"/>
  <c r="AX507" i="1" a="1"/>
  <c r="AX507" i="1" s="1"/>
  <c r="AU494" i="1"/>
  <c r="AX494" i="1" s="1" a="1"/>
  <c r="AX494" i="1" s="1"/>
  <c r="AU498" i="1"/>
  <c r="AU502" i="1"/>
  <c r="AU506" i="1"/>
  <c r="P490" i="1"/>
  <c r="AW490" i="1"/>
  <c r="P494" i="1"/>
  <c r="AW494" i="1"/>
  <c r="P498" i="1"/>
  <c r="AW498" i="1"/>
  <c r="P502" i="1"/>
  <c r="AW502" i="1"/>
  <c r="P506" i="1"/>
  <c r="AW506" i="1"/>
  <c r="AE509" i="1"/>
  <c r="P514" i="1"/>
  <c r="F519" i="1"/>
  <c r="T519" i="1" s="1"/>
  <c r="L518" i="1"/>
  <c r="F526" i="1"/>
  <c r="T526" i="1" s="1"/>
  <c r="L525" i="1"/>
  <c r="F527" i="1"/>
  <c r="T527" i="1" s="1"/>
  <c r="L526" i="1"/>
  <c r="L519" i="1"/>
  <c r="L527" i="1"/>
  <c r="L523" i="1"/>
  <c r="L533" i="1"/>
  <c r="F520" i="1"/>
  <c r="T520" i="1" s="1"/>
  <c r="P533" i="1"/>
  <c r="S533" i="1" s="1"/>
  <c r="AT119" i="1"/>
  <c r="AT127" i="1"/>
  <c r="AW389" i="1"/>
  <c r="BA439" i="1"/>
  <c r="AY439" i="1"/>
  <c r="AT440" i="1"/>
  <c r="AY452" i="1"/>
  <c r="BA452" i="1"/>
  <c r="AF444" i="1"/>
  <c r="BA453" i="1"/>
  <c r="AY453" i="1"/>
  <c r="AE437" i="1"/>
  <c r="P437" i="1"/>
  <c r="AE438" i="1"/>
  <c r="P438" i="1"/>
  <c r="AY440" i="1"/>
  <c r="BA440" i="1"/>
  <c r="BA454" i="1"/>
  <c r="AY454" i="1"/>
  <c r="AF438" i="1"/>
  <c r="BA441" i="1"/>
  <c r="AY441" i="1"/>
  <c r="BA442" i="1"/>
  <c r="AY442" i="1"/>
  <c r="AT446" i="1"/>
  <c r="AF448" i="1"/>
  <c r="AF447" i="1"/>
  <c r="AE448" i="1"/>
  <c r="P448" i="1"/>
  <c r="P439" i="1"/>
  <c r="AE439" i="1"/>
  <c r="AY443" i="1"/>
  <c r="BA443" i="1"/>
  <c r="P445" i="1"/>
  <c r="AE445" i="1"/>
  <c r="BA451" i="1"/>
  <c r="AY451" i="1"/>
  <c r="BA455" i="1"/>
  <c r="AY455" i="1"/>
  <c r="AF442" i="1"/>
  <c r="AF441" i="1"/>
  <c r="AT436" i="1"/>
  <c r="AY437" i="1"/>
  <c r="BA437" i="1"/>
  <c r="AY436" i="1"/>
  <c r="BA436" i="1"/>
  <c r="BA448" i="1"/>
  <c r="AY448" i="1"/>
  <c r="AX452" i="1" a="1"/>
  <c r="AX452" i="1" s="1"/>
  <c r="AW452" i="1"/>
  <c r="L447" i="1"/>
  <c r="L448" i="1"/>
  <c r="F448" i="1"/>
  <c r="T448" i="1" s="1"/>
  <c r="L457" i="1"/>
  <c r="BA447" i="1"/>
  <c r="AY447" i="1"/>
  <c r="L437" i="1"/>
  <c r="P461" i="1"/>
  <c r="L439" i="1"/>
  <c r="BA446" i="1"/>
  <c r="F450" i="1"/>
  <c r="T450" i="1" s="1"/>
  <c r="AF451" i="1"/>
  <c r="Z456" i="1"/>
  <c r="L436" i="1"/>
  <c r="L442" i="1"/>
  <c r="F442" i="1"/>
  <c r="T442" i="1" s="1"/>
  <c r="AT455" i="1"/>
  <c r="P465" i="1"/>
  <c r="P458" i="1"/>
  <c r="L450" i="1"/>
  <c r="P440" i="1"/>
  <c r="AF445" i="1"/>
  <c r="P449" i="1"/>
  <c r="AY449" i="1"/>
  <c r="P436" i="1"/>
  <c r="P441" i="1"/>
  <c r="P442" i="1"/>
  <c r="AY450" i="1"/>
  <c r="P467" i="1"/>
  <c r="L444" i="1"/>
  <c r="P457" i="1"/>
  <c r="P460" i="1"/>
  <c r="P472" i="1"/>
  <c r="AF439" i="1"/>
  <c r="P443" i="1"/>
  <c r="AE450" i="1"/>
  <c r="F457" i="1"/>
  <c r="T457" i="1" s="1"/>
  <c r="AE451" i="1"/>
  <c r="P466" i="1"/>
  <c r="L468" i="1"/>
  <c r="F469" i="1"/>
  <c r="T469" i="1" s="1"/>
  <c r="P473" i="1"/>
  <c r="P478" i="1"/>
  <c r="S478" i="1" s="1"/>
  <c r="P462" i="1"/>
  <c r="F476" i="1"/>
  <c r="T476" i="1" s="1"/>
  <c r="L475" i="1"/>
  <c r="L476" i="1"/>
  <c r="P463" i="1"/>
  <c r="AK479" i="1"/>
  <c r="S479" i="1"/>
  <c r="L464" i="1"/>
  <c r="P469" i="1"/>
  <c r="P471" i="1"/>
  <c r="P476" i="1"/>
  <c r="P477" i="1"/>
  <c r="F454" i="1"/>
  <c r="T454" i="1" s="1"/>
  <c r="L460" i="1"/>
  <c r="L458" i="1"/>
  <c r="F459" i="1"/>
  <c r="T459" i="1" s="1"/>
  <c r="P474" i="1"/>
  <c r="F463" i="1"/>
  <c r="T463" i="1" s="1"/>
  <c r="L474" i="1"/>
  <c r="F481" i="1"/>
  <c r="T481" i="1" s="1"/>
  <c r="F470" i="1"/>
  <c r="T470" i="1" s="1"/>
  <c r="F480" i="1"/>
  <c r="T480" i="1" s="1"/>
  <c r="L481" i="1"/>
  <c r="F467" i="1"/>
  <c r="T467" i="1" s="1"/>
  <c r="F478" i="1"/>
  <c r="T478" i="1" s="1"/>
  <c r="P482" i="1"/>
  <c r="S482" i="1" s="1"/>
  <c r="P481" i="1"/>
  <c r="S481" i="1" s="1"/>
  <c r="AE391" i="1"/>
  <c r="P391" i="1"/>
  <c r="AY392" i="1"/>
  <c r="BA392" i="1"/>
  <c r="AE397" i="1"/>
  <c r="P397" i="1"/>
  <c r="AF390" i="1"/>
  <c r="AF391" i="1"/>
  <c r="BA393" i="1"/>
  <c r="AY393" i="1"/>
  <c r="BA394" i="1"/>
  <c r="AY394" i="1"/>
  <c r="AE385" i="1"/>
  <c r="P385" i="1"/>
  <c r="BA386" i="1"/>
  <c r="AY386" i="1"/>
  <c r="BA395" i="1"/>
  <c r="AY395" i="1"/>
  <c r="BA389" i="1"/>
  <c r="AY389" i="1"/>
  <c r="BA387" i="1"/>
  <c r="AY387" i="1"/>
  <c r="AY401" i="1"/>
  <c r="BA401" i="1"/>
  <c r="AE400" i="1"/>
  <c r="P400" i="1"/>
  <c r="BA402" i="1"/>
  <c r="AY402" i="1"/>
  <c r="BA403" i="1"/>
  <c r="AY403" i="1"/>
  <c r="AY390" i="1"/>
  <c r="BA390" i="1"/>
  <c r="AY404" i="1"/>
  <c r="BA404" i="1"/>
  <c r="AF393" i="1"/>
  <c r="AE394" i="1"/>
  <c r="P394" i="1"/>
  <c r="AF395" i="1"/>
  <c r="AF394" i="1"/>
  <c r="P396" i="1"/>
  <c r="AE396" i="1"/>
  <c r="BA397" i="1"/>
  <c r="AY397" i="1"/>
  <c r="BA388" i="1"/>
  <c r="AY388" i="1"/>
  <c r="AF389" i="1"/>
  <c r="AF396" i="1"/>
  <c r="AF397" i="1"/>
  <c r="AY398" i="1"/>
  <c r="BA398" i="1"/>
  <c r="P406" i="1"/>
  <c r="BA385" i="1"/>
  <c r="AY385" i="1"/>
  <c r="P402" i="1"/>
  <c r="AE402" i="1"/>
  <c r="AE403" i="1"/>
  <c r="P403" i="1"/>
  <c r="BA399" i="1"/>
  <c r="AY399" i="1"/>
  <c r="AF401" i="1"/>
  <c r="AF402" i="1"/>
  <c r="AF403" i="1"/>
  <c r="Z405" i="1"/>
  <c r="P410" i="1"/>
  <c r="F395" i="1"/>
  <c r="T395" i="1" s="1"/>
  <c r="F398" i="1"/>
  <c r="T398" i="1" s="1"/>
  <c r="L403" i="1"/>
  <c r="F401" i="1"/>
  <c r="T401" i="1" s="1"/>
  <c r="P418" i="1"/>
  <c r="L395" i="1"/>
  <c r="AY400" i="1"/>
  <c r="P409" i="1"/>
  <c r="P414" i="1"/>
  <c r="AX389" i="1" a="1"/>
  <c r="AX389" i="1" s="1"/>
  <c r="F390" i="1"/>
  <c r="T390" i="1" s="1"/>
  <c r="L393" i="1"/>
  <c r="F409" i="1"/>
  <c r="T409" i="1" s="1"/>
  <c r="AF387" i="1"/>
  <c r="P392" i="1"/>
  <c r="L399" i="1"/>
  <c r="P405" i="1"/>
  <c r="P407" i="1"/>
  <c r="P412" i="1"/>
  <c r="L386" i="1"/>
  <c r="P395" i="1"/>
  <c r="P398" i="1"/>
  <c r="P411" i="1"/>
  <c r="P387" i="1"/>
  <c r="F397" i="1"/>
  <c r="T397" i="1" s="1"/>
  <c r="P401" i="1"/>
  <c r="P404" i="1"/>
  <c r="P393" i="1"/>
  <c r="F403" i="1"/>
  <c r="T403" i="1" s="1"/>
  <c r="P413" i="1"/>
  <c r="P421" i="1"/>
  <c r="P424" i="1"/>
  <c r="P423" i="1"/>
  <c r="P427" i="1"/>
  <c r="S427" i="1" s="1"/>
  <c r="L420" i="1"/>
  <c r="P426" i="1"/>
  <c r="P422" i="1"/>
  <c r="L410" i="1"/>
  <c r="P415" i="1"/>
  <c r="P425" i="1"/>
  <c r="P420" i="1"/>
  <c r="L425" i="1"/>
  <c r="L424" i="1"/>
  <c r="L423" i="1"/>
  <c r="S428" i="1"/>
  <c r="AK428" i="1"/>
  <c r="F416" i="1"/>
  <c r="T416" i="1" s="1"/>
  <c r="P431" i="1"/>
  <c r="S431" i="1" s="1"/>
  <c r="P430" i="1"/>
  <c r="S430" i="1" s="1"/>
  <c r="AE332" i="1"/>
  <c r="P332" i="1"/>
  <c r="AE333" i="1"/>
  <c r="P333" i="1"/>
  <c r="AF334" i="1"/>
  <c r="BA337" i="1"/>
  <c r="AY337" i="1"/>
  <c r="AF343" i="1"/>
  <c r="AF342" i="1"/>
  <c r="BA330" i="1"/>
  <c r="AY330" i="1"/>
  <c r="BA336" i="1"/>
  <c r="AY336" i="1"/>
  <c r="AF335" i="1"/>
  <c r="AE346" i="1"/>
  <c r="P346" i="1"/>
  <c r="AY338" i="1"/>
  <c r="BA338" i="1"/>
  <c r="BA328" i="1"/>
  <c r="AY328" i="1"/>
  <c r="BA327" i="1"/>
  <c r="AY327" i="1"/>
  <c r="BA334" i="1"/>
  <c r="AY334" i="1"/>
  <c r="BA340" i="1"/>
  <c r="AY340" i="1"/>
  <c r="AF330" i="1"/>
  <c r="BA333" i="1"/>
  <c r="AY333" i="1"/>
  <c r="AE337" i="1"/>
  <c r="P337" i="1"/>
  <c r="AY341" i="1"/>
  <c r="BA341" i="1"/>
  <c r="BA342" i="1"/>
  <c r="AY342" i="1"/>
  <c r="AW344" i="1"/>
  <c r="AX344" i="1" a="1"/>
  <c r="AX344" i="1" s="1"/>
  <c r="AY332" i="1"/>
  <c r="BA332" i="1"/>
  <c r="AF336" i="1"/>
  <c r="AF337" i="1"/>
  <c r="BA343" i="1"/>
  <c r="AY343" i="1"/>
  <c r="AW335" i="1"/>
  <c r="AX335" i="1" a="1"/>
  <c r="AX335" i="1" s="1"/>
  <c r="P339" i="1"/>
  <c r="AE339" i="1"/>
  <c r="AY335" i="1"/>
  <c r="BA335" i="1"/>
  <c r="AE328" i="1"/>
  <c r="P328" i="1"/>
  <c r="BA329" i="1"/>
  <c r="AY329" i="1"/>
  <c r="AF331" i="1"/>
  <c r="AE340" i="1"/>
  <c r="P340" i="1"/>
  <c r="AY346" i="1"/>
  <c r="BA346" i="1"/>
  <c r="AE327" i="1"/>
  <c r="P327" i="1"/>
  <c r="AE334" i="1"/>
  <c r="P334" i="1"/>
  <c r="AE342" i="1"/>
  <c r="P342" i="1"/>
  <c r="AE343" i="1"/>
  <c r="P343" i="1"/>
  <c r="AF345" i="1"/>
  <c r="AE330" i="1"/>
  <c r="F332" i="1"/>
  <c r="T332" i="1" s="1"/>
  <c r="F340" i="1"/>
  <c r="T340" i="1" s="1"/>
  <c r="F352" i="1"/>
  <c r="T352" i="1" s="1"/>
  <c r="AK369" i="1"/>
  <c r="S369" i="1"/>
  <c r="L327" i="1"/>
  <c r="L333" i="1"/>
  <c r="L345" i="1"/>
  <c r="L349" i="1"/>
  <c r="L372" i="1"/>
  <c r="L332" i="1"/>
  <c r="L340" i="1"/>
  <c r="L352" i="1"/>
  <c r="L355" i="1"/>
  <c r="L366" i="1"/>
  <c r="L337" i="1"/>
  <c r="L348" i="1"/>
  <c r="L364" i="1"/>
  <c r="P349" i="1"/>
  <c r="L335" i="1"/>
  <c r="AF346" i="1"/>
  <c r="L341" i="1"/>
  <c r="F342" i="1"/>
  <c r="T342" i="1" s="1"/>
  <c r="P353" i="1"/>
  <c r="L354" i="1"/>
  <c r="L362" i="1"/>
  <c r="F363" i="1"/>
  <c r="T363" i="1" s="1"/>
  <c r="L347" i="1"/>
  <c r="L367" i="1"/>
  <c r="P331" i="1"/>
  <c r="L336" i="1"/>
  <c r="P338" i="1"/>
  <c r="P359" i="1"/>
  <c r="P362" i="1"/>
  <c r="P372" i="1"/>
  <c r="S372" i="1" s="1"/>
  <c r="F345" i="1"/>
  <c r="T345" i="1" s="1"/>
  <c r="L365" i="1"/>
  <c r="F372" i="1"/>
  <c r="T372" i="1" s="1"/>
  <c r="AF340" i="1"/>
  <c r="P341" i="1"/>
  <c r="L356" i="1"/>
  <c r="P361" i="1"/>
  <c r="P365" i="1"/>
  <c r="P366" i="1"/>
  <c r="P351" i="1"/>
  <c r="P354" i="1"/>
  <c r="P355" i="1"/>
  <c r="F362" i="1"/>
  <c r="T362" i="1" s="1"/>
  <c r="P363" i="1"/>
  <c r="P367" i="1"/>
  <c r="P352" i="1"/>
  <c r="P356" i="1"/>
  <c r="P364" i="1"/>
  <c r="AK370" i="1"/>
  <c r="F373" i="1"/>
  <c r="T373" i="1" s="1"/>
  <c r="P373" i="1"/>
  <c r="S373" i="1" s="1"/>
  <c r="BA282" i="1"/>
  <c r="AY282" i="1"/>
  <c r="P296" i="1"/>
  <c r="BA276" i="1"/>
  <c r="AY276" i="1"/>
  <c r="BA278" i="1"/>
  <c r="AY278" i="1"/>
  <c r="AY277" i="1"/>
  <c r="BA277" i="1"/>
  <c r="BA287" i="1"/>
  <c r="AY287" i="1"/>
  <c r="AY291" i="1"/>
  <c r="BA291" i="1"/>
  <c r="AT292" i="1"/>
  <c r="BA286" i="1"/>
  <c r="AY286" i="1"/>
  <c r="BA279" i="1"/>
  <c r="AY279" i="1"/>
  <c r="AE274" i="1"/>
  <c r="P274" i="1"/>
  <c r="BA292" i="1"/>
  <c r="AY292" i="1"/>
  <c r="AY285" i="1"/>
  <c r="BA285" i="1"/>
  <c r="P290" i="1"/>
  <c r="AE290" i="1"/>
  <c r="AF276" i="1"/>
  <c r="AE286" i="1"/>
  <c r="P286" i="1"/>
  <c r="AF281" i="1"/>
  <c r="AF280" i="1"/>
  <c r="AE278" i="1"/>
  <c r="P278" i="1"/>
  <c r="AF286" i="1"/>
  <c r="AE287" i="1"/>
  <c r="P287" i="1"/>
  <c r="AY284" i="1"/>
  <c r="BA284" i="1"/>
  <c r="BA288" i="1"/>
  <c r="AY288" i="1"/>
  <c r="AE281" i="1"/>
  <c r="P281" i="1"/>
  <c r="AE280" i="1"/>
  <c r="P280" i="1"/>
  <c r="AE293" i="1"/>
  <c r="P293" i="1"/>
  <c r="P299" i="1"/>
  <c r="P305" i="1"/>
  <c r="P316" i="1"/>
  <c r="S316" i="1" s="1"/>
  <c r="L278" i="1"/>
  <c r="L281" i="1"/>
  <c r="F281" i="1"/>
  <c r="T281" i="1" s="1"/>
  <c r="L293" i="1"/>
  <c r="F293" i="1"/>
  <c r="T293" i="1" s="1"/>
  <c r="P307" i="1"/>
  <c r="AY280" i="1"/>
  <c r="P285" i="1"/>
  <c r="AX291" i="1" a="1"/>
  <c r="AX291" i="1" s="1"/>
  <c r="AW291" i="1"/>
  <c r="L277" i="1"/>
  <c r="AY281" i="1"/>
  <c r="L298" i="1"/>
  <c r="L299" i="1"/>
  <c r="AF284" i="1"/>
  <c r="AF290" i="1"/>
  <c r="P295" i="1"/>
  <c r="AY274" i="1"/>
  <c r="L292" i="1"/>
  <c r="P309" i="1"/>
  <c r="AK317" i="1"/>
  <c r="S317" i="1"/>
  <c r="P273" i="1"/>
  <c r="S273" i="1" s="1"/>
  <c r="P300" i="1"/>
  <c r="L313" i="1"/>
  <c r="L314" i="1"/>
  <c r="P319" i="1"/>
  <c r="S319" i="1" s="1"/>
  <c r="P277" i="1"/>
  <c r="L279" i="1"/>
  <c r="P282" i="1"/>
  <c r="F302" i="1"/>
  <c r="T302" i="1" s="1"/>
  <c r="L301" i="1"/>
  <c r="AY283" i="1"/>
  <c r="L284" i="1"/>
  <c r="L287" i="1"/>
  <c r="F287" i="1"/>
  <c r="T287" i="1" s="1"/>
  <c r="P298" i="1"/>
  <c r="L302" i="1"/>
  <c r="P276" i="1"/>
  <c r="AE283" i="1"/>
  <c r="P292" i="1"/>
  <c r="P311" i="1"/>
  <c r="P320" i="1"/>
  <c r="S320" i="1" s="1"/>
  <c r="P279" i="1"/>
  <c r="P315" i="1"/>
  <c r="P313" i="1"/>
  <c r="F313" i="1"/>
  <c r="T313" i="1" s="1"/>
  <c r="L312" i="1"/>
  <c r="L316" i="1"/>
  <c r="F316" i="1"/>
  <c r="T316" i="1" s="1"/>
  <c r="AK318" i="1"/>
  <c r="AK316" i="1"/>
  <c r="S318" i="1"/>
  <c r="P302" i="1"/>
  <c r="L305" i="1"/>
  <c r="F305" i="1"/>
  <c r="T305" i="1" s="1"/>
  <c r="P303" i="1"/>
  <c r="L310" i="1"/>
  <c r="P314" i="1"/>
  <c r="P301" i="1"/>
  <c r="P312" i="1"/>
  <c r="AT221" i="1"/>
  <c r="BA221" i="1"/>
  <c r="AY221" i="1"/>
  <c r="BA223" i="1"/>
  <c r="AY223" i="1"/>
  <c r="BA232" i="1"/>
  <c r="AY232" i="1"/>
  <c r="BA238" i="1"/>
  <c r="AY238" i="1"/>
  <c r="BA228" i="1"/>
  <c r="AY228" i="1"/>
  <c r="AF227" i="1"/>
  <c r="AY229" i="1"/>
  <c r="BA229" i="1"/>
  <c r="AE222" i="1"/>
  <c r="P222" i="1"/>
  <c r="AE223" i="1"/>
  <c r="P223" i="1"/>
  <c r="AE224" i="1"/>
  <c r="P224" i="1"/>
  <c r="BA225" i="1"/>
  <c r="AY225" i="1"/>
  <c r="AF232" i="1"/>
  <c r="AF223" i="1"/>
  <c r="AF224" i="1"/>
  <c r="BA230" i="1"/>
  <c r="AY230" i="1"/>
  <c r="AY235" i="1"/>
  <c r="BA235" i="1"/>
  <c r="AY226" i="1"/>
  <c r="BA226" i="1"/>
  <c r="AF233" i="1"/>
  <c r="BA236" i="1"/>
  <c r="AY236" i="1"/>
  <c r="BA231" i="1"/>
  <c r="AY231" i="1"/>
  <c r="AY222" i="1"/>
  <c r="BA222" i="1"/>
  <c r="BA237" i="1"/>
  <c r="AY237" i="1"/>
  <c r="AE235" i="1"/>
  <c r="P235" i="1"/>
  <c r="P247" i="1"/>
  <c r="AE233" i="1"/>
  <c r="P233" i="1"/>
  <c r="F261" i="1"/>
  <c r="T261" i="1" s="1"/>
  <c r="L260" i="1"/>
  <c r="L261" i="1"/>
  <c r="L222" i="1"/>
  <c r="AF234" i="1"/>
  <c r="AY234" i="1"/>
  <c r="L240" i="1"/>
  <c r="F249" i="1"/>
  <c r="T249" i="1" s="1"/>
  <c r="L248" i="1"/>
  <c r="L259" i="1"/>
  <c r="P230" i="1"/>
  <c r="L221" i="1"/>
  <c r="L242" i="1"/>
  <c r="L247" i="1"/>
  <c r="P262" i="1"/>
  <c r="AE227" i="1"/>
  <c r="P227" i="1"/>
  <c r="AE234" i="1"/>
  <c r="P234" i="1"/>
  <c r="P236" i="1"/>
  <c r="AY239" i="1"/>
  <c r="P241" i="1"/>
  <c r="P246" i="1"/>
  <c r="AY224" i="1"/>
  <c r="L226" i="1"/>
  <c r="P238" i="1"/>
  <c r="P245" i="1"/>
  <c r="P251" i="1"/>
  <c r="P255" i="1"/>
  <c r="AE239" i="1"/>
  <c r="P239" i="1"/>
  <c r="AF240" i="1"/>
  <c r="AY240" i="1"/>
  <c r="P244" i="1"/>
  <c r="AK263" i="1"/>
  <c r="S263" i="1"/>
  <c r="P221" i="1"/>
  <c r="L228" i="1"/>
  <c r="L229" i="1"/>
  <c r="L233" i="1"/>
  <c r="P242" i="1"/>
  <c r="P267" i="1"/>
  <c r="S267" i="1" s="1"/>
  <c r="AY227" i="1"/>
  <c r="AF228" i="1"/>
  <c r="P226" i="1"/>
  <c r="P232" i="1"/>
  <c r="L235" i="1"/>
  <c r="AE240" i="1"/>
  <c r="P240" i="1"/>
  <c r="F240" i="1"/>
  <c r="T240" i="1" s="1"/>
  <c r="F259" i="1"/>
  <c r="T259" i="1" s="1"/>
  <c r="P258" i="1"/>
  <c r="P259" i="1"/>
  <c r="P266" i="1"/>
  <c r="S266" i="1" s="1"/>
  <c r="L249" i="1"/>
  <c r="P261" i="1"/>
  <c r="P248" i="1"/>
  <c r="P249" i="1"/>
  <c r="L250" i="1"/>
  <c r="P257" i="1"/>
  <c r="P252" i="1"/>
  <c r="P256" i="1"/>
  <c r="P260" i="1"/>
  <c r="AK264" i="1"/>
  <c r="S264" i="1"/>
  <c r="AE216" i="1"/>
  <c r="P216" i="1"/>
  <c r="BA212" i="1"/>
  <c r="AY212" i="1"/>
  <c r="AY213" i="1"/>
  <c r="BA213" i="1"/>
  <c r="BA219" i="1"/>
  <c r="AY219" i="1"/>
  <c r="AE218" i="1"/>
  <c r="P218" i="1"/>
  <c r="BA220" i="1"/>
  <c r="AY220" i="1"/>
  <c r="AF218" i="1"/>
  <c r="BA215" i="1"/>
  <c r="AY215" i="1"/>
  <c r="P211" i="1"/>
  <c r="S211" i="1" s="1"/>
  <c r="AE213" i="1"/>
  <c r="P213" i="1"/>
  <c r="BA216" i="1"/>
  <c r="AY216" i="1"/>
  <c r="AE214" i="1"/>
  <c r="P214" i="1"/>
  <c r="AF219" i="1"/>
  <c r="AY218" i="1"/>
  <c r="BA218" i="1"/>
  <c r="BA217" i="1"/>
  <c r="AY217" i="1"/>
  <c r="AF220" i="1"/>
  <c r="F213" i="1"/>
  <c r="T213" i="1" s="1"/>
  <c r="L218" i="1"/>
  <c r="L213" i="1"/>
  <c r="L220" i="1"/>
  <c r="L215" i="1"/>
  <c r="AY214" i="1"/>
  <c r="L217" i="1"/>
  <c r="P220" i="1"/>
  <c r="P215" i="1"/>
  <c r="S324" i="1"/>
  <c r="S375" i="1"/>
  <c r="S210" i="1"/>
  <c r="S377" i="1"/>
  <c r="S378" i="1"/>
  <c r="S432" i="1"/>
  <c r="S379" i="1"/>
  <c r="S433" i="1"/>
  <c r="P3" i="2"/>
  <c r="S322" i="1"/>
  <c r="P4" i="2"/>
  <c r="S323" i="1"/>
  <c r="S381" i="1"/>
  <c r="S435" i="1"/>
  <c r="P5" i="2"/>
  <c r="S268" i="1"/>
  <c r="S325" i="1"/>
  <c r="S382" i="1"/>
  <c r="P2" i="2"/>
  <c r="S269" i="1"/>
  <c r="S383" i="1"/>
  <c r="S270" i="1"/>
  <c r="S384" i="1"/>
  <c r="S271" i="1"/>
  <c r="S484" i="1"/>
  <c r="S485" i="1"/>
  <c r="S486" i="1"/>
  <c r="S487" i="1"/>
  <c r="S207" i="1"/>
  <c r="S321" i="1"/>
  <c r="S376" i="1"/>
  <c r="AR185" i="1"/>
  <c r="AS185" i="1" s="1"/>
  <c r="AU185" i="1" s="1"/>
  <c r="AJ185" i="1"/>
  <c r="J17" i="2"/>
  <c r="K17" i="2"/>
  <c r="AT143" i="1"/>
  <c r="AT125" i="1"/>
  <c r="AT154" i="1"/>
  <c r="AT142" i="1"/>
  <c r="AT124" i="1"/>
  <c r="AT153" i="1"/>
  <c r="AT141" i="1"/>
  <c r="AT152" i="1"/>
  <c r="AT122" i="1"/>
  <c r="AT151" i="1"/>
  <c r="AT121" i="1"/>
  <c r="AT150" i="1"/>
  <c r="AT132" i="1"/>
  <c r="AT148" i="1"/>
  <c r="AT130" i="1"/>
  <c r="AT118" i="1"/>
  <c r="AT147" i="1"/>
  <c r="AT129" i="1"/>
  <c r="AT146" i="1"/>
  <c r="AT128" i="1"/>
  <c r="AT145" i="1"/>
  <c r="AT144" i="1"/>
  <c r="AT126" i="1"/>
  <c r="AC3" i="1"/>
  <c r="AE3" i="1" s="1"/>
  <c r="Z4" i="1" s="1"/>
  <c r="AJ3" i="1"/>
  <c r="P483" i="1"/>
  <c r="S483" i="1" s="1"/>
  <c r="P209" i="1"/>
  <c r="S209" i="1" s="1"/>
  <c r="P140" i="1"/>
  <c r="P8" i="1"/>
  <c r="T12" i="2"/>
  <c r="P170" i="1"/>
  <c r="AE170" i="1"/>
  <c r="P434" i="1"/>
  <c r="S434" i="1" s="1"/>
  <c r="P206" i="1"/>
  <c r="P374" i="1"/>
  <c r="S374" i="1" s="1"/>
  <c r="P182" i="1"/>
  <c r="AE182" i="1"/>
  <c r="P326" i="1"/>
  <c r="S326" i="1" s="1"/>
  <c r="P194" i="1"/>
  <c r="P122" i="1"/>
  <c r="P134" i="1"/>
  <c r="P158" i="1"/>
  <c r="P146" i="1"/>
  <c r="P152" i="1"/>
  <c r="P164" i="1"/>
  <c r="P176" i="1"/>
  <c r="P188" i="1"/>
  <c r="P200" i="1"/>
  <c r="P488" i="1"/>
  <c r="S488" i="1" s="1"/>
  <c r="P380" i="1"/>
  <c r="S380" i="1" s="1"/>
  <c r="P116" i="1"/>
  <c r="P64" i="1"/>
  <c r="P272" i="1"/>
  <c r="S272" i="1" s="1"/>
  <c r="P128" i="1"/>
  <c r="P2" i="1"/>
  <c r="N56" i="4"/>
  <c r="L11" i="4"/>
  <c r="N13" i="4"/>
  <c r="L23" i="4"/>
  <c r="N25" i="4"/>
  <c r="L35" i="4"/>
  <c r="N37" i="4"/>
  <c r="L47" i="4"/>
  <c r="N49" i="4"/>
  <c r="L16" i="4"/>
  <c r="N18" i="4"/>
  <c r="L28" i="4"/>
  <c r="N30" i="4"/>
  <c r="L40" i="4"/>
  <c r="N42" i="4"/>
  <c r="L52" i="4"/>
  <c r="N54" i="4"/>
  <c r="N11" i="4"/>
  <c r="L21" i="4"/>
  <c r="N23" i="4"/>
  <c r="L33" i="4"/>
  <c r="N35" i="4"/>
  <c r="L45" i="4"/>
  <c r="N47" i="4"/>
  <c r="L57" i="4"/>
  <c r="N57" i="4"/>
  <c r="U25" i="14" l="1"/>
  <c r="U21" i="14"/>
  <c r="U22" i="14"/>
  <c r="U308" i="14"/>
  <c r="U309" i="14"/>
  <c r="U475" i="14"/>
  <c r="U80" i="14"/>
  <c r="U130" i="14"/>
  <c r="U356" i="14"/>
  <c r="U357" i="14"/>
  <c r="U79" i="14"/>
  <c r="U154" i="14"/>
  <c r="U380" i="14"/>
  <c r="U369" i="14"/>
  <c r="U440" i="14"/>
  <c r="U199" i="14"/>
  <c r="U128" i="14"/>
  <c r="U381" i="14"/>
  <c r="U416" i="14"/>
  <c r="U45" i="14"/>
  <c r="U417" i="14"/>
  <c r="U211" i="14"/>
  <c r="U152" i="14"/>
  <c r="U57" i="14"/>
  <c r="U429" i="14"/>
  <c r="U415" i="14"/>
  <c r="U202" i="14"/>
  <c r="U81" i="14"/>
  <c r="U441" i="14"/>
  <c r="U127" i="14"/>
  <c r="U46" i="14"/>
  <c r="U105" i="14"/>
  <c r="U465" i="14"/>
  <c r="U44" i="14"/>
  <c r="U200" i="14"/>
  <c r="U214" i="14"/>
  <c r="U129" i="14"/>
  <c r="U489" i="14"/>
  <c r="U43" i="14"/>
  <c r="U247" i="14"/>
  <c r="U58" i="14"/>
  <c r="U153" i="14"/>
  <c r="U525" i="14"/>
  <c r="U151" i="14"/>
  <c r="U56" i="14"/>
  <c r="U212" i="14"/>
  <c r="U82" i="14"/>
  <c r="U201" i="14"/>
  <c r="U427" i="14"/>
  <c r="U55" i="14"/>
  <c r="U213" i="14"/>
  <c r="U191" i="14"/>
  <c r="U462" i="14"/>
  <c r="N9" i="14"/>
  <c r="Y4" i="14"/>
  <c r="Q6" i="12" s="1"/>
  <c r="T69" i="14"/>
  <c r="U69" i="14" s="1"/>
  <c r="T117" i="14"/>
  <c r="U117" i="14" s="1"/>
  <c r="T141" i="14"/>
  <c r="U141" i="14" s="1"/>
  <c r="T165" i="14"/>
  <c r="U165" i="14" s="1"/>
  <c r="T177" i="14"/>
  <c r="U177" i="14" s="1"/>
  <c r="T189" i="14"/>
  <c r="U189" i="14" s="1"/>
  <c r="T225" i="14"/>
  <c r="U225" i="14" s="1"/>
  <c r="T70" i="14"/>
  <c r="U70" i="14" s="1"/>
  <c r="T29" i="14"/>
  <c r="U29" i="14" s="1"/>
  <c r="T67" i="14"/>
  <c r="U67" i="14" s="1"/>
  <c r="T95" i="14"/>
  <c r="U95" i="14" s="1"/>
  <c r="T107" i="14"/>
  <c r="U107" i="14" s="1"/>
  <c r="T120" i="14"/>
  <c r="U120" i="14" s="1"/>
  <c r="T183" i="14"/>
  <c r="U183" i="14" s="1"/>
  <c r="T233" i="14"/>
  <c r="U233" i="14" s="1"/>
  <c r="T272" i="14"/>
  <c r="U272" i="14" s="1"/>
  <c r="T284" i="14"/>
  <c r="U284" i="14" s="1"/>
  <c r="T296" i="14"/>
  <c r="U296" i="14" s="1"/>
  <c r="T332" i="14"/>
  <c r="U332" i="14" s="1"/>
  <c r="T344" i="14"/>
  <c r="U344" i="14" s="1"/>
  <c r="T368" i="14"/>
  <c r="U368" i="14" s="1"/>
  <c r="T392" i="14"/>
  <c r="U392" i="14" s="1"/>
  <c r="T404" i="14"/>
  <c r="U404" i="14" s="1"/>
  <c r="T464" i="14"/>
  <c r="U464" i="14" s="1"/>
  <c r="T476" i="14"/>
  <c r="U476" i="14" s="1"/>
  <c r="T488" i="14"/>
  <c r="U488" i="14" s="1"/>
  <c r="T500" i="14"/>
  <c r="U500" i="14" s="1"/>
  <c r="T512" i="14"/>
  <c r="U512" i="14" s="1"/>
  <c r="T536" i="14"/>
  <c r="U536" i="14" s="1"/>
  <c r="T30" i="14"/>
  <c r="U30" i="14" s="1"/>
  <c r="T68" i="14"/>
  <c r="U68" i="14" s="1"/>
  <c r="T96" i="14"/>
  <c r="U96" i="14" s="1"/>
  <c r="T108" i="14"/>
  <c r="U108" i="14" s="1"/>
  <c r="T31" i="14"/>
  <c r="U31" i="14" s="1"/>
  <c r="T71" i="14"/>
  <c r="U71" i="14" s="1"/>
  <c r="T97" i="14"/>
  <c r="U97" i="14" s="1"/>
  <c r="T109" i="14"/>
  <c r="U109" i="14" s="1"/>
  <c r="T172" i="14"/>
  <c r="U172" i="14" s="1"/>
  <c r="T185" i="14"/>
  <c r="U185" i="14" s="1"/>
  <c r="T222" i="14"/>
  <c r="U222" i="14" s="1"/>
  <c r="T235" i="14"/>
  <c r="U235" i="14" s="1"/>
  <c r="T248" i="14"/>
  <c r="U248" i="14" s="1"/>
  <c r="T262" i="14"/>
  <c r="U262" i="14" s="1"/>
  <c r="T298" i="14"/>
  <c r="U298" i="14" s="1"/>
  <c r="T334" i="14"/>
  <c r="U334" i="14" s="1"/>
  <c r="T346" i="14"/>
  <c r="U346" i="14" s="1"/>
  <c r="T370" i="14"/>
  <c r="U370" i="14" s="1"/>
  <c r="T394" i="14"/>
  <c r="U394" i="14" s="1"/>
  <c r="T406" i="14"/>
  <c r="U406" i="14" s="1"/>
  <c r="T442" i="14"/>
  <c r="U442" i="14" s="1"/>
  <c r="T454" i="14"/>
  <c r="U454" i="14" s="1"/>
  <c r="T502" i="14"/>
  <c r="U502" i="14" s="1"/>
  <c r="T514" i="14"/>
  <c r="U514" i="14" s="1"/>
  <c r="T72" i="14"/>
  <c r="U72" i="14" s="1"/>
  <c r="T98" i="14"/>
  <c r="U98" i="14" s="1"/>
  <c r="T110" i="14"/>
  <c r="U110" i="14" s="1"/>
  <c r="T173" i="14"/>
  <c r="U173" i="14" s="1"/>
  <c r="T186" i="14"/>
  <c r="U186" i="14" s="1"/>
  <c r="T223" i="14"/>
  <c r="U223" i="14" s="1"/>
  <c r="T236" i="14"/>
  <c r="U236" i="14" s="1"/>
  <c r="T275" i="14"/>
  <c r="U275" i="14" s="1"/>
  <c r="T287" i="14"/>
  <c r="U287" i="14" s="1"/>
  <c r="T299" i="14"/>
  <c r="U299" i="14" s="1"/>
  <c r="T347" i="14"/>
  <c r="U347" i="14" s="1"/>
  <c r="T395" i="14"/>
  <c r="U395" i="14" s="1"/>
  <c r="T407" i="14"/>
  <c r="U407" i="14" s="1"/>
  <c r="T443" i="14"/>
  <c r="U443" i="14" s="1"/>
  <c r="T455" i="14"/>
  <c r="U455" i="14" s="1"/>
  <c r="T479" i="14"/>
  <c r="U479" i="14" s="1"/>
  <c r="T503" i="14"/>
  <c r="U503" i="14" s="1"/>
  <c r="T515" i="14"/>
  <c r="U515" i="14" s="1"/>
  <c r="T539" i="14"/>
  <c r="U539" i="14" s="1"/>
  <c r="T35" i="14"/>
  <c r="U35" i="14" s="1"/>
  <c r="T99" i="14"/>
  <c r="U99" i="14" s="1"/>
  <c r="T111" i="14"/>
  <c r="U111" i="14" s="1"/>
  <c r="T36" i="14"/>
  <c r="U36" i="14" s="1"/>
  <c r="T60" i="14"/>
  <c r="U60" i="14" s="1"/>
  <c r="T74" i="14"/>
  <c r="U74" i="14" s="1"/>
  <c r="T112" i="14"/>
  <c r="U112" i="14" s="1"/>
  <c r="T37" i="14"/>
  <c r="U37" i="14" s="1"/>
  <c r="T61" i="14"/>
  <c r="U61" i="14" s="1"/>
  <c r="T75" i="14"/>
  <c r="U75" i="14" s="1"/>
  <c r="T87" i="14"/>
  <c r="U87" i="14" s="1"/>
  <c r="T176" i="14"/>
  <c r="U176" i="14" s="1"/>
  <c r="T190" i="14"/>
  <c r="U190" i="14" s="1"/>
  <c r="T227" i="14"/>
  <c r="U227" i="14" s="1"/>
  <c r="T240" i="14"/>
  <c r="U240" i="14" s="1"/>
  <c r="T278" i="14"/>
  <c r="U278" i="14" s="1"/>
  <c r="T290" i="14"/>
  <c r="U290" i="14" s="1"/>
  <c r="T302" i="14"/>
  <c r="U302" i="14" s="1"/>
  <c r="T314" i="14"/>
  <c r="U314" i="14" s="1"/>
  <c r="T338" i="14"/>
  <c r="U338" i="14" s="1"/>
  <c r="T350" i="14"/>
  <c r="U350" i="14" s="1"/>
  <c r="T410" i="14"/>
  <c r="U410" i="14" s="1"/>
  <c r="T434" i="14"/>
  <c r="U434" i="14" s="1"/>
  <c r="T446" i="14"/>
  <c r="U446" i="14" s="1"/>
  <c r="T458" i="14"/>
  <c r="U458" i="14" s="1"/>
  <c r="T506" i="14"/>
  <c r="U506" i="14" s="1"/>
  <c r="T518" i="14"/>
  <c r="U518" i="14" s="1"/>
  <c r="T530" i="14"/>
  <c r="U530" i="14" s="1"/>
  <c r="T92" i="14"/>
  <c r="U92" i="14" s="1"/>
  <c r="T119" i="14"/>
  <c r="U119" i="14" s="1"/>
  <c r="T174" i="14"/>
  <c r="U174" i="14" s="1"/>
  <c r="T241" i="14"/>
  <c r="U241" i="14" s="1"/>
  <c r="T270" i="14"/>
  <c r="U270" i="14" s="1"/>
  <c r="T289" i="14"/>
  <c r="U289" i="14" s="1"/>
  <c r="T333" i="14"/>
  <c r="U333" i="14" s="1"/>
  <c r="T352" i="14"/>
  <c r="U352" i="14" s="1"/>
  <c r="T379" i="14"/>
  <c r="U379" i="14" s="1"/>
  <c r="T391" i="14"/>
  <c r="U391" i="14" s="1"/>
  <c r="T453" i="14"/>
  <c r="U453" i="14" s="1"/>
  <c r="T483" i="14"/>
  <c r="U483" i="14" s="1"/>
  <c r="T496" i="14"/>
  <c r="U496" i="14" s="1"/>
  <c r="T221" i="14"/>
  <c r="U221" i="14" s="1"/>
  <c r="T242" i="14"/>
  <c r="U242" i="14" s="1"/>
  <c r="T271" i="14"/>
  <c r="U271" i="14" s="1"/>
  <c r="T291" i="14"/>
  <c r="U291" i="14" s="1"/>
  <c r="T336" i="14"/>
  <c r="U336" i="14" s="1"/>
  <c r="T393" i="14"/>
  <c r="U393" i="14" s="1"/>
  <c r="T412" i="14"/>
  <c r="U412" i="14" s="1"/>
  <c r="T456" i="14"/>
  <c r="U456" i="14" s="1"/>
  <c r="T497" i="14"/>
  <c r="U497" i="14" s="1"/>
  <c r="T529" i="14"/>
  <c r="U529" i="14" s="1"/>
  <c r="T243" i="14"/>
  <c r="U243" i="14" s="1"/>
  <c r="T273" i="14"/>
  <c r="U273" i="14" s="1"/>
  <c r="T292" i="14"/>
  <c r="U292" i="14" s="1"/>
  <c r="T321" i="14"/>
  <c r="U321" i="14" s="1"/>
  <c r="T337" i="14"/>
  <c r="U337" i="14" s="1"/>
  <c r="T354" i="14"/>
  <c r="U354" i="14" s="1"/>
  <c r="T396" i="14"/>
  <c r="U396" i="14" s="1"/>
  <c r="T413" i="14"/>
  <c r="U413" i="14" s="1"/>
  <c r="T425" i="14"/>
  <c r="U425" i="14" s="1"/>
  <c r="T457" i="14"/>
  <c r="U457" i="14" s="1"/>
  <c r="T517" i="14"/>
  <c r="U517" i="14" s="1"/>
  <c r="T531" i="14"/>
  <c r="U531" i="14" s="1"/>
  <c r="T102" i="14"/>
  <c r="U102" i="14" s="1"/>
  <c r="T179" i="14"/>
  <c r="U179" i="14" s="1"/>
  <c r="T226" i="14"/>
  <c r="U226" i="14" s="1"/>
  <c r="T244" i="14"/>
  <c r="U244" i="14" s="1"/>
  <c r="T276" i="14"/>
  <c r="U276" i="14" s="1"/>
  <c r="T293" i="14"/>
  <c r="U293" i="14" s="1"/>
  <c r="T339" i="14"/>
  <c r="U339" i="14" s="1"/>
  <c r="T355" i="14"/>
  <c r="U355" i="14" s="1"/>
  <c r="T426" i="14"/>
  <c r="U426" i="14" s="1"/>
  <c r="T459" i="14"/>
  <c r="U459" i="14" s="1"/>
  <c r="T486" i="14"/>
  <c r="U486" i="14" s="1"/>
  <c r="T499" i="14"/>
  <c r="U499" i="14" s="1"/>
  <c r="T532" i="14"/>
  <c r="U532" i="14" s="1"/>
  <c r="T62" i="14"/>
  <c r="U62" i="14" s="1"/>
  <c r="T103" i="14"/>
  <c r="U103" i="14" s="1"/>
  <c r="T180" i="14"/>
  <c r="U180" i="14" s="1"/>
  <c r="T228" i="14"/>
  <c r="U228" i="14" s="1"/>
  <c r="T245" i="14"/>
  <c r="U245" i="14" s="1"/>
  <c r="T324" i="14"/>
  <c r="U324" i="14" s="1"/>
  <c r="T340" i="14"/>
  <c r="U340" i="14" s="1"/>
  <c r="T399" i="14"/>
  <c r="U399" i="14" s="1"/>
  <c r="T460" i="14"/>
  <c r="U460" i="14" s="1"/>
  <c r="T487" i="14"/>
  <c r="U487" i="14" s="1"/>
  <c r="T501" i="14"/>
  <c r="U501" i="14" s="1"/>
  <c r="T533" i="14"/>
  <c r="U533" i="14" s="1"/>
  <c r="T63" i="14"/>
  <c r="U63" i="14" s="1"/>
  <c r="T104" i="14"/>
  <c r="U104" i="14" s="1"/>
  <c r="T162" i="14"/>
  <c r="U162" i="14" s="1"/>
  <c r="T279" i="14"/>
  <c r="U279" i="14" s="1"/>
  <c r="T295" i="14"/>
  <c r="U295" i="14" s="1"/>
  <c r="T341" i="14"/>
  <c r="U341" i="14" s="1"/>
  <c r="T400" i="14"/>
  <c r="U400" i="14" s="1"/>
  <c r="T444" i="14"/>
  <c r="U444" i="14" s="1"/>
  <c r="T461" i="14"/>
  <c r="U461" i="14" s="1"/>
  <c r="T504" i="14"/>
  <c r="U504" i="14" s="1"/>
  <c r="T534" i="14"/>
  <c r="U534" i="14" s="1"/>
  <c r="T64" i="14"/>
  <c r="U64" i="14" s="1"/>
  <c r="T164" i="14"/>
  <c r="U164" i="14" s="1"/>
  <c r="T264" i="14"/>
  <c r="U264" i="14" s="1"/>
  <c r="T280" i="14"/>
  <c r="U280" i="14" s="1"/>
  <c r="T297" i="14"/>
  <c r="U297" i="14" s="1"/>
  <c r="T342" i="14"/>
  <c r="U342" i="14" s="1"/>
  <c r="T401" i="14"/>
  <c r="U401" i="14" s="1"/>
  <c r="T445" i="14"/>
  <c r="U445" i="14" s="1"/>
  <c r="T505" i="14"/>
  <c r="U505" i="14" s="1"/>
  <c r="T535" i="14"/>
  <c r="U535" i="14" s="1"/>
  <c r="T38" i="14"/>
  <c r="U38" i="14" s="1"/>
  <c r="T65" i="14"/>
  <c r="U65" i="14" s="1"/>
  <c r="T106" i="14"/>
  <c r="U106" i="14" s="1"/>
  <c r="T166" i="14"/>
  <c r="U166" i="14" s="1"/>
  <c r="T187" i="14"/>
  <c r="U187" i="14" s="1"/>
  <c r="T231" i="14"/>
  <c r="U231" i="14" s="1"/>
  <c r="T281" i="14"/>
  <c r="U281" i="14" s="1"/>
  <c r="T327" i="14"/>
  <c r="U327" i="14" s="1"/>
  <c r="T343" i="14"/>
  <c r="U343" i="14" s="1"/>
  <c r="T402" i="14"/>
  <c r="U402" i="14" s="1"/>
  <c r="T447" i="14"/>
  <c r="U447" i="14" s="1"/>
  <c r="T463" i="14"/>
  <c r="U463" i="14" s="1"/>
  <c r="T477" i="14"/>
  <c r="U477" i="14" s="1"/>
  <c r="T507" i="14"/>
  <c r="U507" i="14" s="1"/>
  <c r="T39" i="14"/>
  <c r="U39" i="14" s="1"/>
  <c r="T66" i="14"/>
  <c r="U66" i="14" s="1"/>
  <c r="T88" i="14"/>
  <c r="U88" i="14" s="1"/>
  <c r="T114" i="14"/>
  <c r="U114" i="14" s="1"/>
  <c r="T140" i="14"/>
  <c r="U140" i="14" s="1"/>
  <c r="T167" i="14"/>
  <c r="U167" i="14" s="1"/>
  <c r="T188" i="14"/>
  <c r="U188" i="14" s="1"/>
  <c r="T232" i="14"/>
  <c r="U232" i="14" s="1"/>
  <c r="T282" i="14"/>
  <c r="U282" i="14" s="1"/>
  <c r="T301" i="14"/>
  <c r="U301" i="14" s="1"/>
  <c r="T315" i="14"/>
  <c r="U315" i="14" s="1"/>
  <c r="T345" i="14"/>
  <c r="U345" i="14" s="1"/>
  <c r="T403" i="14"/>
  <c r="U403" i="14" s="1"/>
  <c r="T432" i="14"/>
  <c r="U432" i="14" s="1"/>
  <c r="T448" i="14"/>
  <c r="U448" i="14" s="1"/>
  <c r="T508" i="14"/>
  <c r="U508" i="14" s="1"/>
  <c r="T89" i="14"/>
  <c r="U89" i="14" s="1"/>
  <c r="T115" i="14"/>
  <c r="U115" i="14" s="1"/>
  <c r="T142" i="14"/>
  <c r="U142" i="14" s="1"/>
  <c r="T234" i="14"/>
  <c r="U234" i="14" s="1"/>
  <c r="T283" i="14"/>
  <c r="U283" i="14" s="1"/>
  <c r="T329" i="14"/>
  <c r="U329" i="14" s="1"/>
  <c r="T376" i="14"/>
  <c r="U376" i="14" s="1"/>
  <c r="T405" i="14"/>
  <c r="U405" i="14" s="1"/>
  <c r="T449" i="14"/>
  <c r="U449" i="14" s="1"/>
  <c r="T509" i="14"/>
  <c r="U509" i="14" s="1"/>
  <c r="T377" i="14"/>
  <c r="U377" i="14" s="1"/>
  <c r="T116" i="14"/>
  <c r="U116" i="14" s="1"/>
  <c r="T378" i="14"/>
  <c r="U378" i="14" s="1"/>
  <c r="T408" i="14"/>
  <c r="U408" i="14" s="1"/>
  <c r="T118" i="14"/>
  <c r="U118" i="14" s="1"/>
  <c r="T409" i="14"/>
  <c r="U409" i="14" s="1"/>
  <c r="T41" i="14"/>
  <c r="U41" i="14" s="1"/>
  <c r="T330" i="14"/>
  <c r="U330" i="14" s="1"/>
  <c r="T450" i="14"/>
  <c r="U450" i="14" s="1"/>
  <c r="T42" i="14"/>
  <c r="U42" i="14" s="1"/>
  <c r="T331" i="14"/>
  <c r="U331" i="14" s="1"/>
  <c r="T451" i="14"/>
  <c r="U451" i="14" s="1"/>
  <c r="T285" i="14"/>
  <c r="U285" i="14" s="1"/>
  <c r="T349" i="14"/>
  <c r="U349" i="14" s="1"/>
  <c r="T510" i="14"/>
  <c r="U510" i="14" s="1"/>
  <c r="T288" i="14"/>
  <c r="U288" i="14" s="1"/>
  <c r="T351" i="14"/>
  <c r="U351" i="14" s="1"/>
  <c r="T511" i="14"/>
  <c r="U511" i="14" s="1"/>
  <c r="T192" i="14"/>
  <c r="U192" i="14" s="1"/>
  <c r="T218" i="14"/>
  <c r="U218" i="14" s="1"/>
  <c r="T317" i="14"/>
  <c r="U317" i="14" s="1"/>
  <c r="T435" i="14"/>
  <c r="U435" i="14" s="1"/>
  <c r="T91" i="14"/>
  <c r="U91" i="14" s="1"/>
  <c r="T143" i="14"/>
  <c r="U143" i="14" s="1"/>
  <c r="T193" i="14"/>
  <c r="U193" i="14" s="1"/>
  <c r="T205" i="14"/>
  <c r="U205" i="14" s="1"/>
  <c r="T238" i="14"/>
  <c r="U238" i="14" s="1"/>
  <c r="T144" i="14"/>
  <c r="U144" i="14" s="1"/>
  <c r="T239" i="14"/>
  <c r="U239" i="14" s="1"/>
  <c r="Q4" i="14"/>
  <c r="V6" i="14" s="1"/>
  <c r="N29" i="14"/>
  <c r="J6" i="12"/>
  <c r="H5" i="14"/>
  <c r="BT51" i="1"/>
  <c r="BT50" i="1"/>
  <c r="BT48" i="1"/>
  <c r="BC185" i="1"/>
  <c r="BC4" i="1"/>
  <c r="AF3" i="1"/>
  <c r="AG3" i="1" s="1"/>
  <c r="AT521" i="1"/>
  <c r="BA161" i="1"/>
  <c r="AY161" i="1"/>
  <c r="BA185" i="1"/>
  <c r="AY185" i="1"/>
  <c r="BA509" i="1"/>
  <c r="AY509" i="1"/>
  <c r="AX509" i="1" a="1"/>
  <c r="AX509" i="1" s="1"/>
  <c r="AY495" i="1"/>
  <c r="BA495" i="1"/>
  <c r="BE495" i="1" s="1"/>
  <c r="BF495" i="1" s="1"/>
  <c r="Z510" i="1"/>
  <c r="BA506" i="1"/>
  <c r="BE506" i="1" s="1"/>
  <c r="BF506" i="1" s="1"/>
  <c r="AY506" i="1"/>
  <c r="BA502" i="1"/>
  <c r="BE502" i="1" s="1"/>
  <c r="BF502" i="1" s="1"/>
  <c r="AY502" i="1"/>
  <c r="BA498" i="1"/>
  <c r="BE498" i="1" s="1"/>
  <c r="BF498" i="1" s="1"/>
  <c r="AY498" i="1"/>
  <c r="AY503" i="1"/>
  <c r="BA503" i="1"/>
  <c r="BE503" i="1" s="1"/>
  <c r="BF503" i="1" s="1"/>
  <c r="AX498" i="1" a="1"/>
  <c r="AX498" i="1" s="1"/>
  <c r="BA494" i="1"/>
  <c r="BE494" i="1" s="1"/>
  <c r="BF494" i="1" s="1"/>
  <c r="AY494" i="1"/>
  <c r="AX502" i="1" a="1"/>
  <c r="AX502" i="1" s="1"/>
  <c r="BA505" i="1"/>
  <c r="BE505" i="1" s="1"/>
  <c r="BF505" i="1" s="1"/>
  <c r="AY505" i="1"/>
  <c r="AX505" i="1" a="1"/>
  <c r="AX505" i="1" s="1"/>
  <c r="AY507" i="1"/>
  <c r="BA507" i="1"/>
  <c r="BE507" i="1" s="1"/>
  <c r="BF507" i="1" s="1"/>
  <c r="AX506" i="1" a="1"/>
  <c r="AX506" i="1" s="1"/>
  <c r="BA497" i="1"/>
  <c r="BE497" i="1" s="1"/>
  <c r="BF497" i="1" s="1"/>
  <c r="AY497" i="1"/>
  <c r="AX497" i="1" a="1"/>
  <c r="AX497" i="1" s="1"/>
  <c r="BA508" i="1"/>
  <c r="BE508" i="1" s="1"/>
  <c r="BF508" i="1" s="1"/>
  <c r="AY508" i="1"/>
  <c r="BA493" i="1"/>
  <c r="BE493" i="1" s="1"/>
  <c r="BF493" i="1" s="1"/>
  <c r="AY493" i="1"/>
  <c r="AX493" i="1" a="1"/>
  <c r="AX493" i="1" s="1"/>
  <c r="BA501" i="1"/>
  <c r="BE501" i="1" s="1"/>
  <c r="BF501" i="1" s="1"/>
  <c r="AY501" i="1"/>
  <c r="AX501" i="1" a="1"/>
  <c r="AX501" i="1" s="1"/>
  <c r="AX503" i="1" a="1"/>
  <c r="AX503" i="1" s="1"/>
  <c r="AY499" i="1"/>
  <c r="BA499" i="1"/>
  <c r="BE499" i="1" s="1"/>
  <c r="BF499" i="1" s="1"/>
  <c r="AY491" i="1"/>
  <c r="BA491" i="1"/>
  <c r="BE491" i="1" s="1"/>
  <c r="BF491" i="1" s="1"/>
  <c r="AT123" i="1"/>
  <c r="AT131" i="1"/>
  <c r="AT149" i="1"/>
  <c r="AT120" i="1"/>
  <c r="AW126" i="1"/>
  <c r="AW153" i="1"/>
  <c r="AW147" i="1"/>
  <c r="AW119" i="1"/>
  <c r="AW122" i="1"/>
  <c r="AW49" i="1"/>
  <c r="AW52" i="1"/>
  <c r="AW48" i="1"/>
  <c r="AW152" i="1"/>
  <c r="AW78" i="1"/>
  <c r="AW144" i="1"/>
  <c r="AW128" i="1"/>
  <c r="AW118" i="1"/>
  <c r="AW149" i="1"/>
  <c r="AW121" i="1"/>
  <c r="AW77" i="1"/>
  <c r="AW151" i="1"/>
  <c r="AW76" i="1"/>
  <c r="AW125" i="1"/>
  <c r="AW51" i="1"/>
  <c r="AW130" i="1"/>
  <c r="AW124" i="1"/>
  <c r="AW120" i="1"/>
  <c r="AW143" i="1"/>
  <c r="AW50" i="1"/>
  <c r="AW127" i="1"/>
  <c r="AW148" i="1"/>
  <c r="AW142" i="1"/>
  <c r="AW146" i="1"/>
  <c r="AW132" i="1"/>
  <c r="AW141" i="1"/>
  <c r="AW79" i="1"/>
  <c r="AW145" i="1"/>
  <c r="AW129" i="1"/>
  <c r="AW150" i="1"/>
  <c r="AW75" i="1"/>
  <c r="AW154" i="1"/>
  <c r="AT467" i="1"/>
  <c r="BC456" i="1"/>
  <c r="AR456" i="1"/>
  <c r="AS456" i="1" s="1"/>
  <c r="AU456" i="1" s="1"/>
  <c r="AC456" i="1"/>
  <c r="AE456" i="1" s="1"/>
  <c r="AJ456" i="1"/>
  <c r="AT454" i="1"/>
  <c r="AX446" i="1" a="1"/>
  <c r="AX446" i="1" s="1"/>
  <c r="AW446" i="1"/>
  <c r="AT453" i="1"/>
  <c r="BE452" i="1"/>
  <c r="BF452" i="1" s="1"/>
  <c r="AT447" i="1"/>
  <c r="AT444" i="1"/>
  <c r="AX436" i="1" a="1"/>
  <c r="AX436" i="1" s="1"/>
  <c r="AW436" i="1"/>
  <c r="AX455" i="1" a="1"/>
  <c r="AX455" i="1" s="1"/>
  <c r="AW455" i="1"/>
  <c r="AT443" i="1"/>
  <c r="AT441" i="1"/>
  <c r="AT449" i="1"/>
  <c r="AX440" i="1" a="1"/>
  <c r="AX440" i="1" s="1"/>
  <c r="AW440" i="1"/>
  <c r="AF456" i="1"/>
  <c r="AG456" i="1" s="1"/>
  <c r="AN456" i="1" s="1"/>
  <c r="AT442" i="1"/>
  <c r="AT385" i="1"/>
  <c r="AT392" i="1"/>
  <c r="AT398" i="1"/>
  <c r="AT416" i="1"/>
  <c r="AT393" i="1"/>
  <c r="AT404" i="1"/>
  <c r="AT386" i="1"/>
  <c r="AT387" i="1"/>
  <c r="AR405" i="1"/>
  <c r="AS405" i="1" s="1"/>
  <c r="AU405" i="1" s="1"/>
  <c r="AJ405" i="1"/>
  <c r="BC405" i="1"/>
  <c r="AF405" i="1"/>
  <c r="AG405" i="1" s="1"/>
  <c r="AN405" i="1" s="1"/>
  <c r="AC405" i="1"/>
  <c r="AE405" i="1" s="1"/>
  <c r="AT401" i="1"/>
  <c r="AT388" i="1"/>
  <c r="AT399" i="1"/>
  <c r="AT395" i="1"/>
  <c r="BE389" i="1"/>
  <c r="BF389" i="1" s="1"/>
  <c r="AT390" i="1"/>
  <c r="AT327" i="1"/>
  <c r="Z347" i="1"/>
  <c r="BE344" i="1"/>
  <c r="BF344" i="1" s="1"/>
  <c r="AT345" i="1"/>
  <c r="AT338" i="1"/>
  <c r="AT341" i="1"/>
  <c r="AT358" i="1"/>
  <c r="AT331" i="1"/>
  <c r="AT336" i="1"/>
  <c r="AT329" i="1"/>
  <c r="AT305" i="1"/>
  <c r="AT284" i="1"/>
  <c r="AT279" i="1"/>
  <c r="AT277" i="1"/>
  <c r="AT289" i="1"/>
  <c r="AT276" i="1"/>
  <c r="AT275" i="1"/>
  <c r="AT282" i="1"/>
  <c r="AT288" i="1"/>
  <c r="AW292" i="1"/>
  <c r="AX292" i="1" a="1"/>
  <c r="AX292" i="1" s="1"/>
  <c r="Z294" i="1"/>
  <c r="AT285" i="1"/>
  <c r="BE291" i="1"/>
  <c r="BF291" i="1" s="1"/>
  <c r="AT232" i="1"/>
  <c r="AT226" i="1"/>
  <c r="AT236" i="1"/>
  <c r="Z241" i="1"/>
  <c r="AT229" i="1"/>
  <c r="AT228" i="1"/>
  <c r="AT225" i="1"/>
  <c r="AT237" i="1"/>
  <c r="AT231" i="1"/>
  <c r="AT252" i="1"/>
  <c r="AT238" i="1"/>
  <c r="AT230" i="1"/>
  <c r="AX221" i="1" a="1"/>
  <c r="AX221" i="1" s="1"/>
  <c r="AW221" i="1"/>
  <c r="AT215" i="1"/>
  <c r="AT220" i="1"/>
  <c r="AT217" i="1"/>
  <c r="AT219" i="1"/>
  <c r="AT212" i="1"/>
  <c r="AT271" i="1"/>
  <c r="AT324" i="1"/>
  <c r="AT270" i="1"/>
  <c r="AT322" i="1"/>
  <c r="AT326" i="1"/>
  <c r="AT435" i="1"/>
  <c r="AT434" i="1"/>
  <c r="AT321" i="1"/>
  <c r="AT433" i="1"/>
  <c r="AT269" i="1"/>
  <c r="AT272" i="1"/>
  <c r="AT268" i="1"/>
  <c r="AT273" i="1"/>
  <c r="AT325" i="1"/>
  <c r="AT432" i="1"/>
  <c r="AT323" i="1"/>
  <c r="AJ4" i="1"/>
  <c r="AR4" i="1"/>
  <c r="AS4" i="1" s="1"/>
  <c r="AU4" i="1" s="1"/>
  <c r="X48" i="1"/>
  <c r="Z46" i="1" s="1"/>
  <c r="X49" i="1"/>
  <c r="Z47" i="1" s="1"/>
  <c r="X50" i="1"/>
  <c r="Z48" i="1" s="1"/>
  <c r="W2" i="2"/>
  <c r="X51" i="1"/>
  <c r="X75" i="1"/>
  <c r="Z75" i="1" s="1"/>
  <c r="V2" i="2"/>
  <c r="X52" i="1"/>
  <c r="X76" i="1"/>
  <c r="X77" i="1"/>
  <c r="X78" i="1"/>
  <c r="X79" i="1"/>
  <c r="U2" i="2"/>
  <c r="T2" i="2"/>
  <c r="X119" i="1"/>
  <c r="X131" i="1"/>
  <c r="X143" i="1"/>
  <c r="X120" i="1"/>
  <c r="X132" i="1"/>
  <c r="X144" i="1"/>
  <c r="X121" i="1"/>
  <c r="X145" i="1"/>
  <c r="W3" i="2"/>
  <c r="X122" i="1"/>
  <c r="X146" i="1"/>
  <c r="X123" i="1"/>
  <c r="X147" i="1"/>
  <c r="X124" i="1"/>
  <c r="X148" i="1"/>
  <c r="V3" i="2"/>
  <c r="X125" i="1"/>
  <c r="X149" i="1"/>
  <c r="U3" i="2"/>
  <c r="X126" i="1"/>
  <c r="X150" i="1"/>
  <c r="X127" i="1"/>
  <c r="X151" i="1"/>
  <c r="X128" i="1"/>
  <c r="X152" i="1"/>
  <c r="X129" i="1"/>
  <c r="X141" i="1"/>
  <c r="X153" i="1"/>
  <c r="X118" i="1"/>
  <c r="X130" i="1"/>
  <c r="X142" i="1"/>
  <c r="X154" i="1"/>
  <c r="T3" i="2"/>
  <c r="T94" i="14" l="1"/>
  <c r="U94" i="14" s="1"/>
  <c r="T93" i="14"/>
  <c r="U93" i="14" s="1"/>
  <c r="T246" i="14"/>
  <c r="U246" i="14" s="1"/>
  <c r="T34" i="14"/>
  <c r="U34" i="14" s="1"/>
  <c r="T33" i="14"/>
  <c r="U33" i="14" s="1"/>
  <c r="V5" i="14" s="1"/>
  <c r="W6" i="14" s="1"/>
  <c r="T261" i="14"/>
  <c r="U261" i="14" s="1"/>
  <c r="T90" i="14"/>
  <c r="U90" i="14" s="1"/>
  <c r="T268" i="14"/>
  <c r="U268" i="14" s="1"/>
  <c r="T348" i="14"/>
  <c r="U348" i="14" s="1"/>
  <c r="T328" i="14"/>
  <c r="U328" i="14" s="1"/>
  <c r="T537" i="14"/>
  <c r="U537" i="14" s="1"/>
  <c r="T139" i="14"/>
  <c r="U139" i="14" s="1"/>
  <c r="T230" i="14"/>
  <c r="U230" i="14" s="1"/>
  <c r="T229" i="14"/>
  <c r="U229" i="14" s="1"/>
  <c r="T294" i="14"/>
  <c r="U294" i="14" s="1"/>
  <c r="T397" i="14"/>
  <c r="U397" i="14" s="1"/>
  <c r="T498" i="14"/>
  <c r="U498" i="14" s="1"/>
  <c r="T224" i="14"/>
  <c r="U224" i="14" s="1"/>
  <c r="T175" i="14"/>
  <c r="U175" i="14" s="1"/>
  <c r="T219" i="14"/>
  <c r="U219" i="14" s="1"/>
  <c r="T398" i="14"/>
  <c r="U398" i="14" s="1"/>
  <c r="T163" i="14"/>
  <c r="U163" i="14" s="1"/>
  <c r="T73" i="14"/>
  <c r="U73" i="14" s="1"/>
  <c r="T335" i="14"/>
  <c r="U335" i="14" s="1"/>
  <c r="T32" i="14"/>
  <c r="U32" i="14" s="1"/>
  <c r="T286" i="14"/>
  <c r="U286" i="14" s="1"/>
  <c r="T184" i="14"/>
  <c r="U184" i="14" s="1"/>
  <c r="T452" i="14"/>
  <c r="U452" i="14" s="1"/>
  <c r="T220" i="14"/>
  <c r="U220" i="14" s="1"/>
  <c r="T249" i="14"/>
  <c r="U249" i="14" s="1"/>
  <c r="T182" i="14"/>
  <c r="U182" i="14" s="1"/>
  <c r="T181" i="14"/>
  <c r="U181" i="14" s="1"/>
  <c r="T277" i="14"/>
  <c r="U277" i="14" s="1"/>
  <c r="T367" i="14"/>
  <c r="U367" i="14" s="1"/>
  <c r="T485" i="14"/>
  <c r="U485" i="14" s="1"/>
  <c r="T178" i="14"/>
  <c r="U178" i="14" s="1"/>
  <c r="T513" i="14"/>
  <c r="U513" i="14" s="1"/>
  <c r="T206" i="14"/>
  <c r="U206" i="14" s="1"/>
  <c r="T374" i="14"/>
  <c r="U374" i="14" s="1"/>
  <c r="T113" i="14"/>
  <c r="U113" i="14" s="1"/>
  <c r="T59" i="14"/>
  <c r="U59" i="14" s="1"/>
  <c r="T323" i="14"/>
  <c r="U323" i="14" s="1"/>
  <c r="T538" i="14"/>
  <c r="U538" i="14" s="1"/>
  <c r="T274" i="14"/>
  <c r="U274" i="14" s="1"/>
  <c r="T171" i="14"/>
  <c r="U171" i="14" s="1"/>
  <c r="T428" i="14"/>
  <c r="U428" i="14" s="1"/>
  <c r="T208" i="14"/>
  <c r="U208" i="14" s="1"/>
  <c r="T237" i="14"/>
  <c r="U237" i="14" s="1"/>
  <c r="K5" i="14"/>
  <c r="M2" i="14" s="1"/>
  <c r="AW521" i="1"/>
  <c r="BC75" i="1"/>
  <c r="BC48" i="1"/>
  <c r="BC47" i="1"/>
  <c r="BC46" i="1"/>
  <c r="Z406" i="1"/>
  <c r="AJ406" i="1" s="1"/>
  <c r="BA4" i="1"/>
  <c r="AY4" i="1"/>
  <c r="AJ510" i="1"/>
  <c r="BC510" i="1"/>
  <c r="AR510" i="1"/>
  <c r="AS510" i="1" s="1"/>
  <c r="AU510" i="1" s="1"/>
  <c r="AC510" i="1"/>
  <c r="AE510" i="1" s="1"/>
  <c r="Z511" i="1" s="1"/>
  <c r="AF510" i="1"/>
  <c r="AG510" i="1" s="1"/>
  <c r="AN510" i="1" s="1"/>
  <c r="AW131" i="1"/>
  <c r="AW123" i="1"/>
  <c r="BE335" i="1"/>
  <c r="BF335" i="1" s="1"/>
  <c r="AT450" i="1"/>
  <c r="AT438" i="1"/>
  <c r="AX444" i="1" a="1"/>
  <c r="AX444" i="1" s="1"/>
  <c r="AW444" i="1"/>
  <c r="BE446" i="1"/>
  <c r="BF446" i="1" s="1"/>
  <c r="AW467" i="1"/>
  <c r="AT451" i="1"/>
  <c r="BE436" i="1"/>
  <c r="BF436" i="1" s="1"/>
  <c r="AT437" i="1"/>
  <c r="BE454" i="1"/>
  <c r="BF454" i="1" s="1"/>
  <c r="AX454" i="1" a="1"/>
  <c r="AX454" i="1" s="1"/>
  <c r="AW454" i="1"/>
  <c r="BA456" i="1"/>
  <c r="AY456" i="1"/>
  <c r="AX447" i="1" a="1"/>
  <c r="AX447" i="1" s="1"/>
  <c r="AW447" i="1"/>
  <c r="BE441" i="1"/>
  <c r="BF441" i="1" s="1"/>
  <c r="AX441" i="1" a="1"/>
  <c r="AX441" i="1" s="1"/>
  <c r="AW441" i="1"/>
  <c r="BE449" i="1"/>
  <c r="BF449" i="1" s="1"/>
  <c r="AX449" i="1" a="1"/>
  <c r="AX449" i="1" s="1"/>
  <c r="AW449" i="1"/>
  <c r="BE443" i="1"/>
  <c r="BF443" i="1" s="1"/>
  <c r="AX443" i="1" a="1"/>
  <c r="AX443" i="1" s="1"/>
  <c r="AW443" i="1"/>
  <c r="AT445" i="1"/>
  <c r="BE442" i="1"/>
  <c r="BF442" i="1" s="1"/>
  <c r="AX442" i="1" a="1"/>
  <c r="AX442" i="1" s="1"/>
  <c r="AW442" i="1"/>
  <c r="BE453" i="1"/>
  <c r="BF453" i="1" s="1"/>
  <c r="AX453" i="1" a="1"/>
  <c r="AX453" i="1" s="1"/>
  <c r="AW453" i="1"/>
  <c r="AT439" i="1"/>
  <c r="AT448" i="1"/>
  <c r="BE440" i="1"/>
  <c r="BF440" i="1" s="1"/>
  <c r="Z457" i="1"/>
  <c r="AX399" i="1" a="1"/>
  <c r="AX399" i="1" s="1"/>
  <c r="AW399" i="1"/>
  <c r="BA405" i="1"/>
  <c r="AY405" i="1"/>
  <c r="AT394" i="1"/>
  <c r="AR406" i="1"/>
  <c r="AS406" i="1" s="1"/>
  <c r="AU406" i="1" s="1"/>
  <c r="BE387" i="1"/>
  <c r="BF387" i="1" s="1"/>
  <c r="AX387" i="1" a="1"/>
  <c r="AX387" i="1" s="1"/>
  <c r="AW387" i="1"/>
  <c r="AT396" i="1"/>
  <c r="BE393" i="1"/>
  <c r="BF393" i="1" s="1"/>
  <c r="AX393" i="1" a="1"/>
  <c r="AX393" i="1" s="1"/>
  <c r="AW393" i="1"/>
  <c r="AT397" i="1"/>
  <c r="BE385" i="1"/>
  <c r="BF385" i="1" s="1"/>
  <c r="AX385" i="1" a="1"/>
  <c r="AX385" i="1" s="1"/>
  <c r="AW385" i="1"/>
  <c r="BE388" i="1"/>
  <c r="BF388" i="1" s="1"/>
  <c r="AX388" i="1" a="1"/>
  <c r="AX388" i="1" s="1"/>
  <c r="AW388" i="1"/>
  <c r="AX390" i="1" a="1"/>
  <c r="AX390" i="1" s="1"/>
  <c r="AW390" i="1"/>
  <c r="BE390" i="1"/>
  <c r="BF390" i="1" s="1"/>
  <c r="AT391" i="1"/>
  <c r="AW416" i="1"/>
  <c r="AX401" i="1" a="1"/>
  <c r="AX401" i="1" s="1"/>
  <c r="AW401" i="1"/>
  <c r="BE398" i="1"/>
  <c r="BF398" i="1" s="1"/>
  <c r="AX398" i="1" a="1"/>
  <c r="AX398" i="1" s="1"/>
  <c r="AW398" i="1"/>
  <c r="AT400" i="1"/>
  <c r="AX395" i="1" a="1"/>
  <c r="AX395" i="1" s="1"/>
  <c r="AW395" i="1"/>
  <c r="BE386" i="1"/>
  <c r="BF386" i="1" s="1"/>
  <c r="AX386" i="1" a="1"/>
  <c r="AX386" i="1" s="1"/>
  <c r="AW386" i="1"/>
  <c r="BE392" i="1"/>
  <c r="BF392" i="1" s="1"/>
  <c r="AX392" i="1" a="1"/>
  <c r="AX392" i="1" s="1"/>
  <c r="AW392" i="1"/>
  <c r="AT402" i="1"/>
  <c r="AT403" i="1"/>
  <c r="AX404" i="1" a="1"/>
  <c r="AX404" i="1" s="1"/>
  <c r="AW404" i="1"/>
  <c r="AX345" i="1" a="1"/>
  <c r="AX345" i="1" s="1"/>
  <c r="AW345" i="1"/>
  <c r="AT328" i="1"/>
  <c r="AT342" i="1"/>
  <c r="BE341" i="1"/>
  <c r="BF341" i="1" s="1"/>
  <c r="AT332" i="1"/>
  <c r="AX327" i="1" a="1"/>
  <c r="AX327" i="1" s="1"/>
  <c r="AW327" i="1"/>
  <c r="AT339" i="1"/>
  <c r="AX329" i="1" a="1"/>
  <c r="AX329" i="1" s="1"/>
  <c r="AW329" i="1"/>
  <c r="AX338" i="1" a="1"/>
  <c r="AX338" i="1" s="1"/>
  <c r="AW338" i="1"/>
  <c r="AJ347" i="1"/>
  <c r="BC347" i="1"/>
  <c r="AC347" i="1"/>
  <c r="AE347" i="1" s="1"/>
  <c r="AR347" i="1"/>
  <c r="AS347" i="1" s="1"/>
  <c r="AU347" i="1" s="1"/>
  <c r="AF347" i="1"/>
  <c r="AG347" i="1" s="1"/>
  <c r="AN347" i="1" s="1"/>
  <c r="AT333" i="1"/>
  <c r="AT330" i="1"/>
  <c r="AT340" i="1"/>
  <c r="AT346" i="1"/>
  <c r="AW336" i="1"/>
  <c r="AX336" i="1" a="1"/>
  <c r="AX336" i="1" s="1"/>
  <c r="AT343" i="1"/>
  <c r="AX331" i="1" a="1"/>
  <c r="AX331" i="1" s="1"/>
  <c r="AW331" i="1"/>
  <c r="AW341" i="1"/>
  <c r="AX341" i="1" a="1"/>
  <c r="AX341" i="1" s="1"/>
  <c r="AT334" i="1"/>
  <c r="AT337" i="1"/>
  <c r="AW358" i="1"/>
  <c r="AT293" i="1"/>
  <c r="BE292" i="1"/>
  <c r="BF292" i="1" s="1"/>
  <c r="AX289" i="1" a="1"/>
  <c r="AX289" i="1" s="1"/>
  <c r="AW289" i="1"/>
  <c r="AX282" i="1" a="1"/>
  <c r="AX282" i="1" s="1"/>
  <c r="AW282" i="1"/>
  <c r="BE275" i="1"/>
  <c r="BF275" i="1" s="1"/>
  <c r="AX275" i="1" a="1"/>
  <c r="AX275" i="1" s="1"/>
  <c r="AW275" i="1"/>
  <c r="BE282" i="1"/>
  <c r="BF282" i="1" s="1"/>
  <c r="AT283" i="1"/>
  <c r="AT290" i="1"/>
  <c r="AJ294" i="1"/>
  <c r="AR294" i="1"/>
  <c r="AS294" i="1" s="1"/>
  <c r="AU294" i="1" s="1"/>
  <c r="AC294" i="1"/>
  <c r="AE294" i="1" s="1"/>
  <c r="BC294" i="1"/>
  <c r="AF294" i="1"/>
  <c r="AG294" i="1" s="1"/>
  <c r="AN294" i="1" s="1"/>
  <c r="AT278" i="1"/>
  <c r="AX284" i="1" a="1"/>
  <c r="AX284" i="1" s="1"/>
  <c r="AW284" i="1"/>
  <c r="BE284" i="1"/>
  <c r="BF284" i="1" s="1"/>
  <c r="AT287" i="1"/>
  <c r="BE288" i="1"/>
  <c r="BF288" i="1" s="1"/>
  <c r="AX288" i="1" a="1"/>
  <c r="AX288" i="1" s="1"/>
  <c r="AW288" i="1"/>
  <c r="AT286" i="1"/>
  <c r="AX277" i="1" a="1"/>
  <c r="AX277" i="1" s="1"/>
  <c r="AW277" i="1"/>
  <c r="BE277" i="1"/>
  <c r="BF277" i="1" s="1"/>
  <c r="AW305" i="1"/>
  <c r="AW285" i="1"/>
  <c r="AX285" i="1" a="1"/>
  <c r="AX285" i="1" s="1"/>
  <c r="AT280" i="1"/>
  <c r="BE279" i="1"/>
  <c r="BF279" i="1" s="1"/>
  <c r="AT281" i="1"/>
  <c r="AW279" i="1"/>
  <c r="AX279" i="1" a="1"/>
  <c r="AX279" i="1" s="1"/>
  <c r="AX276" i="1" a="1"/>
  <c r="AX276" i="1" s="1"/>
  <c r="AW276" i="1"/>
  <c r="BE276" i="1"/>
  <c r="BF276" i="1" s="1"/>
  <c r="AX226" i="1" a="1"/>
  <c r="AX226" i="1" s="1"/>
  <c r="AW226" i="1"/>
  <c r="AT240" i="1"/>
  <c r="BE238" i="1"/>
  <c r="BF238" i="1" s="1"/>
  <c r="AT239" i="1"/>
  <c r="AJ241" i="1"/>
  <c r="AC241" i="1"/>
  <c r="AE241" i="1" s="1"/>
  <c r="AR241" i="1"/>
  <c r="AS241" i="1" s="1"/>
  <c r="AU241" i="1" s="1"/>
  <c r="BC241" i="1"/>
  <c r="AF241" i="1"/>
  <c r="AG241" i="1" s="1"/>
  <c r="AN241" i="1" s="1"/>
  <c r="AT234" i="1"/>
  <c r="BE225" i="1"/>
  <c r="BF225" i="1" s="1"/>
  <c r="AX225" i="1" a="1"/>
  <c r="AX225" i="1" s="1"/>
  <c r="AW225" i="1"/>
  <c r="AT233" i="1"/>
  <c r="BE231" i="1"/>
  <c r="BF231" i="1" s="1"/>
  <c r="AX231" i="1" a="1"/>
  <c r="AX231" i="1" s="1"/>
  <c r="AW231" i="1"/>
  <c r="AT235" i="1"/>
  <c r="AX228" i="1" a="1"/>
  <c r="AX228" i="1" s="1"/>
  <c r="BE228" i="1"/>
  <c r="BF228" i="1" s="1"/>
  <c r="AW228" i="1"/>
  <c r="BE237" i="1"/>
  <c r="BF237" i="1" s="1"/>
  <c r="AX237" i="1" a="1"/>
  <c r="AX237" i="1" s="1"/>
  <c r="AW237" i="1"/>
  <c r="BE236" i="1"/>
  <c r="BF236" i="1" s="1"/>
  <c r="AX236" i="1" a="1"/>
  <c r="AX236" i="1" s="1"/>
  <c r="AW236" i="1"/>
  <c r="BE221" i="1"/>
  <c r="BF221" i="1" s="1"/>
  <c r="AT222" i="1"/>
  <c r="AW238" i="1"/>
  <c r="AX238" i="1" a="1"/>
  <c r="AX238" i="1" s="1"/>
  <c r="BE229" i="1"/>
  <c r="BF229" i="1" s="1"/>
  <c r="AX229" i="1" a="1"/>
  <c r="AX229" i="1" s="1"/>
  <c r="AW229" i="1"/>
  <c r="BE232" i="1"/>
  <c r="BF232" i="1" s="1"/>
  <c r="AX232" i="1" a="1"/>
  <c r="AX232" i="1" s="1"/>
  <c r="AW232" i="1"/>
  <c r="AT227" i="1"/>
  <c r="AT223" i="1"/>
  <c r="AT224" i="1"/>
  <c r="BE230" i="1"/>
  <c r="BF230" i="1" s="1"/>
  <c r="AX230" i="1" a="1"/>
  <c r="AX230" i="1" s="1"/>
  <c r="AW230" i="1"/>
  <c r="AW252" i="1"/>
  <c r="AX219" i="1" a="1"/>
  <c r="AX219" i="1" s="1"/>
  <c r="AW219" i="1"/>
  <c r="AT214" i="1"/>
  <c r="AX220" i="1" a="1"/>
  <c r="AX220" i="1" s="1"/>
  <c r="AW220" i="1"/>
  <c r="AX212" i="1" a="1"/>
  <c r="AX212" i="1" s="1"/>
  <c r="AW212" i="1"/>
  <c r="AX215" i="1" a="1"/>
  <c r="AX215" i="1" s="1"/>
  <c r="AW215" i="1"/>
  <c r="AT213" i="1"/>
  <c r="AT216" i="1"/>
  <c r="AT218" i="1"/>
  <c r="AX217" i="1" a="1"/>
  <c r="AX217" i="1" s="1"/>
  <c r="AW217" i="1"/>
  <c r="AW432" i="1"/>
  <c r="AW272" i="1"/>
  <c r="AW271" i="1"/>
  <c r="AW269" i="1"/>
  <c r="AW325" i="1"/>
  <c r="AW326" i="1"/>
  <c r="AW322" i="1"/>
  <c r="AW324" i="1"/>
  <c r="AW268" i="1"/>
  <c r="AW433" i="1"/>
  <c r="AW321" i="1"/>
  <c r="AW273" i="1"/>
  <c r="AW435" i="1"/>
  <c r="AW323" i="1"/>
  <c r="AW434" i="1"/>
  <c r="AW270" i="1"/>
  <c r="AR48" i="1"/>
  <c r="AS48" i="1" s="1"/>
  <c r="BD47" i="1" s="1"/>
  <c r="AJ48" i="1"/>
  <c r="Z49" i="1"/>
  <c r="Z51" i="1"/>
  <c r="AR75" i="1"/>
  <c r="AS75" i="1" s="1"/>
  <c r="BD74" i="1" s="1"/>
  <c r="AJ75" i="1"/>
  <c r="Z50" i="1"/>
  <c r="Z52" i="1"/>
  <c r="AR46" i="1"/>
  <c r="AS46" i="1" s="1"/>
  <c r="BD45" i="1" s="1"/>
  <c r="AJ46" i="1"/>
  <c r="AR47" i="1"/>
  <c r="AS47" i="1" s="1"/>
  <c r="BD46" i="1" s="1"/>
  <c r="AJ47" i="1"/>
  <c r="J7" i="12" l="1"/>
  <c r="D8" i="12"/>
  <c r="AC406" i="1"/>
  <c r="AE406" i="1" s="1"/>
  <c r="AF406" i="1"/>
  <c r="BC406" i="1"/>
  <c r="BC51" i="1"/>
  <c r="BC49" i="1"/>
  <c r="BC52" i="1"/>
  <c r="AG406" i="1"/>
  <c r="AN406" i="1" s="1"/>
  <c r="BC50" i="1"/>
  <c r="Z407" i="1"/>
  <c r="AU47" i="1"/>
  <c r="AU46" i="1"/>
  <c r="AU75" i="1"/>
  <c r="Z295" i="1"/>
  <c r="AU48" i="1"/>
  <c r="AJ511" i="1"/>
  <c r="BC511" i="1"/>
  <c r="AC511" i="1"/>
  <c r="AE511" i="1" s="1"/>
  <c r="AR511" i="1"/>
  <c r="AS511" i="1" s="1"/>
  <c r="AU511" i="1" s="1"/>
  <c r="AF511" i="1"/>
  <c r="AG511" i="1" s="1"/>
  <c r="AN511" i="1" s="1"/>
  <c r="AY510" i="1"/>
  <c r="BA510" i="1"/>
  <c r="BE285" i="1"/>
  <c r="BF285" i="1" s="1"/>
  <c r="BE336" i="1"/>
  <c r="BF336" i="1" s="1"/>
  <c r="BE327" i="1"/>
  <c r="BF327" i="1" s="1"/>
  <c r="BE331" i="1"/>
  <c r="BF331" i="1" s="1"/>
  <c r="BE338" i="1"/>
  <c r="BF338" i="1" s="1"/>
  <c r="BE395" i="1"/>
  <c r="BF395" i="1" s="1"/>
  <c r="BC457" i="1"/>
  <c r="AR457" i="1"/>
  <c r="AS457" i="1" s="1"/>
  <c r="AU457" i="1" s="1"/>
  <c r="AC457" i="1"/>
  <c r="AE457" i="1" s="1"/>
  <c r="AJ457" i="1"/>
  <c r="AF457" i="1"/>
  <c r="AG457" i="1" s="1"/>
  <c r="AN457" i="1" s="1"/>
  <c r="BE437" i="1"/>
  <c r="BF437" i="1" s="1"/>
  <c r="AX437" i="1" a="1"/>
  <c r="AX437" i="1" s="1"/>
  <c r="AW437" i="1"/>
  <c r="BE448" i="1"/>
  <c r="BF448" i="1" s="1"/>
  <c r="AX448" i="1" a="1"/>
  <c r="AX448" i="1" s="1"/>
  <c r="AW448" i="1"/>
  <c r="AX451" i="1" a="1"/>
  <c r="AX451" i="1" s="1"/>
  <c r="BE451" i="1"/>
  <c r="BF451" i="1" s="1"/>
  <c r="AW451" i="1"/>
  <c r="AW438" i="1"/>
  <c r="BE438" i="1"/>
  <c r="BF438" i="1" s="1"/>
  <c r="AX438" i="1" a="1"/>
  <c r="AX438" i="1" s="1"/>
  <c r="AX445" i="1" a="1"/>
  <c r="AX445" i="1" s="1"/>
  <c r="AW445" i="1"/>
  <c r="BE445" i="1"/>
  <c r="BF445" i="1" s="1"/>
  <c r="AX439" i="1" a="1"/>
  <c r="AX439" i="1" s="1"/>
  <c r="BE439" i="1"/>
  <c r="BF439" i="1" s="1"/>
  <c r="AW439" i="1"/>
  <c r="BE447" i="1"/>
  <c r="BF447" i="1" s="1"/>
  <c r="BE450" i="1"/>
  <c r="BF450" i="1" s="1"/>
  <c r="AX450" i="1" a="1"/>
  <c r="AX450" i="1" s="1"/>
  <c r="AW450" i="1"/>
  <c r="BE444" i="1"/>
  <c r="BF444" i="1" s="1"/>
  <c r="AX397" i="1" a="1"/>
  <c r="AX397" i="1" s="1"/>
  <c r="AW397" i="1"/>
  <c r="BE397" i="1"/>
  <c r="BF397" i="1" s="1"/>
  <c r="AX391" i="1" a="1"/>
  <c r="AX391" i="1" s="1"/>
  <c r="AW391" i="1"/>
  <c r="BE391" i="1"/>
  <c r="BF391" i="1" s="1"/>
  <c r="BE400" i="1"/>
  <c r="BF400" i="1" s="1"/>
  <c r="AX400" i="1" a="1"/>
  <c r="AX400" i="1" s="1"/>
  <c r="AW400" i="1"/>
  <c r="BA406" i="1"/>
  <c r="AY406" i="1"/>
  <c r="AX396" i="1" a="1"/>
  <c r="AX396" i="1" s="1"/>
  <c r="AW396" i="1"/>
  <c r="BE396" i="1"/>
  <c r="BF396" i="1" s="1"/>
  <c r="BE394" i="1"/>
  <c r="BF394" i="1" s="1"/>
  <c r="AX394" i="1" a="1"/>
  <c r="AX394" i="1" s="1"/>
  <c r="AW394" i="1"/>
  <c r="AX403" i="1" a="1"/>
  <c r="AX403" i="1" s="1"/>
  <c r="AW403" i="1"/>
  <c r="BE403" i="1"/>
  <c r="BF403" i="1" s="1"/>
  <c r="BE401" i="1"/>
  <c r="BF401" i="1" s="1"/>
  <c r="AX402" i="1" a="1"/>
  <c r="AX402" i="1" s="1"/>
  <c r="AW402" i="1"/>
  <c r="BE402" i="1"/>
  <c r="BF402" i="1" s="1"/>
  <c r="BE399" i="1"/>
  <c r="BF399" i="1" s="1"/>
  <c r="BA347" i="1"/>
  <c r="AY347" i="1"/>
  <c r="AX346" i="1" a="1"/>
  <c r="AX346" i="1" s="1"/>
  <c r="AW346" i="1"/>
  <c r="AX332" i="1" a="1"/>
  <c r="AX332" i="1" s="1"/>
  <c r="AW332" i="1"/>
  <c r="BE332" i="1"/>
  <c r="BF332" i="1" s="1"/>
  <c r="AX340" i="1" a="1"/>
  <c r="AX340" i="1" s="1"/>
  <c r="BE340" i="1"/>
  <c r="BF340" i="1" s="1"/>
  <c r="AW340" i="1"/>
  <c r="BE330" i="1"/>
  <c r="BF330" i="1" s="1"/>
  <c r="AX330" i="1" a="1"/>
  <c r="AX330" i="1" s="1"/>
  <c r="AW330" i="1"/>
  <c r="BE342" i="1"/>
  <c r="BF342" i="1" s="1"/>
  <c r="AX342" i="1" a="1"/>
  <c r="AX342" i="1" s="1"/>
  <c r="AW342" i="1"/>
  <c r="BE328" i="1"/>
  <c r="BF328" i="1" s="1"/>
  <c r="AX328" i="1" a="1"/>
  <c r="AX328" i="1" s="1"/>
  <c r="AW328" i="1"/>
  <c r="BE343" i="1"/>
  <c r="BF343" i="1" s="1"/>
  <c r="AW343" i="1"/>
  <c r="AX343" i="1" a="1"/>
  <c r="AX343" i="1" s="1"/>
  <c r="BE333" i="1"/>
  <c r="BF333" i="1" s="1"/>
  <c r="AX333" i="1" a="1"/>
  <c r="AX333" i="1" s="1"/>
  <c r="AW333" i="1"/>
  <c r="BE337" i="1"/>
  <c r="BF337" i="1" s="1"/>
  <c r="AX337" i="1" a="1"/>
  <c r="AX337" i="1" s="1"/>
  <c r="AW337" i="1"/>
  <c r="BE329" i="1"/>
  <c r="BF329" i="1" s="1"/>
  <c r="BE345" i="1"/>
  <c r="BF345" i="1" s="1"/>
  <c r="AW339" i="1"/>
  <c r="BE339" i="1"/>
  <c r="BF339" i="1" s="1"/>
  <c r="AX339" i="1" a="1"/>
  <c r="AX339" i="1" s="1"/>
  <c r="AX334" i="1" a="1"/>
  <c r="AX334" i="1" s="1"/>
  <c r="BE334" i="1"/>
  <c r="BF334" i="1" s="1"/>
  <c r="AW334" i="1"/>
  <c r="Z348" i="1"/>
  <c r="BE287" i="1"/>
  <c r="BF287" i="1" s="1"/>
  <c r="AX287" i="1" a="1"/>
  <c r="AX287" i="1" s="1"/>
  <c r="AW287" i="1"/>
  <c r="AX290" i="1" a="1"/>
  <c r="AX290" i="1" s="1"/>
  <c r="BE290" i="1"/>
  <c r="BF290" i="1" s="1"/>
  <c r="AW290" i="1"/>
  <c r="BE281" i="1"/>
  <c r="BF281" i="1" s="1"/>
  <c r="AX281" i="1" a="1"/>
  <c r="AX281" i="1" s="1"/>
  <c r="AW281" i="1"/>
  <c r="BE278" i="1"/>
  <c r="BF278" i="1" s="1"/>
  <c r="AX278" i="1" a="1"/>
  <c r="AX278" i="1" s="1"/>
  <c r="AW278" i="1"/>
  <c r="BE289" i="1"/>
  <c r="BF289" i="1" s="1"/>
  <c r="AW280" i="1"/>
  <c r="BE280" i="1"/>
  <c r="BF280" i="1" s="1"/>
  <c r="AX280" i="1" a="1"/>
  <c r="AX280" i="1" s="1"/>
  <c r="AW286" i="1"/>
  <c r="BE286" i="1"/>
  <c r="BF286" i="1" s="1"/>
  <c r="AX286" i="1" a="1"/>
  <c r="AX286" i="1" s="1"/>
  <c r="BE283" i="1"/>
  <c r="BF283" i="1" s="1"/>
  <c r="AX283" i="1" a="1"/>
  <c r="AX283" i="1" s="1"/>
  <c r="AW283" i="1"/>
  <c r="AY294" i="1"/>
  <c r="BA294" i="1"/>
  <c r="AW293" i="1"/>
  <c r="AX293" i="1" a="1"/>
  <c r="AX293" i="1" s="1"/>
  <c r="AY241" i="1"/>
  <c r="BA241" i="1"/>
  <c r="Z242" i="1"/>
  <c r="AW233" i="1"/>
  <c r="AX233" i="1" a="1"/>
  <c r="AX233" i="1" s="1"/>
  <c r="BE233" i="1"/>
  <c r="BF233" i="1" s="1"/>
  <c r="AW239" i="1"/>
  <c r="BE239" i="1"/>
  <c r="BF239" i="1" s="1"/>
  <c r="AX239" i="1" a="1"/>
  <c r="AX239" i="1" s="1"/>
  <c r="BE224" i="1"/>
  <c r="BF224" i="1" s="1"/>
  <c r="AX224" i="1" a="1"/>
  <c r="AX224" i="1" s="1"/>
  <c r="AW224" i="1"/>
  <c r="AX240" i="1" a="1"/>
  <c r="AX240" i="1" s="1"/>
  <c r="AW240" i="1"/>
  <c r="BE223" i="1"/>
  <c r="BF223" i="1" s="1"/>
  <c r="AX223" i="1" a="1"/>
  <c r="AX223" i="1" s="1"/>
  <c r="AW223" i="1"/>
  <c r="BE222" i="1"/>
  <c r="BF222" i="1" s="1"/>
  <c r="AX222" i="1" a="1"/>
  <c r="AX222" i="1" s="1"/>
  <c r="AW222" i="1"/>
  <c r="AX234" i="1" a="1"/>
  <c r="AX234" i="1" s="1"/>
  <c r="AW234" i="1"/>
  <c r="BE234" i="1"/>
  <c r="BF234" i="1" s="1"/>
  <c r="AW227" i="1"/>
  <c r="BE227" i="1"/>
  <c r="BF227" i="1" s="1"/>
  <c r="AX227" i="1" a="1"/>
  <c r="AX227" i="1" s="1"/>
  <c r="BE235" i="1"/>
  <c r="BF235" i="1" s="1"/>
  <c r="AX235" i="1" a="1"/>
  <c r="AX235" i="1" s="1"/>
  <c r="AW235" i="1"/>
  <c r="BE226" i="1"/>
  <c r="BF226" i="1" s="1"/>
  <c r="BE214" i="1"/>
  <c r="BF214" i="1" s="1"/>
  <c r="AX214" i="1" a="1"/>
  <c r="AX214" i="1" s="1"/>
  <c r="AW214" i="1"/>
  <c r="AX213" i="1" a="1"/>
  <c r="AX213" i="1" s="1"/>
  <c r="AW213" i="1"/>
  <c r="BE213" i="1"/>
  <c r="BF213" i="1" s="1"/>
  <c r="BE216" i="1"/>
  <c r="BF216" i="1" s="1"/>
  <c r="AX216" i="1" a="1"/>
  <c r="AX216" i="1" s="1"/>
  <c r="AW216" i="1"/>
  <c r="BE218" i="1"/>
  <c r="BF218" i="1" s="1"/>
  <c r="AX218" i="1" a="1"/>
  <c r="AX218" i="1" s="1"/>
  <c r="AW218" i="1"/>
  <c r="BE220" i="1"/>
  <c r="BF220" i="1" s="1"/>
  <c r="BE219" i="1"/>
  <c r="BF219" i="1" s="1"/>
  <c r="BE217" i="1"/>
  <c r="BF217" i="1" s="1"/>
  <c r="BE215" i="1"/>
  <c r="BF215" i="1" s="1"/>
  <c r="BE212" i="1"/>
  <c r="BF212" i="1" s="1"/>
  <c r="AR52" i="1"/>
  <c r="AS52" i="1" s="1"/>
  <c r="BD51" i="1" s="1"/>
  <c r="AJ52" i="1"/>
  <c r="AJ50" i="1"/>
  <c r="AR50" i="1"/>
  <c r="AS50" i="1" s="1"/>
  <c r="BD49" i="1" s="1"/>
  <c r="AR51" i="1"/>
  <c r="AS51" i="1" s="1"/>
  <c r="BD50" i="1" s="1"/>
  <c r="AJ51" i="1"/>
  <c r="AR49" i="1"/>
  <c r="AS49" i="1" s="1"/>
  <c r="BD48" i="1" s="1"/>
  <c r="AJ49" i="1"/>
  <c r="AF295" i="1" l="1"/>
  <c r="AG295" i="1" s="1"/>
  <c r="AN295" i="1" s="1"/>
  <c r="AC407" i="1"/>
  <c r="AE407" i="1" s="1"/>
  <c r="AF407" i="1"/>
  <c r="AG407" i="1" s="1"/>
  <c r="AN407" i="1" s="1"/>
  <c r="AR407" i="1"/>
  <c r="AS407" i="1" s="1"/>
  <c r="AU407" i="1" s="1"/>
  <c r="BA407" i="1" s="1"/>
  <c r="BC407" i="1"/>
  <c r="AJ407" i="1"/>
  <c r="AU49" i="1"/>
  <c r="BA46" i="1"/>
  <c r="BB46" i="1" s="1" a="1"/>
  <c r="BB46" i="1" s="1"/>
  <c r="AY46" i="1"/>
  <c r="AU52" i="1"/>
  <c r="AR295" i="1"/>
  <c r="AS295" i="1" s="1"/>
  <c r="AU295" i="1" s="1"/>
  <c r="AY295" i="1" s="1"/>
  <c r="AY75" i="1"/>
  <c r="BA75" i="1"/>
  <c r="AX75" i="1" a="1"/>
  <c r="AX75" i="1" s="1"/>
  <c r="AU50" i="1"/>
  <c r="AJ295" i="1"/>
  <c r="AC295" i="1"/>
  <c r="AE295" i="1" s="1"/>
  <c r="BC295" i="1"/>
  <c r="Z408" i="1"/>
  <c r="BA47" i="1"/>
  <c r="BB47" i="1" s="1" a="1"/>
  <c r="BB47" i="1" s="1"/>
  <c r="AY47" i="1"/>
  <c r="BA48" i="1"/>
  <c r="BE48" i="1" s="1"/>
  <c r="AY48" i="1"/>
  <c r="AX48" i="1" a="1"/>
  <c r="AX48" i="1" s="1"/>
  <c r="AU51" i="1"/>
  <c r="BA511" i="1"/>
  <c r="AY511" i="1"/>
  <c r="Z512" i="1"/>
  <c r="Z458" i="1"/>
  <c r="BA457" i="1"/>
  <c r="AY457" i="1"/>
  <c r="BC408" i="1"/>
  <c r="AJ348" i="1"/>
  <c r="AR348" i="1"/>
  <c r="AS348" i="1" s="1"/>
  <c r="AU348" i="1" s="1"/>
  <c r="BC348" i="1"/>
  <c r="AC348" i="1"/>
  <c r="AE348" i="1" s="1"/>
  <c r="AF348" i="1"/>
  <c r="AG348" i="1" s="1"/>
  <c r="AN348" i="1" s="1"/>
  <c r="AJ242" i="1"/>
  <c r="AR242" i="1"/>
  <c r="AS242" i="1" s="1"/>
  <c r="AU242" i="1" s="1"/>
  <c r="AF242" i="1"/>
  <c r="AG242" i="1" s="1"/>
  <c r="AN242" i="1" s="1"/>
  <c r="BC242" i="1"/>
  <c r="AC242" i="1"/>
  <c r="AE242" i="1" s="1"/>
  <c r="AY407" i="1" l="1"/>
  <c r="AC408" i="1"/>
  <c r="AE408" i="1" s="1"/>
  <c r="Z409" i="1" s="1"/>
  <c r="BA295" i="1"/>
  <c r="AR408" i="1"/>
  <c r="AS408" i="1" s="1"/>
  <c r="AU408" i="1" s="1"/>
  <c r="AY408" i="1" s="1"/>
  <c r="Z296" i="1"/>
  <c r="AR296" i="1" s="1"/>
  <c r="AS296" i="1" s="1"/>
  <c r="AU296" i="1" s="1"/>
  <c r="AQ408" i="1"/>
  <c r="AF408" i="1"/>
  <c r="AG408" i="1" s="1"/>
  <c r="AN408" i="1" s="1"/>
  <c r="BA52" i="1"/>
  <c r="AY52" i="1"/>
  <c r="AX52" i="1" a="1"/>
  <c r="AX52" i="1" s="1"/>
  <c r="Z349" i="1"/>
  <c r="AY51" i="1"/>
  <c r="BA51" i="1"/>
  <c r="BE51" i="1" s="1"/>
  <c r="AX51" i="1" a="1"/>
  <c r="AX51" i="1" s="1"/>
  <c r="Z243" i="1"/>
  <c r="AJ243" i="1" s="1"/>
  <c r="AJ408" i="1"/>
  <c r="AY50" i="1"/>
  <c r="BA50" i="1"/>
  <c r="BE50" i="1" s="1"/>
  <c r="AX50" i="1" a="1"/>
  <c r="AX50" i="1" s="1"/>
  <c r="BA49" i="1"/>
  <c r="BE49" i="1" s="1"/>
  <c r="AY49" i="1"/>
  <c r="AX49" i="1" a="1"/>
  <c r="AX49" i="1" s="1"/>
  <c r="AJ512" i="1"/>
  <c r="BC512" i="1"/>
  <c r="AR512" i="1"/>
  <c r="AS512" i="1" s="1"/>
  <c r="AU512" i="1" s="1"/>
  <c r="AC512" i="1"/>
  <c r="AE512" i="1" s="1"/>
  <c r="Z513" i="1" s="1"/>
  <c r="AF512" i="1"/>
  <c r="AG512" i="1" s="1"/>
  <c r="AN512" i="1" s="1"/>
  <c r="AC458" i="1"/>
  <c r="AE458" i="1" s="1"/>
  <c r="AR458" i="1"/>
  <c r="AS458" i="1" s="1"/>
  <c r="AU458" i="1" s="1"/>
  <c r="BC458" i="1"/>
  <c r="AJ458" i="1"/>
  <c r="AF458" i="1"/>
  <c r="AG458" i="1" s="1"/>
  <c r="AN458" i="1" s="1"/>
  <c r="AY348" i="1"/>
  <c r="BA348" i="1"/>
  <c r="AY242" i="1"/>
  <c r="BA242" i="1"/>
  <c r="AF296" i="1" l="1"/>
  <c r="BC243" i="1"/>
  <c r="AF243" i="1"/>
  <c r="AR243" i="1"/>
  <c r="AS243" i="1" s="1"/>
  <c r="AU243" i="1" s="1"/>
  <c r="AC243" i="1"/>
  <c r="AE243" i="1" s="1"/>
  <c r="BC296" i="1"/>
  <c r="BD407" i="1"/>
  <c r="BA408" i="1"/>
  <c r="AR409" i="1"/>
  <c r="AS409" i="1" s="1"/>
  <c r="AU409" i="1" s="1"/>
  <c r="BA409" i="1" s="1"/>
  <c r="AC296" i="1"/>
  <c r="AE296" i="1" s="1"/>
  <c r="Z297" i="1" s="1"/>
  <c r="BC297" i="1" s="1"/>
  <c r="AG296" i="1"/>
  <c r="AN296" i="1" s="1"/>
  <c r="AG243" i="1"/>
  <c r="AN243" i="1" s="1"/>
  <c r="AJ296" i="1"/>
  <c r="AC349" i="1"/>
  <c r="AE349" i="1" s="1"/>
  <c r="Z350" i="1" s="1"/>
  <c r="AG349" i="1"/>
  <c r="AN349" i="1" s="1"/>
  <c r="BC409" i="1"/>
  <c r="BC349" i="1"/>
  <c r="AR349" i="1"/>
  <c r="AS349" i="1" s="1"/>
  <c r="AU349" i="1" s="1"/>
  <c r="AY349" i="1" s="1"/>
  <c r="Z459" i="1"/>
  <c r="AR459" i="1" s="1"/>
  <c r="AS459" i="1" s="1"/>
  <c r="AU459" i="1" s="1"/>
  <c r="AF409" i="1"/>
  <c r="AG409" i="1" s="1"/>
  <c r="AN409" i="1" s="1"/>
  <c r="AF349" i="1"/>
  <c r="AJ409" i="1"/>
  <c r="AJ349" i="1"/>
  <c r="AC409" i="1"/>
  <c r="AE409" i="1" s="1"/>
  <c r="AJ513" i="1"/>
  <c r="AC513" i="1"/>
  <c r="AE513" i="1" s="1"/>
  <c r="BC513" i="1"/>
  <c r="AR513" i="1"/>
  <c r="AS513" i="1" s="1"/>
  <c r="AU513" i="1" s="1"/>
  <c r="AF513" i="1"/>
  <c r="AG513" i="1" s="1"/>
  <c r="AN513" i="1" s="1"/>
  <c r="BA512" i="1"/>
  <c r="AY512" i="1"/>
  <c r="BA458" i="1"/>
  <c r="AY458" i="1"/>
  <c r="AT408" i="1"/>
  <c r="BA296" i="1"/>
  <c r="AY296" i="1"/>
  <c r="Z244" i="1"/>
  <c r="BA243" i="1"/>
  <c r="AY243" i="1"/>
  <c r="AY409" i="1" l="1"/>
  <c r="AJ459" i="1"/>
  <c r="AC459" i="1"/>
  <c r="AE459" i="1" s="1"/>
  <c r="AF297" i="1"/>
  <c r="BA349" i="1"/>
  <c r="AJ297" i="1"/>
  <c r="AR297" i="1"/>
  <c r="AS297" i="1" s="1"/>
  <c r="AU297" i="1" s="1"/>
  <c r="BA297" i="1" s="1"/>
  <c r="AF459" i="1"/>
  <c r="AG459" i="1" s="1"/>
  <c r="AN459" i="1" s="1"/>
  <c r="AC297" i="1"/>
  <c r="AE297" i="1" s="1"/>
  <c r="Z298" i="1" s="1"/>
  <c r="AG297" i="1"/>
  <c r="AN297" i="1" s="1"/>
  <c r="Z410" i="1"/>
  <c r="Z460" i="1"/>
  <c r="AC460" i="1" s="1"/>
  <c r="AE460" i="1" s="1"/>
  <c r="AQ459" i="1"/>
  <c r="BC459" i="1"/>
  <c r="AQ513" i="1"/>
  <c r="AY513" i="1"/>
  <c r="BA513" i="1"/>
  <c r="Z514" i="1"/>
  <c r="AY459" i="1"/>
  <c r="BA459" i="1"/>
  <c r="AX408" i="1" a="1"/>
  <c r="AX408" i="1" s="1"/>
  <c r="AW408" i="1"/>
  <c r="BC350" i="1"/>
  <c r="AR350" i="1"/>
  <c r="AS350" i="1" s="1"/>
  <c r="AU350" i="1" s="1"/>
  <c r="AC350" i="1"/>
  <c r="AE350" i="1" s="1"/>
  <c r="Z351" i="1" s="1"/>
  <c r="AJ350" i="1"/>
  <c r="AF350" i="1"/>
  <c r="AG350" i="1" s="1"/>
  <c r="AN350" i="1" s="1"/>
  <c r="AC244" i="1"/>
  <c r="AE244" i="1" s="1"/>
  <c r="Z245" i="1" s="1"/>
  <c r="AJ244" i="1"/>
  <c r="BC244" i="1"/>
  <c r="AR244" i="1"/>
  <c r="AS244" i="1" s="1"/>
  <c r="AU244" i="1" s="1"/>
  <c r="AF244" i="1"/>
  <c r="AG244" i="1" s="1"/>
  <c r="AN244" i="1" s="1"/>
  <c r="BC460" i="1" l="1"/>
  <c r="BD458" i="1"/>
  <c r="AQ297" i="1"/>
  <c r="AF460" i="1"/>
  <c r="AR460" i="1"/>
  <c r="AS460" i="1" s="1"/>
  <c r="AU460" i="1" s="1"/>
  <c r="BA460" i="1" s="1"/>
  <c r="BD512" i="1"/>
  <c r="AF298" i="1"/>
  <c r="AR298" i="1"/>
  <c r="AS298" i="1" s="1"/>
  <c r="AU298" i="1" s="1"/>
  <c r="BA298" i="1" s="1"/>
  <c r="AC298" i="1"/>
  <c r="AE298" i="1" s="1"/>
  <c r="Z299" i="1" s="1"/>
  <c r="BC299" i="1" s="1"/>
  <c r="BC298" i="1"/>
  <c r="AJ460" i="1"/>
  <c r="AG460" i="1"/>
  <c r="AN460" i="1" s="1"/>
  <c r="AG298" i="1"/>
  <c r="AN298" i="1" s="1"/>
  <c r="AY297" i="1"/>
  <c r="AJ298" i="1"/>
  <c r="AF410" i="1"/>
  <c r="AG410" i="1" s="1"/>
  <c r="AN410" i="1" s="1"/>
  <c r="AC410" i="1"/>
  <c r="AE410" i="1" s="1"/>
  <c r="Z411" i="1" s="1"/>
  <c r="BC410" i="1"/>
  <c r="AR410" i="1"/>
  <c r="AS410" i="1" s="1"/>
  <c r="AU410" i="1" s="1"/>
  <c r="AJ410" i="1"/>
  <c r="AQ350" i="1"/>
  <c r="Z461" i="1"/>
  <c r="AQ244" i="1"/>
  <c r="AT513" i="1"/>
  <c r="AC514" i="1"/>
  <c r="AE514" i="1" s="1"/>
  <c r="Z515" i="1" s="1"/>
  <c r="AJ514" i="1"/>
  <c r="BC514" i="1"/>
  <c r="AR514" i="1"/>
  <c r="AS514" i="1" s="1"/>
  <c r="AU514" i="1" s="1"/>
  <c r="AF514" i="1"/>
  <c r="AG514" i="1" s="1"/>
  <c r="AN514" i="1" s="1"/>
  <c r="AT459" i="1"/>
  <c r="BC351" i="1"/>
  <c r="AR351" i="1"/>
  <c r="AS351" i="1" s="1"/>
  <c r="AU351" i="1" s="1"/>
  <c r="AC351" i="1"/>
  <c r="AE351" i="1" s="1"/>
  <c r="AJ351" i="1"/>
  <c r="AF351" i="1"/>
  <c r="AG351" i="1" s="1"/>
  <c r="AN351" i="1" s="1"/>
  <c r="BA350" i="1"/>
  <c r="AY350" i="1"/>
  <c r="AT297" i="1"/>
  <c r="BC245" i="1"/>
  <c r="AR245" i="1"/>
  <c r="AS245" i="1" s="1"/>
  <c r="AU245" i="1" s="1"/>
  <c r="AJ245" i="1"/>
  <c r="AC245" i="1"/>
  <c r="AE245" i="1" s="1"/>
  <c r="AF245" i="1"/>
  <c r="AG245" i="1" s="1"/>
  <c r="AN245" i="1" s="1"/>
  <c r="BA244" i="1"/>
  <c r="AY244" i="1"/>
  <c r="AY298" i="1" l="1"/>
  <c r="BD243" i="1"/>
  <c r="BD296" i="1"/>
  <c r="AY460" i="1"/>
  <c r="BD349" i="1"/>
  <c r="AF299" i="1"/>
  <c r="AJ299" i="1"/>
  <c r="AF461" i="1"/>
  <c r="AG461" i="1" s="1"/>
  <c r="AN461" i="1" s="1"/>
  <c r="AR299" i="1"/>
  <c r="AS299" i="1" s="1"/>
  <c r="AU299" i="1" s="1"/>
  <c r="BA299" i="1" s="1"/>
  <c r="AJ461" i="1"/>
  <c r="AC461" i="1"/>
  <c r="AE461" i="1" s="1"/>
  <c r="Z462" i="1" s="1"/>
  <c r="AG299" i="1"/>
  <c r="AN299" i="1" s="1"/>
  <c r="AC299" i="1"/>
  <c r="AE299" i="1" s="1"/>
  <c r="Z300" i="1" s="1"/>
  <c r="AR461" i="1"/>
  <c r="AS461" i="1" s="1"/>
  <c r="AU461" i="1" s="1"/>
  <c r="BA461" i="1" s="1"/>
  <c r="BC461" i="1"/>
  <c r="AJ411" i="1"/>
  <c r="AF411" i="1"/>
  <c r="AG411" i="1" s="1"/>
  <c r="AN411" i="1" s="1"/>
  <c r="AC411" i="1"/>
  <c r="AE411" i="1" s="1"/>
  <c r="BC411" i="1"/>
  <c r="AR411" i="1"/>
  <c r="AS411" i="1" s="1"/>
  <c r="AU411" i="1" s="1"/>
  <c r="AY410" i="1"/>
  <c r="BA410" i="1"/>
  <c r="Z352" i="1"/>
  <c r="AR515" i="1"/>
  <c r="AS515" i="1" s="1"/>
  <c r="AU515" i="1" s="1"/>
  <c r="AJ515" i="1"/>
  <c r="BC515" i="1"/>
  <c r="AC515" i="1"/>
  <c r="AE515" i="1" s="1"/>
  <c r="AF515" i="1"/>
  <c r="AG515" i="1" s="1"/>
  <c r="AN515" i="1" s="1"/>
  <c r="BA514" i="1"/>
  <c r="AY514" i="1"/>
  <c r="AX513" i="1" a="1"/>
  <c r="AX513" i="1" s="1"/>
  <c r="AW513" i="1"/>
  <c r="AX459" i="1" a="1"/>
  <c r="AX459" i="1" s="1"/>
  <c r="AW459" i="1"/>
  <c r="AT350" i="1"/>
  <c r="BA351" i="1"/>
  <c r="AY351" i="1"/>
  <c r="AW297" i="1"/>
  <c r="AX297" i="1" a="1"/>
  <c r="AX297" i="1" s="1"/>
  <c r="BA245" i="1"/>
  <c r="AY245" i="1"/>
  <c r="AT244" i="1"/>
  <c r="Z246" i="1"/>
  <c r="AY299" i="1" l="1"/>
  <c r="AJ462" i="1"/>
  <c r="AC462" i="1"/>
  <c r="AE462" i="1" s="1"/>
  <c r="Z463" i="1" s="1"/>
  <c r="BC462" i="1"/>
  <c r="AF462" i="1"/>
  <c r="AG462" i="1" s="1"/>
  <c r="AN462" i="1" s="1"/>
  <c r="AR352" i="1"/>
  <c r="AS352" i="1" s="1"/>
  <c r="AU352" i="1" s="1"/>
  <c r="BA352" i="1" s="1"/>
  <c r="BC352" i="1"/>
  <c r="AY461" i="1"/>
  <c r="AF352" i="1"/>
  <c r="AG352" i="1" s="1"/>
  <c r="AN352" i="1" s="1"/>
  <c r="AR462" i="1"/>
  <c r="AS462" i="1" s="1"/>
  <c r="AU462" i="1" s="1"/>
  <c r="BA462" i="1" s="1"/>
  <c r="AY411" i="1"/>
  <c r="BA411" i="1"/>
  <c r="Z412" i="1"/>
  <c r="AC352" i="1"/>
  <c r="AE352" i="1" s="1"/>
  <c r="AJ352" i="1"/>
  <c r="Z516" i="1"/>
  <c r="BA515" i="1"/>
  <c r="AY515" i="1"/>
  <c r="AX350" i="1" a="1"/>
  <c r="AX350" i="1" s="1"/>
  <c r="AW350" i="1"/>
  <c r="AJ300" i="1"/>
  <c r="BC300" i="1"/>
  <c r="AR300" i="1"/>
  <c r="AS300" i="1" s="1"/>
  <c r="AU300" i="1" s="1"/>
  <c r="AC300" i="1"/>
  <c r="AE300" i="1" s="1"/>
  <c r="AF300" i="1"/>
  <c r="AG300" i="1" s="1"/>
  <c r="AN300" i="1" s="1"/>
  <c r="AC246" i="1"/>
  <c r="AE246" i="1" s="1"/>
  <c r="BC246" i="1"/>
  <c r="AJ246" i="1"/>
  <c r="AR246" i="1"/>
  <c r="AS246" i="1" s="1"/>
  <c r="AU246" i="1" s="1"/>
  <c r="AF246" i="1"/>
  <c r="AG246" i="1" s="1"/>
  <c r="AN246" i="1" s="1"/>
  <c r="AX244" i="1" a="1"/>
  <c r="AX244" i="1" s="1"/>
  <c r="AW244" i="1"/>
  <c r="AY352" i="1" l="1"/>
  <c r="AY462" i="1"/>
  <c r="Z301" i="1"/>
  <c r="Z353" i="1"/>
  <c r="Z247" i="1"/>
  <c r="BC412" i="1"/>
  <c r="AC412" i="1"/>
  <c r="AE412" i="1" s="1"/>
  <c r="AJ412" i="1"/>
  <c r="AR412" i="1"/>
  <c r="AS412" i="1" s="1"/>
  <c r="AU412" i="1" s="1"/>
  <c r="AF412" i="1"/>
  <c r="AG412" i="1" s="1"/>
  <c r="AN412" i="1" s="1"/>
  <c r="AR516" i="1"/>
  <c r="AS516" i="1" s="1"/>
  <c r="AU516" i="1" s="1"/>
  <c r="BC516" i="1"/>
  <c r="AC516" i="1"/>
  <c r="AE516" i="1" s="1"/>
  <c r="AJ516" i="1"/>
  <c r="AF516" i="1"/>
  <c r="AG516" i="1" s="1"/>
  <c r="AN516" i="1" s="1"/>
  <c r="AJ463" i="1"/>
  <c r="BC463" i="1"/>
  <c r="AC463" i="1"/>
  <c r="AE463" i="1" s="1"/>
  <c r="AR463" i="1"/>
  <c r="AS463" i="1" s="1"/>
  <c r="AU463" i="1" s="1"/>
  <c r="AF463" i="1"/>
  <c r="AG463" i="1" s="1"/>
  <c r="AN463" i="1" s="1"/>
  <c r="BC301" i="1"/>
  <c r="AR301" i="1"/>
  <c r="AS301" i="1" s="1"/>
  <c r="AU301" i="1" s="1"/>
  <c r="AC301" i="1"/>
  <c r="AE301" i="1" s="1"/>
  <c r="BA300" i="1"/>
  <c r="AY300" i="1"/>
  <c r="BA246" i="1"/>
  <c r="AY246" i="1"/>
  <c r="AC247" i="1" l="1"/>
  <c r="AE247" i="1" s="1"/>
  <c r="AJ353" i="1"/>
  <c r="AJ301" i="1"/>
  <c r="AF301" i="1"/>
  <c r="AG301" i="1" s="1"/>
  <c r="AN301" i="1" s="1"/>
  <c r="BC247" i="1"/>
  <c r="AR247" i="1"/>
  <c r="AS247" i="1" s="1"/>
  <c r="AU247" i="1" s="1"/>
  <c r="BA247" i="1" s="1"/>
  <c r="AJ247" i="1"/>
  <c r="Z248" i="1"/>
  <c r="AJ248" i="1" s="1"/>
  <c r="Z464" i="1"/>
  <c r="AJ464" i="1" s="1"/>
  <c r="Z413" i="1"/>
  <c r="AF353" i="1"/>
  <c r="AG353" i="1" s="1"/>
  <c r="AN353" i="1" s="1"/>
  <c r="AC353" i="1"/>
  <c r="AE353" i="1" s="1"/>
  <c r="AR353" i="1"/>
  <c r="AS353" i="1" s="1"/>
  <c r="AU353" i="1" s="1"/>
  <c r="BA353" i="1" s="1"/>
  <c r="AF247" i="1"/>
  <c r="AG247" i="1" s="1"/>
  <c r="AN247" i="1" s="1"/>
  <c r="BC353" i="1"/>
  <c r="AY412" i="1"/>
  <c r="BA412" i="1"/>
  <c r="Z517" i="1"/>
  <c r="BA516" i="1"/>
  <c r="AY516" i="1"/>
  <c r="AY463" i="1"/>
  <c r="BA463" i="1"/>
  <c r="Z302" i="1"/>
  <c r="BA301" i="1"/>
  <c r="AY301" i="1"/>
  <c r="AC464" i="1" l="1"/>
  <c r="AE464" i="1" s="1"/>
  <c r="AY247" i="1"/>
  <c r="AR248" i="1"/>
  <c r="AS248" i="1" s="1"/>
  <c r="AU248" i="1" s="1"/>
  <c r="BA248" i="1" s="1"/>
  <c r="BC464" i="1"/>
  <c r="AF464" i="1"/>
  <c r="AG464" i="1" s="1"/>
  <c r="AN464" i="1" s="1"/>
  <c r="AR464" i="1"/>
  <c r="AS464" i="1" s="1"/>
  <c r="AU464" i="1" s="1"/>
  <c r="AY464" i="1" s="1"/>
  <c r="AY353" i="1"/>
  <c r="AF248" i="1"/>
  <c r="AG248" i="1" s="1"/>
  <c r="AN248" i="1" s="1"/>
  <c r="BC248" i="1"/>
  <c r="AC248" i="1"/>
  <c r="AE248" i="1" s="1"/>
  <c r="AC413" i="1"/>
  <c r="AE413" i="1" s="1"/>
  <c r="Z414" i="1" s="1"/>
  <c r="AF413" i="1"/>
  <c r="AG413" i="1" s="1"/>
  <c r="AN413" i="1" s="1"/>
  <c r="AR413" i="1"/>
  <c r="AS413" i="1" s="1"/>
  <c r="AU413" i="1" s="1"/>
  <c r="BC413" i="1"/>
  <c r="AJ413" i="1"/>
  <c r="Z354" i="1"/>
  <c r="AR517" i="1"/>
  <c r="AS517" i="1" s="1"/>
  <c r="AU517" i="1" s="1"/>
  <c r="BC517" i="1"/>
  <c r="AC517" i="1"/>
  <c r="AE517" i="1" s="1"/>
  <c r="AJ517" i="1"/>
  <c r="AF517" i="1"/>
  <c r="AG517" i="1" s="1"/>
  <c r="AN517" i="1" s="1"/>
  <c r="Z465" i="1"/>
  <c r="AJ302" i="1"/>
  <c r="AC302" i="1"/>
  <c r="AE302" i="1" s="1"/>
  <c r="BC302" i="1"/>
  <c r="AR302" i="1"/>
  <c r="AS302" i="1" s="1"/>
  <c r="AU302" i="1" s="1"/>
  <c r="AF302" i="1"/>
  <c r="AG302" i="1" s="1"/>
  <c r="AN302" i="1" s="1"/>
  <c r="AY248" i="1"/>
  <c r="BA464" i="1" l="1"/>
  <c r="Z249" i="1"/>
  <c r="BC249" i="1" s="1"/>
  <c r="BA413" i="1"/>
  <c r="AY413" i="1"/>
  <c r="AF249" i="1"/>
  <c r="AR354" i="1"/>
  <c r="AS354" i="1" s="1"/>
  <c r="AU354" i="1" s="1"/>
  <c r="AC354" i="1"/>
  <c r="AE354" i="1" s="1"/>
  <c r="AF354" i="1"/>
  <c r="AG354" i="1" s="1"/>
  <c r="AN354" i="1" s="1"/>
  <c r="BC354" i="1"/>
  <c r="AJ354" i="1"/>
  <c r="AJ414" i="1"/>
  <c r="AF414" i="1"/>
  <c r="AG414" i="1" s="1"/>
  <c r="AN414" i="1" s="1"/>
  <c r="BC414" i="1"/>
  <c r="AC414" i="1"/>
  <c r="AE414" i="1" s="1"/>
  <c r="Z415" i="1" s="1"/>
  <c r="AR414" i="1"/>
  <c r="AS414" i="1" s="1"/>
  <c r="AU414" i="1" s="1"/>
  <c r="Z518" i="1"/>
  <c r="BA517" i="1"/>
  <c r="AY517" i="1"/>
  <c r="AJ465" i="1"/>
  <c r="BC465" i="1"/>
  <c r="AC465" i="1"/>
  <c r="AE465" i="1" s="1"/>
  <c r="AR465" i="1"/>
  <c r="AS465" i="1" s="1"/>
  <c r="AU465" i="1" s="1"/>
  <c r="AF465" i="1"/>
  <c r="AG465" i="1" s="1"/>
  <c r="AN465" i="1" s="1"/>
  <c r="AY302" i="1"/>
  <c r="BA302" i="1"/>
  <c r="Z303" i="1"/>
  <c r="AG249" i="1" l="1"/>
  <c r="AN249" i="1" s="1"/>
  <c r="AC249" i="1"/>
  <c r="AE249" i="1" s="1"/>
  <c r="AJ249" i="1"/>
  <c r="AR249" i="1"/>
  <c r="AS249" i="1" s="1"/>
  <c r="AU249" i="1" s="1"/>
  <c r="Z355" i="1"/>
  <c r="BA414" i="1"/>
  <c r="AY414" i="1"/>
  <c r="AR415" i="1"/>
  <c r="AS415" i="1" s="1"/>
  <c r="AU415" i="1" s="1"/>
  <c r="BC415" i="1"/>
  <c r="AF415" i="1"/>
  <c r="AG415" i="1" s="1"/>
  <c r="AN415" i="1" s="1"/>
  <c r="AC415" i="1"/>
  <c r="AE415" i="1" s="1"/>
  <c r="AJ415" i="1"/>
  <c r="AY354" i="1"/>
  <c r="BA354" i="1"/>
  <c r="AJ518" i="1"/>
  <c r="AR518" i="1"/>
  <c r="AS518" i="1" s="1"/>
  <c r="AU518" i="1" s="1"/>
  <c r="BC518" i="1"/>
  <c r="AC518" i="1"/>
  <c r="AE518" i="1" s="1"/>
  <c r="Z519" i="1" s="1"/>
  <c r="AF518" i="1"/>
  <c r="AG518" i="1" s="1"/>
  <c r="AN518" i="1" s="1"/>
  <c r="AY465" i="1"/>
  <c r="BA465" i="1"/>
  <c r="Z466" i="1"/>
  <c r="AJ303" i="1"/>
  <c r="BC303" i="1"/>
  <c r="AR303" i="1"/>
  <c r="AS303" i="1" s="1"/>
  <c r="AU303" i="1" s="1"/>
  <c r="AC303" i="1"/>
  <c r="AE303" i="1" s="1"/>
  <c r="AF303" i="1"/>
  <c r="AG303" i="1" s="1"/>
  <c r="AN303" i="1" s="1"/>
  <c r="BA249" i="1" l="1"/>
  <c r="AY249" i="1"/>
  <c r="Z250" i="1"/>
  <c r="AY415" i="1"/>
  <c r="BA415" i="1"/>
  <c r="AJ355" i="1"/>
  <c r="BC355" i="1"/>
  <c r="AR355" i="1"/>
  <c r="AS355" i="1" s="1"/>
  <c r="AU355" i="1" s="1"/>
  <c r="AC355" i="1"/>
  <c r="AE355" i="1" s="1"/>
  <c r="AF355" i="1"/>
  <c r="AG355" i="1" s="1"/>
  <c r="AN355" i="1" s="1"/>
  <c r="Z416" i="1"/>
  <c r="AJ519" i="1"/>
  <c r="AR519" i="1"/>
  <c r="AS519" i="1" s="1"/>
  <c r="AU519" i="1" s="1"/>
  <c r="BC519" i="1"/>
  <c r="AC519" i="1"/>
  <c r="AE519" i="1" s="1"/>
  <c r="AF519" i="1"/>
  <c r="AG519" i="1" s="1"/>
  <c r="AN519" i="1" s="1"/>
  <c r="BA518" i="1"/>
  <c r="AY518" i="1"/>
  <c r="BC466" i="1"/>
  <c r="AC466" i="1"/>
  <c r="AE466" i="1" s="1"/>
  <c r="AR466" i="1"/>
  <c r="AS466" i="1" s="1"/>
  <c r="AU466" i="1" s="1"/>
  <c r="AJ466" i="1"/>
  <c r="AF466" i="1"/>
  <c r="AG466" i="1" s="1"/>
  <c r="AN466" i="1" s="1"/>
  <c r="BA303" i="1"/>
  <c r="AY303" i="1"/>
  <c r="Z304" i="1"/>
  <c r="AC250" i="1" l="1"/>
  <c r="AE250" i="1" s="1"/>
  <c r="BC250" i="1"/>
  <c r="AF250" i="1"/>
  <c r="AG250" i="1" s="1"/>
  <c r="AN250" i="1" s="1"/>
  <c r="AJ250" i="1"/>
  <c r="AR250" i="1"/>
  <c r="AS250" i="1" s="1"/>
  <c r="AU250" i="1" s="1"/>
  <c r="Z251" i="1"/>
  <c r="BC251" i="1" s="1"/>
  <c r="Z417" i="1"/>
  <c r="AJ416" i="1"/>
  <c r="BC416" i="1"/>
  <c r="AR416" i="1"/>
  <c r="AF416" i="1"/>
  <c r="AG416" i="1" s="1"/>
  <c r="AN416" i="1" s="1"/>
  <c r="Z356" i="1"/>
  <c r="BA355" i="1"/>
  <c r="AY355" i="1"/>
  <c r="BA519" i="1"/>
  <c r="AY519" i="1"/>
  <c r="Z520" i="1"/>
  <c r="BA466" i="1"/>
  <c r="AY466" i="1"/>
  <c r="Z467" i="1"/>
  <c r="AJ304" i="1"/>
  <c r="BC304" i="1"/>
  <c r="AR304" i="1"/>
  <c r="AS304" i="1" s="1"/>
  <c r="AU304" i="1" s="1"/>
  <c r="AF304" i="1"/>
  <c r="AG304" i="1" s="1"/>
  <c r="AN304" i="1" s="1"/>
  <c r="AC304" i="1"/>
  <c r="AE304" i="1" s="1"/>
  <c r="AS416" i="1" l="1"/>
  <c r="BD415" i="1" s="1"/>
  <c r="AF251" i="1"/>
  <c r="AG251" i="1"/>
  <c r="AN251" i="1" s="1"/>
  <c r="AR251" i="1"/>
  <c r="AS251" i="1" s="1"/>
  <c r="AU251" i="1" s="1"/>
  <c r="BA251" i="1" s="1"/>
  <c r="AC251" i="1"/>
  <c r="AE251" i="1" s="1"/>
  <c r="Z252" i="1" s="1"/>
  <c r="AJ251" i="1"/>
  <c r="AY250" i="1"/>
  <c r="BA250" i="1"/>
  <c r="BE415" i="1"/>
  <c r="AU416" i="1"/>
  <c r="AC356" i="1"/>
  <c r="AE356" i="1" s="1"/>
  <c r="Z357" i="1" s="1"/>
  <c r="AF356" i="1"/>
  <c r="AG356" i="1" s="1"/>
  <c r="AN356" i="1" s="1"/>
  <c r="AJ356" i="1"/>
  <c r="AR356" i="1"/>
  <c r="AS356" i="1" s="1"/>
  <c r="AU356" i="1" s="1"/>
  <c r="BC356" i="1"/>
  <c r="AR417" i="1"/>
  <c r="AS417" i="1" s="1"/>
  <c r="AU417" i="1" s="1"/>
  <c r="AC417" i="1"/>
  <c r="AE417" i="1" s="1"/>
  <c r="AJ417" i="1"/>
  <c r="BC417" i="1"/>
  <c r="AF417" i="1"/>
  <c r="AG417" i="1" s="1"/>
  <c r="AN417" i="1" s="1"/>
  <c r="AJ520" i="1"/>
  <c r="BC520" i="1"/>
  <c r="AR520" i="1"/>
  <c r="AS520" i="1" s="1"/>
  <c r="AU520" i="1" s="1"/>
  <c r="AC520" i="1"/>
  <c r="AE520" i="1" s="1"/>
  <c r="AF520" i="1"/>
  <c r="AG520" i="1" s="1"/>
  <c r="AN520" i="1" s="1"/>
  <c r="Z468" i="1"/>
  <c r="AJ467" i="1"/>
  <c r="AR467" i="1"/>
  <c r="AF467" i="1"/>
  <c r="AG467" i="1" s="1"/>
  <c r="AN467" i="1" s="1"/>
  <c r="BC467" i="1"/>
  <c r="BA304" i="1"/>
  <c r="AY304" i="1"/>
  <c r="Z305" i="1"/>
  <c r="AS467" i="1" l="1"/>
  <c r="BD466" i="1" s="1"/>
  <c r="AY251" i="1"/>
  <c r="AJ357" i="1"/>
  <c r="AC357" i="1"/>
  <c r="AE357" i="1" s="1"/>
  <c r="Z358" i="1" s="1"/>
  <c r="BC357" i="1"/>
  <c r="AR357" i="1"/>
  <c r="AS357" i="1" s="1"/>
  <c r="AU357" i="1" s="1"/>
  <c r="AF357" i="1"/>
  <c r="AG357" i="1" s="1"/>
  <c r="AN357" i="1" s="1"/>
  <c r="BA417" i="1"/>
  <c r="AY417" i="1"/>
  <c r="AY356" i="1"/>
  <c r="BA356" i="1"/>
  <c r="Z418" i="1"/>
  <c r="BA416" i="1"/>
  <c r="AY416" i="1"/>
  <c r="AX416" i="1" a="1"/>
  <c r="AX416" i="1" s="1"/>
  <c r="BA520" i="1"/>
  <c r="AY520" i="1"/>
  <c r="Z521" i="1"/>
  <c r="AU467" i="1"/>
  <c r="BC468" i="1"/>
  <c r="AR468" i="1"/>
  <c r="AS468" i="1" s="1"/>
  <c r="AU468" i="1" s="1"/>
  <c r="AC468" i="1"/>
  <c r="AE468" i="1" s="1"/>
  <c r="AJ468" i="1"/>
  <c r="AF468" i="1"/>
  <c r="AG468" i="1" s="1"/>
  <c r="AN468" i="1" s="1"/>
  <c r="Z306" i="1"/>
  <c r="AJ305" i="1"/>
  <c r="AF305" i="1"/>
  <c r="AG305" i="1" s="1"/>
  <c r="AN305" i="1" s="1"/>
  <c r="BC305" i="1"/>
  <c r="AR305" i="1"/>
  <c r="Z253" i="1"/>
  <c r="AR252" i="1"/>
  <c r="AJ252" i="1"/>
  <c r="AF252" i="1"/>
  <c r="AG252" i="1" s="1"/>
  <c r="AN252" i="1" s="1"/>
  <c r="BC252" i="1"/>
  <c r="AS252" i="1" l="1"/>
  <c r="BD251" i="1" s="1"/>
  <c r="AS305" i="1"/>
  <c r="BD304" i="1" s="1"/>
  <c r="AF358" i="1"/>
  <c r="AG358" i="1" s="1"/>
  <c r="AN358" i="1" s="1"/>
  <c r="AR358" i="1"/>
  <c r="Z359" i="1"/>
  <c r="AR359" i="1" s="1"/>
  <c r="AS359" i="1" s="1"/>
  <c r="AU359" i="1" s="1"/>
  <c r="BC358" i="1"/>
  <c r="AJ358" i="1"/>
  <c r="BA357" i="1"/>
  <c r="AY357" i="1"/>
  <c r="AF418" i="1"/>
  <c r="AG418" i="1" s="1"/>
  <c r="AN418" i="1" s="1"/>
  <c r="AC418" i="1"/>
  <c r="AE418" i="1" s="1"/>
  <c r="BC418" i="1"/>
  <c r="AR418" i="1"/>
  <c r="AS418" i="1" s="1"/>
  <c r="AU418" i="1" s="1"/>
  <c r="AJ418" i="1"/>
  <c r="Z469" i="1"/>
  <c r="BC521" i="1"/>
  <c r="AR521" i="1"/>
  <c r="Z522" i="1"/>
  <c r="AJ521" i="1"/>
  <c r="AF521" i="1"/>
  <c r="AG521" i="1" s="1"/>
  <c r="AN521" i="1" s="1"/>
  <c r="BA468" i="1"/>
  <c r="AY468" i="1"/>
  <c r="BA467" i="1"/>
  <c r="AY467" i="1"/>
  <c r="AX467" i="1" a="1"/>
  <c r="AX467" i="1" s="1"/>
  <c r="BE466" i="1"/>
  <c r="BF466" i="1" s="1"/>
  <c r="BC359" i="1"/>
  <c r="AU305" i="1"/>
  <c r="BE304" i="1"/>
  <c r="BF304" i="1" s="1"/>
  <c r="BC306" i="1"/>
  <c r="AR306" i="1"/>
  <c r="AS306" i="1" s="1"/>
  <c r="AU306" i="1" s="1"/>
  <c r="AJ306" i="1"/>
  <c r="AF306" i="1"/>
  <c r="AG306" i="1" s="1"/>
  <c r="AN306" i="1" s="1"/>
  <c r="AC306" i="1"/>
  <c r="AE306" i="1" s="1"/>
  <c r="AU252" i="1"/>
  <c r="BC253" i="1"/>
  <c r="AR253" i="1"/>
  <c r="AS253" i="1" s="1"/>
  <c r="AU253" i="1" s="1"/>
  <c r="AC253" i="1"/>
  <c r="AE253" i="1" s="1"/>
  <c r="AJ253" i="1"/>
  <c r="AF253" i="1"/>
  <c r="AG253" i="1" s="1"/>
  <c r="AN253" i="1" s="1"/>
  <c r="AS358" i="1" l="1"/>
  <c r="AJ359" i="1"/>
  <c r="AS521" i="1"/>
  <c r="BD520" i="1" s="1"/>
  <c r="AC359" i="1"/>
  <c r="AE359" i="1" s="1"/>
  <c r="Z360" i="1" s="1"/>
  <c r="AF359" i="1"/>
  <c r="AG359" i="1" s="1"/>
  <c r="AN359" i="1" s="1"/>
  <c r="BC469" i="1"/>
  <c r="AF469" i="1"/>
  <c r="AG469" i="1" s="1"/>
  <c r="AN469" i="1" s="1"/>
  <c r="AJ469" i="1"/>
  <c r="AC469" i="1"/>
  <c r="AE469" i="1" s="1"/>
  <c r="Z470" i="1" s="1"/>
  <c r="AR469" i="1"/>
  <c r="AS469" i="1" s="1"/>
  <c r="AU469" i="1" s="1"/>
  <c r="AY469" i="1" s="1"/>
  <c r="Z419" i="1"/>
  <c r="Z307" i="1"/>
  <c r="BC307" i="1" s="1"/>
  <c r="Z254" i="1"/>
  <c r="AY418" i="1"/>
  <c r="BA418" i="1"/>
  <c r="AR522" i="1"/>
  <c r="AS522" i="1" s="1"/>
  <c r="AU522" i="1" s="1"/>
  <c r="BC522" i="1"/>
  <c r="AC522" i="1"/>
  <c r="AE522" i="1" s="1"/>
  <c r="AJ522" i="1"/>
  <c r="AF522" i="1"/>
  <c r="AG522" i="1" s="1"/>
  <c r="AN522" i="1" s="1"/>
  <c r="AU521" i="1"/>
  <c r="BE520" i="1"/>
  <c r="BF520" i="1" s="1"/>
  <c r="BE251" i="1"/>
  <c r="BF251" i="1" s="1"/>
  <c r="BA359" i="1"/>
  <c r="AY359" i="1"/>
  <c r="BA305" i="1"/>
  <c r="AY305" i="1"/>
  <c r="AX305" i="1" a="1"/>
  <c r="AX305" i="1" s="1"/>
  <c r="BA306" i="1"/>
  <c r="AY306" i="1"/>
  <c r="BA252" i="1"/>
  <c r="AY252" i="1"/>
  <c r="AX252" i="1" a="1"/>
  <c r="AX252" i="1" s="1"/>
  <c r="BA253" i="1"/>
  <c r="AY253" i="1"/>
  <c r="BD357" i="1" l="1"/>
  <c r="BE357" i="1" s="1"/>
  <c r="AU358" i="1"/>
  <c r="AJ470" i="1"/>
  <c r="AC470" i="1"/>
  <c r="AE470" i="1" s="1"/>
  <c r="AJ254" i="1"/>
  <c r="AF307" i="1"/>
  <c r="AG307" i="1" s="1"/>
  <c r="AN307" i="1" s="1"/>
  <c r="BC360" i="1"/>
  <c r="BA469" i="1"/>
  <c r="AR307" i="1"/>
  <c r="AS307" i="1" s="1"/>
  <c r="AU307" i="1" s="1"/>
  <c r="BA307" i="1" s="1"/>
  <c r="AF360" i="1"/>
  <c r="AG360" i="1" s="1"/>
  <c r="AN360" i="1" s="1"/>
  <c r="AJ360" i="1"/>
  <c r="AJ307" i="1"/>
  <c r="AC307" i="1"/>
  <c r="AE307" i="1" s="1"/>
  <c r="Z308" i="1" s="1"/>
  <c r="AF254" i="1"/>
  <c r="AG254" i="1" s="1"/>
  <c r="AN254" i="1" s="1"/>
  <c r="AC254" i="1"/>
  <c r="AE254" i="1" s="1"/>
  <c r="AC360" i="1"/>
  <c r="AE360" i="1" s="1"/>
  <c r="Z361" i="1" s="1"/>
  <c r="AR470" i="1"/>
  <c r="AS470" i="1" s="1"/>
  <c r="AU470" i="1" s="1"/>
  <c r="BA470" i="1" s="1"/>
  <c r="AR254" i="1"/>
  <c r="AS254" i="1" s="1"/>
  <c r="AU254" i="1" s="1"/>
  <c r="BA254" i="1" s="1"/>
  <c r="BC254" i="1"/>
  <c r="AF470" i="1"/>
  <c r="AG470" i="1" s="1"/>
  <c r="AN470" i="1" s="1"/>
  <c r="AR360" i="1"/>
  <c r="AS360" i="1" s="1"/>
  <c r="AU360" i="1" s="1"/>
  <c r="BA360" i="1" s="1"/>
  <c r="BC470" i="1"/>
  <c r="Z471" i="1"/>
  <c r="AC419" i="1"/>
  <c r="AE419" i="1" s="1"/>
  <c r="Z420" i="1" s="1"/>
  <c r="AF419" i="1"/>
  <c r="AG419" i="1" s="1"/>
  <c r="AN419" i="1" s="1"/>
  <c r="BC419" i="1"/>
  <c r="AR419" i="1"/>
  <c r="AS419" i="1" s="1"/>
  <c r="AU419" i="1" s="1"/>
  <c r="AJ419" i="1"/>
  <c r="BA521" i="1"/>
  <c r="AY521" i="1"/>
  <c r="AX521" i="1" a="1"/>
  <c r="AX521" i="1" s="1"/>
  <c r="Z523" i="1"/>
  <c r="BA522" i="1"/>
  <c r="AY522" i="1"/>
  <c r="AX358" i="1" l="1" a="1"/>
  <c r="AX358" i="1" s="1"/>
  <c r="BA358" i="1"/>
  <c r="AY358" i="1"/>
  <c r="AC308" i="1"/>
  <c r="AE308" i="1" s="1"/>
  <c r="AY254" i="1"/>
  <c r="AY307" i="1"/>
  <c r="AY470" i="1"/>
  <c r="AJ471" i="1"/>
  <c r="BC361" i="1"/>
  <c r="AC361" i="1"/>
  <c r="AE361" i="1" s="1"/>
  <c r="Z362" i="1" s="1"/>
  <c r="AF361" i="1"/>
  <c r="AG361" i="1" s="1"/>
  <c r="AN361" i="1" s="1"/>
  <c r="AR361" i="1"/>
  <c r="AS361" i="1" s="1"/>
  <c r="AU361" i="1" s="1"/>
  <c r="AY361" i="1" s="1"/>
  <c r="AJ361" i="1"/>
  <c r="Z255" i="1"/>
  <c r="AJ255" i="1" s="1"/>
  <c r="AY360" i="1"/>
  <c r="AR308" i="1"/>
  <c r="AS308" i="1" s="1"/>
  <c r="AU308" i="1" s="1"/>
  <c r="BA308" i="1" s="1"/>
  <c r="BC308" i="1"/>
  <c r="AR471" i="1"/>
  <c r="AS471" i="1" s="1"/>
  <c r="AU471" i="1" s="1"/>
  <c r="BA471" i="1" s="1"/>
  <c r="BC420" i="1"/>
  <c r="AC420" i="1"/>
  <c r="AE420" i="1" s="1"/>
  <c r="Z421" i="1" s="1"/>
  <c r="AF420" i="1"/>
  <c r="AG420" i="1" s="1"/>
  <c r="AN420" i="1" s="1"/>
  <c r="AJ420" i="1"/>
  <c r="AR420" i="1"/>
  <c r="AS420" i="1" s="1"/>
  <c r="AU420" i="1" s="1"/>
  <c r="BC471" i="1"/>
  <c r="BA419" i="1"/>
  <c r="AY419" i="1"/>
  <c r="AC471" i="1"/>
  <c r="AE471" i="1" s="1"/>
  <c r="AF471" i="1"/>
  <c r="AG471" i="1" s="1"/>
  <c r="AN471" i="1" s="1"/>
  <c r="AF308" i="1"/>
  <c r="AG308" i="1" s="1"/>
  <c r="AN308" i="1" s="1"/>
  <c r="AJ308" i="1"/>
  <c r="BC523" i="1"/>
  <c r="AR523" i="1"/>
  <c r="AS523" i="1" s="1"/>
  <c r="AU523" i="1" s="1"/>
  <c r="AC523" i="1"/>
  <c r="AE523" i="1" s="1"/>
  <c r="Z524" i="1" s="1"/>
  <c r="AJ523" i="1"/>
  <c r="AF523" i="1"/>
  <c r="AG523" i="1" s="1"/>
  <c r="AN523" i="1" s="1"/>
  <c r="Z309" i="1"/>
  <c r="AF255" i="1" l="1"/>
  <c r="BA361" i="1"/>
  <c r="BC362" i="1"/>
  <c r="BC255" i="1"/>
  <c r="AG255" i="1"/>
  <c r="AN255" i="1" s="1"/>
  <c r="AC255" i="1"/>
  <c r="AE255" i="1" s="1"/>
  <c r="Z256" i="1" s="1"/>
  <c r="AR255" i="1"/>
  <c r="AS255" i="1" s="1"/>
  <c r="AU255" i="1" s="1"/>
  <c r="BA255" i="1" s="1"/>
  <c r="AJ362" i="1"/>
  <c r="AC362" i="1"/>
  <c r="AE362" i="1" s="1"/>
  <c r="Z363" i="1" s="1"/>
  <c r="AR362" i="1"/>
  <c r="AS362" i="1" s="1"/>
  <c r="AU362" i="1" s="1"/>
  <c r="AY362" i="1" s="1"/>
  <c r="AF362" i="1"/>
  <c r="AG362" i="1" s="1"/>
  <c r="AN362" i="1" s="1"/>
  <c r="AY471" i="1"/>
  <c r="AY308" i="1"/>
  <c r="AF421" i="1"/>
  <c r="AG421" i="1" s="1"/>
  <c r="AN421" i="1" s="1"/>
  <c r="AC421" i="1"/>
  <c r="AE421" i="1" s="1"/>
  <c r="Z422" i="1" s="1"/>
  <c r="AR421" i="1"/>
  <c r="AS421" i="1" s="1"/>
  <c r="AU421" i="1" s="1"/>
  <c r="BC421" i="1"/>
  <c r="AJ421" i="1"/>
  <c r="BA420" i="1"/>
  <c r="AY420" i="1"/>
  <c r="Z472" i="1"/>
  <c r="AJ524" i="1"/>
  <c r="BC524" i="1"/>
  <c r="AR524" i="1"/>
  <c r="AS524" i="1" s="1"/>
  <c r="AU524" i="1" s="1"/>
  <c r="AC524" i="1"/>
  <c r="AE524" i="1" s="1"/>
  <c r="Z525" i="1" s="1"/>
  <c r="AF524" i="1"/>
  <c r="AG524" i="1" s="1"/>
  <c r="AN524" i="1" s="1"/>
  <c r="BA523" i="1"/>
  <c r="AY523" i="1"/>
  <c r="BC309" i="1"/>
  <c r="AR309" i="1"/>
  <c r="AS309" i="1" s="1"/>
  <c r="AU309" i="1" s="1"/>
  <c r="AC309" i="1"/>
  <c r="AE309" i="1" s="1"/>
  <c r="AJ309" i="1"/>
  <c r="AF309" i="1"/>
  <c r="AG309" i="1" s="1"/>
  <c r="AN309" i="1" s="1"/>
  <c r="BA362" i="1" l="1"/>
  <c r="AY255" i="1"/>
  <c r="BC422" i="1"/>
  <c r="AJ422" i="1"/>
  <c r="AR422" i="1"/>
  <c r="AS422" i="1" s="1"/>
  <c r="AU422" i="1" s="1"/>
  <c r="AF422" i="1"/>
  <c r="AG422" i="1" s="1"/>
  <c r="AN422" i="1" s="1"/>
  <c r="AC422" i="1"/>
  <c r="AE422" i="1" s="1"/>
  <c r="AJ472" i="1"/>
  <c r="BC472" i="1"/>
  <c r="AF472" i="1"/>
  <c r="AG472" i="1" s="1"/>
  <c r="AN472" i="1" s="1"/>
  <c r="AR472" i="1"/>
  <c r="AS472" i="1" s="1"/>
  <c r="AU472" i="1" s="1"/>
  <c r="AC472" i="1"/>
  <c r="AE472" i="1" s="1"/>
  <c r="Z310" i="1"/>
  <c r="BA421" i="1"/>
  <c r="AY421" i="1"/>
  <c r="AJ525" i="1"/>
  <c r="BC525" i="1"/>
  <c r="AR525" i="1"/>
  <c r="AS525" i="1" s="1"/>
  <c r="AU525" i="1" s="1"/>
  <c r="AC525" i="1"/>
  <c r="AE525" i="1" s="1"/>
  <c r="Z526" i="1" s="1"/>
  <c r="AF525" i="1"/>
  <c r="AG525" i="1" s="1"/>
  <c r="AN525" i="1" s="1"/>
  <c r="BA524" i="1"/>
  <c r="AY524" i="1"/>
  <c r="BC363" i="1"/>
  <c r="AR363" i="1"/>
  <c r="AS363" i="1" s="1"/>
  <c r="AU363" i="1" s="1"/>
  <c r="AC363" i="1"/>
  <c r="AE363" i="1" s="1"/>
  <c r="AJ363" i="1"/>
  <c r="AF363" i="1"/>
  <c r="AG363" i="1" s="1"/>
  <c r="AN363" i="1" s="1"/>
  <c r="BA309" i="1"/>
  <c r="AY309" i="1"/>
  <c r="BC256" i="1"/>
  <c r="AR256" i="1"/>
  <c r="AS256" i="1" s="1"/>
  <c r="AU256" i="1" s="1"/>
  <c r="AC256" i="1"/>
  <c r="AE256" i="1" s="1"/>
  <c r="AJ256" i="1"/>
  <c r="AF256" i="1"/>
  <c r="AG256" i="1" s="1"/>
  <c r="AN256" i="1" s="1"/>
  <c r="AR310" i="1" l="1"/>
  <c r="AS310" i="1" s="1"/>
  <c r="AU310" i="1" s="1"/>
  <c r="BA310" i="1" s="1"/>
  <c r="AF310" i="1"/>
  <c r="AG310" i="1" s="1"/>
  <c r="AN310" i="1" s="1"/>
  <c r="BC310" i="1"/>
  <c r="AJ310" i="1"/>
  <c r="AC310" i="1"/>
  <c r="AE310" i="1" s="1"/>
  <c r="Z311" i="1" s="1"/>
  <c r="Z423" i="1"/>
  <c r="AY422" i="1"/>
  <c r="BA422" i="1"/>
  <c r="Z257" i="1"/>
  <c r="BA472" i="1"/>
  <c r="AY472" i="1"/>
  <c r="Z473" i="1"/>
  <c r="AJ526" i="1"/>
  <c r="BC526" i="1"/>
  <c r="AR526" i="1"/>
  <c r="AS526" i="1" s="1"/>
  <c r="AU526" i="1" s="1"/>
  <c r="AC526" i="1"/>
  <c r="AE526" i="1" s="1"/>
  <c r="Z527" i="1" s="1"/>
  <c r="AF526" i="1"/>
  <c r="AG526" i="1" s="1"/>
  <c r="AN526" i="1" s="1"/>
  <c r="BA525" i="1"/>
  <c r="AY525" i="1"/>
  <c r="Z364" i="1"/>
  <c r="BA363" i="1"/>
  <c r="AY363" i="1"/>
  <c r="BA256" i="1"/>
  <c r="AY256" i="1"/>
  <c r="AC257" i="1" l="1"/>
  <c r="AE257" i="1" s="1"/>
  <c r="Z258" i="1" s="1"/>
  <c r="AY310" i="1"/>
  <c r="AJ311" i="1"/>
  <c r="BC311" i="1"/>
  <c r="AR311" i="1"/>
  <c r="AS311" i="1" s="1"/>
  <c r="AU311" i="1" s="1"/>
  <c r="BA311" i="1" s="1"/>
  <c r="AC311" i="1"/>
  <c r="AE311" i="1" s="1"/>
  <c r="Z312" i="1" s="1"/>
  <c r="AF311" i="1"/>
  <c r="AG311" i="1" s="1"/>
  <c r="AN311" i="1" s="1"/>
  <c r="AJ257" i="1"/>
  <c r="AF257" i="1"/>
  <c r="AG257" i="1" s="1"/>
  <c r="AN257" i="1" s="1"/>
  <c r="AF473" i="1"/>
  <c r="AG473" i="1" s="1"/>
  <c r="AN473" i="1" s="1"/>
  <c r="AC473" i="1"/>
  <c r="AE473" i="1" s="1"/>
  <c r="Z474" i="1" s="1"/>
  <c r="BC473" i="1"/>
  <c r="AR473" i="1"/>
  <c r="AS473" i="1" s="1"/>
  <c r="AU473" i="1" s="1"/>
  <c r="AJ473" i="1"/>
  <c r="AR257" i="1"/>
  <c r="AS257" i="1" s="1"/>
  <c r="AU257" i="1" s="1"/>
  <c r="BA257" i="1" s="1"/>
  <c r="AC423" i="1"/>
  <c r="AE423" i="1" s="1"/>
  <c r="AF423" i="1"/>
  <c r="AG423" i="1" s="1"/>
  <c r="AN423" i="1" s="1"/>
  <c r="BC423" i="1"/>
  <c r="AJ423" i="1"/>
  <c r="AR423" i="1"/>
  <c r="AS423" i="1" s="1"/>
  <c r="AU423" i="1" s="1"/>
  <c r="BC257" i="1"/>
  <c r="AJ527" i="1"/>
  <c r="BC527" i="1"/>
  <c r="AR527" i="1"/>
  <c r="AS527" i="1" s="1"/>
  <c r="AU527" i="1" s="1"/>
  <c r="AC527" i="1"/>
  <c r="AE527" i="1" s="1"/>
  <c r="AF527" i="1"/>
  <c r="AG527" i="1" s="1"/>
  <c r="AN527" i="1" s="1"/>
  <c r="AY526" i="1"/>
  <c r="BA526" i="1"/>
  <c r="AJ364" i="1"/>
  <c r="BC364" i="1"/>
  <c r="AR364" i="1"/>
  <c r="AS364" i="1" s="1"/>
  <c r="AU364" i="1" s="1"/>
  <c r="AC364" i="1"/>
  <c r="AE364" i="1" s="1"/>
  <c r="AF364" i="1"/>
  <c r="AG364" i="1" s="1"/>
  <c r="AN364" i="1" s="1"/>
  <c r="AJ312" i="1" l="1"/>
  <c r="AJ258" i="1"/>
  <c r="AY311" i="1"/>
  <c r="AF312" i="1"/>
  <c r="AG312" i="1" s="1"/>
  <c r="AN312" i="1" s="1"/>
  <c r="AC312" i="1"/>
  <c r="AE312" i="1" s="1"/>
  <c r="AR312" i="1"/>
  <c r="AS312" i="1" s="1"/>
  <c r="AU312" i="1" s="1"/>
  <c r="BA312" i="1" s="1"/>
  <c r="BC312" i="1"/>
  <c r="AY257" i="1"/>
  <c r="BA473" i="1"/>
  <c r="AY473" i="1"/>
  <c r="BA423" i="1"/>
  <c r="AY423" i="1"/>
  <c r="AF258" i="1"/>
  <c r="AG258" i="1" s="1"/>
  <c r="AN258" i="1" s="1"/>
  <c r="AC258" i="1"/>
  <c r="AE258" i="1" s="1"/>
  <c r="AC474" i="1"/>
  <c r="AE474" i="1" s="1"/>
  <c r="AR474" i="1"/>
  <c r="AS474" i="1" s="1"/>
  <c r="AU474" i="1" s="1"/>
  <c r="AJ474" i="1"/>
  <c r="AF474" i="1"/>
  <c r="AG474" i="1" s="1"/>
  <c r="AN474" i="1" s="1"/>
  <c r="BC474" i="1"/>
  <c r="BC258" i="1"/>
  <c r="Z424" i="1"/>
  <c r="AR258" i="1"/>
  <c r="AS258" i="1" s="1"/>
  <c r="AU258" i="1" s="1"/>
  <c r="BA258" i="1" s="1"/>
  <c r="AY527" i="1"/>
  <c r="BA527" i="1"/>
  <c r="Z528" i="1"/>
  <c r="Z365" i="1"/>
  <c r="BA364" i="1"/>
  <c r="AY364" i="1"/>
  <c r="AY312" i="1" l="1"/>
  <c r="AY258" i="1"/>
  <c r="Z313" i="1"/>
  <c r="AF424" i="1"/>
  <c r="AG424" i="1" s="1"/>
  <c r="AN424" i="1" s="1"/>
  <c r="AJ424" i="1"/>
  <c r="AR424" i="1"/>
  <c r="AS424" i="1" s="1"/>
  <c r="AU424" i="1" s="1"/>
  <c r="AC424" i="1"/>
  <c r="AE424" i="1" s="1"/>
  <c r="Z425" i="1" s="1"/>
  <c r="BC424" i="1"/>
  <c r="BA474" i="1"/>
  <c r="AY474" i="1"/>
  <c r="Z475" i="1"/>
  <c r="Z259" i="1"/>
  <c r="AJ528" i="1"/>
  <c r="BC528" i="1"/>
  <c r="AR528" i="1"/>
  <c r="AS528" i="1" s="1"/>
  <c r="AU528" i="1" s="1"/>
  <c r="AC528" i="1"/>
  <c r="AE528" i="1" s="1"/>
  <c r="AF528" i="1"/>
  <c r="AG528" i="1" s="1"/>
  <c r="AN528" i="1" s="1"/>
  <c r="AJ365" i="1"/>
  <c r="AR365" i="1"/>
  <c r="AS365" i="1" s="1"/>
  <c r="AU365" i="1" s="1"/>
  <c r="AC365" i="1"/>
  <c r="AE365" i="1" s="1"/>
  <c r="BC365" i="1"/>
  <c r="AF365" i="1"/>
  <c r="AG365" i="1" s="1"/>
  <c r="AN365" i="1" s="1"/>
  <c r="AC313" i="1" l="1"/>
  <c r="AE313" i="1" s="1"/>
  <c r="AF313" i="1"/>
  <c r="AG313" i="1" s="1"/>
  <c r="AN313" i="1" s="1"/>
  <c r="AJ313" i="1"/>
  <c r="AR313" i="1"/>
  <c r="AS313" i="1" s="1"/>
  <c r="AU313" i="1" s="1"/>
  <c r="BC313" i="1"/>
  <c r="BC425" i="1"/>
  <c r="AJ425" i="1"/>
  <c r="AC425" i="1"/>
  <c r="AE425" i="1" s="1"/>
  <c r="Z426" i="1" s="1"/>
  <c r="AR425" i="1"/>
  <c r="AS425" i="1" s="1"/>
  <c r="AU425" i="1" s="1"/>
  <c r="AF425" i="1"/>
  <c r="AG425" i="1" s="1"/>
  <c r="AN425" i="1" s="1"/>
  <c r="AJ259" i="1"/>
  <c r="BC259" i="1"/>
  <c r="AF259" i="1"/>
  <c r="AG259" i="1" s="1"/>
  <c r="AN259" i="1" s="1"/>
  <c r="AR259" i="1"/>
  <c r="AS259" i="1" s="1"/>
  <c r="AU259" i="1" s="1"/>
  <c r="AC259" i="1"/>
  <c r="AE259" i="1" s="1"/>
  <c r="AY424" i="1"/>
  <c r="BA424" i="1"/>
  <c r="AJ475" i="1"/>
  <c r="BC475" i="1"/>
  <c r="AR475" i="1"/>
  <c r="AS475" i="1" s="1"/>
  <c r="AU475" i="1" s="1"/>
  <c r="AF475" i="1"/>
  <c r="AG475" i="1" s="1"/>
  <c r="AN475" i="1" s="1"/>
  <c r="AC475" i="1"/>
  <c r="AE475" i="1" s="1"/>
  <c r="BA528" i="1"/>
  <c r="AY528" i="1"/>
  <c r="Z529" i="1"/>
  <c r="BA365" i="1"/>
  <c r="AY365" i="1"/>
  <c r="Z366" i="1"/>
  <c r="AY313" i="1" l="1"/>
  <c r="BA313" i="1"/>
  <c r="Z314" i="1"/>
  <c r="AJ426" i="1"/>
  <c r="BC426" i="1"/>
  <c r="AC426" i="1"/>
  <c r="AE426" i="1" s="1"/>
  <c r="Z427" i="1" s="1"/>
  <c r="AF426" i="1"/>
  <c r="AG426" i="1" s="1"/>
  <c r="AN426" i="1" s="1"/>
  <c r="AR426" i="1"/>
  <c r="AS426" i="1" s="1"/>
  <c r="AU426" i="1" s="1"/>
  <c r="BA259" i="1"/>
  <c r="AY259" i="1"/>
  <c r="AY475" i="1"/>
  <c r="BA475" i="1"/>
  <c r="Z476" i="1"/>
  <c r="AY425" i="1"/>
  <c r="BA425" i="1"/>
  <c r="Z260" i="1"/>
  <c r="AJ529" i="1"/>
  <c r="AR529" i="1"/>
  <c r="AS529" i="1" s="1"/>
  <c r="AU529" i="1" s="1"/>
  <c r="AC529" i="1"/>
  <c r="AE529" i="1" s="1"/>
  <c r="Z530" i="1" s="1"/>
  <c r="BC529" i="1"/>
  <c r="AF529" i="1"/>
  <c r="AG529" i="1" s="1"/>
  <c r="AN529" i="1" s="1"/>
  <c r="AJ366" i="1"/>
  <c r="AR366" i="1"/>
  <c r="AS366" i="1" s="1"/>
  <c r="AU366" i="1" s="1"/>
  <c r="AC366" i="1"/>
  <c r="AE366" i="1" s="1"/>
  <c r="BC366" i="1"/>
  <c r="AF366" i="1"/>
  <c r="AG366" i="1" s="1"/>
  <c r="AN366" i="1" s="1"/>
  <c r="BC427" i="1" l="1"/>
  <c r="AJ427" i="1"/>
  <c r="AL427" i="1" s="1"/>
  <c r="AR314" i="1"/>
  <c r="AS314" i="1" s="1"/>
  <c r="AU314" i="1" s="1"/>
  <c r="AF314" i="1"/>
  <c r="AG314" i="1" s="1"/>
  <c r="AN314" i="1" s="1"/>
  <c r="BC314" i="1"/>
  <c r="AC314" i="1"/>
  <c r="AE314" i="1" s="1"/>
  <c r="AJ314" i="1"/>
  <c r="Z367" i="1"/>
  <c r="BA426" i="1"/>
  <c r="AY426" i="1"/>
  <c r="AF427" i="1"/>
  <c r="AG427" i="1" s="1"/>
  <c r="AN427" i="1" s="1"/>
  <c r="AO427" i="1" s="1"/>
  <c r="AP427" i="1" s="1"/>
  <c r="AQ427" i="1" s="1"/>
  <c r="AF476" i="1"/>
  <c r="AG476" i="1" s="1"/>
  <c r="AN476" i="1" s="1"/>
  <c r="AJ476" i="1"/>
  <c r="AC476" i="1"/>
  <c r="AE476" i="1" s="1"/>
  <c r="BC476" i="1"/>
  <c r="AR476" i="1"/>
  <c r="AS476" i="1" s="1"/>
  <c r="AU476" i="1" s="1"/>
  <c r="AC427" i="1"/>
  <c r="AE427" i="1" s="1"/>
  <c r="AR260" i="1"/>
  <c r="AS260" i="1" s="1"/>
  <c r="AU260" i="1" s="1"/>
  <c r="AC260" i="1"/>
  <c r="AE260" i="1" s="1"/>
  <c r="Z261" i="1" s="1"/>
  <c r="AJ260" i="1"/>
  <c r="AF260" i="1"/>
  <c r="AG260" i="1" s="1"/>
  <c r="AN260" i="1" s="1"/>
  <c r="BC260" i="1"/>
  <c r="AR427" i="1"/>
  <c r="AS427" i="1" s="1"/>
  <c r="AU427" i="1" s="1"/>
  <c r="AY427" i="1" s="1"/>
  <c r="BC530" i="1"/>
  <c r="AR530" i="1"/>
  <c r="AS530" i="1" s="1"/>
  <c r="AU530" i="1" s="1"/>
  <c r="AC530" i="1"/>
  <c r="AE530" i="1" s="1"/>
  <c r="Z531" i="1" s="1"/>
  <c r="AJ530" i="1"/>
  <c r="AF530" i="1"/>
  <c r="AG530" i="1" s="1"/>
  <c r="AN530" i="1" s="1"/>
  <c r="BA529" i="1"/>
  <c r="AY529" i="1"/>
  <c r="AY366" i="1"/>
  <c r="BA366" i="1"/>
  <c r="BD426" i="1" l="1"/>
  <c r="AJ367" i="1"/>
  <c r="AC367" i="1"/>
  <c r="AE367" i="1" s="1"/>
  <c r="Z368" i="1" s="1"/>
  <c r="AF367" i="1"/>
  <c r="AG367" i="1" s="1"/>
  <c r="AN367" i="1" s="1"/>
  <c r="AR367" i="1"/>
  <c r="AS367" i="1" s="1"/>
  <c r="AU367" i="1" s="1"/>
  <c r="BC367" i="1"/>
  <c r="Z315" i="1"/>
  <c r="BA427" i="1"/>
  <c r="Z428" i="1"/>
  <c r="BA314" i="1"/>
  <c r="AY314" i="1"/>
  <c r="AC261" i="1"/>
  <c r="AE261" i="1" s="1"/>
  <c r="Z262" i="1" s="1"/>
  <c r="BC261" i="1"/>
  <c r="AJ261" i="1"/>
  <c r="AR261" i="1"/>
  <c r="AS261" i="1" s="1"/>
  <c r="AU261" i="1" s="1"/>
  <c r="AF261" i="1"/>
  <c r="AG261" i="1" s="1"/>
  <c r="AN261" i="1" s="1"/>
  <c r="BA260" i="1"/>
  <c r="AY260" i="1"/>
  <c r="Z477" i="1"/>
  <c r="AY476" i="1"/>
  <c r="BA476" i="1"/>
  <c r="BC531" i="1"/>
  <c r="AR531" i="1"/>
  <c r="AS531" i="1" s="1"/>
  <c r="AU531" i="1" s="1"/>
  <c r="AC531" i="1"/>
  <c r="AE531" i="1" s="1"/>
  <c r="Z532" i="1" s="1"/>
  <c r="AJ531" i="1"/>
  <c r="AF531" i="1"/>
  <c r="AG531" i="1" s="1"/>
  <c r="AN531" i="1" s="1"/>
  <c r="BA530" i="1"/>
  <c r="AY530" i="1"/>
  <c r="AT427" i="1"/>
  <c r="AY367" i="1"/>
  <c r="BA367" i="1"/>
  <c r="AF428" i="1" l="1"/>
  <c r="AG428" i="1"/>
  <c r="AN428" i="1" s="1"/>
  <c r="BC428" i="1"/>
  <c r="AJ428" i="1"/>
  <c r="AL428" i="1" s="1"/>
  <c r="AC428" i="1"/>
  <c r="AE428" i="1" s="1"/>
  <c r="Z429" i="1" s="1"/>
  <c r="AR428" i="1"/>
  <c r="AS428" i="1" s="1"/>
  <c r="AU428" i="1" s="1"/>
  <c r="AY428" i="1" s="1"/>
  <c r="AJ262" i="1"/>
  <c r="AC262" i="1"/>
  <c r="AE262" i="1" s="1"/>
  <c r="BC262" i="1"/>
  <c r="AF262" i="1"/>
  <c r="AG262" i="1" s="1"/>
  <c r="AN262" i="1" s="1"/>
  <c r="AR262" i="1"/>
  <c r="AS262" i="1" s="1"/>
  <c r="AU262" i="1" s="1"/>
  <c r="BA262" i="1" s="1"/>
  <c r="AR315" i="1"/>
  <c r="AS315" i="1" s="1"/>
  <c r="AU315" i="1" s="1"/>
  <c r="AJ315" i="1"/>
  <c r="AC315" i="1"/>
  <c r="AE315" i="1" s="1"/>
  <c r="Z316" i="1" s="1"/>
  <c r="BC315" i="1"/>
  <c r="AF315" i="1"/>
  <c r="AG315" i="1" s="1"/>
  <c r="AN315" i="1" s="1"/>
  <c r="BA261" i="1"/>
  <c r="AY261" i="1"/>
  <c r="AC477" i="1"/>
  <c r="AE477" i="1" s="1"/>
  <c r="AJ477" i="1"/>
  <c r="BC477" i="1"/>
  <c r="AR477" i="1"/>
  <c r="AS477" i="1" s="1"/>
  <c r="AU477" i="1" s="1"/>
  <c r="AF477" i="1"/>
  <c r="AG477" i="1" s="1"/>
  <c r="AN477" i="1" s="1"/>
  <c r="BC532" i="1"/>
  <c r="AR532" i="1"/>
  <c r="AS532" i="1" s="1"/>
  <c r="AU532" i="1" s="1"/>
  <c r="AC532" i="1"/>
  <c r="AE532" i="1" s="1"/>
  <c r="AJ532" i="1"/>
  <c r="AL532" i="1" s="1"/>
  <c r="AF532" i="1"/>
  <c r="AG532" i="1" s="1"/>
  <c r="AN532" i="1" s="1"/>
  <c r="BA531" i="1"/>
  <c r="AY531" i="1"/>
  <c r="AX427" i="1" a="1"/>
  <c r="AX427" i="1" s="1"/>
  <c r="AW427" i="1"/>
  <c r="AJ368" i="1"/>
  <c r="BC368" i="1"/>
  <c r="AC368" i="1"/>
  <c r="AE368" i="1" s="1"/>
  <c r="AR368" i="1"/>
  <c r="AS368" i="1" s="1"/>
  <c r="AU368" i="1" s="1"/>
  <c r="AF368" i="1"/>
  <c r="AG368" i="1" s="1"/>
  <c r="AN368" i="1" s="1"/>
  <c r="AO428" i="1" l="1"/>
  <c r="AP428" i="1" s="1"/>
  <c r="AQ428" i="1" s="1"/>
  <c r="AR429" i="1"/>
  <c r="AS429" i="1" s="1"/>
  <c r="AU429" i="1" s="1"/>
  <c r="AJ429" i="1"/>
  <c r="AL429" i="1" s="1"/>
  <c r="BA428" i="1"/>
  <c r="Z263" i="1"/>
  <c r="AC263" i="1" s="1"/>
  <c r="AE263" i="1" s="1"/>
  <c r="AY262" i="1"/>
  <c r="AF429" i="1"/>
  <c r="AG429" i="1" s="1"/>
  <c r="AN429" i="1" s="1"/>
  <c r="AY315" i="1"/>
  <c r="BA315" i="1"/>
  <c r="AF316" i="1"/>
  <c r="AG316" i="1" s="1"/>
  <c r="AN316" i="1" s="1"/>
  <c r="AR316" i="1"/>
  <c r="AS316" i="1" s="1"/>
  <c r="AU316" i="1" s="1"/>
  <c r="AJ316" i="1"/>
  <c r="AL316" i="1" s="1"/>
  <c r="BC316" i="1"/>
  <c r="AC316" i="1"/>
  <c r="AE316" i="1" s="1"/>
  <c r="BA477" i="1"/>
  <c r="AY477" i="1"/>
  <c r="AC429" i="1"/>
  <c r="AE429" i="1" s="1"/>
  <c r="BC429" i="1"/>
  <c r="Z478" i="1"/>
  <c r="AO532" i="1"/>
  <c r="AP532" i="1" s="1"/>
  <c r="AQ532" i="1" s="1"/>
  <c r="BA532" i="1"/>
  <c r="AY532" i="1"/>
  <c r="Z533" i="1"/>
  <c r="AT428" i="1"/>
  <c r="BA429" i="1"/>
  <c r="AY429" i="1"/>
  <c r="BA368" i="1"/>
  <c r="AY368" i="1"/>
  <c r="Z369" i="1"/>
  <c r="AJ263" i="1"/>
  <c r="AL263" i="1" s="1"/>
  <c r="AR263" i="1"/>
  <c r="AS263" i="1" s="1"/>
  <c r="AU263" i="1" s="1"/>
  <c r="BD531" i="1" l="1"/>
  <c r="AF263" i="1"/>
  <c r="BC263" i="1"/>
  <c r="BD427" i="1"/>
  <c r="BE427" i="1" s="1"/>
  <c r="BF427" i="1" s="1"/>
  <c r="AG263" i="1"/>
  <c r="AN263" i="1" s="1"/>
  <c r="AO263" i="1" s="1"/>
  <c r="AP263" i="1" s="1"/>
  <c r="AQ263" i="1" s="1"/>
  <c r="AO316" i="1"/>
  <c r="AP316" i="1" s="1"/>
  <c r="AQ316" i="1" s="1"/>
  <c r="Z317" i="1"/>
  <c r="AY316" i="1"/>
  <c r="BA316" i="1"/>
  <c r="AO429" i="1"/>
  <c r="AP429" i="1" s="1"/>
  <c r="AQ429" i="1" s="1"/>
  <c r="AJ478" i="1"/>
  <c r="AL478" i="1" s="1"/>
  <c r="AF478" i="1"/>
  <c r="AG478" i="1" s="1"/>
  <c r="AN478" i="1" s="1"/>
  <c r="BC478" i="1"/>
  <c r="AR478" i="1"/>
  <c r="AS478" i="1" s="1"/>
  <c r="AU478" i="1" s="1"/>
  <c r="AC478" i="1"/>
  <c r="AE478" i="1" s="1"/>
  <c r="Z479" i="1" s="1"/>
  <c r="AT532" i="1"/>
  <c r="BC533" i="1"/>
  <c r="AR533" i="1"/>
  <c r="AS533" i="1" s="1"/>
  <c r="AU533" i="1" s="1"/>
  <c r="AC533" i="1"/>
  <c r="AE533" i="1" s="1"/>
  <c r="AJ533" i="1"/>
  <c r="AL533" i="1" s="1"/>
  <c r="AF533" i="1"/>
  <c r="AX428" i="1" a="1"/>
  <c r="AX428" i="1" s="1"/>
  <c r="AW428" i="1"/>
  <c r="AJ369" i="1"/>
  <c r="AL369" i="1" s="1"/>
  <c r="AC369" i="1"/>
  <c r="AE369" i="1" s="1"/>
  <c r="AR369" i="1"/>
  <c r="AS369" i="1" s="1"/>
  <c r="AU369" i="1" s="1"/>
  <c r="AF369" i="1"/>
  <c r="AG369" i="1" s="1"/>
  <c r="AN369" i="1" s="1"/>
  <c r="BC369" i="1"/>
  <c r="BA263" i="1"/>
  <c r="AY263" i="1"/>
  <c r="Z264" i="1"/>
  <c r="BD262" i="1" l="1"/>
  <c r="BD315" i="1"/>
  <c r="AG533" i="1"/>
  <c r="AN533" i="1" s="1"/>
  <c r="AT429" i="1"/>
  <c r="BD428" i="1"/>
  <c r="BE428" i="1" s="1"/>
  <c r="BF428" i="1" s="1"/>
  <c r="AR317" i="1"/>
  <c r="AS317" i="1" s="1"/>
  <c r="AU317" i="1" s="1"/>
  <c r="AF317" i="1"/>
  <c r="AG317" i="1" s="1"/>
  <c r="AN317" i="1" s="1"/>
  <c r="BC317" i="1"/>
  <c r="AJ317" i="1"/>
  <c r="AL317" i="1" s="1"/>
  <c r="AC317" i="1"/>
  <c r="AE317" i="1" s="1"/>
  <c r="AT316" i="1"/>
  <c r="BC479" i="1"/>
  <c r="AR479" i="1"/>
  <c r="AS479" i="1" s="1"/>
  <c r="AU479" i="1" s="1"/>
  <c r="AC479" i="1"/>
  <c r="AE479" i="1" s="1"/>
  <c r="AJ479" i="1"/>
  <c r="AL479" i="1" s="1"/>
  <c r="AF479" i="1"/>
  <c r="AG479" i="1" s="1"/>
  <c r="AN479" i="1" s="1"/>
  <c r="BA478" i="1"/>
  <c r="AY478" i="1"/>
  <c r="AO478" i="1"/>
  <c r="AP478" i="1" s="1"/>
  <c r="AQ478" i="1" s="1"/>
  <c r="AF430" i="1"/>
  <c r="AG430" i="1" s="1"/>
  <c r="AN430" i="1" s="1"/>
  <c r="AC430" i="1"/>
  <c r="AE430" i="1" s="1"/>
  <c r="AJ430" i="1"/>
  <c r="AL430" i="1" s="1"/>
  <c r="AR430" i="1"/>
  <c r="AS430" i="1" s="1"/>
  <c r="AU430" i="1" s="1"/>
  <c r="BC430" i="1"/>
  <c r="BA533" i="1"/>
  <c r="AY533" i="1"/>
  <c r="AO533" i="1"/>
  <c r="AP533" i="1" s="1"/>
  <c r="AQ533" i="1" s="1"/>
  <c r="AX532" i="1" a="1"/>
  <c r="AX532" i="1" s="1"/>
  <c r="AW532" i="1"/>
  <c r="AO369" i="1"/>
  <c r="AP369" i="1" s="1"/>
  <c r="AQ369" i="1" s="1"/>
  <c r="BA369" i="1"/>
  <c r="AY369" i="1"/>
  <c r="Z370" i="1"/>
  <c r="AT263" i="1"/>
  <c r="BC264" i="1"/>
  <c r="AR264" i="1"/>
  <c r="AS264" i="1" s="1"/>
  <c r="AU264" i="1" s="1"/>
  <c r="AC264" i="1"/>
  <c r="AE264" i="1" s="1"/>
  <c r="AJ264" i="1"/>
  <c r="AL264" i="1" s="1"/>
  <c r="AF264" i="1"/>
  <c r="AG264" i="1" s="1"/>
  <c r="AN264" i="1" s="1"/>
  <c r="BD477" i="1" l="1"/>
  <c r="BD532" i="1"/>
  <c r="AX429" i="1" a="1"/>
  <c r="AX429" i="1" s="1"/>
  <c r="BD368" i="1"/>
  <c r="AW429" i="1"/>
  <c r="AW316" i="1"/>
  <c r="AX316" i="1" a="1"/>
  <c r="AX316" i="1" s="1"/>
  <c r="AO317" i="1"/>
  <c r="AP317" i="1" s="1"/>
  <c r="AQ317" i="1" s="1"/>
  <c r="Z318" i="1"/>
  <c r="BA317" i="1"/>
  <c r="AY317" i="1"/>
  <c r="AT478" i="1"/>
  <c r="AO430" i="1"/>
  <c r="AP430" i="1" s="1"/>
  <c r="Z480" i="1"/>
  <c r="AO479" i="1"/>
  <c r="AP479" i="1" s="1"/>
  <c r="AQ479" i="1" s="1"/>
  <c r="AY479" i="1"/>
  <c r="BA479" i="1"/>
  <c r="BA430" i="1"/>
  <c r="AY430" i="1"/>
  <c r="BE532" i="1"/>
  <c r="BF532" i="1" s="1"/>
  <c r="AT533" i="1"/>
  <c r="AT369" i="1"/>
  <c r="BC370" i="1"/>
  <c r="AR370" i="1"/>
  <c r="AS370" i="1" s="1"/>
  <c r="AU370" i="1" s="1"/>
  <c r="AC370" i="1"/>
  <c r="AE370" i="1" s="1"/>
  <c r="AJ370" i="1"/>
  <c r="AL370" i="1" s="1"/>
  <c r="AF370" i="1"/>
  <c r="AG370" i="1" s="1"/>
  <c r="AN370" i="1" s="1"/>
  <c r="AO264" i="1"/>
  <c r="AP264" i="1" s="1"/>
  <c r="AQ264" i="1" s="1"/>
  <c r="Z265" i="1"/>
  <c r="AX263" i="1" a="1"/>
  <c r="AX263" i="1" s="1"/>
  <c r="AW263" i="1"/>
  <c r="BA264" i="1"/>
  <c r="AY264" i="1"/>
  <c r="BD263" i="1" l="1"/>
  <c r="BD478" i="1"/>
  <c r="BD316" i="1"/>
  <c r="AQ430" i="1"/>
  <c r="BC318" i="1"/>
  <c r="AR318" i="1"/>
  <c r="AS318" i="1" s="1"/>
  <c r="AU318" i="1" s="1"/>
  <c r="AC318" i="1"/>
  <c r="AE318" i="1" s="1"/>
  <c r="AJ318" i="1"/>
  <c r="AL318" i="1" s="1"/>
  <c r="AF318" i="1"/>
  <c r="AG318" i="1" s="1"/>
  <c r="AN318" i="1" s="1"/>
  <c r="AT317" i="1"/>
  <c r="BE316" i="1"/>
  <c r="BF316" i="1" s="1"/>
  <c r="AT479" i="1"/>
  <c r="AF480" i="1"/>
  <c r="AG480" i="1" s="1"/>
  <c r="AN480" i="1" s="1"/>
  <c r="AJ480" i="1"/>
  <c r="AL480" i="1" s="1"/>
  <c r="BC480" i="1"/>
  <c r="AC480" i="1"/>
  <c r="AE480" i="1" s="1"/>
  <c r="AR480" i="1"/>
  <c r="AS480" i="1" s="1"/>
  <c r="AU480" i="1" s="1"/>
  <c r="AR431" i="1"/>
  <c r="AS431" i="1" s="1"/>
  <c r="AU431" i="1" s="1"/>
  <c r="AJ431" i="1"/>
  <c r="AL431" i="1" s="1"/>
  <c r="BC431" i="1"/>
  <c r="AC431" i="1"/>
  <c r="AE431" i="1" s="1"/>
  <c r="AF431" i="1"/>
  <c r="AG431" i="1" s="1"/>
  <c r="BE478" i="1"/>
  <c r="BF478" i="1" s="1"/>
  <c r="AW478" i="1"/>
  <c r="AX478" i="1" a="1"/>
  <c r="AX478" i="1" s="1"/>
  <c r="AW533" i="1"/>
  <c r="AX533" i="1" a="1"/>
  <c r="AX533" i="1" s="1"/>
  <c r="AO370" i="1"/>
  <c r="AP370" i="1" s="1"/>
  <c r="AQ370" i="1" s="1"/>
  <c r="BA370" i="1"/>
  <c r="AY370" i="1"/>
  <c r="Z371" i="1"/>
  <c r="AX369" i="1" a="1"/>
  <c r="AX369" i="1" s="1"/>
  <c r="AW369" i="1"/>
  <c r="AT264" i="1"/>
  <c r="BE263" i="1"/>
  <c r="BF263" i="1" s="1"/>
  <c r="BC265" i="1"/>
  <c r="AR265" i="1"/>
  <c r="AS265" i="1" s="1"/>
  <c r="AU265" i="1" s="1"/>
  <c r="AC265" i="1"/>
  <c r="AE265" i="1" s="1"/>
  <c r="AJ265" i="1"/>
  <c r="AL265" i="1" s="1"/>
  <c r="AF265" i="1"/>
  <c r="AG265" i="1" s="1"/>
  <c r="AN265" i="1" s="1"/>
  <c r="BD429" i="1" l="1"/>
  <c r="BE429" i="1" s="1"/>
  <c r="BF429" i="1" s="1"/>
  <c r="AT430" i="1"/>
  <c r="BD369" i="1"/>
  <c r="BE369" i="1" s="1"/>
  <c r="BF369" i="1" s="1"/>
  <c r="BC319" i="1"/>
  <c r="AC319" i="1"/>
  <c r="AE319" i="1" s="1"/>
  <c r="AJ319" i="1"/>
  <c r="AL319" i="1" s="1"/>
  <c r="AF319" i="1"/>
  <c r="AG319" i="1" s="1"/>
  <c r="AN319" i="1" s="1"/>
  <c r="AR319" i="1"/>
  <c r="AS319" i="1" s="1"/>
  <c r="AU319" i="1" s="1"/>
  <c r="BA319" i="1" s="1"/>
  <c r="AX317" i="1" a="1"/>
  <c r="AX317" i="1" s="1"/>
  <c r="AW317" i="1"/>
  <c r="AO318" i="1"/>
  <c r="AP318" i="1" s="1"/>
  <c r="AQ318" i="1" s="1"/>
  <c r="BA318" i="1"/>
  <c r="AY318" i="1"/>
  <c r="BA480" i="1"/>
  <c r="AY480" i="1"/>
  <c r="Z266" i="1"/>
  <c r="AO265" i="1"/>
  <c r="AP265" i="1" s="1"/>
  <c r="AQ265" i="1" s="1"/>
  <c r="Z481" i="1"/>
  <c r="AO480" i="1"/>
  <c r="AP480" i="1" s="1"/>
  <c r="AQ480" i="1" s="1"/>
  <c r="AO431" i="1"/>
  <c r="AP431" i="1" s="1"/>
  <c r="AY431" i="1"/>
  <c r="BA431" i="1"/>
  <c r="AX479" i="1" a="1"/>
  <c r="AX479" i="1" s="1"/>
  <c r="AW479" i="1"/>
  <c r="AT370" i="1"/>
  <c r="BC371" i="1"/>
  <c r="AR371" i="1"/>
  <c r="AS371" i="1" s="1"/>
  <c r="AU371" i="1" s="1"/>
  <c r="AC371" i="1"/>
  <c r="AE371" i="1" s="1"/>
  <c r="AJ371" i="1"/>
  <c r="AL371" i="1" s="1"/>
  <c r="AF371" i="1"/>
  <c r="AG371" i="1" s="1"/>
  <c r="AN371" i="1" s="1"/>
  <c r="BA265" i="1"/>
  <c r="AY265" i="1"/>
  <c r="AX264" i="1" a="1"/>
  <c r="AX264" i="1" s="1"/>
  <c r="AW264" i="1"/>
  <c r="AW430" i="1" l="1"/>
  <c r="BD317" i="1"/>
  <c r="BD264" i="1"/>
  <c r="BD479" i="1"/>
  <c r="AX430" i="1" a="1"/>
  <c r="AX430" i="1" s="1"/>
  <c r="AQ431" i="1"/>
  <c r="AR266" i="1"/>
  <c r="AS266" i="1" s="1"/>
  <c r="AU266" i="1" s="1"/>
  <c r="BA266" i="1" s="1"/>
  <c r="AJ266" i="1"/>
  <c r="AL266" i="1" s="1"/>
  <c r="AF266" i="1"/>
  <c r="AG266" i="1" s="1"/>
  <c r="AN266" i="1" s="1"/>
  <c r="BC266" i="1"/>
  <c r="AF320" i="1"/>
  <c r="AG320" i="1" s="1"/>
  <c r="BC320" i="1"/>
  <c r="AJ320" i="1"/>
  <c r="AL320" i="1" s="1"/>
  <c r="AR320" i="1"/>
  <c r="AS320" i="1" s="1"/>
  <c r="AU320" i="1" s="1"/>
  <c r="AC320" i="1"/>
  <c r="AE320" i="1" s="1"/>
  <c r="AY319" i="1"/>
  <c r="AT318" i="1"/>
  <c r="BE317" i="1"/>
  <c r="BF317" i="1" s="1"/>
  <c r="AC266" i="1"/>
  <c r="AE266" i="1" s="1"/>
  <c r="AO319" i="1"/>
  <c r="AP319" i="1" s="1"/>
  <c r="BE479" i="1"/>
  <c r="BF479" i="1" s="1"/>
  <c r="AT480" i="1"/>
  <c r="AR481" i="1"/>
  <c r="AS481" i="1" s="1"/>
  <c r="AU481" i="1" s="1"/>
  <c r="AC481" i="1"/>
  <c r="AE481" i="1" s="1"/>
  <c r="AJ481" i="1"/>
  <c r="AL481" i="1" s="1"/>
  <c r="AF481" i="1"/>
  <c r="AG481" i="1" s="1"/>
  <c r="AN481" i="1" s="1"/>
  <c r="BC481" i="1"/>
  <c r="BF430" i="1"/>
  <c r="AT431" i="1"/>
  <c r="BA371" i="1"/>
  <c r="AY371" i="1"/>
  <c r="AO371" i="1"/>
  <c r="AP371" i="1" s="1"/>
  <c r="AQ371" i="1" s="1"/>
  <c r="Z372" i="1"/>
  <c r="AX370" i="1" a="1"/>
  <c r="AX370" i="1" s="1"/>
  <c r="AW370" i="1"/>
  <c r="AT265" i="1"/>
  <c r="BE264" i="1"/>
  <c r="BF264" i="1" s="1"/>
  <c r="BD430" i="1" l="1"/>
  <c r="AY266" i="1"/>
  <c r="BD370" i="1"/>
  <c r="AQ319" i="1"/>
  <c r="AX318" i="1" a="1"/>
  <c r="AX318" i="1" s="1"/>
  <c r="AW318" i="1"/>
  <c r="AO320" i="1"/>
  <c r="AP320" i="1" s="1"/>
  <c r="Z267" i="1"/>
  <c r="AJ267" i="1" s="1"/>
  <c r="AL267" i="1" s="1"/>
  <c r="BA320" i="1"/>
  <c r="AY320" i="1"/>
  <c r="AO266" i="1"/>
  <c r="AP266" i="1" s="1"/>
  <c r="AQ274" i="1" s="1"/>
  <c r="AX431" i="1" a="1"/>
  <c r="AX431" i="1" s="1"/>
  <c r="AW431" i="1"/>
  <c r="Z482" i="1"/>
  <c r="AO481" i="1"/>
  <c r="AP481" i="1" s="1"/>
  <c r="AQ481" i="1" s="1"/>
  <c r="BA481" i="1"/>
  <c r="AY481" i="1"/>
  <c r="AX480" i="1" a="1"/>
  <c r="AX480" i="1" s="1"/>
  <c r="AW480" i="1"/>
  <c r="AT371" i="1"/>
  <c r="BE370" i="1"/>
  <c r="BF370" i="1" s="1"/>
  <c r="BC372" i="1"/>
  <c r="AR372" i="1"/>
  <c r="AS372" i="1" s="1"/>
  <c r="AU372" i="1" s="1"/>
  <c r="AC372" i="1"/>
  <c r="AE372" i="1" s="1"/>
  <c r="AJ372" i="1"/>
  <c r="AL372" i="1" s="1"/>
  <c r="AF372" i="1"/>
  <c r="AG372" i="1" s="1"/>
  <c r="AN372" i="1" s="1"/>
  <c r="AW265" i="1"/>
  <c r="AX265" i="1" a="1"/>
  <c r="AX265" i="1" s="1"/>
  <c r="AQ266" i="1" l="1"/>
  <c r="BD318" i="1"/>
  <c r="BD480" i="1"/>
  <c r="BD273" i="1"/>
  <c r="AT274" i="1"/>
  <c r="AT319" i="1"/>
  <c r="AX319" i="1" s="1" a="1"/>
  <c r="AX319" i="1" s="1"/>
  <c r="BD265" i="1"/>
  <c r="AQ320" i="1"/>
  <c r="BC267" i="1"/>
  <c r="AG268" i="1"/>
  <c r="AN268" i="1" s="1"/>
  <c r="AF267" i="1"/>
  <c r="AT266" i="1"/>
  <c r="AT320" i="1"/>
  <c r="AR267" i="1"/>
  <c r="AS267" i="1" s="1"/>
  <c r="AU267" i="1" s="1"/>
  <c r="AC267" i="1"/>
  <c r="AE267" i="1" s="1"/>
  <c r="BE318" i="1"/>
  <c r="BF318" i="1" s="1"/>
  <c r="AT481" i="1"/>
  <c r="BE480" i="1"/>
  <c r="BF480" i="1" s="1"/>
  <c r="AF482" i="1"/>
  <c r="AG482" i="1" s="1"/>
  <c r="AN482" i="1" s="1"/>
  <c r="BC482" i="1"/>
  <c r="AC482" i="1"/>
  <c r="AE482" i="1" s="1"/>
  <c r="AR482" i="1"/>
  <c r="AS482" i="1" s="1"/>
  <c r="AU482" i="1" s="1"/>
  <c r="AJ482" i="1"/>
  <c r="AL482" i="1" s="1"/>
  <c r="Z373" i="1"/>
  <c r="BC373" i="1" s="1"/>
  <c r="AO372" i="1"/>
  <c r="AP372" i="1" s="1"/>
  <c r="AQ372" i="1" s="1"/>
  <c r="BE265" i="1"/>
  <c r="BF265" i="1" s="1"/>
  <c r="BA372" i="1"/>
  <c r="AY372" i="1"/>
  <c r="AX371" i="1" a="1"/>
  <c r="AX371" i="1" s="1"/>
  <c r="AW371" i="1"/>
  <c r="BD371" i="1" l="1"/>
  <c r="AG267" i="1"/>
  <c r="AN267" i="1" s="1"/>
  <c r="BD319" i="1"/>
  <c r="BE274" i="1"/>
  <c r="BF274" i="1" s="1"/>
  <c r="AX274" i="1" a="1"/>
  <c r="AX274" i="1" s="1"/>
  <c r="AW274" i="1"/>
  <c r="AW319" i="1"/>
  <c r="AO267" i="1"/>
  <c r="AP267" i="1" s="1"/>
  <c r="AQ267" i="1" s="1"/>
  <c r="AR373" i="1"/>
  <c r="AS373" i="1" s="1"/>
  <c r="AU373" i="1" s="1"/>
  <c r="BA373" i="1" s="1"/>
  <c r="AG374" i="1"/>
  <c r="AN374" i="1" s="1"/>
  <c r="AW266" i="1"/>
  <c r="AX266" i="1" a="1"/>
  <c r="AX266" i="1" s="1"/>
  <c r="BA267" i="1"/>
  <c r="AY267" i="1"/>
  <c r="AW320" i="1"/>
  <c r="AX320" i="1" a="1"/>
  <c r="AX320" i="1" s="1"/>
  <c r="BA482" i="1"/>
  <c r="AY482" i="1"/>
  <c r="AO482" i="1"/>
  <c r="AP482" i="1" s="1"/>
  <c r="AQ482" i="1" s="1"/>
  <c r="AF373" i="1"/>
  <c r="AG373" i="1" s="1"/>
  <c r="AN373" i="1" s="1"/>
  <c r="AJ373" i="1"/>
  <c r="AL373" i="1" s="1"/>
  <c r="AC373" i="1"/>
  <c r="AE373" i="1" s="1"/>
  <c r="AX481" i="1" a="1"/>
  <c r="AX481" i="1" s="1"/>
  <c r="AW481" i="1"/>
  <c r="AT372" i="1"/>
  <c r="BE371" i="1"/>
  <c r="BF371" i="1" s="1"/>
  <c r="BE319" i="1" l="1"/>
  <c r="BF319" i="1" s="1"/>
  <c r="BD481" i="1"/>
  <c r="BD266" i="1"/>
  <c r="BE266" i="1" s="1"/>
  <c r="BF266" i="1" s="1"/>
  <c r="AT267" i="1"/>
  <c r="AY373" i="1"/>
  <c r="AO373" i="1"/>
  <c r="AP373" i="1" s="1"/>
  <c r="AQ373" i="1" s="1"/>
  <c r="AX267" i="1" a="1"/>
  <c r="AX267" i="1" s="1"/>
  <c r="AW267" i="1"/>
  <c r="BE481" i="1"/>
  <c r="BF481" i="1" s="1"/>
  <c r="AT482" i="1"/>
  <c r="AT373" i="1"/>
  <c r="AW372" i="1"/>
  <c r="AX372" i="1" a="1"/>
  <c r="AX372" i="1" s="1"/>
  <c r="BD372" i="1" l="1"/>
  <c r="BE372" i="1" s="1"/>
  <c r="BF372" i="1" s="1"/>
  <c r="AW482" i="1"/>
  <c r="AX482" i="1" a="1"/>
  <c r="AX482" i="1" s="1"/>
  <c r="AW373" i="1"/>
  <c r="AX373" i="1" a="1"/>
  <c r="AX373" i="1" s="1"/>
  <c r="F21" i="2" l="1"/>
  <c r="F22" i="2"/>
  <c r="F23" i="2"/>
  <c r="F20" i="2"/>
  <c r="L3"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68" i="1"/>
  <c r="L269" i="1"/>
  <c r="L270" i="1"/>
  <c r="L271" i="1"/>
  <c r="L272" i="1"/>
  <c r="L273" i="1"/>
  <c r="L321" i="1"/>
  <c r="L322" i="1"/>
  <c r="L323" i="1"/>
  <c r="L324" i="1"/>
  <c r="L325" i="1"/>
  <c r="L326" i="1"/>
  <c r="L374" i="1"/>
  <c r="L375" i="1"/>
  <c r="L376" i="1"/>
  <c r="L377" i="1"/>
  <c r="L378" i="1"/>
  <c r="L379" i="1"/>
  <c r="L380" i="1"/>
  <c r="L381" i="1"/>
  <c r="L382" i="1"/>
  <c r="L383" i="1"/>
  <c r="L384" i="1"/>
  <c r="L432" i="1"/>
  <c r="L433" i="1"/>
  <c r="L434" i="1"/>
  <c r="L435" i="1"/>
  <c r="L483" i="1"/>
  <c r="L484" i="1"/>
  <c r="L485" i="1"/>
  <c r="L486" i="1"/>
  <c r="L487" i="1"/>
  <c r="L488" i="1"/>
  <c r="L489" i="1"/>
  <c r="L2" i="1"/>
  <c r="G15" i="2"/>
  <c r="H11" i="2" s="1"/>
  <c r="H15" i="2" s="1"/>
  <c r="G14" i="2"/>
  <c r="G16" i="2"/>
  <c r="I5" i="2"/>
  <c r="F7" i="2"/>
  <c r="AD211" i="1" l="1"/>
  <c r="AD271" i="1"/>
  <c r="AD319" i="1"/>
  <c r="AD379" i="1"/>
  <c r="AD322" i="1"/>
  <c r="AD263" i="1"/>
  <c r="AD265" i="1"/>
  <c r="AD208" i="1"/>
  <c r="AD321" i="1"/>
  <c r="AD374" i="1"/>
  <c r="AD435" i="1"/>
  <c r="AD209" i="1"/>
  <c r="AD264" i="1"/>
  <c r="AD323" i="1"/>
  <c r="AD375" i="1"/>
  <c r="AD532" i="1"/>
  <c r="AD210" i="1"/>
  <c r="AD266" i="1"/>
  <c r="AD324" i="1"/>
  <c r="AD376" i="1"/>
  <c r="AD533" i="1"/>
  <c r="AD267" i="1"/>
  <c r="AD325" i="1"/>
  <c r="AD377" i="1"/>
  <c r="AD268" i="1"/>
  <c r="AD326" i="1"/>
  <c r="AD378" i="1"/>
  <c r="AD427" i="1"/>
  <c r="AD269" i="1"/>
  <c r="AD380" i="1"/>
  <c r="AD428" i="1"/>
  <c r="AD270" i="1"/>
  <c r="AD381" i="1"/>
  <c r="AD429" i="1"/>
  <c r="AD272" i="1"/>
  <c r="AD369" i="1"/>
  <c r="AD382" i="1"/>
  <c r="AD430" i="1"/>
  <c r="AD478" i="1"/>
  <c r="AD273" i="1"/>
  <c r="AD316" i="1"/>
  <c r="AD370" i="1"/>
  <c r="AD383" i="1"/>
  <c r="AD431" i="1"/>
  <c r="AD479" i="1"/>
  <c r="AD317" i="1"/>
  <c r="AD371" i="1"/>
  <c r="AD384" i="1"/>
  <c r="AD432" i="1"/>
  <c r="AD480" i="1"/>
  <c r="AD318" i="1"/>
  <c r="AD372" i="1"/>
  <c r="AD433" i="1"/>
  <c r="AD481" i="1"/>
  <c r="AD207" i="1"/>
  <c r="AD320" i="1"/>
  <c r="AD373" i="1"/>
  <c r="AD434" i="1"/>
  <c r="AD482" i="1"/>
  <c r="AD483" i="1"/>
  <c r="AD484" i="1"/>
  <c r="AD485" i="1"/>
  <c r="AD486" i="1"/>
  <c r="AD487" i="1"/>
  <c r="AD488" i="1"/>
  <c r="AD489" i="1"/>
  <c r="O530" i="1"/>
  <c r="AD530" i="1" s="1"/>
  <c r="O492" i="1"/>
  <c r="AD492" i="1" s="1"/>
  <c r="O496" i="1"/>
  <c r="AD496" i="1" s="1"/>
  <c r="O500" i="1"/>
  <c r="AD500" i="1" s="1"/>
  <c r="O504" i="1"/>
  <c r="AD504" i="1" s="1"/>
  <c r="O508" i="1"/>
  <c r="AD508" i="1" s="1"/>
  <c r="O306" i="1"/>
  <c r="AD306" i="1" s="1"/>
  <c r="O288" i="1"/>
  <c r="AD288" i="1" s="1"/>
  <c r="O253" i="1"/>
  <c r="AD253" i="1" s="1"/>
  <c r="O357" i="1"/>
  <c r="AD357" i="1" s="1"/>
  <c r="O297" i="1"/>
  <c r="AD297" i="1" s="1"/>
  <c r="O252" i="1"/>
  <c r="AD252" i="1" s="1"/>
  <c r="O308" i="1"/>
  <c r="AD308" i="1" s="1"/>
  <c r="O286" i="1"/>
  <c r="AD286" i="1" s="1"/>
  <c r="O368" i="1"/>
  <c r="AD368" i="1" s="1"/>
  <c r="O344" i="1"/>
  <c r="AD344" i="1" s="1"/>
  <c r="O289" i="1"/>
  <c r="AD289" i="1" s="1"/>
  <c r="O417" i="1"/>
  <c r="AD417" i="1" s="1"/>
  <c r="O388" i="1"/>
  <c r="AD388" i="1" s="1"/>
  <c r="O329" i="1"/>
  <c r="AD329" i="1" s="1"/>
  <c r="O294" i="1"/>
  <c r="AD294" i="1" s="1"/>
  <c r="O413" i="1"/>
  <c r="AD413" i="1" s="1"/>
  <c r="O343" i="1"/>
  <c r="AD343" i="1" s="1"/>
  <c r="O406" i="1"/>
  <c r="AD406" i="1" s="1"/>
  <c r="O230" i="1"/>
  <c r="AD230" i="1" s="1"/>
  <c r="O282" i="1"/>
  <c r="AD282" i="1" s="1"/>
  <c r="O237" i="1"/>
  <c r="AD237" i="1" s="1"/>
  <c r="O216" i="1"/>
  <c r="AD216" i="1" s="1"/>
  <c r="O239" i="1"/>
  <c r="AD239" i="1" s="1"/>
  <c r="O241" i="1"/>
  <c r="AD241" i="1" s="1"/>
  <c r="O387" i="1"/>
  <c r="AD387" i="1" s="1"/>
  <c r="O531" i="1"/>
  <c r="AD531" i="1" s="1"/>
  <c r="O501" i="1"/>
  <c r="AD501" i="1" s="1"/>
  <c r="O454" i="1"/>
  <c r="AD454" i="1" s="1"/>
  <c r="O441" i="1"/>
  <c r="AD441" i="1" s="1"/>
  <c r="O499" i="1"/>
  <c r="AD499" i="1" s="1"/>
  <c r="O405" i="1"/>
  <c r="AD405" i="1" s="1"/>
  <c r="O256" i="1"/>
  <c r="AD256" i="1" s="1"/>
  <c r="O350" i="1"/>
  <c r="AD350" i="1" s="1"/>
  <c r="O280" i="1"/>
  <c r="AD280" i="1" s="1"/>
  <c r="O394" i="1"/>
  <c r="AD394" i="1" s="1"/>
  <c r="O254" i="1"/>
  <c r="AD254" i="1" s="1"/>
  <c r="O234" i="1"/>
  <c r="AD234" i="1" s="1"/>
  <c r="O390" i="1"/>
  <c r="AD390" i="1" s="1"/>
  <c r="O511" i="1"/>
  <c r="AD511" i="1" s="1"/>
  <c r="O467" i="1"/>
  <c r="AD467" i="1" s="1"/>
  <c r="O451" i="1"/>
  <c r="AD451" i="1" s="1"/>
  <c r="O212" i="1"/>
  <c r="AD212" i="1" s="1"/>
  <c r="O285" i="1"/>
  <c r="AD285" i="1" s="1"/>
  <c r="O416" i="1"/>
  <c r="AD416" i="1" s="1"/>
  <c r="O276" i="1"/>
  <c r="AD276" i="1" s="1"/>
  <c r="O409" i="1"/>
  <c r="AD409" i="1" s="1"/>
  <c r="O358" i="1"/>
  <c r="AD358" i="1" s="1"/>
  <c r="O385" i="1"/>
  <c r="AD385" i="1" s="1"/>
  <c r="O251" i="1"/>
  <c r="AD251" i="1" s="1"/>
  <c r="O402" i="1"/>
  <c r="AD402" i="1" s="1"/>
  <c r="O396" i="1"/>
  <c r="AD396" i="1" s="1"/>
  <c r="O515" i="1"/>
  <c r="AD515" i="1" s="1"/>
  <c r="O520" i="1"/>
  <c r="AD520" i="1" s="1"/>
  <c r="O473" i="1"/>
  <c r="AD473" i="1" s="1"/>
  <c r="O456" i="1"/>
  <c r="AD456" i="1" s="1"/>
  <c r="O524" i="1"/>
  <c r="AD524" i="1" s="1"/>
  <c r="O398" i="1"/>
  <c r="AD398" i="1" s="1"/>
  <c r="O283" i="1"/>
  <c r="AD283" i="1" s="1"/>
  <c r="O415" i="1"/>
  <c r="AD415" i="1" s="1"/>
  <c r="O363" i="1"/>
  <c r="AD363" i="1" s="1"/>
  <c r="O238" i="1"/>
  <c r="AD238" i="1" s="1"/>
  <c r="O389" i="1"/>
  <c r="AD389" i="1" s="1"/>
  <c r="O408" i="1"/>
  <c r="AD408" i="1" s="1"/>
  <c r="O419" i="1"/>
  <c r="AD419" i="1" s="1"/>
  <c r="O529" i="1"/>
  <c r="AD529" i="1" s="1"/>
  <c r="O461" i="1"/>
  <c r="AD461" i="1" s="1"/>
  <c r="O290" i="1"/>
  <c r="AD290" i="1" s="1"/>
  <c r="O412" i="1"/>
  <c r="AD412" i="1" s="1"/>
  <c r="O303" i="1"/>
  <c r="AD303" i="1" s="1"/>
  <c r="O255" i="1"/>
  <c r="AD255" i="1" s="1"/>
  <c r="O296" i="1"/>
  <c r="AD296" i="1" s="1"/>
  <c r="O414" i="1"/>
  <c r="AD414" i="1" s="1"/>
  <c r="O307" i="1"/>
  <c r="AD307" i="1" s="1"/>
  <c r="O246" i="1"/>
  <c r="AD246" i="1" s="1"/>
  <c r="O443" i="1"/>
  <c r="AD443" i="1" s="1"/>
  <c r="O404" i="1"/>
  <c r="AD404" i="1" s="1"/>
  <c r="O491" i="1"/>
  <c r="AD491" i="1" s="1"/>
  <c r="O453" i="1"/>
  <c r="AD453" i="1" s="1"/>
  <c r="O440" i="1"/>
  <c r="AD440" i="1" s="1"/>
  <c r="O493" i="1"/>
  <c r="AD493" i="1" s="1"/>
  <c r="O477" i="1"/>
  <c r="AD477" i="1" s="1"/>
  <c r="O236" i="1"/>
  <c r="AD236" i="1" s="1"/>
  <c r="O227" i="1"/>
  <c r="AD227" i="1" s="1"/>
  <c r="O452" i="1"/>
  <c r="AD452" i="1" s="1"/>
  <c r="O291" i="1"/>
  <c r="AD291" i="1" s="1"/>
  <c r="O391" i="1"/>
  <c r="AD391" i="1" s="1"/>
  <c r="O392" i="1"/>
  <c r="AD392" i="1" s="1"/>
  <c r="O300" i="1"/>
  <c r="AD300" i="1" s="1"/>
  <c r="O339" i="1"/>
  <c r="AD339" i="1" s="1"/>
  <c r="O311" i="1"/>
  <c r="AD311" i="1" s="1"/>
  <c r="O418" i="1"/>
  <c r="AD418" i="1" s="1"/>
  <c r="O517" i="1"/>
  <c r="AD517" i="1" s="1"/>
  <c r="O498" i="1"/>
  <c r="AD498" i="1" s="1"/>
  <c r="O243" i="1"/>
  <c r="AD243" i="1" s="1"/>
  <c r="O304" i="1"/>
  <c r="AD304" i="1" s="1"/>
  <c r="O219" i="1"/>
  <c r="AD219" i="1" s="1"/>
  <c r="O231" i="1"/>
  <c r="AD231" i="1" s="1"/>
  <c r="O438" i="1"/>
  <c r="AD438" i="1" s="1"/>
  <c r="O232" i="1"/>
  <c r="AD232" i="1" s="1"/>
  <c r="O274" i="1"/>
  <c r="AD274" i="1" s="1"/>
  <c r="O330" i="1"/>
  <c r="AD330" i="1" s="1"/>
  <c r="O465" i="1"/>
  <c r="AD465" i="1" s="1"/>
  <c r="O463" i="1"/>
  <c r="AD463" i="1" s="1"/>
  <c r="O506" i="1"/>
  <c r="AD506" i="1" s="1"/>
  <c r="O503" i="1"/>
  <c r="AD503" i="1" s="1"/>
  <c r="O244" i="1"/>
  <c r="AD244" i="1" s="1"/>
  <c r="O360" i="1"/>
  <c r="AD360" i="1" s="1"/>
  <c r="O257" i="1"/>
  <c r="AD257" i="1" s="1"/>
  <c r="O338" i="1"/>
  <c r="AD338" i="1" s="1"/>
  <c r="O400" i="1"/>
  <c r="AD400" i="1" s="1"/>
  <c r="O401" i="1"/>
  <c r="AD401" i="1" s="1"/>
  <c r="O295" i="1"/>
  <c r="AD295" i="1" s="1"/>
  <c r="O331" i="1"/>
  <c r="AD331" i="1" s="1"/>
  <c r="O455" i="1"/>
  <c r="AD455" i="1" s="1"/>
  <c r="O505" i="1"/>
  <c r="AD505" i="1" s="1"/>
  <c r="O446" i="1"/>
  <c r="AD446" i="1" s="1"/>
  <c r="O459" i="1"/>
  <c r="AD459" i="1" s="1"/>
  <c r="O245" i="1"/>
  <c r="AD245" i="1" s="1"/>
  <c r="O351" i="1"/>
  <c r="AD351" i="1" s="1"/>
  <c r="O214" i="1"/>
  <c r="AD214" i="1" s="1"/>
  <c r="O315" i="1"/>
  <c r="AD315" i="1" s="1"/>
  <c r="O407" i="1"/>
  <c r="AD407" i="1" s="1"/>
  <c r="O328" i="1"/>
  <c r="AD328" i="1" s="1"/>
  <c r="O521" i="1"/>
  <c r="AD521" i="1" s="1"/>
  <c r="O497" i="1"/>
  <c r="AD497" i="1" s="1"/>
  <c r="O472" i="1"/>
  <c r="AD472" i="1" s="1"/>
  <c r="O466" i="1"/>
  <c r="AD466" i="1" s="1"/>
  <c r="O262" i="1"/>
  <c r="AD262" i="1" s="1"/>
  <c r="O309" i="1"/>
  <c r="AD309" i="1" s="1"/>
  <c r="O411" i="1"/>
  <c r="AD411" i="1" s="1"/>
  <c r="O223" i="1"/>
  <c r="AD223" i="1" s="1"/>
  <c r="O422" i="1"/>
  <c r="AD422" i="1" s="1"/>
  <c r="O224" i="1"/>
  <c r="AD224" i="1" s="1"/>
  <c r="O334" i="1"/>
  <c r="AD334" i="1" s="1"/>
  <c r="O225" i="1"/>
  <c r="AD225" i="1" s="1"/>
  <c r="O490" i="1"/>
  <c r="AD490" i="1" s="1"/>
  <c r="O512" i="1"/>
  <c r="AD512" i="1" s="1"/>
  <c r="O445" i="1"/>
  <c r="AD445" i="1" s="1"/>
  <c r="O509" i="1"/>
  <c r="AD509" i="1" s="1"/>
  <c r="O469" i="1"/>
  <c r="AD469" i="1" s="1"/>
  <c r="O275" i="1"/>
  <c r="AD275" i="1" s="1"/>
  <c r="O426" i="1"/>
  <c r="AD426" i="1" s="1"/>
  <c r="O353" i="1"/>
  <c r="AD353" i="1" s="1"/>
  <c r="O421" i="1"/>
  <c r="AD421" i="1" s="1"/>
  <c r="O342" i="1"/>
  <c r="AD342" i="1" s="1"/>
  <c r="O361" i="1"/>
  <c r="AD361" i="1" s="1"/>
  <c r="O495" i="1"/>
  <c r="AD495" i="1" s="1"/>
  <c r="O516" i="1"/>
  <c r="AD516" i="1" s="1"/>
  <c r="O462" i="1"/>
  <c r="AD462" i="1" s="1"/>
  <c r="O514" i="1"/>
  <c r="AD514" i="1" s="1"/>
  <c r="O502" i="1"/>
  <c r="AD502" i="1" s="1"/>
  <c r="O471" i="1"/>
  <c r="AD471" i="1" s="1"/>
  <c r="O397" i="1"/>
  <c r="AD397" i="1" s="1"/>
  <c r="O346" i="1"/>
  <c r="AD346" i="1" s="1"/>
  <c r="O359" i="1"/>
  <c r="AD359" i="1" s="1"/>
  <c r="O470" i="1"/>
  <c r="AD470" i="1" s="1"/>
  <c r="O258" i="1"/>
  <c r="AD258" i="1" s="1"/>
  <c r="O528" i="1"/>
  <c r="AD528" i="1" s="1"/>
  <c r="O522" i="1"/>
  <c r="AD522" i="1" s="1"/>
  <c r="O449" i="1"/>
  <c r="AD449" i="1" s="1"/>
  <c r="O507" i="1"/>
  <c r="AD507" i="1" s="1"/>
  <c r="O494" i="1"/>
  <c r="AD494" i="1" s="1"/>
  <c r="O228" i="1"/>
  <c r="AD228" i="1" s="1"/>
  <c r="O310" i="1"/>
  <c r="AD310" i="1" s="1"/>
  <c r="O327" i="1"/>
  <c r="AD327" i="1" s="1"/>
  <c r="O305" i="1"/>
  <c r="AD305" i="1" s="1"/>
  <c r="O447" i="1"/>
  <c r="AD447" i="1" s="1"/>
  <c r="O362" i="1"/>
  <c r="AD362" i="1" s="1"/>
  <c r="O261" i="1"/>
  <c r="AD261" i="1" s="1"/>
  <c r="O437" i="1"/>
  <c r="AD437" i="1" s="1"/>
  <c r="O366" i="1"/>
  <c r="AD366" i="1" s="1"/>
  <c r="O281" i="1"/>
  <c r="AD281" i="1" s="1"/>
  <c r="O526" i="1"/>
  <c r="AD526" i="1" s="1"/>
  <c r="O474" i="1"/>
  <c r="AD474" i="1" s="1"/>
  <c r="O221" i="1"/>
  <c r="AD221" i="1" s="1"/>
  <c r="O312" i="1"/>
  <c r="AD312" i="1" s="1"/>
  <c r="O340" i="1"/>
  <c r="AD340" i="1" s="1"/>
  <c r="O354" i="1"/>
  <c r="AD354" i="1" s="1"/>
  <c r="O519" i="1"/>
  <c r="AD519" i="1" s="1"/>
  <c r="O235" i="1"/>
  <c r="AD235" i="1" s="1"/>
  <c r="O247" i="1"/>
  <c r="AD247" i="1" s="1"/>
  <c r="O450" i="1"/>
  <c r="AD450" i="1" s="1"/>
  <c r="O510" i="1"/>
  <c r="AD510" i="1" s="1"/>
  <c r="O341" i="1"/>
  <c r="AD341" i="1" s="1"/>
  <c r="O298" i="1"/>
  <c r="AD298" i="1" s="1"/>
  <c r="O313" i="1"/>
  <c r="AD313" i="1" s="1"/>
  <c r="O332" i="1"/>
  <c r="AD332" i="1" s="1"/>
  <c r="O349" i="1"/>
  <c r="AD349" i="1" s="1"/>
  <c r="O345" i="1"/>
  <c r="AD345" i="1" s="1"/>
  <c r="O439" i="1"/>
  <c r="AD439" i="1" s="1"/>
  <c r="O277" i="1"/>
  <c r="AD277" i="1" s="1"/>
  <c r="O476" i="1"/>
  <c r="AD476" i="1" s="1"/>
  <c r="O523" i="1"/>
  <c r="AD523" i="1" s="1"/>
  <c r="O222" i="1"/>
  <c r="AD222" i="1" s="1"/>
  <c r="O424" i="1"/>
  <c r="AD424" i="1" s="1"/>
  <c r="O301" i="1"/>
  <c r="AD301" i="1" s="1"/>
  <c r="O448" i="1"/>
  <c r="AD448" i="1" s="1"/>
  <c r="O229" i="1"/>
  <c r="AD229" i="1" s="1"/>
  <c r="O218" i="1"/>
  <c r="AD218" i="1" s="1"/>
  <c r="O420" i="1"/>
  <c r="AD420" i="1" s="1"/>
  <c r="O278" i="1"/>
  <c r="AD278" i="1" s="1"/>
  <c r="O367" i="1"/>
  <c r="AD367" i="1" s="1"/>
  <c r="O260" i="1"/>
  <c r="AD260" i="1" s="1"/>
  <c r="O386" i="1"/>
  <c r="AD386" i="1" s="1"/>
  <c r="O335" i="1"/>
  <c r="AD335" i="1" s="1"/>
  <c r="O213" i="1"/>
  <c r="AD213" i="1" s="1"/>
  <c r="O250" i="1"/>
  <c r="AD250" i="1" s="1"/>
  <c r="O356" i="1"/>
  <c r="AD356" i="1" s="1"/>
  <c r="O287" i="1"/>
  <c r="AD287" i="1" s="1"/>
  <c r="O348" i="1"/>
  <c r="AD348" i="1" s="1"/>
  <c r="O460" i="1"/>
  <c r="AD460" i="1" s="1"/>
  <c r="O284" i="1"/>
  <c r="AD284" i="1" s="1"/>
  <c r="O393" i="1"/>
  <c r="AD393" i="1" s="1"/>
  <c r="O333" i="1"/>
  <c r="AD333" i="1" s="1"/>
  <c r="O215" i="1"/>
  <c r="AD215" i="1" s="1"/>
  <c r="O355" i="1"/>
  <c r="AD355" i="1" s="1"/>
  <c r="O226" i="1"/>
  <c r="AD226" i="1" s="1"/>
  <c r="O442" i="1"/>
  <c r="AD442" i="1" s="1"/>
  <c r="O399" i="1"/>
  <c r="AD399" i="1" s="1"/>
  <c r="O336" i="1"/>
  <c r="AD336" i="1" s="1"/>
  <c r="O249" i="1"/>
  <c r="AD249" i="1" s="1"/>
  <c r="O436" i="1"/>
  <c r="AD436" i="1" s="1"/>
  <c r="O395" i="1"/>
  <c r="AD395" i="1" s="1"/>
  <c r="O410" i="1"/>
  <c r="AD410" i="1" s="1"/>
  <c r="O299" i="1"/>
  <c r="AD299" i="1" s="1"/>
  <c r="O457" i="1"/>
  <c r="AD457" i="1" s="1"/>
  <c r="O425" i="1"/>
  <c r="AD425" i="1" s="1"/>
  <c r="O314" i="1"/>
  <c r="AD314" i="1" s="1"/>
  <c r="O248" i="1"/>
  <c r="AD248" i="1" s="1"/>
  <c r="O527" i="1"/>
  <c r="AD527" i="1" s="1"/>
  <c r="O240" i="1"/>
  <c r="AD240" i="1" s="1"/>
  <c r="O403" i="1"/>
  <c r="AD403" i="1" s="1"/>
  <c r="O464" i="1"/>
  <c r="AD464" i="1" s="1"/>
  <c r="O525" i="1"/>
  <c r="AD525" i="1" s="1"/>
  <c r="O337" i="1"/>
  <c r="AD337" i="1" s="1"/>
  <c r="O518" i="1"/>
  <c r="AD518" i="1" s="1"/>
  <c r="O352" i="1"/>
  <c r="AD352" i="1" s="1"/>
  <c r="O513" i="1"/>
  <c r="AD513" i="1" s="1"/>
  <c r="O302" i="1"/>
  <c r="AD302" i="1" s="1"/>
  <c r="O233" i="1"/>
  <c r="AD233" i="1" s="1"/>
  <c r="O364" i="1"/>
  <c r="AD364" i="1" s="1"/>
  <c r="O259" i="1"/>
  <c r="AD259" i="1" s="1"/>
  <c r="O458" i="1"/>
  <c r="AD458" i="1" s="1"/>
  <c r="O365" i="1"/>
  <c r="AD365" i="1" s="1"/>
  <c r="O279" i="1"/>
  <c r="AD279" i="1" s="1"/>
  <c r="O475" i="1"/>
  <c r="AD475" i="1" s="1"/>
  <c r="O423" i="1"/>
  <c r="AD423" i="1" s="1"/>
  <c r="O347" i="1"/>
  <c r="AD347" i="1" s="1"/>
  <c r="O217" i="1"/>
  <c r="AD217" i="1" s="1"/>
  <c r="O242" i="1"/>
  <c r="AD242" i="1" s="1"/>
  <c r="O293" i="1"/>
  <c r="AD293" i="1" s="1"/>
  <c r="O220" i="1"/>
  <c r="AD220" i="1" s="1"/>
  <c r="O468" i="1"/>
  <c r="AD468" i="1" s="1"/>
  <c r="O444" i="1"/>
  <c r="AD444" i="1" s="1"/>
  <c r="O292" i="1"/>
  <c r="AD292" i="1" s="1"/>
  <c r="O31" i="1"/>
  <c r="AD31" i="1" s="1"/>
  <c r="O3" i="1"/>
  <c r="AD3" i="1" s="1"/>
  <c r="O15" i="1"/>
  <c r="AD15" i="1" s="1"/>
  <c r="O27" i="1"/>
  <c r="AD27" i="1" s="1"/>
  <c r="O40" i="1"/>
  <c r="AD40" i="1" s="1"/>
  <c r="O52" i="1"/>
  <c r="AD52" i="1" s="1"/>
  <c r="O64" i="1"/>
  <c r="AD64" i="1" s="1"/>
  <c r="O76" i="1"/>
  <c r="AD76" i="1" s="1"/>
  <c r="O88" i="1"/>
  <c r="AD88" i="1" s="1"/>
  <c r="O100" i="1"/>
  <c r="AD100" i="1" s="1"/>
  <c r="O112" i="1"/>
  <c r="AD112" i="1" s="1"/>
  <c r="O124" i="1"/>
  <c r="AD124" i="1" s="1"/>
  <c r="O136" i="1"/>
  <c r="AD136" i="1" s="1"/>
  <c r="O148" i="1"/>
  <c r="AD148" i="1" s="1"/>
  <c r="O160" i="1"/>
  <c r="AD160" i="1" s="1"/>
  <c r="O172" i="1"/>
  <c r="AD172" i="1" s="1"/>
  <c r="O184" i="1"/>
  <c r="AD184" i="1" s="1"/>
  <c r="O196" i="1"/>
  <c r="AD196" i="1" s="1"/>
  <c r="O4" i="1"/>
  <c r="AD4" i="1" s="1"/>
  <c r="O16" i="1"/>
  <c r="AD16" i="1" s="1"/>
  <c r="O28" i="1"/>
  <c r="AD28" i="1" s="1"/>
  <c r="O41" i="1"/>
  <c r="AD41" i="1" s="1"/>
  <c r="O53" i="1"/>
  <c r="AD53" i="1" s="1"/>
  <c r="O65" i="1"/>
  <c r="AD65" i="1" s="1"/>
  <c r="O77" i="1"/>
  <c r="AD77" i="1" s="1"/>
  <c r="O89" i="1"/>
  <c r="AD89" i="1" s="1"/>
  <c r="O101" i="1"/>
  <c r="AD101" i="1" s="1"/>
  <c r="O113" i="1"/>
  <c r="AD113" i="1" s="1"/>
  <c r="O125" i="1"/>
  <c r="AD125" i="1" s="1"/>
  <c r="O137" i="1"/>
  <c r="AD137" i="1" s="1"/>
  <c r="O149" i="1"/>
  <c r="AD149" i="1" s="1"/>
  <c r="O161" i="1"/>
  <c r="AD161" i="1" s="1"/>
  <c r="O173" i="1"/>
  <c r="AD173" i="1" s="1"/>
  <c r="O185" i="1"/>
  <c r="AD185" i="1" s="1"/>
  <c r="O197" i="1"/>
  <c r="AD197" i="1" s="1"/>
  <c r="O5" i="1"/>
  <c r="AD5" i="1" s="1"/>
  <c r="O17" i="1"/>
  <c r="AD17" i="1" s="1"/>
  <c r="O29" i="1"/>
  <c r="AD29" i="1" s="1"/>
  <c r="O42" i="1"/>
  <c r="AD42" i="1" s="1"/>
  <c r="O54" i="1"/>
  <c r="AD54" i="1" s="1"/>
  <c r="O66" i="1"/>
  <c r="AD66" i="1" s="1"/>
  <c r="O78" i="1"/>
  <c r="AD78" i="1" s="1"/>
  <c r="O90" i="1"/>
  <c r="AD90" i="1" s="1"/>
  <c r="O102" i="1"/>
  <c r="AD102" i="1" s="1"/>
  <c r="O114" i="1"/>
  <c r="AD114" i="1" s="1"/>
  <c r="O126" i="1"/>
  <c r="AD126" i="1" s="1"/>
  <c r="O138" i="1"/>
  <c r="AD138" i="1" s="1"/>
  <c r="O150" i="1"/>
  <c r="AD150" i="1" s="1"/>
  <c r="O162" i="1"/>
  <c r="AD162" i="1" s="1"/>
  <c r="O174" i="1"/>
  <c r="AD174" i="1" s="1"/>
  <c r="O186" i="1"/>
  <c r="AD186" i="1" s="1"/>
  <c r="O198" i="1"/>
  <c r="AD198" i="1" s="1"/>
  <c r="O6" i="1"/>
  <c r="AD6" i="1" s="1"/>
  <c r="O18" i="1"/>
  <c r="AD18" i="1" s="1"/>
  <c r="O30" i="1"/>
  <c r="AD30" i="1" s="1"/>
  <c r="O43" i="1"/>
  <c r="AD43" i="1" s="1"/>
  <c r="O55" i="1"/>
  <c r="AD55" i="1" s="1"/>
  <c r="O67" i="1"/>
  <c r="AD67" i="1" s="1"/>
  <c r="O79" i="1"/>
  <c r="AD79" i="1" s="1"/>
  <c r="O91" i="1"/>
  <c r="AD91" i="1" s="1"/>
  <c r="O103" i="1"/>
  <c r="AD103" i="1" s="1"/>
  <c r="O115" i="1"/>
  <c r="AD115" i="1" s="1"/>
  <c r="O127" i="1"/>
  <c r="AD127" i="1" s="1"/>
  <c r="O139" i="1"/>
  <c r="AD139" i="1" s="1"/>
  <c r="O151" i="1"/>
  <c r="AD151" i="1" s="1"/>
  <c r="O163" i="1"/>
  <c r="AD163" i="1" s="1"/>
  <c r="O175" i="1"/>
  <c r="AD175" i="1" s="1"/>
  <c r="O187" i="1"/>
  <c r="AD187" i="1" s="1"/>
  <c r="O199" i="1"/>
  <c r="AD199" i="1" s="1"/>
  <c r="O7" i="1"/>
  <c r="AD7" i="1" s="1"/>
  <c r="O19" i="1"/>
  <c r="AD19" i="1" s="1"/>
  <c r="O32" i="1"/>
  <c r="AD32" i="1" s="1"/>
  <c r="O44" i="1"/>
  <c r="AD44" i="1" s="1"/>
  <c r="O56" i="1"/>
  <c r="AD56" i="1" s="1"/>
  <c r="O68" i="1"/>
  <c r="AD68" i="1" s="1"/>
  <c r="O80" i="1"/>
  <c r="AD80" i="1" s="1"/>
  <c r="O92" i="1"/>
  <c r="AD92" i="1" s="1"/>
  <c r="O104" i="1"/>
  <c r="AD104" i="1" s="1"/>
  <c r="O116" i="1"/>
  <c r="AD116" i="1" s="1"/>
  <c r="O128" i="1"/>
  <c r="AD128" i="1" s="1"/>
  <c r="O140" i="1"/>
  <c r="AD140" i="1" s="1"/>
  <c r="O152" i="1"/>
  <c r="AD152" i="1" s="1"/>
  <c r="O164" i="1"/>
  <c r="AD164" i="1" s="1"/>
  <c r="O176" i="1"/>
  <c r="AD176" i="1" s="1"/>
  <c r="O188" i="1"/>
  <c r="AD188" i="1" s="1"/>
  <c r="O200" i="1"/>
  <c r="AD200" i="1" s="1"/>
  <c r="O8" i="1"/>
  <c r="AD8" i="1" s="1"/>
  <c r="O20" i="1"/>
  <c r="AD20" i="1" s="1"/>
  <c r="O33" i="1"/>
  <c r="AD33" i="1" s="1"/>
  <c r="O45" i="1"/>
  <c r="AD45" i="1" s="1"/>
  <c r="O57" i="1"/>
  <c r="AD57" i="1" s="1"/>
  <c r="O69" i="1"/>
  <c r="AD69" i="1" s="1"/>
  <c r="O81" i="1"/>
  <c r="AD81" i="1" s="1"/>
  <c r="O93" i="1"/>
  <c r="AD93" i="1" s="1"/>
  <c r="O105" i="1"/>
  <c r="AD105" i="1" s="1"/>
  <c r="O117" i="1"/>
  <c r="AD117" i="1" s="1"/>
  <c r="O129" i="1"/>
  <c r="AD129" i="1" s="1"/>
  <c r="O141" i="1"/>
  <c r="AD141" i="1" s="1"/>
  <c r="O153" i="1"/>
  <c r="AD153" i="1" s="1"/>
  <c r="O165" i="1"/>
  <c r="AD165" i="1" s="1"/>
  <c r="O177" i="1"/>
  <c r="AD177" i="1" s="1"/>
  <c r="O189" i="1"/>
  <c r="AD189" i="1" s="1"/>
  <c r="O201" i="1"/>
  <c r="AD201" i="1" s="1"/>
  <c r="O9" i="1"/>
  <c r="AD9" i="1" s="1"/>
  <c r="O21" i="1"/>
  <c r="AD21" i="1" s="1"/>
  <c r="O34" i="1"/>
  <c r="AD34" i="1" s="1"/>
  <c r="O46" i="1"/>
  <c r="AD46" i="1" s="1"/>
  <c r="O58" i="1"/>
  <c r="AD58" i="1" s="1"/>
  <c r="O70" i="1"/>
  <c r="AD70" i="1" s="1"/>
  <c r="O82" i="1"/>
  <c r="AD82" i="1" s="1"/>
  <c r="O94" i="1"/>
  <c r="AD94" i="1" s="1"/>
  <c r="O106" i="1"/>
  <c r="AD106" i="1" s="1"/>
  <c r="O118" i="1"/>
  <c r="AD118" i="1" s="1"/>
  <c r="O130" i="1"/>
  <c r="AD130" i="1" s="1"/>
  <c r="O142" i="1"/>
  <c r="AD142" i="1" s="1"/>
  <c r="O154" i="1"/>
  <c r="AD154" i="1" s="1"/>
  <c r="O166" i="1"/>
  <c r="AD166" i="1" s="1"/>
  <c r="O178" i="1"/>
  <c r="AD178" i="1" s="1"/>
  <c r="O190" i="1"/>
  <c r="AD190" i="1" s="1"/>
  <c r="O202" i="1"/>
  <c r="AD202" i="1" s="1"/>
  <c r="O10" i="1"/>
  <c r="AD10" i="1" s="1"/>
  <c r="O22" i="1"/>
  <c r="AD22" i="1" s="1"/>
  <c r="O35" i="1"/>
  <c r="AD35" i="1" s="1"/>
  <c r="O47" i="1"/>
  <c r="AD47" i="1" s="1"/>
  <c r="O59" i="1"/>
  <c r="AD59" i="1" s="1"/>
  <c r="O71" i="1"/>
  <c r="AD71" i="1" s="1"/>
  <c r="O83" i="1"/>
  <c r="AD83" i="1" s="1"/>
  <c r="O95" i="1"/>
  <c r="AD95" i="1" s="1"/>
  <c r="O107" i="1"/>
  <c r="AD107" i="1" s="1"/>
  <c r="O119" i="1"/>
  <c r="AD119" i="1" s="1"/>
  <c r="O131" i="1"/>
  <c r="AD131" i="1" s="1"/>
  <c r="O143" i="1"/>
  <c r="AD143" i="1" s="1"/>
  <c r="O155" i="1"/>
  <c r="AD155" i="1" s="1"/>
  <c r="O167" i="1"/>
  <c r="AD167" i="1" s="1"/>
  <c r="O179" i="1"/>
  <c r="AD179" i="1" s="1"/>
  <c r="O191" i="1"/>
  <c r="AD191" i="1" s="1"/>
  <c r="O203" i="1"/>
  <c r="AD203" i="1" s="1"/>
  <c r="O2" i="1"/>
  <c r="AD2" i="1" s="1"/>
  <c r="O11" i="1"/>
  <c r="AD11" i="1" s="1"/>
  <c r="O23" i="1"/>
  <c r="AD23" i="1" s="1"/>
  <c r="O36" i="1"/>
  <c r="AD36" i="1" s="1"/>
  <c r="O48" i="1"/>
  <c r="AD48" i="1" s="1"/>
  <c r="O60" i="1"/>
  <c r="AD60" i="1" s="1"/>
  <c r="O72" i="1"/>
  <c r="AD72" i="1" s="1"/>
  <c r="O84" i="1"/>
  <c r="AD84" i="1" s="1"/>
  <c r="O96" i="1"/>
  <c r="AD96" i="1" s="1"/>
  <c r="O108" i="1"/>
  <c r="AD108" i="1" s="1"/>
  <c r="O120" i="1"/>
  <c r="AD120" i="1" s="1"/>
  <c r="O132" i="1"/>
  <c r="AD132" i="1" s="1"/>
  <c r="O144" i="1"/>
  <c r="AD144" i="1" s="1"/>
  <c r="O156" i="1"/>
  <c r="AD156" i="1" s="1"/>
  <c r="O168" i="1"/>
  <c r="AD168" i="1" s="1"/>
  <c r="O180" i="1"/>
  <c r="AD180" i="1" s="1"/>
  <c r="O192" i="1"/>
  <c r="AD192" i="1" s="1"/>
  <c r="O204" i="1"/>
  <c r="AD204" i="1" s="1"/>
  <c r="O13" i="1"/>
  <c r="AD13" i="1" s="1"/>
  <c r="O25" i="1"/>
  <c r="AD25" i="1" s="1"/>
  <c r="O38" i="1"/>
  <c r="AD38" i="1" s="1"/>
  <c r="O50" i="1"/>
  <c r="AD50" i="1" s="1"/>
  <c r="O62" i="1"/>
  <c r="AD62" i="1" s="1"/>
  <c r="O74" i="1"/>
  <c r="AD74" i="1" s="1"/>
  <c r="O86" i="1"/>
  <c r="AD86" i="1" s="1"/>
  <c r="O98" i="1"/>
  <c r="AD98" i="1" s="1"/>
  <c r="O110" i="1"/>
  <c r="AD110" i="1" s="1"/>
  <c r="O122" i="1"/>
  <c r="AD122" i="1" s="1"/>
  <c r="O134" i="1"/>
  <c r="AD134" i="1" s="1"/>
  <c r="O146" i="1"/>
  <c r="AD146" i="1" s="1"/>
  <c r="O158" i="1"/>
  <c r="AD158" i="1" s="1"/>
  <c r="O170" i="1"/>
  <c r="AD170" i="1" s="1"/>
  <c r="O182" i="1"/>
  <c r="AD182" i="1" s="1"/>
  <c r="O194" i="1"/>
  <c r="AD194" i="1" s="1"/>
  <c r="O206" i="1"/>
  <c r="AD206" i="1" s="1"/>
  <c r="O14" i="1"/>
  <c r="AD14" i="1" s="1"/>
  <c r="O26" i="1"/>
  <c r="AD26" i="1" s="1"/>
  <c r="O39" i="1"/>
  <c r="AD39" i="1" s="1"/>
  <c r="O51" i="1"/>
  <c r="AD51" i="1" s="1"/>
  <c r="O63" i="1"/>
  <c r="AD63" i="1" s="1"/>
  <c r="O75" i="1"/>
  <c r="AD75" i="1" s="1"/>
  <c r="O87" i="1"/>
  <c r="AD87" i="1" s="1"/>
  <c r="O99" i="1"/>
  <c r="AD99" i="1" s="1"/>
  <c r="O111" i="1"/>
  <c r="AD111" i="1" s="1"/>
  <c r="O123" i="1"/>
  <c r="AD123" i="1" s="1"/>
  <c r="O135" i="1"/>
  <c r="AD135" i="1" s="1"/>
  <c r="O147" i="1"/>
  <c r="AD147" i="1" s="1"/>
  <c r="O159" i="1"/>
  <c r="AD159" i="1" s="1"/>
  <c r="O171" i="1"/>
  <c r="AD171" i="1" s="1"/>
  <c r="O183" i="1"/>
  <c r="AD183" i="1" s="1"/>
  <c r="O195" i="1"/>
  <c r="AD195" i="1" s="1"/>
  <c r="O145" i="1"/>
  <c r="AD145" i="1" s="1"/>
  <c r="O12" i="1"/>
  <c r="AD12" i="1" s="1"/>
  <c r="O157" i="1"/>
  <c r="AD157" i="1" s="1"/>
  <c r="O24" i="1"/>
  <c r="AD24" i="1" s="1"/>
  <c r="O169" i="1"/>
  <c r="AD169" i="1" s="1"/>
  <c r="O37" i="1"/>
  <c r="AD37" i="1" s="1"/>
  <c r="O181" i="1"/>
  <c r="AD181" i="1" s="1"/>
  <c r="O49" i="1"/>
  <c r="AD49" i="1" s="1"/>
  <c r="O193" i="1"/>
  <c r="AD193" i="1" s="1"/>
  <c r="O61" i="1"/>
  <c r="AD61" i="1" s="1"/>
  <c r="O205" i="1"/>
  <c r="AD205" i="1" s="1"/>
  <c r="O73" i="1"/>
  <c r="AD73" i="1" s="1"/>
  <c r="O85" i="1"/>
  <c r="AD85" i="1" s="1"/>
  <c r="O97" i="1"/>
  <c r="AD97" i="1" s="1"/>
  <c r="O133" i="1"/>
  <c r="AD133" i="1" s="1"/>
  <c r="O109" i="1"/>
  <c r="AD109" i="1" s="1"/>
  <c r="O121" i="1"/>
  <c r="AD121" i="1" s="1"/>
  <c r="C14" i="2"/>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68" i="1"/>
  <c r="J269" i="1"/>
  <c r="J270" i="1"/>
  <c r="J271" i="1"/>
  <c r="J272" i="1"/>
  <c r="J273" i="1"/>
  <c r="J321" i="1"/>
  <c r="J322" i="1"/>
  <c r="J323" i="1"/>
  <c r="J324" i="1"/>
  <c r="J325" i="1"/>
  <c r="J326" i="1"/>
  <c r="J374" i="1"/>
  <c r="J375" i="1"/>
  <c r="J376" i="1"/>
  <c r="J377" i="1"/>
  <c r="J378" i="1"/>
  <c r="J379" i="1"/>
  <c r="J380" i="1"/>
  <c r="J381" i="1"/>
  <c r="J382" i="1"/>
  <c r="J383" i="1"/>
  <c r="J384" i="1"/>
  <c r="J432" i="1"/>
  <c r="J433" i="1"/>
  <c r="J434" i="1"/>
  <c r="J435" i="1"/>
  <c r="J483" i="1"/>
  <c r="J484" i="1"/>
  <c r="J485" i="1"/>
  <c r="J486" i="1"/>
  <c r="J487" i="1"/>
  <c r="J488" i="1"/>
  <c r="J489" i="1"/>
  <c r="J2" i="1"/>
  <c r="AC4" i="1"/>
  <c r="AE4" i="1" s="1"/>
  <c r="AF4" i="1"/>
  <c r="AG4" i="1" l="1"/>
  <c r="AN4" i="1" s="1"/>
  <c r="S475" i="1"/>
  <c r="AK475" i="1"/>
  <c r="AL475" i="1" s="1"/>
  <c r="AO475" i="1" s="1"/>
  <c r="AP475" i="1" s="1"/>
  <c r="AQ475" i="1" s="1"/>
  <c r="AK525" i="1"/>
  <c r="AL525" i="1" s="1"/>
  <c r="AO525" i="1" s="1"/>
  <c r="AP525" i="1" s="1"/>
  <c r="AQ525" i="1" s="1"/>
  <c r="S525" i="1"/>
  <c r="AK436" i="1"/>
  <c r="AL436" i="1" s="1"/>
  <c r="AO436" i="1" s="1"/>
  <c r="AP436" i="1" s="1"/>
  <c r="S436" i="1"/>
  <c r="AK348" i="1"/>
  <c r="AL348" i="1" s="1"/>
  <c r="AO348" i="1" s="1"/>
  <c r="AP348" i="1" s="1"/>
  <c r="AQ348" i="1" s="1"/>
  <c r="S348" i="1"/>
  <c r="S229" i="1"/>
  <c r="AK229" i="1"/>
  <c r="AL229" i="1" s="1"/>
  <c r="AO229" i="1" s="1"/>
  <c r="AP229" i="1" s="1"/>
  <c r="AK313" i="1"/>
  <c r="AL313" i="1" s="1"/>
  <c r="AO313" i="1" s="1"/>
  <c r="AP313" i="1" s="1"/>
  <c r="AQ313" i="1" s="1"/>
  <c r="S313" i="1"/>
  <c r="AK474" i="1"/>
  <c r="AL474" i="1" s="1"/>
  <c r="AO474" i="1" s="1"/>
  <c r="AP474" i="1" s="1"/>
  <c r="AQ474" i="1" s="1"/>
  <c r="S474" i="1"/>
  <c r="S494" i="1"/>
  <c r="AK494" i="1"/>
  <c r="AL494" i="1" s="1"/>
  <c r="AO494" i="1" s="1"/>
  <c r="AP494" i="1" s="1"/>
  <c r="AK514" i="1"/>
  <c r="AL514" i="1" s="1"/>
  <c r="AO514" i="1" s="1"/>
  <c r="AP514" i="1" s="1"/>
  <c r="AQ514" i="1" s="1"/>
  <c r="S514" i="1"/>
  <c r="AK445" i="1"/>
  <c r="AL445" i="1" s="1"/>
  <c r="AO445" i="1" s="1"/>
  <c r="AP445" i="1" s="1"/>
  <c r="S445" i="1"/>
  <c r="AK472" i="1"/>
  <c r="AL472" i="1" s="1"/>
  <c r="AO472" i="1" s="1"/>
  <c r="AP472" i="1" s="1"/>
  <c r="AQ472" i="1" s="1"/>
  <c r="S472" i="1"/>
  <c r="AK455" i="1"/>
  <c r="AL455" i="1" s="1"/>
  <c r="AO455" i="1" s="1"/>
  <c r="AP455" i="1" s="1"/>
  <c r="S455" i="1"/>
  <c r="AK465" i="1"/>
  <c r="AL465" i="1" s="1"/>
  <c r="AO465" i="1" s="1"/>
  <c r="AP465" i="1" s="1"/>
  <c r="AQ465" i="1" s="1"/>
  <c r="S465" i="1"/>
  <c r="AK311" i="1"/>
  <c r="AL311" i="1" s="1"/>
  <c r="AO311" i="1" s="1"/>
  <c r="AP311" i="1" s="1"/>
  <c r="AQ311" i="1" s="1"/>
  <c r="S311" i="1"/>
  <c r="AK453" i="1"/>
  <c r="AL453" i="1" s="1"/>
  <c r="AO453" i="1" s="1"/>
  <c r="AP453" i="1" s="1"/>
  <c r="S453" i="1"/>
  <c r="AK461" i="1"/>
  <c r="AL461" i="1" s="1"/>
  <c r="AO461" i="1" s="1"/>
  <c r="AP461" i="1" s="1"/>
  <c r="AQ461" i="1" s="1"/>
  <c r="S461" i="1"/>
  <c r="AK473" i="1"/>
  <c r="AL473" i="1" s="1"/>
  <c r="AO473" i="1" s="1"/>
  <c r="AP473" i="1" s="1"/>
  <c r="AQ473" i="1" s="1"/>
  <c r="S473" i="1"/>
  <c r="AK212" i="1"/>
  <c r="AL212" i="1" s="1"/>
  <c r="AO212" i="1" s="1"/>
  <c r="AP212" i="1" s="1"/>
  <c r="S212" i="1"/>
  <c r="AK499" i="1"/>
  <c r="AL499" i="1" s="1"/>
  <c r="AO499" i="1" s="1"/>
  <c r="AP499" i="1" s="1"/>
  <c r="S499" i="1"/>
  <c r="AK406" i="1"/>
  <c r="AL406" i="1" s="1"/>
  <c r="AO406" i="1" s="1"/>
  <c r="AP406" i="1" s="1"/>
  <c r="AQ406" i="1" s="1"/>
  <c r="S406" i="1"/>
  <c r="AK252" i="1"/>
  <c r="AL252" i="1" s="1"/>
  <c r="AO252" i="1" s="1"/>
  <c r="AP252" i="1" s="1"/>
  <c r="S252" i="1"/>
  <c r="S279" i="1"/>
  <c r="AK279" i="1"/>
  <c r="AL279" i="1" s="1"/>
  <c r="AO279" i="1" s="1"/>
  <c r="AP279" i="1" s="1"/>
  <c r="AK464" i="1"/>
  <c r="AL464" i="1" s="1"/>
  <c r="AO464" i="1" s="1"/>
  <c r="AP464" i="1" s="1"/>
  <c r="AQ464" i="1" s="1"/>
  <c r="S464" i="1"/>
  <c r="AK249" i="1"/>
  <c r="AL249" i="1" s="1"/>
  <c r="AO249" i="1" s="1"/>
  <c r="AP249" i="1" s="1"/>
  <c r="AQ249" i="1" s="1"/>
  <c r="S249" i="1"/>
  <c r="S287" i="1"/>
  <c r="AK287" i="1"/>
  <c r="AL287" i="1" s="1"/>
  <c r="AO287" i="1" s="1"/>
  <c r="AP287" i="1" s="1"/>
  <c r="AK448" i="1"/>
  <c r="AL448" i="1" s="1"/>
  <c r="AO448" i="1" s="1"/>
  <c r="AP448" i="1" s="1"/>
  <c r="S448" i="1"/>
  <c r="S298" i="1"/>
  <c r="AK298" i="1"/>
  <c r="AL298" i="1" s="1"/>
  <c r="AO298" i="1" s="1"/>
  <c r="AP298" i="1" s="1"/>
  <c r="AQ298" i="1" s="1"/>
  <c r="AK526" i="1"/>
  <c r="AL526" i="1" s="1"/>
  <c r="AO526" i="1" s="1"/>
  <c r="AP526" i="1" s="1"/>
  <c r="AQ526" i="1" s="1"/>
  <c r="S526" i="1"/>
  <c r="AK507" i="1"/>
  <c r="AL507" i="1" s="1"/>
  <c r="AO507" i="1" s="1"/>
  <c r="AP507" i="1" s="1"/>
  <c r="S507" i="1"/>
  <c r="AK462" i="1"/>
  <c r="AL462" i="1" s="1"/>
  <c r="AO462" i="1" s="1"/>
  <c r="AP462" i="1" s="1"/>
  <c r="AQ462" i="1" s="1"/>
  <c r="S462" i="1"/>
  <c r="AK512" i="1"/>
  <c r="AL512" i="1" s="1"/>
  <c r="AO512" i="1" s="1"/>
  <c r="AP512" i="1" s="1"/>
  <c r="AQ512" i="1" s="1"/>
  <c r="S512" i="1"/>
  <c r="AK497" i="1"/>
  <c r="AL497" i="1" s="1"/>
  <c r="AO497" i="1" s="1"/>
  <c r="AP497" i="1" s="1"/>
  <c r="S497" i="1"/>
  <c r="AK331" i="1"/>
  <c r="AL331" i="1" s="1"/>
  <c r="AO331" i="1" s="1"/>
  <c r="AP331" i="1" s="1"/>
  <c r="S331" i="1"/>
  <c r="AK330" i="1"/>
  <c r="AL330" i="1" s="1"/>
  <c r="AO330" i="1" s="1"/>
  <c r="AP330" i="1" s="1"/>
  <c r="S330" i="1"/>
  <c r="S339" i="1"/>
  <c r="AK339" i="1"/>
  <c r="AL339" i="1" s="1"/>
  <c r="AO339" i="1" s="1"/>
  <c r="AP339" i="1" s="1"/>
  <c r="AK491" i="1"/>
  <c r="AL491" i="1" s="1"/>
  <c r="AO491" i="1" s="1"/>
  <c r="AP491" i="1" s="1"/>
  <c r="S491" i="1"/>
  <c r="AK529" i="1"/>
  <c r="AL529" i="1" s="1"/>
  <c r="AO529" i="1" s="1"/>
  <c r="AP529" i="1" s="1"/>
  <c r="AQ529" i="1" s="1"/>
  <c r="S529" i="1"/>
  <c r="AK520" i="1"/>
  <c r="AL520" i="1" s="1"/>
  <c r="AO520" i="1" s="1"/>
  <c r="AP520" i="1" s="1"/>
  <c r="AQ520" i="1" s="1"/>
  <c r="S520" i="1"/>
  <c r="AK451" i="1"/>
  <c r="AL451" i="1" s="1"/>
  <c r="AO451" i="1" s="1"/>
  <c r="AP451" i="1" s="1"/>
  <c r="S451" i="1"/>
  <c r="AK441" i="1"/>
  <c r="AL441" i="1" s="1"/>
  <c r="AO441" i="1" s="1"/>
  <c r="AP441" i="1" s="1"/>
  <c r="S441" i="1"/>
  <c r="AK343" i="1"/>
  <c r="AL343" i="1" s="1"/>
  <c r="AO343" i="1" s="1"/>
  <c r="AP343" i="1" s="1"/>
  <c r="S343" i="1"/>
  <c r="AK297" i="1"/>
  <c r="AL297" i="1" s="1"/>
  <c r="AO297" i="1" s="1"/>
  <c r="AP297" i="1" s="1"/>
  <c r="S297" i="1"/>
  <c r="AK365" i="1"/>
  <c r="AL365" i="1" s="1"/>
  <c r="AO365" i="1" s="1"/>
  <c r="AP365" i="1" s="1"/>
  <c r="AQ365" i="1" s="1"/>
  <c r="S365" i="1"/>
  <c r="S403" i="1"/>
  <c r="AK403" i="1"/>
  <c r="AL403" i="1" s="1"/>
  <c r="AO403" i="1" s="1"/>
  <c r="AP403" i="1" s="1"/>
  <c r="AK336" i="1"/>
  <c r="AL336" i="1" s="1"/>
  <c r="AO336" i="1" s="1"/>
  <c r="AP336" i="1" s="1"/>
  <c r="S336" i="1"/>
  <c r="AK356" i="1"/>
  <c r="AL356" i="1" s="1"/>
  <c r="AO356" i="1" s="1"/>
  <c r="AP356" i="1" s="1"/>
  <c r="AQ356" i="1" s="1"/>
  <c r="S356" i="1"/>
  <c r="AK301" i="1"/>
  <c r="AL301" i="1" s="1"/>
  <c r="AO301" i="1" s="1"/>
  <c r="AP301" i="1" s="1"/>
  <c r="AQ301" i="1" s="1"/>
  <c r="S301" i="1"/>
  <c r="AK341" i="1"/>
  <c r="AL341" i="1" s="1"/>
  <c r="AO341" i="1" s="1"/>
  <c r="AP341" i="1" s="1"/>
  <c r="S341" i="1"/>
  <c r="S281" i="1"/>
  <c r="AK281" i="1"/>
  <c r="AL281" i="1" s="1"/>
  <c r="AO281" i="1" s="1"/>
  <c r="AP281" i="1" s="1"/>
  <c r="AK449" i="1"/>
  <c r="AL449" i="1" s="1"/>
  <c r="AO449" i="1" s="1"/>
  <c r="AP449" i="1" s="1"/>
  <c r="S449" i="1"/>
  <c r="AK516" i="1"/>
  <c r="AL516" i="1" s="1"/>
  <c r="AO516" i="1" s="1"/>
  <c r="AP516" i="1" s="1"/>
  <c r="AQ516" i="1" s="1"/>
  <c r="S516" i="1"/>
  <c r="AK490" i="1"/>
  <c r="AL490" i="1" s="1"/>
  <c r="AO490" i="1" s="1"/>
  <c r="AP490" i="1" s="1"/>
  <c r="S490" i="1"/>
  <c r="AK521" i="1"/>
  <c r="AL521" i="1" s="1"/>
  <c r="AO521" i="1" s="1"/>
  <c r="AP521" i="1" s="1"/>
  <c r="S521" i="1"/>
  <c r="AK295" i="1"/>
  <c r="AL295" i="1" s="1"/>
  <c r="AO295" i="1" s="1"/>
  <c r="AP295" i="1" s="1"/>
  <c r="AQ295" i="1" s="1"/>
  <c r="S295" i="1"/>
  <c r="AK274" i="1"/>
  <c r="AL274" i="1" s="1"/>
  <c r="AO274" i="1" s="1"/>
  <c r="AP274" i="1" s="1"/>
  <c r="S274" i="1"/>
  <c r="AK300" i="1"/>
  <c r="AL300" i="1" s="1"/>
  <c r="AO300" i="1" s="1"/>
  <c r="AP300" i="1" s="1"/>
  <c r="AQ300" i="1" s="1"/>
  <c r="S300" i="1"/>
  <c r="AK404" i="1"/>
  <c r="AL404" i="1" s="1"/>
  <c r="AO404" i="1" s="1"/>
  <c r="AP404" i="1" s="1"/>
  <c r="S404" i="1"/>
  <c r="S419" i="1"/>
  <c r="AK419" i="1"/>
  <c r="AL419" i="1" s="1"/>
  <c r="AO419" i="1" s="1"/>
  <c r="AP419" i="1" s="1"/>
  <c r="AQ419" i="1" s="1"/>
  <c r="AK515" i="1"/>
  <c r="AL515" i="1" s="1"/>
  <c r="AO515" i="1" s="1"/>
  <c r="AP515" i="1" s="1"/>
  <c r="AQ515" i="1" s="1"/>
  <c r="S515" i="1"/>
  <c r="AK467" i="1"/>
  <c r="AL467" i="1" s="1"/>
  <c r="AO467" i="1" s="1"/>
  <c r="AP467" i="1" s="1"/>
  <c r="S467" i="1"/>
  <c r="S454" i="1"/>
  <c r="AK454" i="1"/>
  <c r="AL454" i="1" s="1"/>
  <c r="AO454" i="1" s="1"/>
  <c r="AP454" i="1" s="1"/>
  <c r="AK413" i="1"/>
  <c r="AL413" i="1" s="1"/>
  <c r="AO413" i="1" s="1"/>
  <c r="AP413" i="1" s="1"/>
  <c r="AQ413" i="1" s="1"/>
  <c r="S413" i="1"/>
  <c r="AK357" i="1"/>
  <c r="AL357" i="1" s="1"/>
  <c r="AO357" i="1" s="1"/>
  <c r="AP357" i="1" s="1"/>
  <c r="AQ357" i="1" s="1"/>
  <c r="S357" i="1"/>
  <c r="AK292" i="1"/>
  <c r="AL292" i="1" s="1"/>
  <c r="AO292" i="1" s="1"/>
  <c r="AP292" i="1" s="1"/>
  <c r="S292" i="1"/>
  <c r="S458" i="1"/>
  <c r="AK458" i="1"/>
  <c r="AL458" i="1" s="1"/>
  <c r="AO458" i="1" s="1"/>
  <c r="AP458" i="1" s="1"/>
  <c r="AQ458" i="1" s="1"/>
  <c r="AK240" i="1"/>
  <c r="AL240" i="1" s="1"/>
  <c r="AO240" i="1" s="1"/>
  <c r="AP240" i="1" s="1"/>
  <c r="S240" i="1"/>
  <c r="S399" i="1"/>
  <c r="AK399" i="1"/>
  <c r="AL399" i="1" s="1"/>
  <c r="AO399" i="1" s="1"/>
  <c r="AP399" i="1" s="1"/>
  <c r="S250" i="1"/>
  <c r="AK250" i="1"/>
  <c r="AL250" i="1" s="1"/>
  <c r="AO250" i="1" s="1"/>
  <c r="AP250" i="1" s="1"/>
  <c r="AQ250" i="1" s="1"/>
  <c r="S424" i="1"/>
  <c r="AK424" i="1"/>
  <c r="AL424" i="1" s="1"/>
  <c r="AO424" i="1" s="1"/>
  <c r="AP424" i="1" s="1"/>
  <c r="AQ424" i="1" s="1"/>
  <c r="S510" i="1"/>
  <c r="AK510" i="1"/>
  <c r="AL510" i="1" s="1"/>
  <c r="AO510" i="1" s="1"/>
  <c r="AP510" i="1" s="1"/>
  <c r="AQ510" i="1" s="1"/>
  <c r="AK366" i="1"/>
  <c r="AL366" i="1" s="1"/>
  <c r="AO366" i="1" s="1"/>
  <c r="AP366" i="1" s="1"/>
  <c r="AQ366" i="1" s="1"/>
  <c r="S366" i="1"/>
  <c r="AK522" i="1"/>
  <c r="AL522" i="1" s="1"/>
  <c r="AO522" i="1" s="1"/>
  <c r="AP522" i="1" s="1"/>
  <c r="AQ522" i="1" s="1"/>
  <c r="S522" i="1"/>
  <c r="AK495" i="1"/>
  <c r="AL495" i="1" s="1"/>
  <c r="AO495" i="1" s="1"/>
  <c r="AP495" i="1" s="1"/>
  <c r="S495" i="1"/>
  <c r="AK225" i="1"/>
  <c r="AL225" i="1" s="1"/>
  <c r="AO225" i="1" s="1"/>
  <c r="AP225" i="1" s="1"/>
  <c r="S225" i="1"/>
  <c r="AK328" i="1"/>
  <c r="AL328" i="1" s="1"/>
  <c r="AO328" i="1" s="1"/>
  <c r="AP328" i="1" s="1"/>
  <c r="S328" i="1"/>
  <c r="AK401" i="1"/>
  <c r="AL401" i="1" s="1"/>
  <c r="AO401" i="1" s="1"/>
  <c r="AP401" i="1" s="1"/>
  <c r="S401" i="1"/>
  <c r="AK232" i="1"/>
  <c r="AL232" i="1" s="1"/>
  <c r="AO232" i="1" s="1"/>
  <c r="AP232" i="1" s="1"/>
  <c r="S232" i="1"/>
  <c r="AK392" i="1"/>
  <c r="AL392" i="1" s="1"/>
  <c r="AO392" i="1" s="1"/>
  <c r="AP392" i="1" s="1"/>
  <c r="S392" i="1"/>
  <c r="AK443" i="1"/>
  <c r="AL443" i="1" s="1"/>
  <c r="AO443" i="1" s="1"/>
  <c r="AP443" i="1" s="1"/>
  <c r="S443" i="1"/>
  <c r="AK408" i="1"/>
  <c r="AL408" i="1" s="1"/>
  <c r="AO408" i="1" s="1"/>
  <c r="AP408" i="1" s="1"/>
  <c r="S408" i="1"/>
  <c r="AK396" i="1"/>
  <c r="AL396" i="1" s="1"/>
  <c r="AO396" i="1" s="1"/>
  <c r="AP396" i="1" s="1"/>
  <c r="S396" i="1"/>
  <c r="AK511" i="1"/>
  <c r="AL511" i="1" s="1"/>
  <c r="AO511" i="1" s="1"/>
  <c r="AP511" i="1" s="1"/>
  <c r="AQ511" i="1" s="1"/>
  <c r="S511" i="1"/>
  <c r="AK501" i="1"/>
  <c r="AL501" i="1" s="1"/>
  <c r="AO501" i="1" s="1"/>
  <c r="AP501" i="1" s="1"/>
  <c r="S501" i="1"/>
  <c r="AK294" i="1"/>
  <c r="AL294" i="1" s="1"/>
  <c r="AO294" i="1" s="1"/>
  <c r="AP294" i="1" s="1"/>
  <c r="AQ294" i="1" s="1"/>
  <c r="S294" i="1"/>
  <c r="AK253" i="1"/>
  <c r="AL253" i="1" s="1"/>
  <c r="AO253" i="1" s="1"/>
  <c r="AP253" i="1" s="1"/>
  <c r="AQ253" i="1" s="1"/>
  <c r="S253" i="1"/>
  <c r="AK444" i="1"/>
  <c r="AL444" i="1" s="1"/>
  <c r="AO444" i="1" s="1"/>
  <c r="AP444" i="1" s="1"/>
  <c r="S444" i="1"/>
  <c r="AK259" i="1"/>
  <c r="AL259" i="1" s="1"/>
  <c r="AO259" i="1" s="1"/>
  <c r="AP259" i="1" s="1"/>
  <c r="AQ259" i="1" s="1"/>
  <c r="S259" i="1"/>
  <c r="AK527" i="1"/>
  <c r="AL527" i="1" s="1"/>
  <c r="AO527" i="1" s="1"/>
  <c r="AP527" i="1" s="1"/>
  <c r="AQ527" i="1" s="1"/>
  <c r="S527" i="1"/>
  <c r="S442" i="1"/>
  <c r="AK442" i="1"/>
  <c r="AL442" i="1" s="1"/>
  <c r="AO442" i="1" s="1"/>
  <c r="AP442" i="1" s="1"/>
  <c r="AK213" i="1"/>
  <c r="AL213" i="1" s="1"/>
  <c r="AO213" i="1" s="1"/>
  <c r="AP213" i="1" s="1"/>
  <c r="S213" i="1"/>
  <c r="AK222" i="1"/>
  <c r="AL222" i="1" s="1"/>
  <c r="AO222" i="1" s="1"/>
  <c r="AP222" i="1" s="1"/>
  <c r="S222" i="1"/>
  <c r="AK450" i="1"/>
  <c r="AL450" i="1" s="1"/>
  <c r="AO450" i="1" s="1"/>
  <c r="AP450" i="1" s="1"/>
  <c r="S450" i="1"/>
  <c r="AK437" i="1"/>
  <c r="AL437" i="1" s="1"/>
  <c r="AO437" i="1" s="1"/>
  <c r="AP437" i="1" s="1"/>
  <c r="S437" i="1"/>
  <c r="AK528" i="1"/>
  <c r="AL528" i="1" s="1"/>
  <c r="AO528" i="1" s="1"/>
  <c r="AP528" i="1" s="1"/>
  <c r="AQ528" i="1" s="1"/>
  <c r="S528" i="1"/>
  <c r="AK361" i="1"/>
  <c r="AL361" i="1" s="1"/>
  <c r="AO361" i="1" s="1"/>
  <c r="AP361" i="1" s="1"/>
  <c r="AQ361" i="1" s="1"/>
  <c r="S361" i="1"/>
  <c r="AK334" i="1"/>
  <c r="AL334" i="1" s="1"/>
  <c r="AO334" i="1" s="1"/>
  <c r="AP334" i="1" s="1"/>
  <c r="S334" i="1"/>
  <c r="AK407" i="1"/>
  <c r="AL407" i="1" s="1"/>
  <c r="AO407" i="1" s="1"/>
  <c r="AP407" i="1" s="1"/>
  <c r="AQ407" i="1" s="1"/>
  <c r="S407" i="1"/>
  <c r="AK400" i="1"/>
  <c r="AL400" i="1" s="1"/>
  <c r="AO400" i="1" s="1"/>
  <c r="AP400" i="1" s="1"/>
  <c r="S400" i="1"/>
  <c r="AK438" i="1"/>
  <c r="AL438" i="1" s="1"/>
  <c r="AO438" i="1" s="1"/>
  <c r="AP438" i="1" s="1"/>
  <c r="S438" i="1"/>
  <c r="S391" i="1"/>
  <c r="AK391" i="1"/>
  <c r="AL391" i="1" s="1"/>
  <c r="AO391" i="1" s="1"/>
  <c r="AP391" i="1" s="1"/>
  <c r="AK246" i="1"/>
  <c r="AL246" i="1" s="1"/>
  <c r="AO246" i="1" s="1"/>
  <c r="AP246" i="1" s="1"/>
  <c r="AQ246" i="1" s="1"/>
  <c r="S246" i="1"/>
  <c r="S389" i="1"/>
  <c r="AK389" i="1"/>
  <c r="AL389" i="1" s="1"/>
  <c r="AO389" i="1" s="1"/>
  <c r="AP389" i="1" s="1"/>
  <c r="AK402" i="1"/>
  <c r="AL402" i="1" s="1"/>
  <c r="AO402" i="1" s="1"/>
  <c r="AP402" i="1" s="1"/>
  <c r="S402" i="1"/>
  <c r="S390" i="1"/>
  <c r="AK390" i="1"/>
  <c r="AL390" i="1" s="1"/>
  <c r="AO390" i="1" s="1"/>
  <c r="AP390" i="1" s="1"/>
  <c r="AK531" i="1"/>
  <c r="AL531" i="1" s="1"/>
  <c r="AO531" i="1" s="1"/>
  <c r="AP531" i="1" s="1"/>
  <c r="AQ531" i="1" s="1"/>
  <c r="S531" i="1"/>
  <c r="S329" i="1"/>
  <c r="AK329" i="1"/>
  <c r="AL329" i="1" s="1"/>
  <c r="AO329" i="1" s="1"/>
  <c r="AP329" i="1" s="1"/>
  <c r="AK288" i="1"/>
  <c r="AL288" i="1" s="1"/>
  <c r="AO288" i="1" s="1"/>
  <c r="AP288" i="1" s="1"/>
  <c r="S288" i="1"/>
  <c r="AK468" i="1"/>
  <c r="AL468" i="1" s="1"/>
  <c r="AO468" i="1" s="1"/>
  <c r="AP468" i="1" s="1"/>
  <c r="AQ468" i="1" s="1"/>
  <c r="S468" i="1"/>
  <c r="S364" i="1"/>
  <c r="AK364" i="1"/>
  <c r="AL364" i="1" s="1"/>
  <c r="AO364" i="1" s="1"/>
  <c r="AP364" i="1" s="1"/>
  <c r="AQ364" i="1" s="1"/>
  <c r="AK248" i="1"/>
  <c r="AL248" i="1" s="1"/>
  <c r="AO248" i="1" s="1"/>
  <c r="AP248" i="1" s="1"/>
  <c r="AQ248" i="1" s="1"/>
  <c r="S248" i="1"/>
  <c r="S226" i="1"/>
  <c r="AK226" i="1"/>
  <c r="AL226" i="1" s="1"/>
  <c r="AO226" i="1" s="1"/>
  <c r="AP226" i="1" s="1"/>
  <c r="S335" i="1"/>
  <c r="AK335" i="1"/>
  <c r="AL335" i="1" s="1"/>
  <c r="AO335" i="1" s="1"/>
  <c r="AP335" i="1" s="1"/>
  <c r="S523" i="1"/>
  <c r="AK523" i="1"/>
  <c r="AL523" i="1" s="1"/>
  <c r="AO523" i="1" s="1"/>
  <c r="AP523" i="1" s="1"/>
  <c r="AQ523" i="1" s="1"/>
  <c r="AK247" i="1"/>
  <c r="AL247" i="1" s="1"/>
  <c r="AO247" i="1" s="1"/>
  <c r="AP247" i="1" s="1"/>
  <c r="AQ247" i="1" s="1"/>
  <c r="S247" i="1"/>
  <c r="AK261" i="1"/>
  <c r="AL261" i="1" s="1"/>
  <c r="AO261" i="1" s="1"/>
  <c r="AP261" i="1" s="1"/>
  <c r="AQ261" i="1" s="1"/>
  <c r="S261" i="1"/>
  <c r="AK258" i="1"/>
  <c r="AL258" i="1" s="1"/>
  <c r="AO258" i="1" s="1"/>
  <c r="AP258" i="1" s="1"/>
  <c r="AQ258" i="1" s="1"/>
  <c r="S258" i="1"/>
  <c r="AK342" i="1"/>
  <c r="AL342" i="1" s="1"/>
  <c r="AO342" i="1" s="1"/>
  <c r="AP342" i="1" s="1"/>
  <c r="S342" i="1"/>
  <c r="AK224" i="1"/>
  <c r="AL224" i="1" s="1"/>
  <c r="AO224" i="1" s="1"/>
  <c r="AP224" i="1" s="1"/>
  <c r="S224" i="1"/>
  <c r="AK315" i="1"/>
  <c r="AL315" i="1" s="1"/>
  <c r="AO315" i="1" s="1"/>
  <c r="AP315" i="1" s="1"/>
  <c r="AQ315" i="1" s="1"/>
  <c r="S315" i="1"/>
  <c r="AK338" i="1"/>
  <c r="AL338" i="1" s="1"/>
  <c r="AO338" i="1" s="1"/>
  <c r="AP338" i="1" s="1"/>
  <c r="S338" i="1"/>
  <c r="S231" i="1"/>
  <c r="AK231" i="1"/>
  <c r="AL231" i="1" s="1"/>
  <c r="AO231" i="1" s="1"/>
  <c r="AP231" i="1" s="1"/>
  <c r="AK291" i="1"/>
  <c r="AL291" i="1" s="1"/>
  <c r="AO291" i="1" s="1"/>
  <c r="AP291" i="1" s="1"/>
  <c r="S291" i="1"/>
  <c r="S307" i="1"/>
  <c r="AK307" i="1"/>
  <c r="AL307" i="1" s="1"/>
  <c r="AO307" i="1" s="1"/>
  <c r="AP307" i="1" s="1"/>
  <c r="AQ307" i="1" s="1"/>
  <c r="AK238" i="1"/>
  <c r="AL238" i="1" s="1"/>
  <c r="AO238" i="1" s="1"/>
  <c r="AP238" i="1" s="1"/>
  <c r="S238" i="1"/>
  <c r="AK251" i="1"/>
  <c r="AL251" i="1" s="1"/>
  <c r="AO251" i="1" s="1"/>
  <c r="AP251" i="1" s="1"/>
  <c r="AQ251" i="1" s="1"/>
  <c r="S251" i="1"/>
  <c r="AK234" i="1"/>
  <c r="AL234" i="1" s="1"/>
  <c r="AO234" i="1" s="1"/>
  <c r="AP234" i="1" s="1"/>
  <c r="S234" i="1"/>
  <c r="AK387" i="1"/>
  <c r="AL387" i="1" s="1"/>
  <c r="AO387" i="1" s="1"/>
  <c r="AP387" i="1" s="1"/>
  <c r="S387" i="1"/>
  <c r="S388" i="1"/>
  <c r="AK388" i="1"/>
  <c r="AL388" i="1" s="1"/>
  <c r="AO388" i="1" s="1"/>
  <c r="AP388" i="1" s="1"/>
  <c r="AK306" i="1"/>
  <c r="AL306" i="1" s="1"/>
  <c r="AO306" i="1" s="1"/>
  <c r="AP306" i="1" s="1"/>
  <c r="AQ306" i="1" s="1"/>
  <c r="S306" i="1"/>
  <c r="AK220" i="1"/>
  <c r="AL220" i="1" s="1"/>
  <c r="AO220" i="1" s="1"/>
  <c r="AP220" i="1" s="1"/>
  <c r="S220" i="1"/>
  <c r="AK233" i="1"/>
  <c r="AL233" i="1" s="1"/>
  <c r="AO233" i="1" s="1"/>
  <c r="AP233" i="1" s="1"/>
  <c r="S233" i="1"/>
  <c r="AK314" i="1"/>
  <c r="AL314" i="1" s="1"/>
  <c r="AO314" i="1" s="1"/>
  <c r="AP314" i="1" s="1"/>
  <c r="AQ314" i="1" s="1"/>
  <c r="S314" i="1"/>
  <c r="AK355" i="1"/>
  <c r="AL355" i="1" s="1"/>
  <c r="AO355" i="1" s="1"/>
  <c r="AP355" i="1" s="1"/>
  <c r="AQ355" i="1" s="1"/>
  <c r="S355" i="1"/>
  <c r="S386" i="1"/>
  <c r="AK386" i="1"/>
  <c r="AL386" i="1" s="1"/>
  <c r="AO386" i="1" s="1"/>
  <c r="AP386" i="1" s="1"/>
  <c r="AK476" i="1"/>
  <c r="AL476" i="1" s="1"/>
  <c r="AO476" i="1" s="1"/>
  <c r="AP476" i="1" s="1"/>
  <c r="AQ476" i="1" s="1"/>
  <c r="S476" i="1"/>
  <c r="AK235" i="1"/>
  <c r="AL235" i="1" s="1"/>
  <c r="AO235" i="1" s="1"/>
  <c r="AP235" i="1" s="1"/>
  <c r="S235" i="1"/>
  <c r="S362" i="1"/>
  <c r="AK362" i="1"/>
  <c r="AL362" i="1" s="1"/>
  <c r="AO362" i="1" s="1"/>
  <c r="AP362" i="1" s="1"/>
  <c r="AQ362" i="1" s="1"/>
  <c r="AK470" i="1"/>
  <c r="AL470" i="1" s="1"/>
  <c r="AO470" i="1" s="1"/>
  <c r="AP470" i="1" s="1"/>
  <c r="AQ470" i="1" s="1"/>
  <c r="S470" i="1"/>
  <c r="AK421" i="1"/>
  <c r="AL421" i="1" s="1"/>
  <c r="AO421" i="1" s="1"/>
  <c r="AP421" i="1" s="1"/>
  <c r="AQ421" i="1" s="1"/>
  <c r="S421" i="1"/>
  <c r="AK422" i="1"/>
  <c r="AL422" i="1" s="1"/>
  <c r="AO422" i="1" s="1"/>
  <c r="AP422" i="1" s="1"/>
  <c r="AQ422" i="1" s="1"/>
  <c r="S422" i="1"/>
  <c r="AK214" i="1"/>
  <c r="AL214" i="1" s="1"/>
  <c r="AO214" i="1" s="1"/>
  <c r="AP214" i="1" s="1"/>
  <c r="S214" i="1"/>
  <c r="AK257" i="1"/>
  <c r="AL257" i="1" s="1"/>
  <c r="AO257" i="1" s="1"/>
  <c r="AP257" i="1" s="1"/>
  <c r="AQ257" i="1" s="1"/>
  <c r="S257" i="1"/>
  <c r="S219" i="1"/>
  <c r="AK219" i="1"/>
  <c r="AL219" i="1" s="1"/>
  <c r="AO219" i="1" s="1"/>
  <c r="AP219" i="1" s="1"/>
  <c r="AK452" i="1"/>
  <c r="AL452" i="1" s="1"/>
  <c r="AO452" i="1" s="1"/>
  <c r="AP452" i="1" s="1"/>
  <c r="S452" i="1"/>
  <c r="AK414" i="1"/>
  <c r="AL414" i="1" s="1"/>
  <c r="AO414" i="1" s="1"/>
  <c r="AP414" i="1" s="1"/>
  <c r="AQ414" i="1" s="1"/>
  <c r="S414" i="1"/>
  <c r="AK363" i="1"/>
  <c r="AL363" i="1" s="1"/>
  <c r="AO363" i="1" s="1"/>
  <c r="AP363" i="1" s="1"/>
  <c r="AQ363" i="1" s="1"/>
  <c r="S363" i="1"/>
  <c r="AK385" i="1"/>
  <c r="AL385" i="1" s="1"/>
  <c r="AO385" i="1" s="1"/>
  <c r="AP385" i="1" s="1"/>
  <c r="S385" i="1"/>
  <c r="S254" i="1"/>
  <c r="AK254" i="1"/>
  <c r="AL254" i="1" s="1"/>
  <c r="AO254" i="1" s="1"/>
  <c r="AP254" i="1" s="1"/>
  <c r="AQ254" i="1" s="1"/>
  <c r="AK241" i="1"/>
  <c r="AL241" i="1" s="1"/>
  <c r="AO241" i="1" s="1"/>
  <c r="AP241" i="1" s="1"/>
  <c r="AQ241" i="1" s="1"/>
  <c r="S241" i="1"/>
  <c r="AK417" i="1"/>
  <c r="AL417" i="1" s="1"/>
  <c r="AO417" i="1" s="1"/>
  <c r="AP417" i="1" s="1"/>
  <c r="AQ417" i="1" s="1"/>
  <c r="S417" i="1"/>
  <c r="AK508" i="1"/>
  <c r="AL508" i="1" s="1"/>
  <c r="AO508" i="1" s="1"/>
  <c r="AP508" i="1" s="1"/>
  <c r="S508" i="1"/>
  <c r="AK293" i="1"/>
  <c r="AL293" i="1" s="1"/>
  <c r="AO293" i="1" s="1"/>
  <c r="AP293" i="1" s="1"/>
  <c r="S293" i="1"/>
  <c r="S302" i="1"/>
  <c r="AK302" i="1"/>
  <c r="AL302" i="1" s="1"/>
  <c r="AO302" i="1" s="1"/>
  <c r="AP302" i="1" s="1"/>
  <c r="AQ302" i="1" s="1"/>
  <c r="AK425" i="1"/>
  <c r="AL425" i="1" s="1"/>
  <c r="AO425" i="1" s="1"/>
  <c r="AP425" i="1" s="1"/>
  <c r="AQ425" i="1" s="1"/>
  <c r="S425" i="1"/>
  <c r="S215" i="1"/>
  <c r="AK215" i="1"/>
  <c r="AL215" i="1" s="1"/>
  <c r="AO215" i="1" s="1"/>
  <c r="AP215" i="1" s="1"/>
  <c r="AK260" i="1"/>
  <c r="AL260" i="1" s="1"/>
  <c r="AO260" i="1" s="1"/>
  <c r="AP260" i="1" s="1"/>
  <c r="AQ260" i="1" s="1"/>
  <c r="S260" i="1"/>
  <c r="S277" i="1"/>
  <c r="AK277" i="1"/>
  <c r="AL277" i="1" s="1"/>
  <c r="AO277" i="1" s="1"/>
  <c r="AP277" i="1" s="1"/>
  <c r="AK519" i="1"/>
  <c r="AL519" i="1" s="1"/>
  <c r="AO519" i="1" s="1"/>
  <c r="AP519" i="1" s="1"/>
  <c r="AQ519" i="1" s="1"/>
  <c r="S519" i="1"/>
  <c r="AK447" i="1"/>
  <c r="AL447" i="1" s="1"/>
  <c r="AO447" i="1" s="1"/>
  <c r="AP447" i="1" s="1"/>
  <c r="S447" i="1"/>
  <c r="AK359" i="1"/>
  <c r="AL359" i="1" s="1"/>
  <c r="AO359" i="1" s="1"/>
  <c r="AP359" i="1" s="1"/>
  <c r="AQ359" i="1" s="1"/>
  <c r="S359" i="1"/>
  <c r="AK353" i="1"/>
  <c r="AL353" i="1" s="1"/>
  <c r="AO353" i="1" s="1"/>
  <c r="AP353" i="1" s="1"/>
  <c r="AQ353" i="1" s="1"/>
  <c r="S353" i="1"/>
  <c r="S223" i="1"/>
  <c r="AK223" i="1"/>
  <c r="AL223" i="1" s="1"/>
  <c r="AO223" i="1" s="1"/>
  <c r="AP223" i="1" s="1"/>
  <c r="AK351" i="1"/>
  <c r="AL351" i="1" s="1"/>
  <c r="AO351" i="1" s="1"/>
  <c r="AP351" i="1" s="1"/>
  <c r="AQ351" i="1" s="1"/>
  <c r="S351" i="1"/>
  <c r="S360" i="1"/>
  <c r="AK360" i="1"/>
  <c r="AL360" i="1" s="1"/>
  <c r="AO360" i="1" s="1"/>
  <c r="AP360" i="1" s="1"/>
  <c r="AQ360" i="1" s="1"/>
  <c r="AK304" i="1"/>
  <c r="AL304" i="1" s="1"/>
  <c r="AO304" i="1" s="1"/>
  <c r="AP304" i="1" s="1"/>
  <c r="AQ304" i="1" s="1"/>
  <c r="S304" i="1"/>
  <c r="AK227" i="1"/>
  <c r="AL227" i="1" s="1"/>
  <c r="AO227" i="1" s="1"/>
  <c r="AP227" i="1" s="1"/>
  <c r="S227" i="1"/>
  <c r="AK296" i="1"/>
  <c r="AL296" i="1" s="1"/>
  <c r="AO296" i="1" s="1"/>
  <c r="AP296" i="1" s="1"/>
  <c r="AQ296" i="1" s="1"/>
  <c r="S296" i="1"/>
  <c r="AK415" i="1"/>
  <c r="AL415" i="1" s="1"/>
  <c r="AO415" i="1" s="1"/>
  <c r="AP415" i="1" s="1"/>
  <c r="AQ415" i="1" s="1"/>
  <c r="S415" i="1"/>
  <c r="AK358" i="1"/>
  <c r="AL358" i="1" s="1"/>
  <c r="AO358" i="1" s="1"/>
  <c r="AP358" i="1" s="1"/>
  <c r="S358" i="1"/>
  <c r="AK394" i="1"/>
  <c r="AL394" i="1" s="1"/>
  <c r="AO394" i="1" s="1"/>
  <c r="AP394" i="1" s="1"/>
  <c r="S394" i="1"/>
  <c r="AK239" i="1"/>
  <c r="AL239" i="1" s="1"/>
  <c r="AO239" i="1" s="1"/>
  <c r="AP239" i="1" s="1"/>
  <c r="S239" i="1"/>
  <c r="S289" i="1"/>
  <c r="AK289" i="1"/>
  <c r="AL289" i="1" s="1"/>
  <c r="AO289" i="1" s="1"/>
  <c r="AP289" i="1" s="1"/>
  <c r="AK504" i="1"/>
  <c r="AL504" i="1" s="1"/>
  <c r="AO504" i="1" s="1"/>
  <c r="AP504" i="1" s="1"/>
  <c r="S504" i="1"/>
  <c r="AK242" i="1"/>
  <c r="AL242" i="1" s="1"/>
  <c r="AO242" i="1" s="1"/>
  <c r="AP242" i="1" s="1"/>
  <c r="AQ242" i="1" s="1"/>
  <c r="S242" i="1"/>
  <c r="S513" i="1"/>
  <c r="AK513" i="1"/>
  <c r="AL513" i="1" s="1"/>
  <c r="AO513" i="1" s="1"/>
  <c r="AP513" i="1" s="1"/>
  <c r="AK457" i="1"/>
  <c r="AL457" i="1" s="1"/>
  <c r="AO457" i="1" s="1"/>
  <c r="AP457" i="1" s="1"/>
  <c r="AQ457" i="1" s="1"/>
  <c r="S457" i="1"/>
  <c r="AK333" i="1"/>
  <c r="AL333" i="1" s="1"/>
  <c r="AO333" i="1" s="1"/>
  <c r="AP333" i="1" s="1"/>
  <c r="S333" i="1"/>
  <c r="AK367" i="1"/>
  <c r="AL367" i="1" s="1"/>
  <c r="AO367" i="1" s="1"/>
  <c r="AP367" i="1" s="1"/>
  <c r="AQ367" i="1" s="1"/>
  <c r="S367" i="1"/>
  <c r="S439" i="1"/>
  <c r="AK439" i="1"/>
  <c r="AL439" i="1" s="1"/>
  <c r="AO439" i="1" s="1"/>
  <c r="AP439" i="1" s="1"/>
  <c r="AK354" i="1"/>
  <c r="AL354" i="1" s="1"/>
  <c r="AO354" i="1" s="1"/>
  <c r="AP354" i="1" s="1"/>
  <c r="AQ354" i="1" s="1"/>
  <c r="S354" i="1"/>
  <c r="AK305" i="1"/>
  <c r="AL305" i="1" s="1"/>
  <c r="AO305" i="1" s="1"/>
  <c r="AP305" i="1" s="1"/>
  <c r="S305" i="1"/>
  <c r="AK346" i="1"/>
  <c r="AL346" i="1" s="1"/>
  <c r="AO346" i="1" s="1"/>
  <c r="AP346" i="1" s="1"/>
  <c r="S346" i="1"/>
  <c r="AK426" i="1"/>
  <c r="AL426" i="1" s="1"/>
  <c r="AO426" i="1" s="1"/>
  <c r="AP426" i="1" s="1"/>
  <c r="AQ426" i="1" s="1"/>
  <c r="S426" i="1"/>
  <c r="AK411" i="1"/>
  <c r="AL411" i="1" s="1"/>
  <c r="AO411" i="1" s="1"/>
  <c r="AP411" i="1" s="1"/>
  <c r="AQ411" i="1" s="1"/>
  <c r="S411" i="1"/>
  <c r="AK245" i="1"/>
  <c r="AL245" i="1" s="1"/>
  <c r="AO245" i="1" s="1"/>
  <c r="AP245" i="1" s="1"/>
  <c r="AQ245" i="1" s="1"/>
  <c r="S245" i="1"/>
  <c r="AK244" i="1"/>
  <c r="AL244" i="1" s="1"/>
  <c r="AO244" i="1" s="1"/>
  <c r="AP244" i="1" s="1"/>
  <c r="S244" i="1"/>
  <c r="AK243" i="1"/>
  <c r="AL243" i="1" s="1"/>
  <c r="AO243" i="1" s="1"/>
  <c r="AP243" i="1" s="1"/>
  <c r="AQ243" i="1" s="1"/>
  <c r="S243" i="1"/>
  <c r="AK236" i="1"/>
  <c r="AL236" i="1" s="1"/>
  <c r="AO236" i="1" s="1"/>
  <c r="AP236" i="1" s="1"/>
  <c r="S236" i="1"/>
  <c r="AK255" i="1"/>
  <c r="AL255" i="1" s="1"/>
  <c r="AO255" i="1" s="1"/>
  <c r="AP255" i="1" s="1"/>
  <c r="AQ255" i="1" s="1"/>
  <c r="S255" i="1"/>
  <c r="S283" i="1"/>
  <c r="AK283" i="1"/>
  <c r="AL283" i="1" s="1"/>
  <c r="AO283" i="1" s="1"/>
  <c r="AP283" i="1" s="1"/>
  <c r="AK409" i="1"/>
  <c r="AL409" i="1" s="1"/>
  <c r="AO409" i="1" s="1"/>
  <c r="AP409" i="1" s="1"/>
  <c r="AQ409" i="1" s="1"/>
  <c r="S409" i="1"/>
  <c r="AK280" i="1"/>
  <c r="AL280" i="1" s="1"/>
  <c r="AO280" i="1" s="1"/>
  <c r="AP280" i="1" s="1"/>
  <c r="S280" i="1"/>
  <c r="S216" i="1"/>
  <c r="AK216" i="1"/>
  <c r="AL216" i="1" s="1"/>
  <c r="AO216" i="1" s="1"/>
  <c r="AP216" i="1" s="1"/>
  <c r="S344" i="1"/>
  <c r="AK344" i="1"/>
  <c r="AL344" i="1" s="1"/>
  <c r="AO344" i="1" s="1"/>
  <c r="AP344" i="1" s="1"/>
  <c r="AK500" i="1"/>
  <c r="AL500" i="1" s="1"/>
  <c r="AO500" i="1" s="1"/>
  <c r="AP500" i="1" s="1"/>
  <c r="S500" i="1"/>
  <c r="S217" i="1"/>
  <c r="AK217" i="1"/>
  <c r="AL217" i="1" s="1"/>
  <c r="AO217" i="1" s="1"/>
  <c r="AP217" i="1" s="1"/>
  <c r="S352" i="1"/>
  <c r="AK352" i="1"/>
  <c r="AL352" i="1" s="1"/>
  <c r="AO352" i="1" s="1"/>
  <c r="AP352" i="1" s="1"/>
  <c r="AQ352" i="1" s="1"/>
  <c r="AK299" i="1"/>
  <c r="AL299" i="1" s="1"/>
  <c r="AO299" i="1" s="1"/>
  <c r="AP299" i="1" s="1"/>
  <c r="AQ299" i="1" s="1"/>
  <c r="S299" i="1"/>
  <c r="AK393" i="1"/>
  <c r="AL393" i="1" s="1"/>
  <c r="AO393" i="1" s="1"/>
  <c r="AP393" i="1" s="1"/>
  <c r="S393" i="1"/>
  <c r="S278" i="1"/>
  <c r="AK278" i="1"/>
  <c r="AL278" i="1" s="1"/>
  <c r="AO278" i="1" s="1"/>
  <c r="AP278" i="1" s="1"/>
  <c r="S345" i="1"/>
  <c r="AK345" i="1"/>
  <c r="AL345" i="1" s="1"/>
  <c r="AO345" i="1" s="1"/>
  <c r="AP345" i="1" s="1"/>
  <c r="S340" i="1"/>
  <c r="AK340" i="1"/>
  <c r="AL340" i="1" s="1"/>
  <c r="AO340" i="1" s="1"/>
  <c r="AP340" i="1" s="1"/>
  <c r="AK327" i="1"/>
  <c r="AL327" i="1" s="1"/>
  <c r="AO327" i="1" s="1"/>
  <c r="AP327" i="1" s="1"/>
  <c r="S327" i="1"/>
  <c r="AK397" i="1"/>
  <c r="AL397" i="1" s="1"/>
  <c r="AO397" i="1" s="1"/>
  <c r="AP397" i="1" s="1"/>
  <c r="S397" i="1"/>
  <c r="AK275" i="1"/>
  <c r="AL275" i="1" s="1"/>
  <c r="AO275" i="1" s="1"/>
  <c r="AP275" i="1" s="1"/>
  <c r="S275" i="1"/>
  <c r="AK309" i="1"/>
  <c r="AL309" i="1" s="1"/>
  <c r="AO309" i="1" s="1"/>
  <c r="AP309" i="1" s="1"/>
  <c r="AQ309" i="1" s="1"/>
  <c r="S309" i="1"/>
  <c r="S459" i="1"/>
  <c r="AK459" i="1"/>
  <c r="AL459" i="1" s="1"/>
  <c r="AO459" i="1" s="1"/>
  <c r="AP459" i="1" s="1"/>
  <c r="AK503" i="1"/>
  <c r="AL503" i="1" s="1"/>
  <c r="AO503" i="1" s="1"/>
  <c r="AP503" i="1" s="1"/>
  <c r="S503" i="1"/>
  <c r="AK498" i="1"/>
  <c r="AL498" i="1" s="1"/>
  <c r="AO498" i="1" s="1"/>
  <c r="AP498" i="1" s="1"/>
  <c r="S498" i="1"/>
  <c r="AK477" i="1"/>
  <c r="AL477" i="1" s="1"/>
  <c r="AO477" i="1" s="1"/>
  <c r="AP477" i="1" s="1"/>
  <c r="AQ477" i="1" s="1"/>
  <c r="S477" i="1"/>
  <c r="AK303" i="1"/>
  <c r="AL303" i="1" s="1"/>
  <c r="AO303" i="1" s="1"/>
  <c r="AP303" i="1" s="1"/>
  <c r="AQ303" i="1" s="1"/>
  <c r="S303" i="1"/>
  <c r="AK398" i="1"/>
  <c r="AL398" i="1" s="1"/>
  <c r="AO398" i="1" s="1"/>
  <c r="AP398" i="1" s="1"/>
  <c r="S398" i="1"/>
  <c r="AK276" i="1"/>
  <c r="AL276" i="1" s="1"/>
  <c r="AO276" i="1" s="1"/>
  <c r="AP276" i="1" s="1"/>
  <c r="S276" i="1"/>
  <c r="S350" i="1"/>
  <c r="AK350" i="1"/>
  <c r="AL350" i="1" s="1"/>
  <c r="AO350" i="1" s="1"/>
  <c r="AP350" i="1" s="1"/>
  <c r="AK237" i="1"/>
  <c r="AL237" i="1" s="1"/>
  <c r="AO237" i="1" s="1"/>
  <c r="AP237" i="1" s="1"/>
  <c r="S237" i="1"/>
  <c r="AK368" i="1"/>
  <c r="AL368" i="1" s="1"/>
  <c r="AO368" i="1" s="1"/>
  <c r="AP368" i="1" s="1"/>
  <c r="AQ368" i="1" s="1"/>
  <c r="S368" i="1"/>
  <c r="AK496" i="1"/>
  <c r="AL496" i="1" s="1"/>
  <c r="AO496" i="1" s="1"/>
  <c r="AP496" i="1" s="1"/>
  <c r="S496" i="1"/>
  <c r="AK347" i="1"/>
  <c r="AL347" i="1" s="1"/>
  <c r="AO347" i="1" s="1"/>
  <c r="AP347" i="1" s="1"/>
  <c r="AQ347" i="1" s="1"/>
  <c r="S347" i="1"/>
  <c r="AK518" i="1"/>
  <c r="AL518" i="1" s="1"/>
  <c r="AO518" i="1" s="1"/>
  <c r="AP518" i="1" s="1"/>
  <c r="AQ518" i="1" s="1"/>
  <c r="S518" i="1"/>
  <c r="AK410" i="1"/>
  <c r="AL410" i="1" s="1"/>
  <c r="AO410" i="1" s="1"/>
  <c r="AP410" i="1" s="1"/>
  <c r="AQ410" i="1" s="1"/>
  <c r="S410" i="1"/>
  <c r="S284" i="1"/>
  <c r="AK284" i="1"/>
  <c r="AL284" i="1" s="1"/>
  <c r="AO284" i="1" s="1"/>
  <c r="AP284" i="1" s="1"/>
  <c r="S420" i="1"/>
  <c r="AK420" i="1"/>
  <c r="AL420" i="1" s="1"/>
  <c r="AO420" i="1" s="1"/>
  <c r="AP420" i="1" s="1"/>
  <c r="AQ420" i="1" s="1"/>
  <c r="AK349" i="1"/>
  <c r="AL349" i="1" s="1"/>
  <c r="AO349" i="1" s="1"/>
  <c r="AP349" i="1" s="1"/>
  <c r="AQ349" i="1" s="1"/>
  <c r="S349" i="1"/>
  <c r="AK312" i="1"/>
  <c r="AL312" i="1" s="1"/>
  <c r="AO312" i="1" s="1"/>
  <c r="AP312" i="1" s="1"/>
  <c r="AQ312" i="1" s="1"/>
  <c r="S312" i="1"/>
  <c r="S310" i="1"/>
  <c r="AK310" i="1"/>
  <c r="AL310" i="1" s="1"/>
  <c r="AO310" i="1" s="1"/>
  <c r="AP310" i="1" s="1"/>
  <c r="AQ310" i="1" s="1"/>
  <c r="AK471" i="1"/>
  <c r="AL471" i="1" s="1"/>
  <c r="AO471" i="1" s="1"/>
  <c r="AP471" i="1" s="1"/>
  <c r="AQ471" i="1" s="1"/>
  <c r="S471" i="1"/>
  <c r="AK469" i="1"/>
  <c r="AL469" i="1" s="1"/>
  <c r="AO469" i="1" s="1"/>
  <c r="AP469" i="1" s="1"/>
  <c r="AQ469" i="1" s="1"/>
  <c r="S469" i="1"/>
  <c r="AK262" i="1"/>
  <c r="AL262" i="1" s="1"/>
  <c r="AO262" i="1" s="1"/>
  <c r="AP262" i="1" s="1"/>
  <c r="AQ262" i="1" s="1"/>
  <c r="S262" i="1"/>
  <c r="S446" i="1"/>
  <c r="AK446" i="1"/>
  <c r="AL446" i="1" s="1"/>
  <c r="AO446" i="1" s="1"/>
  <c r="AP446" i="1" s="1"/>
  <c r="AK506" i="1"/>
  <c r="AL506" i="1" s="1"/>
  <c r="AO506" i="1" s="1"/>
  <c r="AP506" i="1" s="1"/>
  <c r="S506" i="1"/>
  <c r="AK517" i="1"/>
  <c r="AL517" i="1" s="1"/>
  <c r="AO517" i="1" s="1"/>
  <c r="AP517" i="1" s="1"/>
  <c r="AQ517" i="1" s="1"/>
  <c r="S517" i="1"/>
  <c r="AK493" i="1"/>
  <c r="AL493" i="1" s="1"/>
  <c r="AO493" i="1" s="1"/>
  <c r="AP493" i="1" s="1"/>
  <c r="S493" i="1"/>
  <c r="AK412" i="1"/>
  <c r="AL412" i="1" s="1"/>
  <c r="AO412" i="1" s="1"/>
  <c r="AP412" i="1" s="1"/>
  <c r="AQ412" i="1" s="1"/>
  <c r="S412" i="1"/>
  <c r="AK524" i="1"/>
  <c r="AL524" i="1" s="1"/>
  <c r="AO524" i="1" s="1"/>
  <c r="AP524" i="1" s="1"/>
  <c r="AQ524" i="1" s="1"/>
  <c r="S524" i="1"/>
  <c r="AK416" i="1"/>
  <c r="AL416" i="1" s="1"/>
  <c r="AO416" i="1" s="1"/>
  <c r="AP416" i="1" s="1"/>
  <c r="S416" i="1"/>
  <c r="AK256" i="1"/>
  <c r="AL256" i="1" s="1"/>
  <c r="AO256" i="1" s="1"/>
  <c r="AP256" i="1" s="1"/>
  <c r="AQ256" i="1" s="1"/>
  <c r="S256" i="1"/>
  <c r="AK282" i="1"/>
  <c r="AL282" i="1" s="1"/>
  <c r="AO282" i="1" s="1"/>
  <c r="AP282" i="1" s="1"/>
  <c r="S282" i="1"/>
  <c r="AK286" i="1"/>
  <c r="AL286" i="1" s="1"/>
  <c r="AO286" i="1" s="1"/>
  <c r="AP286" i="1" s="1"/>
  <c r="S286" i="1"/>
  <c r="AK492" i="1"/>
  <c r="AL492" i="1" s="1"/>
  <c r="AO492" i="1" s="1"/>
  <c r="AP492" i="1" s="1"/>
  <c r="S492" i="1"/>
  <c r="AK423" i="1"/>
  <c r="AL423" i="1" s="1"/>
  <c r="AO423" i="1" s="1"/>
  <c r="AP423" i="1" s="1"/>
  <c r="AQ423" i="1" s="1"/>
  <c r="S423" i="1"/>
  <c r="S337" i="1"/>
  <c r="AK337" i="1"/>
  <c r="AL337" i="1" s="1"/>
  <c r="AO337" i="1" s="1"/>
  <c r="AP337" i="1" s="1"/>
  <c r="S395" i="1"/>
  <c r="AK395" i="1"/>
  <c r="AL395" i="1" s="1"/>
  <c r="AO395" i="1" s="1"/>
  <c r="AP395" i="1" s="1"/>
  <c r="S460" i="1"/>
  <c r="AK460" i="1"/>
  <c r="AL460" i="1" s="1"/>
  <c r="AO460" i="1" s="1"/>
  <c r="AP460" i="1" s="1"/>
  <c r="AQ460" i="1" s="1"/>
  <c r="AK218" i="1"/>
  <c r="AL218" i="1" s="1"/>
  <c r="AO218" i="1" s="1"/>
  <c r="AP218" i="1" s="1"/>
  <c r="S218" i="1"/>
  <c r="AK332" i="1"/>
  <c r="AL332" i="1" s="1"/>
  <c r="AO332" i="1" s="1"/>
  <c r="AP332" i="1" s="1"/>
  <c r="S332" i="1"/>
  <c r="AK221" i="1"/>
  <c r="AL221" i="1" s="1"/>
  <c r="AO221" i="1" s="1"/>
  <c r="AP221" i="1" s="1"/>
  <c r="S221" i="1"/>
  <c r="AK228" i="1"/>
  <c r="AL228" i="1" s="1"/>
  <c r="AO228" i="1" s="1"/>
  <c r="AP228" i="1" s="1"/>
  <c r="S228" i="1"/>
  <c r="AK502" i="1"/>
  <c r="AL502" i="1" s="1"/>
  <c r="AO502" i="1" s="1"/>
  <c r="AP502" i="1" s="1"/>
  <c r="S502" i="1"/>
  <c r="AK509" i="1"/>
  <c r="AL509" i="1" s="1"/>
  <c r="AO509" i="1" s="1"/>
  <c r="AP509" i="1" s="1"/>
  <c r="S509" i="1"/>
  <c r="AK466" i="1"/>
  <c r="AL466" i="1" s="1"/>
  <c r="AO466" i="1" s="1"/>
  <c r="AP466" i="1" s="1"/>
  <c r="AQ466" i="1" s="1"/>
  <c r="S466" i="1"/>
  <c r="AK505" i="1"/>
  <c r="AL505" i="1" s="1"/>
  <c r="AO505" i="1" s="1"/>
  <c r="AP505" i="1" s="1"/>
  <c r="S505" i="1"/>
  <c r="AK463" i="1"/>
  <c r="AL463" i="1" s="1"/>
  <c r="AO463" i="1" s="1"/>
  <c r="AP463" i="1" s="1"/>
  <c r="AQ463" i="1" s="1"/>
  <c r="S463" i="1"/>
  <c r="AK418" i="1"/>
  <c r="AL418" i="1" s="1"/>
  <c r="AO418" i="1" s="1"/>
  <c r="AP418" i="1" s="1"/>
  <c r="AQ418" i="1" s="1"/>
  <c r="S418" i="1"/>
  <c r="AK440" i="1"/>
  <c r="AL440" i="1" s="1"/>
  <c r="AO440" i="1" s="1"/>
  <c r="AP440" i="1" s="1"/>
  <c r="S440" i="1"/>
  <c r="AK290" i="1"/>
  <c r="AL290" i="1" s="1"/>
  <c r="AO290" i="1" s="1"/>
  <c r="AP290" i="1" s="1"/>
  <c r="S290" i="1"/>
  <c r="AK456" i="1"/>
  <c r="AL456" i="1" s="1"/>
  <c r="AO456" i="1" s="1"/>
  <c r="AP456" i="1" s="1"/>
  <c r="AQ456" i="1" s="1"/>
  <c r="S456" i="1"/>
  <c r="AK285" i="1"/>
  <c r="AL285" i="1" s="1"/>
  <c r="AO285" i="1" s="1"/>
  <c r="AP285" i="1" s="1"/>
  <c r="S285" i="1"/>
  <c r="AK405" i="1"/>
  <c r="AL405" i="1" s="1"/>
  <c r="AO405" i="1" s="1"/>
  <c r="AP405" i="1" s="1"/>
  <c r="AQ405" i="1" s="1"/>
  <c r="S405" i="1"/>
  <c r="AK230" i="1"/>
  <c r="AL230" i="1" s="1"/>
  <c r="AO230" i="1" s="1"/>
  <c r="AP230" i="1" s="1"/>
  <c r="S230" i="1"/>
  <c r="AK308" i="1"/>
  <c r="AL308" i="1" s="1"/>
  <c r="AO308" i="1" s="1"/>
  <c r="AP308" i="1" s="1"/>
  <c r="AQ308" i="1" s="1"/>
  <c r="S308" i="1"/>
  <c r="AK530" i="1"/>
  <c r="AL530" i="1" s="1"/>
  <c r="AO530" i="1" s="1"/>
  <c r="AP530" i="1" s="1"/>
  <c r="AQ530" i="1" s="1"/>
  <c r="S530" i="1"/>
  <c r="AK85" i="1"/>
  <c r="S85" i="1"/>
  <c r="AK24" i="1"/>
  <c r="S24" i="1"/>
  <c r="AK111" i="1"/>
  <c r="S111" i="1"/>
  <c r="AK146" i="1"/>
  <c r="S146" i="1"/>
  <c r="AK180" i="1"/>
  <c r="AL180" i="1" s="1"/>
  <c r="S180" i="1"/>
  <c r="AK36" i="1"/>
  <c r="S36" i="1"/>
  <c r="AK83" i="1"/>
  <c r="S83" i="1"/>
  <c r="AK130" i="1"/>
  <c r="S130" i="1"/>
  <c r="AK177" i="1"/>
  <c r="S177" i="1"/>
  <c r="AK33" i="1"/>
  <c r="S33" i="1"/>
  <c r="AK80" i="1"/>
  <c r="S80" i="1"/>
  <c r="AK127" i="1"/>
  <c r="S127" i="1"/>
  <c r="AK174" i="1"/>
  <c r="S174" i="1"/>
  <c r="AK29" i="1"/>
  <c r="S29" i="1"/>
  <c r="AK77" i="1"/>
  <c r="S77" i="1"/>
  <c r="AK124" i="1"/>
  <c r="S124" i="1"/>
  <c r="AK99" i="1"/>
  <c r="S99" i="1"/>
  <c r="AK134" i="1"/>
  <c r="S134" i="1"/>
  <c r="AK168" i="1"/>
  <c r="S168" i="1"/>
  <c r="AK23" i="1"/>
  <c r="S23" i="1"/>
  <c r="AE71" i="1"/>
  <c r="AK71" i="1"/>
  <c r="S71" i="1"/>
  <c r="AK118" i="1"/>
  <c r="S118" i="1"/>
  <c r="AK165" i="1"/>
  <c r="S165" i="1"/>
  <c r="AK20" i="1"/>
  <c r="S20" i="1"/>
  <c r="AK68" i="1"/>
  <c r="S68" i="1"/>
  <c r="AK115" i="1"/>
  <c r="AE115" i="1"/>
  <c r="S115" i="1"/>
  <c r="AK162" i="1"/>
  <c r="S162" i="1"/>
  <c r="AK17" i="1"/>
  <c r="S17" i="1"/>
  <c r="AK65" i="1"/>
  <c r="S65" i="1"/>
  <c r="AK112" i="1"/>
  <c r="S112" i="1"/>
  <c r="AE73" i="1"/>
  <c r="AK73" i="1"/>
  <c r="S73" i="1"/>
  <c r="AK157" i="1"/>
  <c r="S157" i="1"/>
  <c r="AK87" i="1"/>
  <c r="S87" i="1"/>
  <c r="AK122" i="1"/>
  <c r="S122" i="1"/>
  <c r="AK156" i="1"/>
  <c r="S156" i="1"/>
  <c r="AK11" i="1"/>
  <c r="S11" i="1"/>
  <c r="AK203" i="1"/>
  <c r="S203" i="1"/>
  <c r="AK59" i="1"/>
  <c r="S59" i="1"/>
  <c r="AK106" i="1"/>
  <c r="S106" i="1"/>
  <c r="AK153" i="1"/>
  <c r="S153" i="1"/>
  <c r="AK8" i="1"/>
  <c r="S8" i="1"/>
  <c r="AK200" i="1"/>
  <c r="S200" i="1"/>
  <c r="AK56" i="1"/>
  <c r="S56" i="1"/>
  <c r="AK103" i="1"/>
  <c r="S103" i="1"/>
  <c r="AK150" i="1"/>
  <c r="S150" i="1"/>
  <c r="AK5" i="1"/>
  <c r="S5" i="1"/>
  <c r="AK197" i="1"/>
  <c r="S197" i="1"/>
  <c r="AK53" i="1"/>
  <c r="S53" i="1"/>
  <c r="AK100" i="1"/>
  <c r="S100" i="1"/>
  <c r="AK205" i="1"/>
  <c r="S205" i="1"/>
  <c r="AK12" i="1"/>
  <c r="S12" i="1"/>
  <c r="AK75" i="1"/>
  <c r="AL75" i="1" s="1"/>
  <c r="S75" i="1"/>
  <c r="AK110" i="1"/>
  <c r="S110" i="1"/>
  <c r="AK144" i="1"/>
  <c r="S144" i="1"/>
  <c r="AK2" i="1"/>
  <c r="AL2" i="1" s="1"/>
  <c r="S2" i="1"/>
  <c r="AK191" i="1"/>
  <c r="S191" i="1"/>
  <c r="AK47" i="1"/>
  <c r="AL47" i="1" s="1"/>
  <c r="S47" i="1"/>
  <c r="AE47" i="1"/>
  <c r="AK94" i="1"/>
  <c r="S94" i="1"/>
  <c r="AK141" i="1"/>
  <c r="S141" i="1"/>
  <c r="AK188" i="1"/>
  <c r="S188" i="1"/>
  <c r="AK44" i="1"/>
  <c r="AE44" i="1"/>
  <c r="S44" i="1"/>
  <c r="AK91" i="1"/>
  <c r="S91" i="1"/>
  <c r="AK138" i="1"/>
  <c r="S138" i="1"/>
  <c r="AK185" i="1"/>
  <c r="AL185" i="1" s="1"/>
  <c r="S185" i="1"/>
  <c r="AK41" i="1"/>
  <c r="S41" i="1"/>
  <c r="AE41" i="1"/>
  <c r="AK88" i="1"/>
  <c r="S88" i="1"/>
  <c r="AK121" i="1"/>
  <c r="S121" i="1"/>
  <c r="AK61" i="1"/>
  <c r="S61" i="1"/>
  <c r="AK63" i="1"/>
  <c r="S63" i="1"/>
  <c r="AK98" i="1"/>
  <c r="S98" i="1"/>
  <c r="AK132" i="1"/>
  <c r="S132" i="1"/>
  <c r="AK179" i="1"/>
  <c r="S179" i="1"/>
  <c r="AK35" i="1"/>
  <c r="S35" i="1"/>
  <c r="AK82" i="1"/>
  <c r="S82" i="1"/>
  <c r="AK129" i="1"/>
  <c r="S129" i="1"/>
  <c r="AK176" i="1"/>
  <c r="S176" i="1"/>
  <c r="AK32" i="1"/>
  <c r="S32" i="1"/>
  <c r="AK79" i="1"/>
  <c r="S79" i="1"/>
  <c r="AK126" i="1"/>
  <c r="S126" i="1"/>
  <c r="AK173" i="1"/>
  <c r="S173" i="1"/>
  <c r="AK28" i="1"/>
  <c r="S28" i="1"/>
  <c r="AK76" i="1"/>
  <c r="S76" i="1"/>
  <c r="AK193" i="1"/>
  <c r="S193" i="1"/>
  <c r="AK145" i="1"/>
  <c r="S145" i="1"/>
  <c r="AK195" i="1"/>
  <c r="S195" i="1"/>
  <c r="AK51" i="1"/>
  <c r="AL51" i="1" s="1"/>
  <c r="S51" i="1"/>
  <c r="AK86" i="1"/>
  <c r="S86" i="1"/>
  <c r="AK120" i="1"/>
  <c r="S120" i="1"/>
  <c r="AK167" i="1"/>
  <c r="S167" i="1"/>
  <c r="AK22" i="1"/>
  <c r="S22" i="1"/>
  <c r="AE70" i="1"/>
  <c r="AK70" i="1"/>
  <c r="S70" i="1"/>
  <c r="AE117" i="1"/>
  <c r="AK117" i="1"/>
  <c r="S117" i="1"/>
  <c r="AK164" i="1"/>
  <c r="S164" i="1"/>
  <c r="AK19" i="1"/>
  <c r="S19" i="1"/>
  <c r="AK67" i="1"/>
  <c r="S67" i="1"/>
  <c r="AK114" i="1"/>
  <c r="S114" i="1"/>
  <c r="AK161" i="1"/>
  <c r="AL161" i="1" s="1"/>
  <c r="S161" i="1"/>
  <c r="AK16" i="1"/>
  <c r="S16" i="1"/>
  <c r="AK64" i="1"/>
  <c r="S64" i="1"/>
  <c r="AK109" i="1"/>
  <c r="S109" i="1"/>
  <c r="AK49" i="1"/>
  <c r="AL49" i="1" s="1"/>
  <c r="S49" i="1"/>
  <c r="AK183" i="1"/>
  <c r="AL183" i="1" s="1"/>
  <c r="S183" i="1"/>
  <c r="AE39" i="1"/>
  <c r="Z40" i="1" s="1"/>
  <c r="AK39" i="1"/>
  <c r="S39" i="1"/>
  <c r="AK74" i="1"/>
  <c r="S74" i="1"/>
  <c r="AE74" i="1"/>
  <c r="AK108" i="1"/>
  <c r="S108" i="1"/>
  <c r="AK155" i="1"/>
  <c r="S155" i="1"/>
  <c r="AK10" i="1"/>
  <c r="S10" i="1"/>
  <c r="AK202" i="1"/>
  <c r="S202" i="1"/>
  <c r="AK58" i="1"/>
  <c r="S58" i="1"/>
  <c r="AK105" i="1"/>
  <c r="S105" i="1"/>
  <c r="AK152" i="1"/>
  <c r="S152" i="1"/>
  <c r="AK7" i="1"/>
  <c r="S7" i="1"/>
  <c r="AK199" i="1"/>
  <c r="S199" i="1"/>
  <c r="AK55" i="1"/>
  <c r="S55" i="1"/>
  <c r="AK102" i="1"/>
  <c r="S102" i="1"/>
  <c r="AK149" i="1"/>
  <c r="S149" i="1"/>
  <c r="AK4" i="1"/>
  <c r="AL4" i="1" s="1"/>
  <c r="S4" i="1"/>
  <c r="AK196" i="1"/>
  <c r="S196" i="1"/>
  <c r="AK52" i="1"/>
  <c r="AL52" i="1" s="1"/>
  <c r="S52" i="1"/>
  <c r="AK133" i="1"/>
  <c r="S133" i="1"/>
  <c r="AK171" i="1"/>
  <c r="S171" i="1"/>
  <c r="AK26" i="1"/>
  <c r="S26" i="1"/>
  <c r="AK206" i="1"/>
  <c r="S206" i="1"/>
  <c r="AK62" i="1"/>
  <c r="S62" i="1"/>
  <c r="AK96" i="1"/>
  <c r="S96" i="1"/>
  <c r="AK143" i="1"/>
  <c r="S143" i="1"/>
  <c r="AK190" i="1"/>
  <c r="S190" i="1"/>
  <c r="AK46" i="1"/>
  <c r="AL46" i="1" s="1"/>
  <c r="AE46" i="1"/>
  <c r="S46" i="1"/>
  <c r="AK93" i="1"/>
  <c r="S93" i="1"/>
  <c r="AK140" i="1"/>
  <c r="AE140" i="1"/>
  <c r="S140" i="1"/>
  <c r="AK187" i="1"/>
  <c r="S187" i="1"/>
  <c r="AK43" i="1"/>
  <c r="AE43" i="1"/>
  <c r="S43" i="1"/>
  <c r="AK90" i="1"/>
  <c r="S90" i="1"/>
  <c r="AK137" i="1"/>
  <c r="S137" i="1"/>
  <c r="AK184" i="1"/>
  <c r="AL184" i="1" s="1"/>
  <c r="S184" i="1"/>
  <c r="AE40" i="1"/>
  <c r="AK40" i="1"/>
  <c r="S40" i="1"/>
  <c r="AK181" i="1"/>
  <c r="AL181" i="1" s="1"/>
  <c r="S181" i="1"/>
  <c r="AK159" i="1"/>
  <c r="S159" i="1"/>
  <c r="AK14" i="1"/>
  <c r="S14" i="1"/>
  <c r="AK194" i="1"/>
  <c r="S194" i="1"/>
  <c r="AK50" i="1"/>
  <c r="AL50" i="1" s="1"/>
  <c r="S50" i="1"/>
  <c r="AK84" i="1"/>
  <c r="S84" i="1"/>
  <c r="AK131" i="1"/>
  <c r="S131" i="1"/>
  <c r="AK178" i="1"/>
  <c r="S178" i="1"/>
  <c r="AK34" i="1"/>
  <c r="S34" i="1"/>
  <c r="AK81" i="1"/>
  <c r="S81" i="1"/>
  <c r="AK128" i="1"/>
  <c r="S128" i="1"/>
  <c r="AK175" i="1"/>
  <c r="S175" i="1"/>
  <c r="AK30" i="1"/>
  <c r="S30" i="1"/>
  <c r="AK78" i="1"/>
  <c r="S78" i="1"/>
  <c r="AK125" i="1"/>
  <c r="S125" i="1"/>
  <c r="AK172" i="1"/>
  <c r="S172" i="1"/>
  <c r="AK27" i="1"/>
  <c r="S27" i="1"/>
  <c r="AK37" i="1"/>
  <c r="S37" i="1"/>
  <c r="AK147" i="1"/>
  <c r="S147" i="1"/>
  <c r="AK182" i="1"/>
  <c r="AL182" i="1" s="1"/>
  <c r="S182" i="1"/>
  <c r="AK38" i="1"/>
  <c r="S38" i="1"/>
  <c r="AE72" i="1"/>
  <c r="AK72" i="1"/>
  <c r="S72" i="1"/>
  <c r="AK119" i="1"/>
  <c r="S119" i="1"/>
  <c r="AK166" i="1"/>
  <c r="S166" i="1"/>
  <c r="AK21" i="1"/>
  <c r="S21" i="1"/>
  <c r="AK69" i="1"/>
  <c r="S69" i="1"/>
  <c r="AK116" i="1"/>
  <c r="AE116" i="1"/>
  <c r="S116" i="1"/>
  <c r="AK163" i="1"/>
  <c r="S163" i="1"/>
  <c r="AK18" i="1"/>
  <c r="S18" i="1"/>
  <c r="AK66" i="1"/>
  <c r="S66" i="1"/>
  <c r="AK113" i="1"/>
  <c r="S113" i="1"/>
  <c r="AK160" i="1"/>
  <c r="S160" i="1"/>
  <c r="AK15" i="1"/>
  <c r="S15" i="1"/>
  <c r="AK97" i="1"/>
  <c r="S97" i="1"/>
  <c r="AK135" i="1"/>
  <c r="S135" i="1"/>
  <c r="AK170" i="1"/>
  <c r="S170" i="1"/>
  <c r="AK25" i="1"/>
  <c r="S25" i="1"/>
  <c r="AK204" i="1"/>
  <c r="S204" i="1"/>
  <c r="AK60" i="1"/>
  <c r="S60" i="1"/>
  <c r="AK107" i="1"/>
  <c r="S107" i="1"/>
  <c r="AK154" i="1"/>
  <c r="S154" i="1"/>
  <c r="AK9" i="1"/>
  <c r="S9" i="1"/>
  <c r="AK201" i="1"/>
  <c r="S201" i="1"/>
  <c r="AK57" i="1"/>
  <c r="S57" i="1"/>
  <c r="AK104" i="1"/>
  <c r="S104" i="1"/>
  <c r="AK151" i="1"/>
  <c r="S151" i="1"/>
  <c r="AK6" i="1"/>
  <c r="S6" i="1"/>
  <c r="AK198" i="1"/>
  <c r="S198" i="1"/>
  <c r="AK54" i="1"/>
  <c r="S54" i="1"/>
  <c r="AK101" i="1"/>
  <c r="S101" i="1"/>
  <c r="AK148" i="1"/>
  <c r="S148" i="1"/>
  <c r="AK3" i="1"/>
  <c r="AL3" i="1" s="1"/>
  <c r="AO3" i="1" s="1"/>
  <c r="AP3" i="1" s="1"/>
  <c r="AQ3" i="1" s="1"/>
  <c r="S3" i="1"/>
  <c r="AK169" i="1"/>
  <c r="S169" i="1"/>
  <c r="AK123" i="1"/>
  <c r="S123" i="1"/>
  <c r="AK158" i="1"/>
  <c r="S158" i="1"/>
  <c r="AK13" i="1"/>
  <c r="S13" i="1"/>
  <c r="AK192" i="1"/>
  <c r="S192" i="1"/>
  <c r="AK48" i="1"/>
  <c r="AL48" i="1" s="1"/>
  <c r="S48" i="1"/>
  <c r="AK95" i="1"/>
  <c r="S95" i="1"/>
  <c r="AK142" i="1"/>
  <c r="S142" i="1"/>
  <c r="AK189" i="1"/>
  <c r="S189" i="1"/>
  <c r="AK45" i="1"/>
  <c r="AE45" i="1"/>
  <c r="S45" i="1"/>
  <c r="AK92" i="1"/>
  <c r="S92" i="1"/>
  <c r="AK139" i="1"/>
  <c r="AE139" i="1"/>
  <c r="S139" i="1"/>
  <c r="AK186" i="1"/>
  <c r="S186" i="1"/>
  <c r="AK42" i="1"/>
  <c r="AE42" i="1"/>
  <c r="S42" i="1"/>
  <c r="AK89" i="1"/>
  <c r="S89" i="1"/>
  <c r="AK136" i="1"/>
  <c r="S136" i="1"/>
  <c r="AK31" i="1"/>
  <c r="S31" i="1"/>
  <c r="Z5" i="1"/>
  <c r="BD516" i="1" l="1"/>
  <c r="BD425" i="1"/>
  <c r="BD314" i="1"/>
  <c r="BD360" i="1"/>
  <c r="BD258" i="1"/>
  <c r="BD365" i="1"/>
  <c r="BD356" i="1"/>
  <c r="BD300" i="1"/>
  <c r="BD511" i="1"/>
  <c r="BD463" i="1"/>
  <c r="BD473" i="1"/>
  <c r="BD348" i="1"/>
  <c r="BD408" i="1"/>
  <c r="BD295" i="1"/>
  <c r="BD475" i="1"/>
  <c r="BD419" i="1"/>
  <c r="BD509" i="1"/>
  <c r="BD298" i="1"/>
  <c r="BD241" i="1"/>
  <c r="BD518" i="1"/>
  <c r="BD256" i="1"/>
  <c r="BD247" i="1"/>
  <c r="BD527" i="1"/>
  <c r="BD412" i="1"/>
  <c r="BD294" i="1"/>
  <c r="BD355" i="1"/>
  <c r="BD519" i="1"/>
  <c r="BD461" i="1"/>
  <c r="BD310" i="1"/>
  <c r="BD312" i="1"/>
  <c r="BD308" i="1"/>
  <c r="BD416" i="1"/>
  <c r="BD351" i="1"/>
  <c r="BD363" i="1"/>
  <c r="BD423" i="1"/>
  <c r="BD529" i="1"/>
  <c r="BD254" i="1"/>
  <c r="BD240" i="1"/>
  <c r="BD354" i="1"/>
  <c r="BD250" i="1"/>
  <c r="BD252" i="1"/>
  <c r="BD528" i="1"/>
  <c r="BD464" i="1"/>
  <c r="BD417" i="1"/>
  <c r="BD303" i="1"/>
  <c r="BD245" i="1"/>
  <c r="BD359" i="1"/>
  <c r="BE359" i="1" s="1"/>
  <c r="BF359" i="1" s="1"/>
  <c r="BD253" i="1"/>
  <c r="BE253" i="1" s="1"/>
  <c r="BF253" i="1" s="1"/>
  <c r="BD249" i="1"/>
  <c r="BD462" i="1"/>
  <c r="BD255" i="1"/>
  <c r="BD409" i="1"/>
  <c r="BD353" i="1"/>
  <c r="BE353" i="1" s="1"/>
  <c r="BD259" i="1"/>
  <c r="BD421" i="1"/>
  <c r="BD313" i="1"/>
  <c r="BE313" i="1" s="1"/>
  <c r="BF313" i="1" s="1"/>
  <c r="BD257" i="1"/>
  <c r="BD467" i="1"/>
  <c r="BD293" i="1"/>
  <c r="BD525" i="1"/>
  <c r="BD405" i="1"/>
  <c r="BD347" i="1"/>
  <c r="BD307" i="1"/>
  <c r="BD261" i="1"/>
  <c r="BD459" i="1"/>
  <c r="BD306" i="1"/>
  <c r="BD297" i="1"/>
  <c r="BE297" i="1" s="1"/>
  <c r="BF297" i="1" s="1"/>
  <c r="BD517" i="1"/>
  <c r="BD350" i="1"/>
  <c r="BD420" i="1"/>
  <c r="BD260" i="1"/>
  <c r="BD514" i="1"/>
  <c r="BD515" i="1"/>
  <c r="BD364" i="1"/>
  <c r="BD471" i="1"/>
  <c r="BD468" i="1"/>
  <c r="BD302" i="1"/>
  <c r="BE302" i="1" s="1"/>
  <c r="BF302" i="1" s="1"/>
  <c r="BD242" i="1"/>
  <c r="BD418" i="1"/>
  <c r="BD404" i="1"/>
  <c r="BD523" i="1"/>
  <c r="BD346" i="1"/>
  <c r="BD366" i="1"/>
  <c r="BD424" i="1"/>
  <c r="BD362" i="1"/>
  <c r="BD469" i="1"/>
  <c r="BD246" i="1"/>
  <c r="BD510" i="1"/>
  <c r="BD524" i="1"/>
  <c r="BD465" i="1"/>
  <c r="BD470" i="1"/>
  <c r="BD476" i="1"/>
  <c r="BD309" i="1"/>
  <c r="BD301" i="1"/>
  <c r="BD361" i="1"/>
  <c r="BD522" i="1"/>
  <c r="BD457" i="1"/>
  <c r="BD474" i="1"/>
  <c r="BD244" i="1"/>
  <c r="BE244" i="1" s="1"/>
  <c r="BF244" i="1" s="1"/>
  <c r="BD413" i="1"/>
  <c r="BD305" i="1"/>
  <c r="BD406" i="1"/>
  <c r="BD472" i="1"/>
  <c r="BD513" i="1"/>
  <c r="BD411" i="1"/>
  <c r="BD352" i="1"/>
  <c r="BD530" i="1"/>
  <c r="BD455" i="1"/>
  <c r="BE455" i="1" s="1"/>
  <c r="BF455" i="1" s="1"/>
  <c r="BD422" i="1"/>
  <c r="BD311" i="1"/>
  <c r="BD367" i="1"/>
  <c r="BD410" i="1"/>
  <c r="BD456" i="1"/>
  <c r="BD414" i="1"/>
  <c r="BE414" i="1" s="1"/>
  <c r="BD358" i="1"/>
  <c r="BE358" i="1" s="1"/>
  <c r="BD526" i="1"/>
  <c r="BD521" i="1"/>
  <c r="BE521" i="1" s="1"/>
  <c r="BF521" i="1" s="1"/>
  <c r="BD299" i="1"/>
  <c r="BD248" i="1"/>
  <c r="BD460" i="1"/>
  <c r="AT308" i="1"/>
  <c r="AT456" i="1"/>
  <c r="AT256" i="1"/>
  <c r="AT410" i="1"/>
  <c r="AT360" i="1"/>
  <c r="AT254" i="1"/>
  <c r="AT463" i="1"/>
  <c r="BE462" i="1"/>
  <c r="BF462" i="1" s="1"/>
  <c r="AT423" i="1"/>
  <c r="AT262" i="1"/>
  <c r="AT312" i="1"/>
  <c r="AT411" i="1"/>
  <c r="BE410" i="1"/>
  <c r="AT415" i="1"/>
  <c r="AT359" i="1"/>
  <c r="AT422" i="1"/>
  <c r="AT258" i="1"/>
  <c r="AT468" i="1"/>
  <c r="BE467" i="1"/>
  <c r="BF467" i="1" s="1"/>
  <c r="AT522" i="1"/>
  <c r="AT250" i="1"/>
  <c r="BE249" i="1"/>
  <c r="BF249" i="1" s="1"/>
  <c r="BE299" i="1"/>
  <c r="BF299" i="1" s="1"/>
  <c r="AT300" i="1"/>
  <c r="AT249" i="1"/>
  <c r="BE248" i="1"/>
  <c r="BF248" i="1" s="1"/>
  <c r="AT406" i="1"/>
  <c r="AT461" i="1"/>
  <c r="AT368" i="1"/>
  <c r="AT354" i="1"/>
  <c r="AT457" i="1"/>
  <c r="AT260" i="1"/>
  <c r="AT314" i="1"/>
  <c r="AT527" i="1"/>
  <c r="BE293" i="1"/>
  <c r="BF293" i="1" s="1"/>
  <c r="AT294" i="1"/>
  <c r="AT526" i="1"/>
  <c r="AT348" i="1"/>
  <c r="BE459" i="1"/>
  <c r="BF459" i="1" s="1"/>
  <c r="AT517" i="1"/>
  <c r="BE516" i="1"/>
  <c r="BF516" i="1" s="1"/>
  <c r="BE468" i="1"/>
  <c r="BF468" i="1" s="1"/>
  <c r="AT469" i="1"/>
  <c r="AT307" i="1"/>
  <c r="BE306" i="1"/>
  <c r="BF306" i="1" s="1"/>
  <c r="AF5" i="1"/>
  <c r="BC5" i="1"/>
  <c r="AT349" i="1"/>
  <c r="AT518" i="1"/>
  <c r="BE517" i="1"/>
  <c r="BF517" i="1" s="1"/>
  <c r="BE350" i="1"/>
  <c r="BF350" i="1" s="1"/>
  <c r="AT351" i="1"/>
  <c r="AT421" i="1"/>
  <c r="AT315" i="1"/>
  <c r="AT361" i="1"/>
  <c r="AT515" i="1"/>
  <c r="BE515" i="1"/>
  <c r="BF515" i="1" s="1"/>
  <c r="AT516" i="1"/>
  <c r="AT472" i="1"/>
  <c r="AT420" i="1"/>
  <c r="AT303" i="1"/>
  <c r="BE408" i="1"/>
  <c r="BF408" i="1" s="1"/>
  <c r="AT243" i="1"/>
  <c r="AT426" i="1"/>
  <c r="AT296" i="1"/>
  <c r="BE475" i="1"/>
  <c r="BF475" i="1" s="1"/>
  <c r="AT476" i="1"/>
  <c r="AT261" i="1"/>
  <c r="BE260" i="1"/>
  <c r="BF260" i="1" s="1"/>
  <c r="AT259" i="1"/>
  <c r="AT366" i="1"/>
  <c r="BE356" i="1"/>
  <c r="AT357" i="1"/>
  <c r="AT301" i="1"/>
  <c r="BE300" i="1"/>
  <c r="BF300" i="1" s="1"/>
  <c r="AT365" i="1"/>
  <c r="AT512" i="1"/>
  <c r="AT464" i="1"/>
  <c r="BE463" i="1"/>
  <c r="BF463" i="1" s="1"/>
  <c r="AT474" i="1"/>
  <c r="AT471" i="1"/>
  <c r="AT419" i="1"/>
  <c r="AT405" i="1"/>
  <c r="BE404" i="1"/>
  <c r="BF404" i="1" s="1"/>
  <c r="BE465" i="1"/>
  <c r="BF465" i="1" s="1"/>
  <c r="AT466" i="1"/>
  <c r="AT524" i="1"/>
  <c r="AT347" i="1"/>
  <c r="BE346" i="1"/>
  <c r="BF346" i="1" s="1"/>
  <c r="AT309" i="1"/>
  <c r="AT363" i="1"/>
  <c r="AT257" i="1"/>
  <c r="AT470" i="1"/>
  <c r="BE509" i="1"/>
  <c r="BF509" i="1" s="1"/>
  <c r="AT510" i="1"/>
  <c r="BE519" i="1"/>
  <c r="BF519" i="1" s="1"/>
  <c r="AT520" i="1"/>
  <c r="AT310" i="1"/>
  <c r="AT477" i="1"/>
  <c r="AT299" i="1"/>
  <c r="AT367" i="1"/>
  <c r="BE366" i="1"/>
  <c r="BF366" i="1" s="1"/>
  <c r="AT242" i="1"/>
  <c r="AT519" i="1"/>
  <c r="BE518" i="1"/>
  <c r="BF518" i="1" s="1"/>
  <c r="AT425" i="1"/>
  <c r="BE424" i="1"/>
  <c r="BF424" i="1" s="1"/>
  <c r="BE416" i="1"/>
  <c r="AT417" i="1"/>
  <c r="AT247" i="1"/>
  <c r="BE246" i="1"/>
  <c r="BF246" i="1" s="1"/>
  <c r="AT248" i="1"/>
  <c r="BE247" i="1"/>
  <c r="BF247" i="1" s="1"/>
  <c r="AT528" i="1"/>
  <c r="AT511" i="1"/>
  <c r="BE412" i="1"/>
  <c r="AT413" i="1"/>
  <c r="AT295" i="1"/>
  <c r="AT356" i="1"/>
  <c r="BE355" i="1"/>
  <c r="AT462" i="1"/>
  <c r="BE461" i="1"/>
  <c r="BF461" i="1" s="1"/>
  <c r="AT311" i="1"/>
  <c r="AT313" i="1"/>
  <c r="AT525" i="1"/>
  <c r="AT530" i="1"/>
  <c r="BE529" i="1"/>
  <c r="BF529" i="1" s="1"/>
  <c r="BE417" i="1"/>
  <c r="AT418" i="1"/>
  <c r="AT412" i="1"/>
  <c r="BE411" i="1"/>
  <c r="AT352" i="1"/>
  <c r="BE301" i="1"/>
  <c r="BF301" i="1" s="1"/>
  <c r="AT302" i="1"/>
  <c r="BE522" i="1"/>
  <c r="BF522" i="1" s="1"/>
  <c r="AT523" i="1"/>
  <c r="AT364" i="1"/>
  <c r="AT424" i="1"/>
  <c r="AT475" i="1"/>
  <c r="AT255" i="1"/>
  <c r="AT362" i="1"/>
  <c r="AT306" i="1"/>
  <c r="BE305" i="1"/>
  <c r="BF305" i="1" s="1"/>
  <c r="AT531" i="1"/>
  <c r="AT407" i="1"/>
  <c r="AT458" i="1"/>
  <c r="AT529" i="1"/>
  <c r="AT465" i="1"/>
  <c r="BE464" i="1"/>
  <c r="BF464" i="1" s="1"/>
  <c r="BE303" i="1"/>
  <c r="BF303" i="1" s="1"/>
  <c r="AT304" i="1"/>
  <c r="BE352" i="1"/>
  <c r="AT353" i="1"/>
  <c r="AT241" i="1"/>
  <c r="BE240" i="1"/>
  <c r="BF240" i="1" s="1"/>
  <c r="BE413" i="1"/>
  <c r="AT414" i="1"/>
  <c r="AT355" i="1"/>
  <c r="BE354" i="1"/>
  <c r="AT251" i="1"/>
  <c r="BE250" i="1"/>
  <c r="BF250" i="1" s="1"/>
  <c r="AT246" i="1"/>
  <c r="AT253" i="1"/>
  <c r="BE252" i="1"/>
  <c r="BF252" i="1" s="1"/>
  <c r="AT473" i="1"/>
  <c r="BE513" i="1"/>
  <c r="BF513" i="1" s="1"/>
  <c r="AT115" i="1"/>
  <c r="AT140" i="1"/>
  <c r="AO4" i="1"/>
  <c r="AP4" i="1" s="1"/>
  <c r="AJ5" i="1"/>
  <c r="AL5" i="1" s="1"/>
  <c r="AR5" i="1"/>
  <c r="AS5" i="1" s="1"/>
  <c r="AU5" i="1" s="1"/>
  <c r="AC5" i="1"/>
  <c r="AE5" i="1" s="1"/>
  <c r="BZ5" i="1" l="1"/>
  <c r="AG5" i="1"/>
  <c r="AN5" i="1" s="1"/>
  <c r="BA5" i="1"/>
  <c r="AY5" i="1"/>
  <c r="AX466" i="1" a="1"/>
  <c r="AX466" i="1" s="1"/>
  <c r="AW466" i="1"/>
  <c r="AX512" i="1" a="1"/>
  <c r="AX512" i="1" s="1"/>
  <c r="AW512" i="1"/>
  <c r="BE512" i="1"/>
  <c r="BF512" i="1" s="1"/>
  <c r="AW303" i="1"/>
  <c r="AX303" i="1" a="1"/>
  <c r="AX303" i="1" s="1"/>
  <c r="BE361" i="1"/>
  <c r="BF361" i="1" s="1"/>
  <c r="AW361" i="1"/>
  <c r="AX361" i="1" a="1"/>
  <c r="AX361" i="1" s="1"/>
  <c r="AW526" i="1"/>
  <c r="AX526" i="1" a="1"/>
  <c r="AX526" i="1" s="1"/>
  <c r="BE526" i="1"/>
  <c r="BF526" i="1" s="1"/>
  <c r="AW254" i="1"/>
  <c r="AX254" i="1" a="1"/>
  <c r="AX254" i="1" s="1"/>
  <c r="AX412" i="1" a="1"/>
  <c r="AX412" i="1" s="1"/>
  <c r="AW412" i="1"/>
  <c r="BE470" i="1"/>
  <c r="BF470" i="1" s="1"/>
  <c r="AW470" i="1"/>
  <c r="AX470" i="1" a="1"/>
  <c r="AX470" i="1" s="1"/>
  <c r="BE261" i="1"/>
  <c r="BF261" i="1" s="1"/>
  <c r="AW261" i="1"/>
  <c r="AX261" i="1" a="1"/>
  <c r="AX261" i="1" s="1"/>
  <c r="AX354" i="1" a="1"/>
  <c r="AX354" i="1" s="1"/>
  <c r="AW354" i="1"/>
  <c r="AW250" i="1"/>
  <c r="AX250" i="1" a="1"/>
  <c r="AX250" i="1" s="1"/>
  <c r="AX415" i="1" a="1"/>
  <c r="AX415" i="1" s="1"/>
  <c r="AW415" i="1"/>
  <c r="BE473" i="1"/>
  <c r="BF473" i="1" s="1"/>
  <c r="AX473" i="1" a="1"/>
  <c r="AX473" i="1" s="1"/>
  <c r="AW473" i="1"/>
  <c r="BE418" i="1"/>
  <c r="AW418" i="1"/>
  <c r="AX418" i="1" a="1"/>
  <c r="AX418" i="1" s="1"/>
  <c r="BE476" i="1"/>
  <c r="BF476" i="1" s="1"/>
  <c r="AW476" i="1"/>
  <c r="AX476" i="1" a="1"/>
  <c r="AX476" i="1" s="1"/>
  <c r="BE315" i="1"/>
  <c r="BF315" i="1" s="1"/>
  <c r="AX315" i="1" a="1"/>
  <c r="AX315" i="1" s="1"/>
  <c r="AW315" i="1"/>
  <c r="BE294" i="1"/>
  <c r="BF294" i="1" s="1"/>
  <c r="AX294" i="1" a="1"/>
  <c r="AX294" i="1" s="1"/>
  <c r="AW294" i="1"/>
  <c r="BE368" i="1"/>
  <c r="BF368" i="1" s="1"/>
  <c r="AX368" i="1" a="1"/>
  <c r="AX368" i="1" s="1"/>
  <c r="AW368" i="1"/>
  <c r="AX522" i="1" a="1"/>
  <c r="AX522" i="1" s="1"/>
  <c r="AW522" i="1"/>
  <c r="BE360" i="1"/>
  <c r="BF360" i="1" s="1"/>
  <c r="AX360" i="1" a="1"/>
  <c r="AX360" i="1" s="1"/>
  <c r="AW360" i="1"/>
  <c r="BE257" i="1"/>
  <c r="BF257" i="1" s="1"/>
  <c r="AX257" i="1" a="1"/>
  <c r="AX257" i="1" s="1"/>
  <c r="AW257" i="1"/>
  <c r="BE364" i="1"/>
  <c r="BF364" i="1" s="1"/>
  <c r="AW364" i="1"/>
  <c r="AX364" i="1" a="1"/>
  <c r="AX364" i="1" s="1"/>
  <c r="BE295" i="1"/>
  <c r="BF295" i="1" s="1"/>
  <c r="AW295" i="1"/>
  <c r="AX295" i="1" a="1"/>
  <c r="AX295" i="1" s="1"/>
  <c r="AX417" i="1" a="1"/>
  <c r="AX417" i="1" s="1"/>
  <c r="AW417" i="1"/>
  <c r="BE477" i="1"/>
  <c r="BF477" i="1" s="1"/>
  <c r="AW477" i="1"/>
  <c r="AX477" i="1" a="1"/>
  <c r="AX477" i="1" s="1"/>
  <c r="AW421" i="1"/>
  <c r="AX421" i="1" a="1"/>
  <c r="AX421" i="1" s="1"/>
  <c r="BE469" i="1"/>
  <c r="BF469" i="1" s="1"/>
  <c r="AX469" i="1" a="1"/>
  <c r="AX469" i="1" s="1"/>
  <c r="AW469" i="1"/>
  <c r="BE527" i="1"/>
  <c r="BF527" i="1" s="1"/>
  <c r="AX527" i="1" a="1"/>
  <c r="AX527" i="1" s="1"/>
  <c r="AW527" i="1"/>
  <c r="AX410" i="1" a="1"/>
  <c r="AX410" i="1" s="1"/>
  <c r="AW410" i="1"/>
  <c r="AW367" i="1"/>
  <c r="AX367" i="1" a="1"/>
  <c r="AX367" i="1" s="1"/>
  <c r="AW246" i="1"/>
  <c r="AX246" i="1" a="1"/>
  <c r="AX246" i="1" s="1"/>
  <c r="AX306" i="1" a="1"/>
  <c r="AX306" i="1" s="1"/>
  <c r="AW306" i="1"/>
  <c r="AW530" i="1"/>
  <c r="BE530" i="1"/>
  <c r="BF530" i="1" s="1"/>
  <c r="AX530" i="1" a="1"/>
  <c r="AX530" i="1" s="1"/>
  <c r="BE363" i="1"/>
  <c r="BF363" i="1" s="1"/>
  <c r="AW363" i="1"/>
  <c r="AX363" i="1" a="1"/>
  <c r="AX363" i="1" s="1"/>
  <c r="BE419" i="1"/>
  <c r="AX419" i="1" a="1"/>
  <c r="AX419" i="1" s="1"/>
  <c r="AW419" i="1"/>
  <c r="AW301" i="1"/>
  <c r="AX301" i="1" a="1"/>
  <c r="AX301" i="1" s="1"/>
  <c r="BE296" i="1"/>
  <c r="BF296" i="1" s="1"/>
  <c r="AX296" i="1" a="1"/>
  <c r="AX296" i="1" s="1"/>
  <c r="AW296" i="1"/>
  <c r="BE472" i="1"/>
  <c r="BF472" i="1" s="1"/>
  <c r="AW472" i="1"/>
  <c r="AX472" i="1" a="1"/>
  <c r="AX472" i="1" s="1"/>
  <c r="AW461" i="1"/>
  <c r="AX461" i="1" a="1"/>
  <c r="AX461" i="1" s="1"/>
  <c r="AX468" i="1" a="1"/>
  <c r="AX468" i="1" s="1"/>
  <c r="AW468" i="1"/>
  <c r="BE312" i="1"/>
  <c r="BF312" i="1" s="1"/>
  <c r="AW312" i="1"/>
  <c r="AX312" i="1" a="1"/>
  <c r="AX312" i="1" s="1"/>
  <c r="AX299" i="1" a="1"/>
  <c r="AX299" i="1" s="1"/>
  <c r="AW299" i="1"/>
  <c r="AW411" i="1"/>
  <c r="AX411" i="1" a="1"/>
  <c r="AX411" i="1" s="1"/>
  <c r="AW523" i="1"/>
  <c r="BE523" i="1"/>
  <c r="BF523" i="1" s="1"/>
  <c r="AX523" i="1" a="1"/>
  <c r="AX523" i="1" s="1"/>
  <c r="AW413" i="1"/>
  <c r="AX413" i="1" a="1"/>
  <c r="AX413" i="1" s="1"/>
  <c r="AX357" i="1" a="1"/>
  <c r="AX357" i="1" s="1"/>
  <c r="AW357" i="1"/>
  <c r="BE298" i="1"/>
  <c r="BF298" i="1" s="1"/>
  <c r="AX298" i="1" a="1"/>
  <c r="AX298" i="1" s="1"/>
  <c r="AW298" i="1"/>
  <c r="BE351" i="1"/>
  <c r="AX351" i="1" a="1"/>
  <c r="AX351" i="1" s="1"/>
  <c r="AW351" i="1"/>
  <c r="BE258" i="1"/>
  <c r="BF258" i="1" s="1"/>
  <c r="AX258" i="1" a="1"/>
  <c r="AX258" i="1" s="1"/>
  <c r="AW258" i="1"/>
  <c r="BE256" i="1"/>
  <c r="BF256" i="1" s="1"/>
  <c r="AX256" i="1" a="1"/>
  <c r="AX256" i="1" s="1"/>
  <c r="AW256" i="1"/>
  <c r="BE407" i="1"/>
  <c r="BF407" i="1" s="1"/>
  <c r="AW407" i="1"/>
  <c r="AX407" i="1" a="1"/>
  <c r="AX407" i="1" s="1"/>
  <c r="BE531" i="1"/>
  <c r="BF531" i="1" s="1"/>
  <c r="AX531" i="1" a="1"/>
  <c r="AX531" i="1" s="1"/>
  <c r="AW531" i="1"/>
  <c r="AX424" i="1" a="1"/>
  <c r="AX424" i="1" s="1"/>
  <c r="AW424" i="1"/>
  <c r="BE307" i="1"/>
  <c r="BF307" i="1" s="1"/>
  <c r="AX307" i="1" a="1"/>
  <c r="AX307" i="1" s="1"/>
  <c r="AW307" i="1"/>
  <c r="BE362" i="1"/>
  <c r="BF362" i="1" s="1"/>
  <c r="AW362" i="1"/>
  <c r="AX362" i="1" a="1"/>
  <c r="AX362" i="1" s="1"/>
  <c r="BE525" i="1"/>
  <c r="BF525" i="1" s="1"/>
  <c r="AX525" i="1" a="1"/>
  <c r="AX525" i="1" s="1"/>
  <c r="AW525" i="1"/>
  <c r="BE425" i="1"/>
  <c r="BF425" i="1" s="1"/>
  <c r="AW425" i="1"/>
  <c r="AX425" i="1" a="1"/>
  <c r="AX425" i="1" s="1"/>
  <c r="BE310" i="1"/>
  <c r="BF310" i="1" s="1"/>
  <c r="AW310" i="1"/>
  <c r="AX310" i="1" a="1"/>
  <c r="AX310" i="1" s="1"/>
  <c r="BE309" i="1"/>
  <c r="BF309" i="1" s="1"/>
  <c r="AX309" i="1" a="1"/>
  <c r="AX309" i="1" s="1"/>
  <c r="AW309" i="1"/>
  <c r="BE471" i="1"/>
  <c r="BF471" i="1" s="1"/>
  <c r="AX471" i="1" a="1"/>
  <c r="AX471" i="1" s="1"/>
  <c r="AW471" i="1"/>
  <c r="BE426" i="1"/>
  <c r="BF426" i="1" s="1"/>
  <c r="AW426" i="1"/>
  <c r="AX426" i="1" a="1"/>
  <c r="AX426" i="1" s="1"/>
  <c r="AW517" i="1"/>
  <c r="AX517" i="1" a="1"/>
  <c r="AX517" i="1" s="1"/>
  <c r="BE314" i="1"/>
  <c r="BF314" i="1" s="1"/>
  <c r="AX314" i="1" a="1"/>
  <c r="AX314" i="1" s="1"/>
  <c r="AW314" i="1"/>
  <c r="BE406" i="1"/>
  <c r="BF406" i="1" s="1"/>
  <c r="AX406" i="1" a="1"/>
  <c r="AX406" i="1" s="1"/>
  <c r="AW406" i="1"/>
  <c r="BE262" i="1"/>
  <c r="BF262" i="1" s="1"/>
  <c r="AW262" i="1"/>
  <c r="AX262" i="1" a="1"/>
  <c r="AX262" i="1" s="1"/>
  <c r="AW353" i="1"/>
  <c r="AX353" i="1" a="1"/>
  <c r="AX353" i="1" s="1"/>
  <c r="AX247" i="1" a="1"/>
  <c r="AX247" i="1" s="1"/>
  <c r="AW247" i="1"/>
  <c r="BE367" i="1"/>
  <c r="BF367" i="1" s="1"/>
  <c r="AW529" i="1"/>
  <c r="AX529" i="1" a="1"/>
  <c r="AX529" i="1" s="1"/>
  <c r="AW302" i="1"/>
  <c r="AX302" i="1" a="1"/>
  <c r="AX302" i="1" s="1"/>
  <c r="AX520" i="1" a="1"/>
  <c r="AX520" i="1" s="1"/>
  <c r="AW520" i="1"/>
  <c r="AW516" i="1"/>
  <c r="AX516" i="1" a="1"/>
  <c r="AX516" i="1" s="1"/>
  <c r="BE460" i="1"/>
  <c r="BF460" i="1" s="1"/>
  <c r="AW460" i="1"/>
  <c r="AX460" i="1" a="1"/>
  <c r="AX460" i="1" s="1"/>
  <c r="AW260" i="1"/>
  <c r="AX260" i="1" a="1"/>
  <c r="AX260" i="1" s="1"/>
  <c r="BE421" i="1"/>
  <c r="BF421" i="1" s="1"/>
  <c r="BE423" i="1"/>
  <c r="BF423" i="1" s="1"/>
  <c r="AW423" i="1"/>
  <c r="AX423" i="1" a="1"/>
  <c r="AX423" i="1" s="1"/>
  <c r="AX462" i="1" a="1"/>
  <c r="AX462" i="1" s="1"/>
  <c r="AW462" i="1"/>
  <c r="BE365" i="1"/>
  <c r="AW365" i="1"/>
  <c r="AX365" i="1" a="1"/>
  <c r="AX365" i="1" s="1"/>
  <c r="AX251" i="1" a="1"/>
  <c r="AX251" i="1" s="1"/>
  <c r="AW251" i="1"/>
  <c r="BE245" i="1"/>
  <c r="BF245" i="1" s="1"/>
  <c r="AX245" i="1" a="1"/>
  <c r="AX245" i="1" s="1"/>
  <c r="AW245" i="1"/>
  <c r="AX313" i="1" a="1"/>
  <c r="AX313" i="1" s="1"/>
  <c r="AW313" i="1"/>
  <c r="AX511" i="1" a="1"/>
  <c r="AX511" i="1" s="1"/>
  <c r="AW511" i="1"/>
  <c r="BE511" i="1"/>
  <c r="BF511" i="1" s="1"/>
  <c r="AX519" i="1" a="1"/>
  <c r="AX519" i="1" s="1"/>
  <c r="AW519" i="1"/>
  <c r="BE347" i="1"/>
  <c r="BF347" i="1" s="1"/>
  <c r="AX347" i="1" a="1"/>
  <c r="AX347" i="1" s="1"/>
  <c r="AW347" i="1"/>
  <c r="BE474" i="1"/>
  <c r="BF474" i="1" s="1"/>
  <c r="AX474" i="1" a="1"/>
  <c r="AX474" i="1" s="1"/>
  <c r="AW474" i="1"/>
  <c r="AW366" i="1"/>
  <c r="AX366" i="1" a="1"/>
  <c r="AX366" i="1" s="1"/>
  <c r="BE243" i="1"/>
  <c r="BF243" i="1" s="1"/>
  <c r="AX243" i="1" a="1"/>
  <c r="AX243" i="1" s="1"/>
  <c r="AW243" i="1"/>
  <c r="AX518" i="1" a="1"/>
  <c r="AX518" i="1" s="1"/>
  <c r="AW518" i="1"/>
  <c r="AW249" i="1"/>
  <c r="AX249" i="1" a="1"/>
  <c r="AX249" i="1" s="1"/>
  <c r="BE422" i="1"/>
  <c r="BF422" i="1" s="1"/>
  <c r="AX422" i="1" a="1"/>
  <c r="AX422" i="1" s="1"/>
  <c r="AW422" i="1"/>
  <c r="BE456" i="1"/>
  <c r="BF456" i="1" s="1"/>
  <c r="AX456" i="1" a="1"/>
  <c r="AX456" i="1" s="1"/>
  <c r="AW456" i="1"/>
  <c r="AX475" i="1" a="1"/>
  <c r="AX475" i="1" s="1"/>
  <c r="AW475" i="1"/>
  <c r="BE241" i="1"/>
  <c r="BF241" i="1" s="1"/>
  <c r="AX241" i="1" a="1"/>
  <c r="AX241" i="1" s="1"/>
  <c r="AW241" i="1"/>
  <c r="AX253" i="1" a="1"/>
  <c r="AX253" i="1" s="1"/>
  <c r="AW253" i="1"/>
  <c r="AW356" i="1"/>
  <c r="AX356" i="1" a="1"/>
  <c r="AX356" i="1" s="1"/>
  <c r="BE420" i="1"/>
  <c r="BF420" i="1" s="1"/>
  <c r="AX420" i="1" a="1"/>
  <c r="AX420" i="1" s="1"/>
  <c r="AW420" i="1"/>
  <c r="AO5" i="1"/>
  <c r="AP5" i="1" s="1"/>
  <c r="AQ5" i="1" s="1"/>
  <c r="AX414" i="1" a="1"/>
  <c r="AX414" i="1" s="1"/>
  <c r="AW414" i="1"/>
  <c r="BE255" i="1"/>
  <c r="BF255" i="1" s="1"/>
  <c r="AX255" i="1" a="1"/>
  <c r="AX255" i="1" s="1"/>
  <c r="AW255" i="1"/>
  <c r="AW352" i="1"/>
  <c r="AX352" i="1" a="1"/>
  <c r="AX352" i="1" s="1"/>
  <c r="BE510" i="1"/>
  <c r="BF510" i="1" s="1"/>
  <c r="AX510" i="1" a="1"/>
  <c r="AX510" i="1" s="1"/>
  <c r="AW510" i="1"/>
  <c r="BE259" i="1"/>
  <c r="BF259" i="1" s="1"/>
  <c r="AW259" i="1"/>
  <c r="AX259" i="1" a="1"/>
  <c r="AX259" i="1" s="1"/>
  <c r="AW515" i="1"/>
  <c r="AX515" i="1" a="1"/>
  <c r="AX515" i="1" s="1"/>
  <c r="BE349" i="1"/>
  <c r="BF349" i="1" s="1"/>
  <c r="AX349" i="1" a="1"/>
  <c r="AX349" i="1" s="1"/>
  <c r="AW349" i="1"/>
  <c r="BE348" i="1"/>
  <c r="BF348" i="1" s="1"/>
  <c r="AX348" i="1" a="1"/>
  <c r="AX348" i="1" s="1"/>
  <c r="AW348" i="1"/>
  <c r="AX300" i="1" a="1"/>
  <c r="AX300" i="1" s="1"/>
  <c r="AW300" i="1"/>
  <c r="AW248" i="1"/>
  <c r="AX248" i="1" a="1"/>
  <c r="AX248" i="1" s="1"/>
  <c r="BE405" i="1"/>
  <c r="BF405" i="1" s="1"/>
  <c r="AX405" i="1" a="1"/>
  <c r="AX405" i="1" s="1"/>
  <c r="AW405" i="1"/>
  <c r="AX304" i="1" a="1"/>
  <c r="AX304" i="1" s="1"/>
  <c r="AW304" i="1"/>
  <c r="AX465" i="1" a="1"/>
  <c r="AX465" i="1" s="1"/>
  <c r="AW465" i="1"/>
  <c r="AX355" i="1" a="1"/>
  <c r="AX355" i="1" s="1"/>
  <c r="AW355" i="1"/>
  <c r="AX514" i="1" a="1"/>
  <c r="AX514" i="1" s="1"/>
  <c r="AW514" i="1"/>
  <c r="BE514" i="1"/>
  <c r="BF514" i="1" s="1"/>
  <c r="BE458" i="1"/>
  <c r="BF458" i="1" s="1"/>
  <c r="AX458" i="1" a="1"/>
  <c r="AX458" i="1" s="1"/>
  <c r="AW458" i="1"/>
  <c r="BE254" i="1"/>
  <c r="BF254" i="1" s="1"/>
  <c r="BE311" i="1"/>
  <c r="BF311" i="1" s="1"/>
  <c r="AX311" i="1" a="1"/>
  <c r="AX311" i="1" s="1"/>
  <c r="AW311" i="1"/>
  <c r="AX528" i="1" a="1"/>
  <c r="AX528" i="1" s="1"/>
  <c r="AW528" i="1"/>
  <c r="BE528" i="1"/>
  <c r="BF528" i="1" s="1"/>
  <c r="BE242" i="1"/>
  <c r="BF242" i="1" s="1"/>
  <c r="AW242" i="1"/>
  <c r="AX242" i="1" a="1"/>
  <c r="AX242" i="1" s="1"/>
  <c r="AW524" i="1"/>
  <c r="BE524" i="1"/>
  <c r="BF524" i="1" s="1"/>
  <c r="AX524" i="1" a="1"/>
  <c r="AX524" i="1" s="1"/>
  <c r="AW464" i="1"/>
  <c r="AX464" i="1" a="1"/>
  <c r="AX464" i="1" s="1"/>
  <c r="BE409" i="1"/>
  <c r="BF409" i="1" s="1"/>
  <c r="AX409" i="1" a="1"/>
  <c r="AX409" i="1" s="1"/>
  <c r="AW409" i="1"/>
  <c r="BE457" i="1"/>
  <c r="BF457" i="1" s="1"/>
  <c r="AW457" i="1"/>
  <c r="AX457" i="1" a="1"/>
  <c r="AX457" i="1" s="1"/>
  <c r="AW359" i="1"/>
  <c r="AX359" i="1" a="1"/>
  <c r="AX359" i="1" s="1"/>
  <c r="AX463" i="1" a="1"/>
  <c r="AX463" i="1" s="1"/>
  <c r="AW463" i="1"/>
  <c r="BE308" i="1"/>
  <c r="BF308" i="1" s="1"/>
  <c r="AX308" i="1" a="1"/>
  <c r="AX308" i="1" s="1"/>
  <c r="AW308" i="1"/>
  <c r="AT117" i="1"/>
  <c r="AT116" i="1"/>
  <c r="AT139" i="1"/>
  <c r="AW140" i="1"/>
  <c r="AW73" i="1"/>
  <c r="AX46" i="1" a="1"/>
  <c r="AX46" i="1" s="1"/>
  <c r="BE46" i="1"/>
  <c r="AW46" i="1"/>
  <c r="AW72" i="1"/>
  <c r="AW71" i="1"/>
  <c r="BE74" i="1"/>
  <c r="BF74" i="1" s="1"/>
  <c r="AW74" i="1"/>
  <c r="AX74" i="1" a="1"/>
  <c r="AX74" i="1" s="1"/>
  <c r="AW115" i="1"/>
  <c r="AW70" i="1"/>
  <c r="AX47" i="1" a="1"/>
  <c r="AX47" i="1" s="1"/>
  <c r="BE47" i="1"/>
  <c r="AW47" i="1"/>
  <c r="AV4" i="1" a="1"/>
  <c r="AV4" i="1" s="1"/>
  <c r="Z6" i="1"/>
  <c r="BD4" i="1" l="1"/>
  <c r="BH4" i="1"/>
  <c r="AT5" i="1"/>
  <c r="AZ4" i="1"/>
  <c r="BE4" i="1" s="1"/>
  <c r="AX4" i="1" a="1"/>
  <c r="AX4" i="1" s="1"/>
  <c r="AW4" i="1"/>
  <c r="AF6" i="1"/>
  <c r="BC6" i="1"/>
  <c r="AW117" i="1"/>
  <c r="AW139" i="1"/>
  <c r="AW116" i="1"/>
  <c r="AW40" i="1"/>
  <c r="AX45" i="1" a="1"/>
  <c r="AX45" i="1" s="1"/>
  <c r="BE45" i="1"/>
  <c r="BF45" i="1" s="1"/>
  <c r="AW45" i="1"/>
  <c r="AW41" i="1"/>
  <c r="AW43" i="1"/>
  <c r="AW44" i="1"/>
  <c r="AW42" i="1"/>
  <c r="AC6" i="1"/>
  <c r="AE6" i="1" s="1"/>
  <c r="AJ6" i="1"/>
  <c r="AL6" i="1" s="1"/>
  <c r="AR6" i="1"/>
  <c r="AS6" i="1" s="1"/>
  <c r="AU6" i="1" s="1"/>
  <c r="BF4" i="1" l="1"/>
  <c r="BG4" i="1" s="1"/>
  <c r="BZ6" i="1"/>
  <c r="BQ4" i="1"/>
  <c r="BP4" i="1"/>
  <c r="AG6" i="1"/>
  <c r="AN6" i="1" s="1"/>
  <c r="AO6" i="1" s="1"/>
  <c r="AP6" i="1" s="1"/>
  <c r="AQ6" i="1" s="1"/>
  <c r="BH5" i="1" s="1"/>
  <c r="Z7" i="1"/>
  <c r="BA6" i="1"/>
  <c r="AY6" i="1"/>
  <c r="AZ5" i="1"/>
  <c r="BB5" i="1" s="1" a="1"/>
  <c r="BB5" i="1" s="1"/>
  <c r="AW5" i="1"/>
  <c r="AX5" i="1" a="1"/>
  <c r="AX5" i="1" s="1"/>
  <c r="AJ7" i="1"/>
  <c r="AL7" i="1" s="1"/>
  <c r="AR7" i="1"/>
  <c r="AS7" i="1" s="1"/>
  <c r="AU7" i="1" s="1"/>
  <c r="BQ5" i="1" l="1"/>
  <c r="BP5" i="1"/>
  <c r="BD5" i="1"/>
  <c r="BE5" i="1" s="1"/>
  <c r="BF5" i="1" s="1"/>
  <c r="BG5" i="1" s="1"/>
  <c r="AT6" i="1"/>
  <c r="AZ6" i="1" s="1"/>
  <c r="BB6" i="1" s="1" a="1"/>
  <c r="BB6" i="1" s="1"/>
  <c r="BC7" i="1"/>
  <c r="AC7" i="1"/>
  <c r="AE7" i="1" s="1"/>
  <c r="Z8" i="1" s="1"/>
  <c r="AF7" i="1"/>
  <c r="AW6" i="1"/>
  <c r="AX6" i="1" a="1"/>
  <c r="AX6" i="1" s="1"/>
  <c r="BA7" i="1"/>
  <c r="AY7" i="1"/>
  <c r="BZ7" i="1" l="1"/>
  <c r="BC8" i="1"/>
  <c r="AF8" i="1"/>
  <c r="AG8" i="1" s="1"/>
  <c r="AN8" i="1" s="1"/>
  <c r="AG7" i="1"/>
  <c r="AN7" i="1" s="1"/>
  <c r="AO7" i="1" s="1"/>
  <c r="AP7" i="1" s="1"/>
  <c r="AQ7" i="1" s="1"/>
  <c r="AR8" i="1"/>
  <c r="AS8" i="1" s="1"/>
  <c r="AU8" i="1" s="1"/>
  <c r="BA8" i="1" s="1"/>
  <c r="AJ8" i="1"/>
  <c r="AL8" i="1" s="1"/>
  <c r="Z9" i="1"/>
  <c r="AT7" i="1"/>
  <c r="BZ8" i="1" l="1"/>
  <c r="BD6" i="1"/>
  <c r="BE6" i="1" s="1"/>
  <c r="BF6" i="1" s="1"/>
  <c r="BG6" i="1" s="1"/>
  <c r="BH6" i="1"/>
  <c r="AY8" i="1"/>
  <c r="AO8" i="1"/>
  <c r="AP8" i="1" s="1"/>
  <c r="BC9" i="1"/>
  <c r="AT8" i="1"/>
  <c r="AZ8" i="1" s="1"/>
  <c r="BB8" i="1" s="1" a="1"/>
  <c r="BB8" i="1" s="1"/>
  <c r="BD7" i="1"/>
  <c r="AF9" i="1"/>
  <c r="AG9" i="1" s="1"/>
  <c r="AN9" i="1" s="1"/>
  <c r="AR9" i="1"/>
  <c r="AS9" i="1" s="1"/>
  <c r="AU9" i="1" s="1"/>
  <c r="BA9" i="1" s="1"/>
  <c r="AJ9" i="1"/>
  <c r="AL9" i="1" s="1"/>
  <c r="AZ7" i="1"/>
  <c r="BB7" i="1" s="1" a="1"/>
  <c r="BB7" i="1" s="1"/>
  <c r="AW7" i="1"/>
  <c r="AX7" i="1" a="1"/>
  <c r="AX7" i="1" s="1"/>
  <c r="AC9" i="1"/>
  <c r="AE9" i="1" s="1"/>
  <c r="Z10" i="1" s="1"/>
  <c r="BQ6" i="1" l="1"/>
  <c r="BQ7" i="1" s="1"/>
  <c r="BP6" i="1"/>
  <c r="BP7" i="1" s="1"/>
  <c r="AX8" i="1" a="1"/>
  <c r="AX8" i="1" s="1"/>
  <c r="BE7" i="1"/>
  <c r="BF7" i="1" s="1"/>
  <c r="BG7" i="1" s="1"/>
  <c r="AW8" i="1"/>
  <c r="AY9" i="1"/>
  <c r="BC10" i="1"/>
  <c r="AO9" i="1"/>
  <c r="AP9" i="1" s="1"/>
  <c r="AQ9" i="1" s="1"/>
  <c r="AJ10" i="1"/>
  <c r="AL10" i="1" s="1"/>
  <c r="AR10" i="1"/>
  <c r="AS10" i="1" s="1"/>
  <c r="AU10" i="1" s="1"/>
  <c r="AF10" i="1"/>
  <c r="AC10" i="1"/>
  <c r="AE10" i="1" s="1"/>
  <c r="Z11" i="1" s="1"/>
  <c r="BZ10" i="1" l="1"/>
  <c r="BZ9" i="1"/>
  <c r="BD8" i="1"/>
  <c r="BE8" i="1" s="1"/>
  <c r="BF8" i="1" s="1"/>
  <c r="BG8" i="1" s="1"/>
  <c r="BH8" i="1"/>
  <c r="BP8" i="1"/>
  <c r="BQ8" i="1"/>
  <c r="BC11" i="1"/>
  <c r="AG10" i="1"/>
  <c r="AN10" i="1" s="1"/>
  <c r="AT9" i="1"/>
  <c r="AZ9" i="1" s="1"/>
  <c r="BB9" i="1" s="1" a="1"/>
  <c r="BB9" i="1" s="1"/>
  <c r="BA10" i="1"/>
  <c r="AY10" i="1"/>
  <c r="AJ11" i="1"/>
  <c r="AL11" i="1" s="1"/>
  <c r="AR11" i="1"/>
  <c r="AS11" i="1" s="1"/>
  <c r="AU11" i="1" s="1"/>
  <c r="AC11" i="1"/>
  <c r="AE11" i="1" s="1"/>
  <c r="Z12" i="1" s="1"/>
  <c r="AF11" i="1"/>
  <c r="AO10" i="1"/>
  <c r="AP10" i="1" s="1"/>
  <c r="AQ10" i="1" s="1"/>
  <c r="BZ11" i="1" l="1"/>
  <c r="BD9" i="1"/>
  <c r="BH9" i="1"/>
  <c r="BP9" i="1" s="1"/>
  <c r="AW9" i="1"/>
  <c r="AG11" i="1"/>
  <c r="AN11" i="1" s="1"/>
  <c r="BC12" i="1"/>
  <c r="AX9" i="1" a="1"/>
  <c r="AX9" i="1" s="1"/>
  <c r="AT10" i="1"/>
  <c r="BA11" i="1"/>
  <c r="AY11" i="1"/>
  <c r="BE9" i="1"/>
  <c r="BF9" i="1" s="1"/>
  <c r="BG9" i="1" s="1"/>
  <c r="AC12" i="1"/>
  <c r="AE12" i="1" s="1"/>
  <c r="AF12" i="1"/>
  <c r="AO11" i="1"/>
  <c r="AP11" i="1" s="1"/>
  <c r="AQ11" i="1" s="1"/>
  <c r="AJ12" i="1"/>
  <c r="AL12" i="1" s="1"/>
  <c r="AR12" i="1"/>
  <c r="AS12" i="1" s="1"/>
  <c r="AU12" i="1" s="1"/>
  <c r="BZ12" i="1" l="1"/>
  <c r="BD10" i="1"/>
  <c r="BH10" i="1"/>
  <c r="BP10" i="1" s="1"/>
  <c r="BQ9" i="1"/>
  <c r="BQ10" i="1" s="1"/>
  <c r="AG12" i="1"/>
  <c r="AN12" i="1" s="1"/>
  <c r="AO12" i="1"/>
  <c r="AP12" i="1" s="1"/>
  <c r="AQ12" i="1" s="1"/>
  <c r="BH11" i="1" s="1"/>
  <c r="BA12" i="1"/>
  <c r="AY12" i="1"/>
  <c r="Z13" i="1"/>
  <c r="AT11" i="1"/>
  <c r="AZ10" i="1"/>
  <c r="BB10" i="1" s="1" a="1"/>
  <c r="BB10" i="1" s="1"/>
  <c r="BE10" i="1" s="1"/>
  <c r="BF10" i="1" s="1"/>
  <c r="BG10" i="1" s="1"/>
  <c r="AX10" i="1" a="1"/>
  <c r="AX10" i="1" s="1"/>
  <c r="AW10" i="1"/>
  <c r="BP11" i="1" l="1"/>
  <c r="BQ11" i="1"/>
  <c r="BC13" i="1"/>
  <c r="AT12" i="1"/>
  <c r="AX12" i="1" s="1" a="1"/>
  <c r="AX12" i="1" s="1"/>
  <c r="BD11" i="1"/>
  <c r="AJ13" i="1"/>
  <c r="AL13" i="1" s="1"/>
  <c r="AC13" i="1"/>
  <c r="AE13" i="1" s="1"/>
  <c r="Z14" i="1" s="1"/>
  <c r="AZ11" i="1"/>
  <c r="BB11" i="1" s="1" a="1"/>
  <c r="BB11" i="1" s="1"/>
  <c r="BE11" i="1" s="1"/>
  <c r="BF11" i="1" s="1"/>
  <c r="BG11" i="1" s="1"/>
  <c r="AX11" i="1" a="1"/>
  <c r="AX11" i="1" s="1"/>
  <c r="AW11" i="1"/>
  <c r="AF13" i="1"/>
  <c r="AR13" i="1"/>
  <c r="AS13" i="1" s="1"/>
  <c r="AU13" i="1" s="1"/>
  <c r="AZ12" i="1"/>
  <c r="BB12" i="1" s="1" a="1"/>
  <c r="BB12" i="1" s="1"/>
  <c r="BZ13" i="1" l="1"/>
  <c r="BC14" i="1"/>
  <c r="AG13" i="1"/>
  <c r="AN13" i="1" s="1"/>
  <c r="AO13" i="1" s="1"/>
  <c r="AP13" i="1" s="1"/>
  <c r="AQ13" i="1" s="1"/>
  <c r="AW12" i="1"/>
  <c r="BA13" i="1"/>
  <c r="AY13" i="1"/>
  <c r="AJ14" i="1"/>
  <c r="AL14" i="1" s="1"/>
  <c r="AR14" i="1"/>
  <c r="AS14" i="1" s="1"/>
  <c r="AU14" i="1" s="1"/>
  <c r="AF14" i="1"/>
  <c r="AC14" i="1"/>
  <c r="AE14" i="1" s="1"/>
  <c r="BZ14" i="1" l="1"/>
  <c r="BD12" i="1"/>
  <c r="BE12" i="1" s="1"/>
  <c r="BF12" i="1" s="1"/>
  <c r="BG12" i="1" s="1"/>
  <c r="BH12" i="1"/>
  <c r="AT13" i="1"/>
  <c r="AG14" i="1"/>
  <c r="AN14" i="1" s="1"/>
  <c r="BA14" i="1"/>
  <c r="AY14" i="1"/>
  <c r="AZ13" i="1"/>
  <c r="BB13" i="1" s="1" a="1"/>
  <c r="BB13" i="1" s="1"/>
  <c r="AX13" i="1" a="1"/>
  <c r="AX13" i="1" s="1"/>
  <c r="AW13" i="1"/>
  <c r="AO14" i="1"/>
  <c r="AP14" i="1" s="1"/>
  <c r="AQ14" i="1" s="1"/>
  <c r="Z15" i="1"/>
  <c r="BD13" i="1" l="1"/>
  <c r="BH13" i="1"/>
  <c r="BP12" i="1"/>
  <c r="BQ12" i="1"/>
  <c r="BQ13" i="1" s="1"/>
  <c r="AF15" i="1"/>
  <c r="BC15" i="1"/>
  <c r="AT14" i="1"/>
  <c r="BE13" i="1"/>
  <c r="BF13" i="1" s="1"/>
  <c r="BG13" i="1" s="1"/>
  <c r="AC15" i="1"/>
  <c r="AE15" i="1" s="1"/>
  <c r="Z16" i="1" s="1"/>
  <c r="AJ15" i="1"/>
  <c r="AL15" i="1" s="1"/>
  <c r="AR15" i="1"/>
  <c r="AS15" i="1" s="1"/>
  <c r="AU15" i="1" s="1"/>
  <c r="BZ15" i="1" l="1"/>
  <c r="BP13" i="1"/>
  <c r="BC16" i="1"/>
  <c r="AG15" i="1"/>
  <c r="AN15" i="1" s="1"/>
  <c r="AO15" i="1" s="1"/>
  <c r="AP15" i="1" s="1"/>
  <c r="AQ15" i="1" s="1"/>
  <c r="BH14" i="1" s="1"/>
  <c r="BQ14" i="1" s="1"/>
  <c r="AY15" i="1"/>
  <c r="BA15" i="1"/>
  <c r="AZ14" i="1"/>
  <c r="BB14" i="1" s="1" a="1"/>
  <c r="BB14" i="1" s="1"/>
  <c r="AW14" i="1"/>
  <c r="AX14" i="1" a="1"/>
  <c r="AX14" i="1" s="1"/>
  <c r="AJ16" i="1"/>
  <c r="AL16" i="1" s="1"/>
  <c r="AR16" i="1"/>
  <c r="AS16" i="1" s="1"/>
  <c r="AU16" i="1" s="1"/>
  <c r="AF16" i="1"/>
  <c r="AC16" i="1"/>
  <c r="AE16" i="1" s="1"/>
  <c r="BZ16" i="1" l="1"/>
  <c r="BP14" i="1"/>
  <c r="AG16" i="1"/>
  <c r="AN16" i="1" s="1"/>
  <c r="BD14" i="1"/>
  <c r="BE14" i="1" s="1"/>
  <c r="BF14" i="1" s="1"/>
  <c r="BG14" i="1" s="1"/>
  <c r="AT15" i="1"/>
  <c r="AZ15" i="1" s="1"/>
  <c r="BB15" i="1" s="1" a="1"/>
  <c r="BB15" i="1" s="1"/>
  <c r="AY16" i="1"/>
  <c r="BA16" i="1"/>
  <c r="AO16" i="1"/>
  <c r="AP16" i="1" s="1"/>
  <c r="AQ16" i="1" s="1"/>
  <c r="Z17" i="1"/>
  <c r="AW15" i="1" l="1"/>
  <c r="AX15" i="1" a="1"/>
  <c r="AX15" i="1" s="1"/>
  <c r="BD15" i="1"/>
  <c r="BH15" i="1"/>
  <c r="BQ15" i="1" s="1"/>
  <c r="BC17" i="1"/>
  <c r="AT16" i="1"/>
  <c r="BE15" i="1"/>
  <c r="BF15" i="1" s="1"/>
  <c r="BG15" i="1" s="1"/>
  <c r="AJ17" i="1"/>
  <c r="AL17" i="1" s="1"/>
  <c r="AR17" i="1"/>
  <c r="AS17" i="1" s="1"/>
  <c r="AU17" i="1" s="1"/>
  <c r="AC17" i="1"/>
  <c r="AE17" i="1" s="1"/>
  <c r="Z18" i="1" s="1"/>
  <c r="AF17" i="1"/>
  <c r="BZ17" i="1" l="1"/>
  <c r="BP15" i="1"/>
  <c r="BC18" i="1"/>
  <c r="AG17" i="1"/>
  <c r="AN17" i="1" s="1"/>
  <c r="BA17" i="1"/>
  <c r="AY17" i="1"/>
  <c r="AZ16" i="1"/>
  <c r="BB16" i="1" s="1" a="1"/>
  <c r="BB16" i="1" s="1"/>
  <c r="AX16" i="1" a="1"/>
  <c r="AX16" i="1" s="1"/>
  <c r="AW16" i="1"/>
  <c r="AJ18" i="1"/>
  <c r="AL18" i="1" s="1"/>
  <c r="AR18" i="1"/>
  <c r="AS18" i="1" s="1"/>
  <c r="AU18" i="1" s="1"/>
  <c r="AO17" i="1"/>
  <c r="AP17" i="1" s="1"/>
  <c r="AQ17" i="1" s="1"/>
  <c r="AF18" i="1"/>
  <c r="AC18" i="1"/>
  <c r="AE18" i="1" s="1"/>
  <c r="Z19" i="1" s="1"/>
  <c r="BZ18" i="1" l="1"/>
  <c r="BD16" i="1"/>
  <c r="BH16" i="1"/>
  <c r="BQ16" i="1" s="1"/>
  <c r="AG18" i="1"/>
  <c r="AN18" i="1" s="1"/>
  <c r="BC19" i="1"/>
  <c r="AT17" i="1"/>
  <c r="BE16" i="1"/>
  <c r="BF16" i="1" s="1"/>
  <c r="BG16" i="1" s="1"/>
  <c r="BA18" i="1"/>
  <c r="AY18" i="1"/>
  <c r="AJ19" i="1"/>
  <c r="AL19" i="1" s="1"/>
  <c r="AR19" i="1"/>
  <c r="AS19" i="1" s="1"/>
  <c r="AU19" i="1" s="1"/>
  <c r="AO18" i="1"/>
  <c r="AP18" i="1" s="1"/>
  <c r="AQ18" i="1" s="1"/>
  <c r="AC19" i="1"/>
  <c r="AE19" i="1" s="1"/>
  <c r="Z20" i="1" s="1"/>
  <c r="AF19" i="1"/>
  <c r="BZ19" i="1" l="1"/>
  <c r="BD17" i="1"/>
  <c r="BH17" i="1"/>
  <c r="BQ17" i="1" s="1"/>
  <c r="BP16" i="1"/>
  <c r="BP17" i="1" s="1"/>
  <c r="BC20" i="1"/>
  <c r="AG19" i="1"/>
  <c r="AN19" i="1" s="1"/>
  <c r="BA19" i="1"/>
  <c r="AY19" i="1"/>
  <c r="AT18" i="1"/>
  <c r="AZ17" i="1"/>
  <c r="BB17" i="1" s="1" a="1"/>
  <c r="BB17" i="1" s="1"/>
  <c r="BE17" i="1" s="1"/>
  <c r="BF17" i="1" s="1"/>
  <c r="BG17" i="1" s="1"/>
  <c r="AX17" i="1" a="1"/>
  <c r="AX17" i="1" s="1"/>
  <c r="AW17" i="1"/>
  <c r="AJ20" i="1"/>
  <c r="AL20" i="1" s="1"/>
  <c r="AR20" i="1"/>
  <c r="AS20" i="1" s="1"/>
  <c r="AU20" i="1" s="1"/>
  <c r="AO19" i="1"/>
  <c r="AP19" i="1" s="1"/>
  <c r="AQ19" i="1" s="1"/>
  <c r="AF20" i="1"/>
  <c r="AC20" i="1"/>
  <c r="AE20" i="1" s="1"/>
  <c r="Z21" i="1" s="1"/>
  <c r="BZ20" i="1" l="1"/>
  <c r="BD18" i="1"/>
  <c r="BH18" i="1"/>
  <c r="BQ18" i="1" s="1"/>
  <c r="BP18" i="1"/>
  <c r="AG20" i="1"/>
  <c r="AN20" i="1" s="1"/>
  <c r="BC21" i="1"/>
  <c r="AG21" i="1"/>
  <c r="AN21" i="1" s="1"/>
  <c r="BA20" i="1"/>
  <c r="AY20" i="1"/>
  <c r="AZ18" i="1"/>
  <c r="BB18" i="1" s="1" a="1"/>
  <c r="BB18" i="1" s="1"/>
  <c r="AX18" i="1" a="1"/>
  <c r="AX18" i="1" s="1"/>
  <c r="AW18" i="1"/>
  <c r="AT19" i="1"/>
  <c r="AJ21" i="1"/>
  <c r="AL21" i="1" s="1"/>
  <c r="AR21" i="1"/>
  <c r="AS21" i="1" s="1"/>
  <c r="AU21" i="1" s="1"/>
  <c r="AO20" i="1"/>
  <c r="AP20" i="1" s="1"/>
  <c r="AQ20" i="1" s="1"/>
  <c r="AC21" i="1"/>
  <c r="AE21" i="1" s="1"/>
  <c r="Z22" i="1" s="1"/>
  <c r="AF21" i="1"/>
  <c r="BZ21" i="1" l="1"/>
  <c r="BD19" i="1"/>
  <c r="BH19" i="1"/>
  <c r="BQ19" i="1" s="1"/>
  <c r="BC22" i="1"/>
  <c r="AG22" i="1"/>
  <c r="AN22" i="1" s="1"/>
  <c r="BE18" i="1"/>
  <c r="BF18" i="1" s="1"/>
  <c r="BG18" i="1" s="1"/>
  <c r="AT20" i="1"/>
  <c r="BA21" i="1"/>
  <c r="AY21" i="1"/>
  <c r="AZ19" i="1"/>
  <c r="BB19" i="1" s="1" a="1"/>
  <c r="BB19" i="1" s="1"/>
  <c r="BE19" i="1" s="1"/>
  <c r="BF19" i="1" s="1"/>
  <c r="AW19" i="1"/>
  <c r="AX19" i="1" a="1"/>
  <c r="AX19" i="1" s="1"/>
  <c r="AJ22" i="1"/>
  <c r="AL22" i="1" s="1"/>
  <c r="AR22" i="1"/>
  <c r="AS22" i="1" s="1"/>
  <c r="AU22" i="1" s="1"/>
  <c r="AO21" i="1"/>
  <c r="AP21" i="1" s="1"/>
  <c r="AQ21" i="1" s="1"/>
  <c r="AF22" i="1"/>
  <c r="AC22" i="1"/>
  <c r="AE22" i="1" s="1"/>
  <c r="Z23" i="1" s="1"/>
  <c r="BG19" i="1" l="1"/>
  <c r="BZ22" i="1"/>
  <c r="BD20" i="1"/>
  <c r="BH20" i="1"/>
  <c r="BQ20" i="1" s="1"/>
  <c r="BP19" i="1"/>
  <c r="BC23" i="1"/>
  <c r="AG23" i="1"/>
  <c r="AN23" i="1" s="1"/>
  <c r="BA22" i="1"/>
  <c r="AY22" i="1"/>
  <c r="AT21" i="1"/>
  <c r="AZ20" i="1"/>
  <c r="BB20" i="1" s="1" a="1"/>
  <c r="BB20" i="1" s="1"/>
  <c r="BE20" i="1" s="1"/>
  <c r="BF20" i="1" s="1"/>
  <c r="BG20" i="1" s="1"/>
  <c r="AW20" i="1"/>
  <c r="AX20" i="1" a="1"/>
  <c r="AX20" i="1" s="1"/>
  <c r="AJ23" i="1"/>
  <c r="AL23" i="1" s="1"/>
  <c r="AR23" i="1"/>
  <c r="AS23" i="1" s="1"/>
  <c r="AU23" i="1" s="1"/>
  <c r="AO22" i="1"/>
  <c r="AP22" i="1" s="1"/>
  <c r="AQ22" i="1" s="1"/>
  <c r="AC23" i="1"/>
  <c r="AE23" i="1" s="1"/>
  <c r="Z24" i="1" s="1"/>
  <c r="AF23" i="1"/>
  <c r="BZ23" i="1" l="1"/>
  <c r="BD21" i="1"/>
  <c r="BH21" i="1"/>
  <c r="BQ21" i="1" s="1"/>
  <c r="BP20" i="1"/>
  <c r="BC24" i="1"/>
  <c r="BA23" i="1"/>
  <c r="AY23" i="1"/>
  <c r="AZ21" i="1"/>
  <c r="BB21" i="1" s="1" a="1"/>
  <c r="BB21" i="1" s="1"/>
  <c r="AW21" i="1"/>
  <c r="AX21" i="1" a="1"/>
  <c r="AX21" i="1" s="1"/>
  <c r="AT22" i="1"/>
  <c r="AJ24" i="1"/>
  <c r="AL24" i="1" s="1"/>
  <c r="AR24" i="1"/>
  <c r="AS24" i="1" s="1"/>
  <c r="AU24" i="1" s="1"/>
  <c r="AO23" i="1"/>
  <c r="AP23" i="1" s="1"/>
  <c r="AQ23" i="1" s="1"/>
  <c r="AF24" i="1"/>
  <c r="AC24" i="1"/>
  <c r="AE24" i="1" s="1"/>
  <c r="BZ24" i="1" l="1"/>
  <c r="BP21" i="1"/>
  <c r="BD22" i="1"/>
  <c r="BH22" i="1"/>
  <c r="BQ22" i="1" s="1"/>
  <c r="AG24" i="1"/>
  <c r="AN24" i="1" s="1"/>
  <c r="BE21" i="1"/>
  <c r="BF21" i="1" s="1"/>
  <c r="BG21" i="1" s="1"/>
  <c r="AT23" i="1"/>
  <c r="AZ22" i="1"/>
  <c r="BB22" i="1" s="1" a="1"/>
  <c r="BB22" i="1" s="1"/>
  <c r="BE22" i="1" s="1"/>
  <c r="BF22" i="1" s="1"/>
  <c r="BG22" i="1" s="1"/>
  <c r="AW22" i="1"/>
  <c r="AX22" i="1" a="1"/>
  <c r="AX22" i="1" s="1"/>
  <c r="BA24" i="1"/>
  <c r="AY24" i="1"/>
  <c r="AO24" i="1"/>
  <c r="AP24" i="1" s="1"/>
  <c r="AQ24" i="1" s="1"/>
  <c r="Z25" i="1"/>
  <c r="BD23" i="1" l="1"/>
  <c r="BQ23" i="1"/>
  <c r="BP22" i="1"/>
  <c r="AF25" i="1"/>
  <c r="BC25" i="1"/>
  <c r="AZ23" i="1"/>
  <c r="BB23" i="1" s="1" a="1"/>
  <c r="BB23" i="1" s="1"/>
  <c r="AW23" i="1"/>
  <c r="AX23" i="1" a="1"/>
  <c r="AX23" i="1" s="1"/>
  <c r="AT24" i="1"/>
  <c r="AC25" i="1"/>
  <c r="AE25" i="1" s="1"/>
  <c r="AJ25" i="1"/>
  <c r="AL25" i="1" s="1"/>
  <c r="AR25" i="1"/>
  <c r="AS25" i="1" s="1"/>
  <c r="AU25" i="1" s="1"/>
  <c r="BZ25" i="1" l="1"/>
  <c r="BP23" i="1"/>
  <c r="AG25" i="1"/>
  <c r="AN25" i="1" s="1"/>
  <c r="AO25" i="1" s="1"/>
  <c r="AP25" i="1" s="1"/>
  <c r="AQ25" i="1" s="1"/>
  <c r="BQ24" i="1" s="1"/>
  <c r="AZ24" i="1"/>
  <c r="BB24" i="1" s="1" a="1"/>
  <c r="BB24" i="1" s="1"/>
  <c r="AX24" i="1" a="1"/>
  <c r="AX24" i="1" s="1"/>
  <c r="AW24" i="1"/>
  <c r="BA25" i="1"/>
  <c r="AY25" i="1"/>
  <c r="BE23" i="1"/>
  <c r="BF23" i="1" s="1"/>
  <c r="BG23" i="1" s="1"/>
  <c r="Z26" i="1"/>
  <c r="BP24" i="1" l="1"/>
  <c r="BD24" i="1"/>
  <c r="AT25" i="1"/>
  <c r="AZ25" i="1" s="1"/>
  <c r="BB25" i="1" s="1" a="1"/>
  <c r="BB25" i="1" s="1"/>
  <c r="BC26" i="1"/>
  <c r="BE24" i="1"/>
  <c r="BF24" i="1" s="1"/>
  <c r="AR26" i="1"/>
  <c r="AS26" i="1" s="1"/>
  <c r="AU26" i="1" s="1"/>
  <c r="AY26" i="1" s="1"/>
  <c r="AJ26" i="1"/>
  <c r="AL26" i="1" s="1"/>
  <c r="AC26" i="1"/>
  <c r="AE26" i="1" s="1"/>
  <c r="Z27" i="1" s="1"/>
  <c r="BG24" i="1"/>
  <c r="AF26" i="1"/>
  <c r="AW25" i="1"/>
  <c r="BZ26" i="1" l="1"/>
  <c r="BA26" i="1"/>
  <c r="BC27" i="1"/>
  <c r="AG26" i="1"/>
  <c r="AN26" i="1" s="1"/>
  <c r="AO26" i="1" s="1"/>
  <c r="AP26" i="1" s="1"/>
  <c r="AQ26" i="1" s="1"/>
  <c r="AX25" i="1" a="1"/>
  <c r="AX25" i="1" s="1"/>
  <c r="AJ27" i="1"/>
  <c r="AL27" i="1" s="1"/>
  <c r="AR27" i="1"/>
  <c r="AS27" i="1" s="1"/>
  <c r="AU27" i="1" s="1"/>
  <c r="AC27" i="1"/>
  <c r="AE27" i="1" s="1"/>
  <c r="Z28" i="1" s="1"/>
  <c r="AF27" i="1"/>
  <c r="BZ27" i="1" l="1"/>
  <c r="BD25" i="1"/>
  <c r="BE25" i="1" s="1"/>
  <c r="BF25" i="1" s="1"/>
  <c r="BG25" i="1" s="1"/>
  <c r="AT26" i="1"/>
  <c r="BC28" i="1"/>
  <c r="AG27" i="1"/>
  <c r="AN27" i="1" s="1"/>
  <c r="AY27" i="1"/>
  <c r="BA27" i="1"/>
  <c r="AZ26" i="1"/>
  <c r="BB26" i="1" s="1" a="1"/>
  <c r="BB26" i="1" s="1"/>
  <c r="AW26" i="1"/>
  <c r="AX26" i="1" a="1"/>
  <c r="AX26" i="1" s="1"/>
  <c r="AJ28" i="1"/>
  <c r="AL28" i="1" s="1"/>
  <c r="AR28" i="1"/>
  <c r="AS28" i="1" s="1"/>
  <c r="AU28" i="1" s="1"/>
  <c r="AO27" i="1"/>
  <c r="AP27" i="1" s="1"/>
  <c r="AQ27" i="1" s="1"/>
  <c r="AC28" i="1"/>
  <c r="AE28" i="1" s="1"/>
  <c r="Z29" i="1" s="1"/>
  <c r="AF28" i="1"/>
  <c r="BZ28" i="1" l="1"/>
  <c r="BD26" i="1"/>
  <c r="BQ25" i="1"/>
  <c r="BP25" i="1"/>
  <c r="BP26" i="1" s="1"/>
  <c r="AG28" i="1"/>
  <c r="AN28" i="1" s="1"/>
  <c r="BC29" i="1"/>
  <c r="AY28" i="1"/>
  <c r="BA28" i="1"/>
  <c r="AT27" i="1"/>
  <c r="BE26" i="1"/>
  <c r="BF26" i="1" s="1"/>
  <c r="BG26" i="1" s="1"/>
  <c r="AJ29" i="1"/>
  <c r="AL29" i="1" s="1"/>
  <c r="AR29" i="1"/>
  <c r="AS29" i="1" s="1"/>
  <c r="AU29" i="1" s="1"/>
  <c r="AO28" i="1"/>
  <c r="AP28" i="1" s="1"/>
  <c r="AQ28" i="1" s="1"/>
  <c r="AF29" i="1"/>
  <c r="AC29" i="1"/>
  <c r="AE29" i="1" s="1"/>
  <c r="BZ29" i="1" l="1"/>
  <c r="BD27" i="1"/>
  <c r="BP27" i="1"/>
  <c r="BQ26" i="1"/>
  <c r="AG29" i="1"/>
  <c r="AN29" i="1" s="1"/>
  <c r="BA29" i="1"/>
  <c r="AY29" i="1"/>
  <c r="AT28" i="1"/>
  <c r="AZ27" i="1"/>
  <c r="BB27" i="1" s="1" a="1"/>
  <c r="BB27" i="1" s="1"/>
  <c r="BE27" i="1" s="1"/>
  <c r="BF27" i="1" s="1"/>
  <c r="BG27" i="1" s="1"/>
  <c r="AW27" i="1"/>
  <c r="AX27" i="1" a="1"/>
  <c r="AX27" i="1" s="1"/>
  <c r="AO29" i="1"/>
  <c r="AP29" i="1" s="1"/>
  <c r="AQ29" i="1" s="1"/>
  <c r="Z30" i="1"/>
  <c r="BD28" i="1" l="1"/>
  <c r="BP28" i="1"/>
  <c r="BQ27" i="1"/>
  <c r="BC30" i="1"/>
  <c r="AT29" i="1"/>
  <c r="AZ28" i="1"/>
  <c r="BB28" i="1" s="1" a="1"/>
  <c r="BB28" i="1" s="1"/>
  <c r="BE28" i="1" s="1"/>
  <c r="BF28" i="1" s="1"/>
  <c r="BG28" i="1" s="1"/>
  <c r="AW28" i="1"/>
  <c r="AX28" i="1" a="1"/>
  <c r="AX28" i="1" s="1"/>
  <c r="AJ30" i="1"/>
  <c r="AL30" i="1" s="1"/>
  <c r="AR30" i="1"/>
  <c r="AS30" i="1" s="1"/>
  <c r="AU30" i="1" s="1"/>
  <c r="AC30" i="1"/>
  <c r="AE30" i="1" s="1"/>
  <c r="Z31" i="1" s="1"/>
  <c r="AF30" i="1"/>
  <c r="BZ30" i="1" l="1"/>
  <c r="BQ28" i="1"/>
  <c r="BC31" i="1"/>
  <c r="AG30" i="1"/>
  <c r="AN30" i="1" s="1"/>
  <c r="BA30" i="1"/>
  <c r="AY30" i="1"/>
  <c r="AZ29" i="1"/>
  <c r="BB29" i="1" s="1" a="1"/>
  <c r="BB29" i="1" s="1"/>
  <c r="AW29" i="1"/>
  <c r="AX29" i="1" a="1"/>
  <c r="AX29" i="1" s="1"/>
  <c r="AJ31" i="1"/>
  <c r="AL31" i="1" s="1"/>
  <c r="AR31" i="1"/>
  <c r="AS31" i="1" s="1"/>
  <c r="AU31" i="1" s="1"/>
  <c r="AO30" i="1"/>
  <c r="AP30" i="1" s="1"/>
  <c r="AQ30" i="1" s="1"/>
  <c r="AF31" i="1"/>
  <c r="AC31" i="1"/>
  <c r="AE31" i="1" s="1"/>
  <c r="Z32" i="1" s="1"/>
  <c r="BZ31" i="1" l="1"/>
  <c r="BD29" i="1"/>
  <c r="BP29" i="1"/>
  <c r="BQ29" i="1"/>
  <c r="AG31" i="1"/>
  <c r="AN31" i="1" s="1"/>
  <c r="BC32" i="1"/>
  <c r="AT30" i="1"/>
  <c r="BE29" i="1"/>
  <c r="BF29" i="1" s="1"/>
  <c r="BG29" i="1" s="1"/>
  <c r="BA31" i="1"/>
  <c r="AY31" i="1"/>
  <c r="AJ32" i="1"/>
  <c r="AL32" i="1" s="1"/>
  <c r="AR32" i="1"/>
  <c r="AS32" i="1" s="1"/>
  <c r="AU32" i="1" s="1"/>
  <c r="AO31" i="1"/>
  <c r="AP31" i="1" s="1"/>
  <c r="AQ31" i="1" s="1"/>
  <c r="AF32" i="1"/>
  <c r="AC32" i="1"/>
  <c r="AE32" i="1" s="1"/>
  <c r="Z33" i="1" s="1"/>
  <c r="BZ32" i="1" l="1"/>
  <c r="BD30" i="1"/>
  <c r="BQ30" i="1"/>
  <c r="BC33" i="1"/>
  <c r="AG33" i="1"/>
  <c r="AN33" i="1" s="1"/>
  <c r="AG32" i="1"/>
  <c r="AN32" i="1" s="1"/>
  <c r="BA32" i="1"/>
  <c r="AY32" i="1"/>
  <c r="AT31" i="1"/>
  <c r="AZ30" i="1"/>
  <c r="BB30" i="1" s="1" a="1"/>
  <c r="BB30" i="1" s="1"/>
  <c r="BE30" i="1" s="1"/>
  <c r="BF30" i="1" s="1"/>
  <c r="BG30" i="1" s="1"/>
  <c r="AW30" i="1"/>
  <c r="AX30" i="1" a="1"/>
  <c r="AX30" i="1" s="1"/>
  <c r="AJ33" i="1"/>
  <c r="AL33" i="1" s="1"/>
  <c r="AR33" i="1"/>
  <c r="AS33" i="1" s="1"/>
  <c r="AU33" i="1" s="1"/>
  <c r="AO32" i="1"/>
  <c r="AP32" i="1" s="1"/>
  <c r="AQ32" i="1" s="1"/>
  <c r="AF33" i="1"/>
  <c r="AE33" i="1"/>
  <c r="BZ33" i="1" l="1"/>
  <c r="BD31" i="1"/>
  <c r="BQ31" i="1"/>
  <c r="BP30" i="1"/>
  <c r="AT32" i="1"/>
  <c r="BA33" i="1"/>
  <c r="AY33" i="1"/>
  <c r="AZ31" i="1"/>
  <c r="BB31" i="1" s="1" a="1"/>
  <c r="BB31" i="1" s="1"/>
  <c r="BE31" i="1" s="1"/>
  <c r="BF31" i="1" s="1"/>
  <c r="BG31" i="1" s="1"/>
  <c r="AW31" i="1"/>
  <c r="AX31" i="1" a="1"/>
  <c r="AX31" i="1" s="1"/>
  <c r="AO33" i="1"/>
  <c r="AP33" i="1" s="1"/>
  <c r="AQ33" i="1" s="1"/>
  <c r="Z34" i="1"/>
  <c r="BD32" i="1" l="1"/>
  <c r="BQ32" i="1"/>
  <c r="BP31" i="1"/>
  <c r="BP32" i="1" s="1"/>
  <c r="BC34" i="1"/>
  <c r="AZ33" i="1"/>
  <c r="BB33" i="1" s="1" a="1"/>
  <c r="BB33" i="1" s="1"/>
  <c r="AZ32" i="1"/>
  <c r="BB32" i="1" s="1" a="1"/>
  <c r="BB32" i="1" s="1"/>
  <c r="AX32" i="1" a="1"/>
  <c r="AX32" i="1" s="1"/>
  <c r="AW32" i="1"/>
  <c r="AX33" i="1" a="1"/>
  <c r="AX33" i="1" s="1"/>
  <c r="AW33" i="1"/>
  <c r="AJ34" i="1"/>
  <c r="AL34" i="1" s="1"/>
  <c r="AR34" i="1"/>
  <c r="AS34" i="1" s="1"/>
  <c r="AU34" i="1" s="1"/>
  <c r="AC34" i="1"/>
  <c r="AE34" i="1" s="1"/>
  <c r="Z35" i="1" s="1"/>
  <c r="AF34" i="1"/>
  <c r="BZ34" i="1" l="1"/>
  <c r="BC35" i="1"/>
  <c r="AG34" i="1"/>
  <c r="AN34" i="1" s="1"/>
  <c r="BE32" i="1"/>
  <c r="BF32" i="1" s="1"/>
  <c r="BG32" i="1" s="1"/>
  <c r="BA34" i="1"/>
  <c r="AY34" i="1"/>
  <c r="AJ35" i="1"/>
  <c r="AL35" i="1" s="1"/>
  <c r="AR35" i="1"/>
  <c r="AS35" i="1" s="1"/>
  <c r="AU35" i="1" s="1"/>
  <c r="AO34" i="1"/>
  <c r="AP34" i="1" s="1"/>
  <c r="AQ34" i="1" s="1"/>
  <c r="AC35" i="1"/>
  <c r="AE35" i="1" s="1"/>
  <c r="AF35" i="1"/>
  <c r="BZ35" i="1" l="1"/>
  <c r="BD33" i="1"/>
  <c r="AG35" i="1"/>
  <c r="AN35" i="1" s="1"/>
  <c r="Z36" i="1"/>
  <c r="BA35" i="1"/>
  <c r="AY35" i="1"/>
  <c r="AT34" i="1"/>
  <c r="AZ34" i="1" s="1"/>
  <c r="BE33" i="1"/>
  <c r="BF33" i="1" s="1"/>
  <c r="BG33" i="1" s="1"/>
  <c r="AJ36" i="1"/>
  <c r="AL36" i="1" s="1"/>
  <c r="AR36" i="1"/>
  <c r="AS36" i="1" s="1"/>
  <c r="AU36" i="1" s="1"/>
  <c r="AO35" i="1"/>
  <c r="AP35" i="1" s="1"/>
  <c r="AC36" i="1"/>
  <c r="AE36" i="1" s="1"/>
  <c r="AF36" i="1"/>
  <c r="BZ36" i="1" l="1"/>
  <c r="BD34" i="1"/>
  <c r="BQ33" i="1"/>
  <c r="BQ34" i="1" s="1"/>
  <c r="BP33" i="1"/>
  <c r="BP34" i="1" s="1"/>
  <c r="BC36" i="1"/>
  <c r="AG36" i="1"/>
  <c r="AN36" i="1" s="1"/>
  <c r="BC37" i="1"/>
  <c r="AT35" i="1"/>
  <c r="AZ35" i="1" s="1"/>
  <c r="BA36" i="1"/>
  <c r="AY36" i="1"/>
  <c r="BB34" i="1" a="1"/>
  <c r="BB34" i="1" s="1"/>
  <c r="AW34" i="1"/>
  <c r="AX34" i="1" a="1"/>
  <c r="AX34" i="1" s="1"/>
  <c r="AJ37" i="1"/>
  <c r="AL37" i="1" s="1"/>
  <c r="AR37" i="1"/>
  <c r="AS37" i="1" s="1"/>
  <c r="AO36" i="1"/>
  <c r="AP36" i="1" s="1"/>
  <c r="AQ36" i="1" s="1"/>
  <c r="BE34" i="1" l="1"/>
  <c r="BF34" i="1" s="1"/>
  <c r="BG34" i="1" s="1"/>
  <c r="BD35" i="1"/>
  <c r="AC37" i="1"/>
  <c r="AE37" i="1" s="1"/>
  <c r="AF37" i="1"/>
  <c r="BA37" i="1"/>
  <c r="AY37" i="1"/>
  <c r="AT36" i="1"/>
  <c r="AZ36" i="1" s="1"/>
  <c r="AX35" i="1" a="1"/>
  <c r="AX35" i="1" s="1"/>
  <c r="BB35" i="1" a="1"/>
  <c r="BB35" i="1" s="1"/>
  <c r="BE35" i="1" s="1"/>
  <c r="BF35" i="1" s="1"/>
  <c r="BG35" i="1" s="1"/>
  <c r="AW35" i="1"/>
  <c r="BP35" i="1" l="1"/>
  <c r="BQ35" i="1"/>
  <c r="AG37" i="1"/>
  <c r="AO37" i="1" s="1"/>
  <c r="AP37" i="1" s="1"/>
  <c r="AX36" i="1" a="1"/>
  <c r="AX36" i="1" s="1"/>
  <c r="BB36" i="1" a="1"/>
  <c r="BB36" i="1" s="1"/>
  <c r="AW36" i="1"/>
  <c r="BZ37" i="1" l="1"/>
  <c r="AQ37" i="1"/>
  <c r="AT37" i="1" s="1"/>
  <c r="AZ37" i="1" s="1"/>
  <c r="BC38" i="1"/>
  <c r="AC38" i="1"/>
  <c r="AE38" i="1" s="1"/>
  <c r="AR38" i="1"/>
  <c r="AS38" i="1" s="1"/>
  <c r="AU38" i="1" s="1"/>
  <c r="AF38" i="1"/>
  <c r="AJ38" i="1"/>
  <c r="AL38" i="1" s="1"/>
  <c r="BZ38" i="1" l="1"/>
  <c r="BD36" i="1"/>
  <c r="BE36" i="1" s="1"/>
  <c r="BF36" i="1" s="1"/>
  <c r="BG36" i="1" s="1"/>
  <c r="AX37" i="1" a="1"/>
  <c r="AX37" i="1" s="1"/>
  <c r="AW37" i="1"/>
  <c r="AG38" i="1"/>
  <c r="AO38" i="1"/>
  <c r="AP38" i="1" s="1"/>
  <c r="BA38" i="1"/>
  <c r="AY38" i="1"/>
  <c r="BP36" i="1" l="1"/>
  <c r="BQ36" i="1"/>
  <c r="BD37" i="1"/>
  <c r="BG37" i="1" s="1"/>
  <c r="BC39" i="1"/>
  <c r="AJ39" i="1"/>
  <c r="AL39" i="1" s="1"/>
  <c r="BD38" i="1"/>
  <c r="AC39" i="1"/>
  <c r="AF39" i="1"/>
  <c r="BQ37" i="1" l="1"/>
  <c r="BP37" i="1"/>
  <c r="AT39" i="1"/>
  <c r="BQ38" i="1"/>
  <c r="AG39" i="1"/>
  <c r="BC40" i="1"/>
  <c r="AJ40" i="1"/>
  <c r="AL40" i="1" s="1"/>
  <c r="AR40" i="1"/>
  <c r="AC40" i="1"/>
  <c r="AF40" i="1"/>
  <c r="AG40" i="1" s="1"/>
  <c r="AN40" i="1" s="1"/>
  <c r="Z41" i="1"/>
  <c r="AZ38" i="1"/>
  <c r="BB38" i="1" s="1" a="1"/>
  <c r="BB38" i="1" s="1"/>
  <c r="BE38" i="1" s="1"/>
  <c r="BF38" i="1" s="1"/>
  <c r="BG38" i="1" s="1"/>
  <c r="AX38" i="1" a="1"/>
  <c r="AX38" i="1" s="1"/>
  <c r="AW38" i="1"/>
  <c r="BC44" i="1"/>
  <c r="BZ39" i="1" l="1"/>
  <c r="AS40" i="1"/>
  <c r="BD39" i="1" s="1"/>
  <c r="BQ39" i="1"/>
  <c r="AN39" i="1"/>
  <c r="AO39" i="1" s="1"/>
  <c r="AP39" i="1" s="1"/>
  <c r="AZ39" i="1"/>
  <c r="AW39" i="1"/>
  <c r="BP38" i="1"/>
  <c r="BP39" i="1" s="1"/>
  <c r="AO40" i="1"/>
  <c r="AP40" i="1" s="1"/>
  <c r="AU40" i="1"/>
  <c r="AY39" i="1"/>
  <c r="AX39" i="1" a="1"/>
  <c r="AX39" i="1" s="1"/>
  <c r="BA39" i="1"/>
  <c r="BC41" i="1"/>
  <c r="AR41" i="1"/>
  <c r="AJ41" i="1"/>
  <c r="AL41" i="1" s="1"/>
  <c r="AF41" i="1"/>
  <c r="AG41" i="1" s="1"/>
  <c r="AN41" i="1" s="1"/>
  <c r="AC41" i="1"/>
  <c r="Z42" i="1"/>
  <c r="AJ44" i="1"/>
  <c r="AL44" i="1" s="1"/>
  <c r="AR44" i="1"/>
  <c r="AS44" i="1" s="1"/>
  <c r="AF44" i="1"/>
  <c r="AC44" i="1"/>
  <c r="AJ45" i="1"/>
  <c r="AL45" i="1" s="1"/>
  <c r="AO45" i="1" s="1"/>
  <c r="AP45" i="1" s="1"/>
  <c r="BZ40" i="1" l="1"/>
  <c r="AS41" i="1"/>
  <c r="BD40" i="1" s="1"/>
  <c r="BQ40" i="1"/>
  <c r="AO41" i="1"/>
  <c r="AP41" i="1" s="1"/>
  <c r="AU41" i="1"/>
  <c r="BB39" i="1" a="1"/>
  <c r="BB39" i="1" s="1"/>
  <c r="BE39" i="1" s="1"/>
  <c r="BF39" i="1" s="1"/>
  <c r="BG39" i="1" s="1"/>
  <c r="AX40" i="1" a="1"/>
  <c r="AX40" i="1" s="1"/>
  <c r="AY40" i="1"/>
  <c r="BA40" i="1"/>
  <c r="BB40" i="1" s="1" a="1"/>
  <c r="BB40" i="1" s="1"/>
  <c r="BE40" i="1" s="1"/>
  <c r="BF40" i="1" s="1"/>
  <c r="BC42" i="1"/>
  <c r="AF42" i="1"/>
  <c r="AG42" i="1" s="1"/>
  <c r="AN42" i="1" s="1"/>
  <c r="AC42" i="1"/>
  <c r="Z43" i="1"/>
  <c r="AJ42" i="1"/>
  <c r="AL42" i="1" s="1"/>
  <c r="AR42" i="1"/>
  <c r="AU44" i="1"/>
  <c r="AF45" i="1"/>
  <c r="AC45" i="1"/>
  <c r="BZ41" i="1" l="1"/>
  <c r="BP40" i="1"/>
  <c r="AS42" i="1"/>
  <c r="BD41" i="1" s="1"/>
  <c r="BQ41" i="1"/>
  <c r="AO42" i="1"/>
  <c r="AP42" i="1" s="1"/>
  <c r="AG44" i="1"/>
  <c r="BG40" i="1"/>
  <c r="BC43" i="1"/>
  <c r="AC43" i="1"/>
  <c r="AR43" i="1"/>
  <c r="AF43" i="1"/>
  <c r="AJ43" i="1"/>
  <c r="AL43" i="1" s="1"/>
  <c r="AY41" i="1"/>
  <c r="BA41" i="1"/>
  <c r="BB41" i="1" s="1" a="1"/>
  <c r="BB41" i="1" s="1"/>
  <c r="BE41" i="1" s="1"/>
  <c r="BF41" i="1" s="1"/>
  <c r="AX41" i="1" a="1"/>
  <c r="AX41" i="1" s="1"/>
  <c r="BA44" i="1"/>
  <c r="BE44" i="1" s="1"/>
  <c r="BF44" i="1" s="1"/>
  <c r="AY44" i="1"/>
  <c r="AX44" i="1" a="1"/>
  <c r="AX44" i="1" s="1"/>
  <c r="AF46" i="1"/>
  <c r="AG46" i="1" s="1"/>
  <c r="AO46" i="1" s="1"/>
  <c r="AP46" i="1" s="1"/>
  <c r="AC46" i="1"/>
  <c r="BZ42" i="1" l="1"/>
  <c r="AG43" i="1"/>
  <c r="AN43" i="1" s="1"/>
  <c r="AN44" i="1"/>
  <c r="AO44" i="1" s="1"/>
  <c r="AP44" i="1" s="1"/>
  <c r="BP41" i="1"/>
  <c r="AS43" i="1"/>
  <c r="BD42" i="1" s="1"/>
  <c r="BQ42" i="1"/>
  <c r="BQ43" i="1" s="1"/>
  <c r="BQ44" i="1" s="1"/>
  <c r="BQ45" i="1" s="1"/>
  <c r="BQ46" i="1" s="1"/>
  <c r="BQ47" i="1" s="1"/>
  <c r="BQ48" i="1" s="1"/>
  <c r="BQ49" i="1" s="1"/>
  <c r="BQ50" i="1" s="1"/>
  <c r="BQ51" i="1" s="1"/>
  <c r="AU42" i="1"/>
  <c r="AX42" i="1" s="1" a="1"/>
  <c r="AX42" i="1" s="1"/>
  <c r="BG41" i="1"/>
  <c r="AO43" i="1"/>
  <c r="AP43" i="1" s="1"/>
  <c r="BF46" i="1"/>
  <c r="AC47" i="1"/>
  <c r="AF47" i="1"/>
  <c r="AG47" i="1" s="1"/>
  <c r="AO47" i="1" s="1"/>
  <c r="AP47" i="1" s="1"/>
  <c r="BZ43" i="1" l="1"/>
  <c r="AY42" i="1"/>
  <c r="BA42" i="1"/>
  <c r="BP42" i="1"/>
  <c r="BP43" i="1" s="1"/>
  <c r="BP44" i="1" s="1"/>
  <c r="BP45" i="1" s="1"/>
  <c r="BP46" i="1" s="1"/>
  <c r="BP47" i="1" s="1"/>
  <c r="BP48" i="1" s="1"/>
  <c r="BP49" i="1" s="1"/>
  <c r="BP50" i="1" s="1"/>
  <c r="BP51" i="1" s="1"/>
  <c r="AU43" i="1"/>
  <c r="BF47" i="1"/>
  <c r="BA43" i="1"/>
  <c r="AX43" i="1" a="1"/>
  <c r="AX43" i="1" s="1"/>
  <c r="AY43" i="1"/>
  <c r="BB42" i="1" a="1"/>
  <c r="BB42" i="1" s="1"/>
  <c r="BE42" i="1" s="1"/>
  <c r="BF42" i="1" s="1"/>
  <c r="BG42" i="1" s="1"/>
  <c r="AC48" i="1"/>
  <c r="AF48" i="1"/>
  <c r="AG48" i="1" s="1"/>
  <c r="AO48" i="1" s="1"/>
  <c r="AP48" i="1" s="1"/>
  <c r="BZ44" i="1" l="1"/>
  <c r="BF48" i="1"/>
  <c r="BB43" i="1" a="1"/>
  <c r="BB43" i="1" s="1"/>
  <c r="BE43" i="1" s="1"/>
  <c r="BF43" i="1" s="1"/>
  <c r="BG43" i="1" s="1"/>
  <c r="BG44" i="1" s="1"/>
  <c r="BG45" i="1" s="1"/>
  <c r="BG46" i="1" s="1"/>
  <c r="BG47" i="1" s="1"/>
  <c r="AF49" i="1"/>
  <c r="AG49" i="1" s="1"/>
  <c r="AO49" i="1" s="1"/>
  <c r="AP49" i="1" s="1"/>
  <c r="AC49" i="1"/>
  <c r="BZ45" i="1" l="1"/>
  <c r="BG48" i="1"/>
  <c r="BF49" i="1"/>
  <c r="AC50" i="1"/>
  <c r="AF50" i="1"/>
  <c r="AG50" i="1" s="1"/>
  <c r="AO50" i="1" s="1"/>
  <c r="AP50" i="1" s="1"/>
  <c r="BZ46" i="1" l="1"/>
  <c r="BG49" i="1"/>
  <c r="BF50" i="1"/>
  <c r="AC51" i="1"/>
  <c r="AF51" i="1"/>
  <c r="AG51" i="1" s="1"/>
  <c r="AO51" i="1" s="1"/>
  <c r="AP51" i="1" s="1"/>
  <c r="BZ47" i="1" l="1"/>
  <c r="BG50" i="1"/>
  <c r="BF51" i="1"/>
  <c r="AF52" i="1"/>
  <c r="AG52" i="1" s="1"/>
  <c r="AO52" i="1" s="1"/>
  <c r="AP52" i="1" s="1"/>
  <c r="AC52" i="1"/>
  <c r="Z53" i="1"/>
  <c r="BZ48" i="1" l="1"/>
  <c r="BG51" i="1"/>
  <c r="BC53" i="1"/>
  <c r="AJ53" i="1"/>
  <c r="AL53" i="1" s="1"/>
  <c r="AR53" i="1"/>
  <c r="AS53" i="1" s="1"/>
  <c r="AU53" i="1" s="1"/>
  <c r="AC53" i="1"/>
  <c r="AE53" i="1" s="1"/>
  <c r="AF53" i="1"/>
  <c r="BZ49" i="1" l="1"/>
  <c r="AG53" i="1"/>
  <c r="AN53" i="1" s="1"/>
  <c r="BA53" i="1"/>
  <c r="AY53" i="1"/>
  <c r="Z54" i="1"/>
  <c r="AF54" i="1" s="1"/>
  <c r="AO53" i="1"/>
  <c r="AP53" i="1" s="1"/>
  <c r="BZ50" i="1" l="1"/>
  <c r="AC54" i="1"/>
  <c r="AE54" i="1" s="1"/>
  <c r="Z55" i="1" s="1"/>
  <c r="BC54" i="1"/>
  <c r="AG54" i="1"/>
  <c r="AN54" i="1" s="1"/>
  <c r="AQ53" i="1"/>
  <c r="AJ54" i="1"/>
  <c r="AL54" i="1" s="1"/>
  <c r="AO54" i="1" s="1"/>
  <c r="AP54" i="1" s="1"/>
  <c r="AR54" i="1"/>
  <c r="AS54" i="1" s="1"/>
  <c r="AU54" i="1" s="1"/>
  <c r="BZ51" i="1" l="1"/>
  <c r="AC55" i="1"/>
  <c r="AE55" i="1" s="1"/>
  <c r="AF55" i="1"/>
  <c r="AR55" i="1"/>
  <c r="AS55" i="1" s="1"/>
  <c r="AU55" i="1" s="1"/>
  <c r="BH53" i="1"/>
  <c r="BQ52" i="1"/>
  <c r="BP52" i="1"/>
  <c r="BC55" i="1"/>
  <c r="AG55" i="1"/>
  <c r="AN55" i="1" s="1"/>
  <c r="AJ55" i="1"/>
  <c r="AL55" i="1" s="1"/>
  <c r="AO55" i="1" s="1"/>
  <c r="AP55" i="1" s="1"/>
  <c r="BD52" i="1"/>
  <c r="BE52" i="1" s="1"/>
  <c r="BF52" i="1" s="1"/>
  <c r="BG52" i="1" s="1"/>
  <c r="BA55" i="1"/>
  <c r="AY55" i="1"/>
  <c r="BA54" i="1"/>
  <c r="AY54" i="1"/>
  <c r="AQ54" i="1"/>
  <c r="BH54" i="1" s="1"/>
  <c r="BT54" i="1" s="1"/>
  <c r="Z56" i="1"/>
  <c r="BZ52" i="1" l="1"/>
  <c r="BT53" i="1"/>
  <c r="BD53" i="1"/>
  <c r="BP53" i="1"/>
  <c r="AR56" i="1"/>
  <c r="AS56" i="1" s="1"/>
  <c r="AU56" i="1" s="1"/>
  <c r="BC56" i="1"/>
  <c r="AQ55" i="1"/>
  <c r="BH55" i="1" s="1"/>
  <c r="BT55" i="1" s="1"/>
  <c r="BE53" i="1"/>
  <c r="BF53" i="1" s="1"/>
  <c r="BG53" i="1" s="1"/>
  <c r="AW53" i="1"/>
  <c r="AX53" i="1" a="1"/>
  <c r="AX53" i="1" s="1"/>
  <c r="AT54" i="1"/>
  <c r="AC56" i="1"/>
  <c r="AE56" i="1" s="1"/>
  <c r="AJ56" i="1"/>
  <c r="AL56" i="1" s="1"/>
  <c r="AF56" i="1"/>
  <c r="BZ53" i="1" l="1"/>
  <c r="BQ53" i="1"/>
  <c r="BD54" i="1"/>
  <c r="BP54" i="1"/>
  <c r="BQ54" i="1"/>
  <c r="AG56" i="1"/>
  <c r="AN56" i="1" s="1"/>
  <c r="AO56" i="1" s="1"/>
  <c r="AP56" i="1" s="1"/>
  <c r="BA56" i="1"/>
  <c r="AY56" i="1"/>
  <c r="AX54" i="1" a="1"/>
  <c r="AX54" i="1" s="1"/>
  <c r="AW54" i="1"/>
  <c r="BE54" i="1"/>
  <c r="BF54" i="1" s="1"/>
  <c r="BG54" i="1" s="1"/>
  <c r="AT55" i="1"/>
  <c r="Z57" i="1"/>
  <c r="BZ54" i="1" l="1"/>
  <c r="BC57" i="1"/>
  <c r="AR57" i="1"/>
  <c r="AS57" i="1" s="1"/>
  <c r="AU57" i="1" s="1"/>
  <c r="AJ57" i="1"/>
  <c r="AL57" i="1" s="1"/>
  <c r="AF57" i="1"/>
  <c r="AC57" i="1"/>
  <c r="AE57" i="1" s="1"/>
  <c r="Z58" i="1" s="1"/>
  <c r="AQ56" i="1"/>
  <c r="AW55" i="1"/>
  <c r="AX55" i="1" a="1"/>
  <c r="AX55" i="1" s="1"/>
  <c r="BZ55" i="1" l="1"/>
  <c r="BH56" i="1"/>
  <c r="BQ55" i="1"/>
  <c r="BC58" i="1"/>
  <c r="AG57" i="1"/>
  <c r="AN57" i="1" s="1"/>
  <c r="AO57" i="1" s="1"/>
  <c r="AP57" i="1" s="1"/>
  <c r="AQ57" i="1" s="1"/>
  <c r="BH57" i="1" s="1"/>
  <c r="BT57" i="1" s="1"/>
  <c r="BD55" i="1"/>
  <c r="BE55" i="1" s="1"/>
  <c r="BF55" i="1" s="1"/>
  <c r="BG55" i="1" s="1"/>
  <c r="BA57" i="1"/>
  <c r="AY57" i="1"/>
  <c r="AT56" i="1"/>
  <c r="AJ58" i="1"/>
  <c r="AL58" i="1" s="1"/>
  <c r="AR58" i="1"/>
  <c r="AS58" i="1" s="1"/>
  <c r="AU58" i="1" s="1"/>
  <c r="AF58" i="1"/>
  <c r="AC58" i="1"/>
  <c r="AE58" i="1" s="1"/>
  <c r="BZ56" i="1" l="1"/>
  <c r="BT56" i="1"/>
  <c r="BP55" i="1"/>
  <c r="BD56" i="1"/>
  <c r="AG58" i="1"/>
  <c r="AN58" i="1" s="1"/>
  <c r="BA58" i="1"/>
  <c r="AY58" i="1"/>
  <c r="AW56" i="1"/>
  <c r="BE56" i="1"/>
  <c r="BF56" i="1" s="1"/>
  <c r="BG56" i="1" s="1"/>
  <c r="AX56" i="1" a="1"/>
  <c r="AX56" i="1" s="1"/>
  <c r="AT57" i="1"/>
  <c r="AO58" i="1"/>
  <c r="AP58" i="1" s="1"/>
  <c r="Z59" i="1"/>
  <c r="BZ57" i="1" l="1"/>
  <c r="BP56" i="1"/>
  <c r="BQ56" i="1"/>
  <c r="AR59" i="1"/>
  <c r="AS59" i="1" s="1"/>
  <c r="AU59" i="1" s="1"/>
  <c r="BC59" i="1"/>
  <c r="AQ58" i="1"/>
  <c r="BH58" i="1" s="1"/>
  <c r="AX57" i="1" a="1"/>
  <c r="AX57" i="1" s="1"/>
  <c r="AW57" i="1"/>
  <c r="AJ59" i="1"/>
  <c r="AL59" i="1" s="1"/>
  <c r="AF59" i="1"/>
  <c r="AC59" i="1"/>
  <c r="AE59" i="1" s="1"/>
  <c r="BZ59" i="1" l="1"/>
  <c r="BZ58" i="1"/>
  <c r="BT58" i="1"/>
  <c r="BD57" i="1"/>
  <c r="BE57" i="1" s="1"/>
  <c r="BF57" i="1" s="1"/>
  <c r="BG57" i="1" s="1"/>
  <c r="AG59" i="1"/>
  <c r="AN59" i="1" s="1"/>
  <c r="BA59" i="1"/>
  <c r="AY59" i="1"/>
  <c r="AT58" i="1"/>
  <c r="AO59" i="1"/>
  <c r="AP59" i="1" s="1"/>
  <c r="Z60" i="1"/>
  <c r="BP57" i="1" l="1"/>
  <c r="BQ57" i="1"/>
  <c r="AR60" i="1"/>
  <c r="AS60" i="1" s="1"/>
  <c r="AU60" i="1" s="1"/>
  <c r="BC60" i="1"/>
  <c r="AQ59" i="1"/>
  <c r="BH59" i="1" s="1"/>
  <c r="AX58" i="1" a="1"/>
  <c r="AX58" i="1" s="1"/>
  <c r="AW58" i="1"/>
  <c r="AJ60" i="1"/>
  <c r="AL60" i="1" s="1"/>
  <c r="AC60" i="1"/>
  <c r="AE60" i="1" s="1"/>
  <c r="AF60" i="1"/>
  <c r="BZ60" i="1" l="1"/>
  <c r="BT59" i="1"/>
  <c r="BD58" i="1"/>
  <c r="BE58" i="1" s="1"/>
  <c r="BF58" i="1" s="1"/>
  <c r="BG58" i="1" s="1"/>
  <c r="AG60" i="1"/>
  <c r="AN60" i="1" s="1"/>
  <c r="BA60" i="1"/>
  <c r="AY60" i="1"/>
  <c r="AT59" i="1"/>
  <c r="AO60" i="1"/>
  <c r="AP60" i="1" s="1"/>
  <c r="Z61" i="1"/>
  <c r="BQ58" i="1" l="1"/>
  <c r="BP58" i="1"/>
  <c r="AR61" i="1"/>
  <c r="AS61" i="1" s="1"/>
  <c r="AU61" i="1" s="1"/>
  <c r="BC61" i="1"/>
  <c r="AQ60" i="1"/>
  <c r="AX59" i="1" a="1"/>
  <c r="AX59" i="1" s="1"/>
  <c r="AW59" i="1"/>
  <c r="AJ61" i="1"/>
  <c r="AL61" i="1" s="1"/>
  <c r="AF61" i="1"/>
  <c r="AC61" i="1"/>
  <c r="AE61" i="1" s="1"/>
  <c r="BZ61" i="1" l="1"/>
  <c r="BH60" i="1"/>
  <c r="BT60" i="1" s="1"/>
  <c r="BP59" i="1"/>
  <c r="BQ59" i="1"/>
  <c r="AG61" i="1"/>
  <c r="AN61" i="1" s="1"/>
  <c r="BD59" i="1"/>
  <c r="BE59" i="1" s="1"/>
  <c r="BF59" i="1" s="1"/>
  <c r="BG59" i="1" s="1"/>
  <c r="BA61" i="1"/>
  <c r="AY61" i="1"/>
  <c r="AT60" i="1"/>
  <c r="AO61" i="1"/>
  <c r="AP61" i="1" s="1"/>
  <c r="Z62" i="1"/>
  <c r="AR62" i="1" l="1"/>
  <c r="AS62" i="1" s="1"/>
  <c r="AU62" i="1" s="1"/>
  <c r="BC62" i="1"/>
  <c r="AQ61" i="1"/>
  <c r="BH61" i="1" s="1"/>
  <c r="BT61" i="1" s="1"/>
  <c r="AW60" i="1"/>
  <c r="AX60" i="1" a="1"/>
  <c r="AX60" i="1" s="1"/>
  <c r="AJ62" i="1"/>
  <c r="AL62" i="1" s="1"/>
  <c r="AC62" i="1"/>
  <c r="AE62" i="1" s="1"/>
  <c r="AF62" i="1"/>
  <c r="BZ62" i="1" l="1"/>
  <c r="BD60" i="1"/>
  <c r="BE60" i="1" s="1"/>
  <c r="BF60" i="1" s="1"/>
  <c r="BG60" i="1" s="1"/>
  <c r="AG62" i="1"/>
  <c r="AN62" i="1" s="1"/>
  <c r="AY62" i="1"/>
  <c r="BA62" i="1"/>
  <c r="AT61" i="1"/>
  <c r="AO62" i="1"/>
  <c r="AP62" i="1" s="1"/>
  <c r="Z63" i="1"/>
  <c r="BQ60" i="1" l="1"/>
  <c r="BP60" i="1"/>
  <c r="AR63" i="1"/>
  <c r="AS63" i="1" s="1"/>
  <c r="AU63" i="1" s="1"/>
  <c r="BC63" i="1"/>
  <c r="AQ62" i="1"/>
  <c r="AW61" i="1"/>
  <c r="AX61" i="1" a="1"/>
  <c r="AX61" i="1" s="1"/>
  <c r="AJ63" i="1"/>
  <c r="AL63" i="1" s="1"/>
  <c r="AF63" i="1"/>
  <c r="AC63" i="1"/>
  <c r="AE63" i="1" s="1"/>
  <c r="BZ63" i="1" l="1"/>
  <c r="BH62" i="1"/>
  <c r="BT62" i="1" s="1"/>
  <c r="BP61" i="1"/>
  <c r="BQ61" i="1"/>
  <c r="AG63" i="1"/>
  <c r="AN63" i="1" s="1"/>
  <c r="BD61" i="1"/>
  <c r="BE61" i="1" s="1"/>
  <c r="BF61" i="1" s="1"/>
  <c r="BG61" i="1" s="1"/>
  <c r="AY63" i="1"/>
  <c r="BA63" i="1"/>
  <c r="AT62" i="1"/>
  <c r="AO63" i="1"/>
  <c r="AP63" i="1" s="1"/>
  <c r="Z64" i="1"/>
  <c r="AR64" i="1" l="1"/>
  <c r="AS64" i="1" s="1"/>
  <c r="AU64" i="1" s="1"/>
  <c r="BC64" i="1"/>
  <c r="AQ63" i="1"/>
  <c r="AX62" i="1" a="1"/>
  <c r="AX62" i="1" s="1"/>
  <c r="AW62" i="1"/>
  <c r="AJ64" i="1"/>
  <c r="AL64" i="1" s="1"/>
  <c r="AF64" i="1"/>
  <c r="AC64" i="1"/>
  <c r="AE64" i="1" s="1"/>
  <c r="BZ64" i="1" l="1"/>
  <c r="BQ62" i="1"/>
  <c r="BH63" i="1"/>
  <c r="BT63" i="1" s="1"/>
  <c r="BP62" i="1"/>
  <c r="AG64" i="1"/>
  <c r="AN64" i="1" s="1"/>
  <c r="BD62" i="1"/>
  <c r="BE62" i="1" s="1"/>
  <c r="BF62" i="1" s="1"/>
  <c r="BG62" i="1" s="1"/>
  <c r="BA64" i="1"/>
  <c r="AY64" i="1"/>
  <c r="AT63" i="1"/>
  <c r="AO64" i="1"/>
  <c r="AP64" i="1" s="1"/>
  <c r="Z65" i="1"/>
  <c r="AR65" i="1" l="1"/>
  <c r="AS65" i="1" s="1"/>
  <c r="AU65" i="1" s="1"/>
  <c r="BC65" i="1"/>
  <c r="AQ64" i="1"/>
  <c r="BH64" i="1" s="1"/>
  <c r="BT64" i="1" s="1"/>
  <c r="AW63" i="1"/>
  <c r="AX63" i="1" a="1"/>
  <c r="AX63" i="1" s="1"/>
  <c r="AJ65" i="1"/>
  <c r="AL65" i="1" s="1"/>
  <c r="AF65" i="1"/>
  <c r="AC65" i="1"/>
  <c r="AE65" i="1" s="1"/>
  <c r="BZ65" i="1" l="1"/>
  <c r="BD63" i="1"/>
  <c r="BE63" i="1" s="1"/>
  <c r="BF63" i="1" s="1"/>
  <c r="BG63" i="1" s="1"/>
  <c r="AG65" i="1"/>
  <c r="AN65" i="1" s="1"/>
  <c r="Z66" i="1"/>
  <c r="BA65" i="1"/>
  <c r="AY65" i="1"/>
  <c r="AT64" i="1"/>
  <c r="AJ66" i="1"/>
  <c r="AL66" i="1" s="1"/>
  <c r="AC66" i="1"/>
  <c r="AE66" i="1" s="1"/>
  <c r="AF66" i="1"/>
  <c r="AO65" i="1"/>
  <c r="AP65" i="1" s="1"/>
  <c r="BZ66" i="1" l="1"/>
  <c r="BQ63" i="1"/>
  <c r="BP63" i="1"/>
  <c r="AG66" i="1"/>
  <c r="AN66" i="1" s="1"/>
  <c r="AR66" i="1"/>
  <c r="AS66" i="1" s="1"/>
  <c r="AU66" i="1" s="1"/>
  <c r="BC66" i="1"/>
  <c r="AQ65" i="1"/>
  <c r="BH65" i="1" s="1"/>
  <c r="BT65" i="1" s="1"/>
  <c r="AX64" i="1" a="1"/>
  <c r="AX64" i="1" s="1"/>
  <c r="AW64" i="1"/>
  <c r="AO66" i="1"/>
  <c r="AP66" i="1" s="1"/>
  <c r="Z67" i="1"/>
  <c r="BD64" i="1" l="1"/>
  <c r="BE64" i="1" s="1"/>
  <c r="BF64" i="1" s="1"/>
  <c r="BG64" i="1" s="1"/>
  <c r="BP64" i="1"/>
  <c r="AR67" i="1"/>
  <c r="AS67" i="1" s="1"/>
  <c r="AU67" i="1" s="1"/>
  <c r="BC67" i="1"/>
  <c r="BA66" i="1"/>
  <c r="AY66" i="1"/>
  <c r="AQ66" i="1"/>
  <c r="BH66" i="1" s="1"/>
  <c r="BT66" i="1" s="1"/>
  <c r="AT65" i="1"/>
  <c r="AJ67" i="1"/>
  <c r="AL67" i="1" s="1"/>
  <c r="AF67" i="1"/>
  <c r="AC67" i="1"/>
  <c r="AE67" i="1" s="1"/>
  <c r="BZ67" i="1" l="1"/>
  <c r="BQ64" i="1"/>
  <c r="BD65" i="1"/>
  <c r="BP65" i="1"/>
  <c r="AG67" i="1"/>
  <c r="AN67" i="1" s="1"/>
  <c r="BA67" i="1"/>
  <c r="AY67" i="1"/>
  <c r="BE65" i="1"/>
  <c r="BF65" i="1" s="1"/>
  <c r="BG65" i="1" s="1"/>
  <c r="AX65" i="1" a="1"/>
  <c r="AX65" i="1" s="1"/>
  <c r="AW65" i="1"/>
  <c r="AT66" i="1"/>
  <c r="AO67" i="1"/>
  <c r="AP67" i="1" s="1"/>
  <c r="Z68" i="1"/>
  <c r="AC75" i="1"/>
  <c r="AF75" i="1"/>
  <c r="AG75" i="1" s="1"/>
  <c r="AO75" i="1" s="1"/>
  <c r="AP75" i="1" s="1"/>
  <c r="Z76" i="1"/>
  <c r="BQ65" i="1" l="1"/>
  <c r="BC76" i="1"/>
  <c r="AR68" i="1"/>
  <c r="AS68" i="1" s="1"/>
  <c r="AU68" i="1" s="1"/>
  <c r="BC68" i="1"/>
  <c r="AX66" i="1" a="1"/>
  <c r="AX66" i="1" s="1"/>
  <c r="AW66" i="1"/>
  <c r="AQ67" i="1"/>
  <c r="BH67" i="1" s="1"/>
  <c r="BT67" i="1" s="1"/>
  <c r="AJ76" i="1"/>
  <c r="AL76" i="1" s="1"/>
  <c r="AR76" i="1"/>
  <c r="AS76" i="1" s="1"/>
  <c r="AJ68" i="1"/>
  <c r="AL68" i="1" s="1"/>
  <c r="AC68" i="1"/>
  <c r="AE68" i="1" s="1"/>
  <c r="AF68" i="1"/>
  <c r="AF76" i="1"/>
  <c r="AG76" i="1" s="1"/>
  <c r="AN76" i="1" s="1"/>
  <c r="AC76" i="1"/>
  <c r="Z77" i="1"/>
  <c r="BZ68" i="1" l="1"/>
  <c r="BD75" i="1"/>
  <c r="BH76" i="1"/>
  <c r="BD66" i="1"/>
  <c r="BP66" i="1"/>
  <c r="AO76" i="1"/>
  <c r="AP76" i="1" s="1"/>
  <c r="BC77" i="1"/>
  <c r="AG68" i="1"/>
  <c r="AN68" i="1" s="1"/>
  <c r="Z69" i="1"/>
  <c r="AO68" i="1"/>
  <c r="AP68" i="1" s="1"/>
  <c r="BA68" i="1"/>
  <c r="AY68" i="1"/>
  <c r="AU76" i="1"/>
  <c r="BE75" i="1"/>
  <c r="BF75" i="1" s="1"/>
  <c r="AT67" i="1"/>
  <c r="BE66" i="1"/>
  <c r="BF66" i="1" s="1"/>
  <c r="BG66" i="1" s="1"/>
  <c r="AJ77" i="1"/>
  <c r="AL77" i="1" s="1"/>
  <c r="AR77" i="1"/>
  <c r="AS77" i="1" s="1"/>
  <c r="AF77" i="1"/>
  <c r="AG77" i="1" s="1"/>
  <c r="AN77" i="1" s="1"/>
  <c r="AC77" i="1"/>
  <c r="Z78" i="1"/>
  <c r="BT76" i="1" l="1"/>
  <c r="BD76" i="1"/>
  <c r="BH77" i="1"/>
  <c r="BQ66" i="1"/>
  <c r="BC78" i="1"/>
  <c r="AC69" i="1"/>
  <c r="AE69" i="1" s="1"/>
  <c r="Z70" i="1" s="1"/>
  <c r="AJ69" i="1"/>
  <c r="AL69" i="1" s="1"/>
  <c r="AO77" i="1"/>
  <c r="AP77" i="1" s="1"/>
  <c r="AF69" i="1"/>
  <c r="AR69" i="1"/>
  <c r="AS69" i="1" s="1"/>
  <c r="AU69" i="1" s="1"/>
  <c r="BC69" i="1"/>
  <c r="AU77" i="1"/>
  <c r="AY76" i="1"/>
  <c r="BA76" i="1"/>
  <c r="AX76" i="1" a="1"/>
  <c r="AX76" i="1" s="1"/>
  <c r="AQ68" i="1"/>
  <c r="AX67" i="1" a="1"/>
  <c r="AX67" i="1" s="1"/>
  <c r="AW67" i="1"/>
  <c r="AJ78" i="1"/>
  <c r="AL78" i="1" s="1"/>
  <c r="AR78" i="1"/>
  <c r="AS78" i="1" s="1"/>
  <c r="AC78" i="1"/>
  <c r="AF78" i="1"/>
  <c r="AG78" i="1" s="1"/>
  <c r="AN78" i="1" s="1"/>
  <c r="Z79" i="1"/>
  <c r="BZ69" i="1" l="1"/>
  <c r="BD77" i="1"/>
  <c r="BH78" i="1"/>
  <c r="BT77" i="1"/>
  <c r="BP67" i="1"/>
  <c r="BH68" i="1"/>
  <c r="BT68" i="1" s="1"/>
  <c r="BQ67" i="1"/>
  <c r="AO78" i="1"/>
  <c r="AP78" i="1" s="1"/>
  <c r="BC79" i="1"/>
  <c r="AG69" i="1"/>
  <c r="AN69" i="1" s="1"/>
  <c r="AO69" i="1" s="1"/>
  <c r="AP69" i="1" s="1"/>
  <c r="AQ69" i="1" s="1"/>
  <c r="BH69" i="1" s="1"/>
  <c r="BD67" i="1"/>
  <c r="BE67" i="1" s="1"/>
  <c r="BF67" i="1" s="1"/>
  <c r="BG67" i="1" s="1"/>
  <c r="BE76" i="1"/>
  <c r="BF76" i="1" s="1"/>
  <c r="BA69" i="1"/>
  <c r="AY69" i="1"/>
  <c r="AR70" i="1"/>
  <c r="AS70" i="1" s="1"/>
  <c r="BC70" i="1"/>
  <c r="AU78" i="1"/>
  <c r="AY77" i="1"/>
  <c r="BA77" i="1"/>
  <c r="AX77" i="1" a="1"/>
  <c r="AX77" i="1" s="1"/>
  <c r="AT68" i="1"/>
  <c r="AJ79" i="1"/>
  <c r="AL79" i="1" s="1"/>
  <c r="AR79" i="1"/>
  <c r="AS79" i="1" s="1"/>
  <c r="AJ70" i="1"/>
  <c r="AL70" i="1" s="1"/>
  <c r="AC70" i="1"/>
  <c r="Z71" i="1"/>
  <c r="AF70" i="1"/>
  <c r="AC79" i="1"/>
  <c r="AF79" i="1"/>
  <c r="AG79" i="1" s="1"/>
  <c r="AN79" i="1" s="1"/>
  <c r="Z80" i="1"/>
  <c r="BZ70" i="1" l="1"/>
  <c r="BD78" i="1"/>
  <c r="BH79" i="1"/>
  <c r="BT79" i="1" s="1"/>
  <c r="BT78" i="1"/>
  <c r="BD69" i="1"/>
  <c r="BH70" i="1"/>
  <c r="BT69" i="1"/>
  <c r="BD68" i="1"/>
  <c r="BE68" i="1" s="1"/>
  <c r="BF68" i="1" s="1"/>
  <c r="BG68" i="1" s="1"/>
  <c r="BP68" i="1"/>
  <c r="BP69" i="1" s="1"/>
  <c r="BQ68" i="1"/>
  <c r="BQ69" i="1" s="1"/>
  <c r="AO79" i="1"/>
  <c r="AP79" i="1" s="1"/>
  <c r="AG70" i="1"/>
  <c r="AN70" i="1" s="1"/>
  <c r="AO70" i="1" s="1"/>
  <c r="AP70" i="1" s="1"/>
  <c r="BC80" i="1"/>
  <c r="AU70" i="1"/>
  <c r="AR71" i="1"/>
  <c r="AS71" i="1" s="1"/>
  <c r="BC71" i="1"/>
  <c r="BE77" i="1"/>
  <c r="BF77" i="1" s="1"/>
  <c r="AU79" i="1"/>
  <c r="AY78" i="1"/>
  <c r="BA78" i="1"/>
  <c r="AX78" i="1" a="1"/>
  <c r="AX78" i="1" s="1"/>
  <c r="AX68" i="1" a="1"/>
  <c r="AX68" i="1" s="1"/>
  <c r="AW68" i="1"/>
  <c r="AT69" i="1"/>
  <c r="AJ80" i="1"/>
  <c r="AL80" i="1" s="1"/>
  <c r="AR80" i="1"/>
  <c r="AS80" i="1" s="1"/>
  <c r="AU80" i="1" s="1"/>
  <c r="AJ71" i="1"/>
  <c r="AL71" i="1" s="1"/>
  <c r="AF71" i="1"/>
  <c r="AG71" i="1" s="1"/>
  <c r="AN71" i="1" s="1"/>
  <c r="Z72" i="1"/>
  <c r="AC71" i="1"/>
  <c r="AC80" i="1"/>
  <c r="AE80" i="1" s="1"/>
  <c r="AF80" i="1"/>
  <c r="AG80" i="1" s="1"/>
  <c r="AN80" i="1" s="1"/>
  <c r="BQ70" i="1" l="1"/>
  <c r="BT70" i="1"/>
  <c r="BD70" i="1"/>
  <c r="BH71" i="1"/>
  <c r="BP70" i="1"/>
  <c r="AO71" i="1"/>
  <c r="AP71" i="1" s="1"/>
  <c r="AR72" i="1"/>
  <c r="AS72" i="1" s="1"/>
  <c r="BC72" i="1"/>
  <c r="AU71" i="1"/>
  <c r="BA70" i="1"/>
  <c r="BE70" i="1" s="1"/>
  <c r="BF70" i="1" s="1"/>
  <c r="AY70" i="1"/>
  <c r="AX70" i="1" a="1"/>
  <c r="AX70" i="1" s="1"/>
  <c r="BE78" i="1"/>
  <c r="BF78" i="1" s="1"/>
  <c r="AY80" i="1"/>
  <c r="BA80" i="1"/>
  <c r="AY79" i="1"/>
  <c r="BA79" i="1"/>
  <c r="AX79" i="1" a="1"/>
  <c r="AX79" i="1" s="1"/>
  <c r="AX69" i="1" a="1"/>
  <c r="AX69" i="1" s="1"/>
  <c r="BE69" i="1"/>
  <c r="BF69" i="1" s="1"/>
  <c r="BG69" i="1" s="1"/>
  <c r="AW69" i="1"/>
  <c r="Z81" i="1"/>
  <c r="AO80" i="1"/>
  <c r="AP80" i="1" s="1"/>
  <c r="AJ72" i="1"/>
  <c r="AL72" i="1" s="1"/>
  <c r="AC72" i="1"/>
  <c r="AF72" i="1"/>
  <c r="AG72" i="1" s="1"/>
  <c r="AN72" i="1" s="1"/>
  <c r="Z73" i="1"/>
  <c r="BZ71" i="1" l="1"/>
  <c r="BD71" i="1"/>
  <c r="BH72" i="1"/>
  <c r="BQ71" i="1"/>
  <c r="BT71" i="1"/>
  <c r="AO72" i="1"/>
  <c r="AP72" i="1" s="1"/>
  <c r="AG74" i="1"/>
  <c r="AN74" i="1" s="1"/>
  <c r="BC81" i="1"/>
  <c r="AG81" i="1"/>
  <c r="AN81" i="1" s="1"/>
  <c r="AR73" i="1"/>
  <c r="AS73" i="1" s="1"/>
  <c r="BC73" i="1"/>
  <c r="BA71" i="1"/>
  <c r="AY71" i="1"/>
  <c r="AX71" i="1" a="1"/>
  <c r="AX71" i="1" s="1"/>
  <c r="BG70" i="1"/>
  <c r="AU72" i="1"/>
  <c r="AF81" i="1"/>
  <c r="AC81" i="1"/>
  <c r="AE81" i="1" s="1"/>
  <c r="AQ80" i="1"/>
  <c r="AJ81" i="1"/>
  <c r="AL81" i="1" s="1"/>
  <c r="AR81" i="1"/>
  <c r="AS81" i="1" s="1"/>
  <c r="AU81" i="1" s="1"/>
  <c r="AJ73" i="1"/>
  <c r="AL73" i="1" s="1"/>
  <c r="AF73" i="1"/>
  <c r="AG73" i="1" s="1"/>
  <c r="AN73" i="1" s="1"/>
  <c r="AC73" i="1"/>
  <c r="BZ72" i="1" l="1"/>
  <c r="BH80" i="1"/>
  <c r="BT80" i="1" s="1"/>
  <c r="BD72" i="1"/>
  <c r="BH73" i="1"/>
  <c r="BP71" i="1"/>
  <c r="BQ72" i="1"/>
  <c r="BT72" i="1"/>
  <c r="AO73" i="1"/>
  <c r="AP73" i="1" s="1"/>
  <c r="BD79" i="1"/>
  <c r="BE79" i="1" s="1"/>
  <c r="BF79" i="1" s="1"/>
  <c r="BA72" i="1"/>
  <c r="AY72" i="1"/>
  <c r="AX72" i="1" a="1"/>
  <c r="AX72" i="1" s="1"/>
  <c r="BE71" i="1"/>
  <c r="BF71" i="1" s="1"/>
  <c r="BG71" i="1" s="1"/>
  <c r="Z82" i="1"/>
  <c r="AU73" i="1"/>
  <c r="AY81" i="1"/>
  <c r="BA81" i="1"/>
  <c r="AO81" i="1"/>
  <c r="AP81" i="1" s="1"/>
  <c r="AJ74" i="1"/>
  <c r="AL74" i="1" s="1"/>
  <c r="AO74" i="1" s="1"/>
  <c r="AP74" i="1" s="1"/>
  <c r="AC74" i="1"/>
  <c r="AF74" i="1"/>
  <c r="BZ73" i="1" l="1"/>
  <c r="BT73" i="1"/>
  <c r="BP72" i="1"/>
  <c r="BP73" i="1" s="1"/>
  <c r="BP74" i="1" s="1"/>
  <c r="BP75" i="1" s="1"/>
  <c r="BP76" i="1" s="1"/>
  <c r="BP77" i="1" s="1"/>
  <c r="BP78" i="1" s="1"/>
  <c r="BP79" i="1" s="1"/>
  <c r="BC82" i="1"/>
  <c r="AC82" i="1"/>
  <c r="AE82" i="1" s="1"/>
  <c r="Z83" i="1" s="1"/>
  <c r="AR83" i="1" s="1"/>
  <c r="AS83" i="1" s="1"/>
  <c r="AU83" i="1" s="1"/>
  <c r="AF82" i="1"/>
  <c r="AR82" i="1"/>
  <c r="AS82" i="1" s="1"/>
  <c r="AU82" i="1" s="1"/>
  <c r="AY82" i="1" s="1"/>
  <c r="BE72" i="1"/>
  <c r="BF72" i="1" s="1"/>
  <c r="BG72" i="1" s="1"/>
  <c r="BA73" i="1"/>
  <c r="BE73" i="1" s="1"/>
  <c r="BF73" i="1" s="1"/>
  <c r="AY73" i="1"/>
  <c r="AX73" i="1" a="1"/>
  <c r="AX73" i="1" s="1"/>
  <c r="AJ82" i="1"/>
  <c r="AL82" i="1" s="1"/>
  <c r="AQ81" i="1"/>
  <c r="AW80" i="1"/>
  <c r="AX80" i="1" a="1"/>
  <c r="AX80" i="1" s="1"/>
  <c r="BZ74" i="1" l="1"/>
  <c r="BH81" i="1"/>
  <c r="BP80" i="1"/>
  <c r="BQ73" i="1"/>
  <c r="BQ74" i="1" s="1"/>
  <c r="BQ75" i="1" s="1"/>
  <c r="BQ76" i="1" s="1"/>
  <c r="BQ77" i="1" s="1"/>
  <c r="BQ78" i="1" s="1"/>
  <c r="BQ79" i="1" s="1"/>
  <c r="BQ80" i="1" s="1"/>
  <c r="AF83" i="1"/>
  <c r="AG83" i="1" s="1"/>
  <c r="AN83" i="1" s="1"/>
  <c r="AG82" i="1"/>
  <c r="AN82" i="1" s="1"/>
  <c r="AO82" i="1" s="1"/>
  <c r="AP82" i="1" s="1"/>
  <c r="AQ82" i="1" s="1"/>
  <c r="BH82" i="1" s="1"/>
  <c r="BT82" i="1" s="1"/>
  <c r="BD80" i="1"/>
  <c r="BE80" i="1" s="1"/>
  <c r="BF80" i="1" s="1"/>
  <c r="AJ83" i="1"/>
  <c r="AL83" i="1" s="1"/>
  <c r="BG73" i="1"/>
  <c r="BG74" i="1" s="1"/>
  <c r="BG75" i="1" s="1"/>
  <c r="BG76" i="1" s="1"/>
  <c r="BG77" i="1" s="1"/>
  <c r="BG78" i="1" s="1"/>
  <c r="BG79" i="1" s="1"/>
  <c r="BA82" i="1"/>
  <c r="AY83" i="1"/>
  <c r="BA83" i="1"/>
  <c r="AC83" i="1"/>
  <c r="AE83" i="1" s="1"/>
  <c r="BC83" i="1"/>
  <c r="AT81" i="1"/>
  <c r="BZ75" i="1" l="1"/>
  <c r="BT81" i="1"/>
  <c r="AO83" i="1"/>
  <c r="AP83" i="1" s="1"/>
  <c r="AQ83" i="1" s="1"/>
  <c r="BH83" i="1" s="1"/>
  <c r="BT83" i="1" s="1"/>
  <c r="BD81" i="1"/>
  <c r="BG80" i="1"/>
  <c r="Z84" i="1"/>
  <c r="BE81" i="1"/>
  <c r="BF81" i="1" s="1"/>
  <c r="AW81" i="1"/>
  <c r="AX81" i="1" a="1"/>
  <c r="AX81" i="1" s="1"/>
  <c r="AT82" i="1"/>
  <c r="AT83" i="1"/>
  <c r="BZ76" i="1" l="1"/>
  <c r="BP81" i="1"/>
  <c r="BQ81" i="1"/>
  <c r="BD82" i="1"/>
  <c r="BG81" i="1"/>
  <c r="BC84" i="1"/>
  <c r="AF84" i="1"/>
  <c r="AC84" i="1"/>
  <c r="AE84" i="1" s="1"/>
  <c r="AJ84" i="1"/>
  <c r="AL84" i="1" s="1"/>
  <c r="AR84" i="1"/>
  <c r="AS84" i="1" s="1"/>
  <c r="AU84" i="1" s="1"/>
  <c r="AW82" i="1"/>
  <c r="AX82" i="1" a="1"/>
  <c r="AX82" i="1" s="1"/>
  <c r="BE82" i="1"/>
  <c r="BF82" i="1" s="1"/>
  <c r="AX83" i="1" a="1"/>
  <c r="AX83" i="1" s="1"/>
  <c r="AW83" i="1"/>
  <c r="BZ77" i="1" l="1"/>
  <c r="BQ82" i="1"/>
  <c r="BG82" i="1"/>
  <c r="BP82" i="1"/>
  <c r="AG84" i="1"/>
  <c r="AN84" i="1" s="1"/>
  <c r="AO84" i="1" s="1"/>
  <c r="AP84" i="1" s="1"/>
  <c r="AQ84" i="1" s="1"/>
  <c r="BH84" i="1" s="1"/>
  <c r="Z85" i="1"/>
  <c r="AY84" i="1"/>
  <c r="BA84" i="1"/>
  <c r="BZ78" i="1" l="1"/>
  <c r="BT84" i="1"/>
  <c r="AT84" i="1"/>
  <c r="BD83" i="1"/>
  <c r="BE83" i="1" s="1"/>
  <c r="BF83" i="1" s="1"/>
  <c r="BG83" i="1" s="1"/>
  <c r="BC85" i="1"/>
  <c r="AR85" i="1"/>
  <c r="AS85" i="1" s="1"/>
  <c r="AU85" i="1" s="1"/>
  <c r="AJ85" i="1"/>
  <c r="AL85" i="1" s="1"/>
  <c r="AC85" i="1"/>
  <c r="AE85" i="1" s="1"/>
  <c r="Z86" i="1" s="1"/>
  <c r="AF85" i="1"/>
  <c r="AW84" i="1"/>
  <c r="AX84" i="1" a="1"/>
  <c r="AX84" i="1" s="1"/>
  <c r="BZ79" i="1" l="1"/>
  <c r="BQ83" i="1"/>
  <c r="BP83" i="1"/>
  <c r="AG85" i="1"/>
  <c r="AN85" i="1" s="1"/>
  <c r="AJ86" i="1"/>
  <c r="AL86" i="1" s="1"/>
  <c r="AF86" i="1"/>
  <c r="AR86" i="1"/>
  <c r="AS86" i="1" s="1"/>
  <c r="AU86" i="1" s="1"/>
  <c r="BA86" i="1" s="1"/>
  <c r="BC86" i="1"/>
  <c r="AC86" i="1"/>
  <c r="AE86" i="1" s="1"/>
  <c r="BA85" i="1"/>
  <c r="AY85" i="1"/>
  <c r="AO85" i="1"/>
  <c r="AP85" i="1" s="1"/>
  <c r="AQ85" i="1" s="1"/>
  <c r="BZ80" i="1" l="1"/>
  <c r="BQ84" i="1"/>
  <c r="BH85" i="1"/>
  <c r="AY86" i="1"/>
  <c r="BP84" i="1"/>
  <c r="AG86" i="1"/>
  <c r="AN86" i="1" s="1"/>
  <c r="AO86" i="1" s="1"/>
  <c r="AP86" i="1" s="1"/>
  <c r="AQ86" i="1" s="1"/>
  <c r="BH86" i="1" s="1"/>
  <c r="BT86" i="1" s="1"/>
  <c r="BD84" i="1"/>
  <c r="BE84" i="1" s="1"/>
  <c r="BF84" i="1" s="1"/>
  <c r="BG84" i="1" s="1"/>
  <c r="Z87" i="1"/>
  <c r="AR87" i="1" s="1"/>
  <c r="AS87" i="1" s="1"/>
  <c r="AU87" i="1" s="1"/>
  <c r="AT85" i="1"/>
  <c r="BC87" i="1"/>
  <c r="AJ87" i="1"/>
  <c r="AL87" i="1" s="1"/>
  <c r="AC87" i="1"/>
  <c r="AE87" i="1" s="1"/>
  <c r="BZ81" i="1" l="1"/>
  <c r="AW85" i="1"/>
  <c r="BT85" i="1"/>
  <c r="BD85" i="1"/>
  <c r="BQ85" i="1"/>
  <c r="AX85" i="1" a="1"/>
  <c r="AX85" i="1" s="1"/>
  <c r="AF87" i="1"/>
  <c r="BE85" i="1"/>
  <c r="BF85" i="1" s="1"/>
  <c r="BG85" i="1" s="1"/>
  <c r="Z88" i="1"/>
  <c r="BA87" i="1"/>
  <c r="AY87" i="1"/>
  <c r="AT86" i="1"/>
  <c r="AJ88" i="1"/>
  <c r="AL88" i="1" s="1"/>
  <c r="AF88" i="1"/>
  <c r="AC88" i="1"/>
  <c r="AE88" i="1" s="1"/>
  <c r="BZ82" i="1" l="1"/>
  <c r="AG87" i="1"/>
  <c r="AN87" i="1" s="1"/>
  <c r="AO87" i="1" s="1"/>
  <c r="AP87" i="1" s="1"/>
  <c r="AQ87" i="1" s="1"/>
  <c r="BH87" i="1" s="1"/>
  <c r="BP85" i="1"/>
  <c r="AG88" i="1"/>
  <c r="AN88" i="1" s="1"/>
  <c r="AR88" i="1"/>
  <c r="AS88" i="1" s="1"/>
  <c r="AU88" i="1" s="1"/>
  <c r="BC88" i="1"/>
  <c r="AW86" i="1"/>
  <c r="AX86" i="1" a="1"/>
  <c r="AX86" i="1" s="1"/>
  <c r="AO88" i="1"/>
  <c r="AP88" i="1" s="1"/>
  <c r="Z89" i="1"/>
  <c r="BZ83" i="1" l="1"/>
  <c r="BT87" i="1"/>
  <c r="BD86" i="1"/>
  <c r="BE86" i="1" s="1"/>
  <c r="BF86" i="1" s="1"/>
  <c r="BG86" i="1" s="1"/>
  <c r="BQ86" i="1"/>
  <c r="AR89" i="1"/>
  <c r="AS89" i="1" s="1"/>
  <c r="AU89" i="1" s="1"/>
  <c r="BC89" i="1"/>
  <c r="AY88" i="1"/>
  <c r="BA88" i="1"/>
  <c r="AQ88" i="1"/>
  <c r="BH88" i="1" s="1"/>
  <c r="BT88" i="1" s="1"/>
  <c r="AT87" i="1"/>
  <c r="AJ89" i="1"/>
  <c r="AL89" i="1" s="1"/>
  <c r="AC89" i="1"/>
  <c r="AE89" i="1" s="1"/>
  <c r="AF89" i="1"/>
  <c r="BZ84" i="1" l="1"/>
  <c r="BP86" i="1"/>
  <c r="BD87" i="1"/>
  <c r="BQ87" i="1"/>
  <c r="AG89" i="1"/>
  <c r="AN89" i="1" s="1"/>
  <c r="AO89" i="1" s="1"/>
  <c r="AP89" i="1" s="1"/>
  <c r="Z90" i="1"/>
  <c r="AY89" i="1"/>
  <c r="BA89" i="1"/>
  <c r="BE87" i="1"/>
  <c r="BF87" i="1" s="1"/>
  <c r="BG87" i="1" s="1"/>
  <c r="AW87" i="1"/>
  <c r="AX87" i="1" a="1"/>
  <c r="AX87" i="1" s="1"/>
  <c r="AT88" i="1"/>
  <c r="AJ90" i="1"/>
  <c r="AL90" i="1" s="1"/>
  <c r="AC90" i="1"/>
  <c r="AE90" i="1" s="1"/>
  <c r="AF90" i="1"/>
  <c r="BZ85" i="1" l="1"/>
  <c r="BP87" i="1"/>
  <c r="AG90" i="1"/>
  <c r="AN90" i="1" s="1"/>
  <c r="AR90" i="1"/>
  <c r="AS90" i="1" s="1"/>
  <c r="AU90" i="1" s="1"/>
  <c r="BC90" i="1"/>
  <c r="AW88" i="1"/>
  <c r="AX88" i="1" a="1"/>
  <c r="AX88" i="1" s="1"/>
  <c r="AQ89" i="1"/>
  <c r="BH89" i="1" s="1"/>
  <c r="BT89" i="1" s="1"/>
  <c r="Z91" i="1"/>
  <c r="AO90" i="1"/>
  <c r="AP90" i="1" s="1"/>
  <c r="BZ86" i="1" l="1"/>
  <c r="BD88" i="1"/>
  <c r="AR91" i="1"/>
  <c r="AS91" i="1" s="1"/>
  <c r="AU91" i="1" s="1"/>
  <c r="BC91" i="1"/>
  <c r="AY90" i="1"/>
  <c r="BA90" i="1"/>
  <c r="AQ90" i="1"/>
  <c r="BH90" i="1" s="1"/>
  <c r="BT90" i="1" s="1"/>
  <c r="AT89" i="1"/>
  <c r="BE88" i="1"/>
  <c r="BF88" i="1" s="1"/>
  <c r="BG88" i="1" s="1"/>
  <c r="AJ91" i="1"/>
  <c r="AL91" i="1" s="1"/>
  <c r="AF91" i="1"/>
  <c r="AC91" i="1"/>
  <c r="AE91" i="1" s="1"/>
  <c r="BZ87" i="1" l="1"/>
  <c r="BQ88" i="1"/>
  <c r="BP88" i="1"/>
  <c r="BD89" i="1"/>
  <c r="AG91" i="1"/>
  <c r="AN91" i="1" s="1"/>
  <c r="AO91" i="1" s="1"/>
  <c r="AP91" i="1" s="1"/>
  <c r="Z92" i="1"/>
  <c r="AY91" i="1"/>
  <c r="BA91" i="1"/>
  <c r="BE89" i="1"/>
  <c r="BF89" i="1" s="1"/>
  <c r="BG89" i="1" s="1"/>
  <c r="AX89" i="1" a="1"/>
  <c r="AX89" i="1" s="1"/>
  <c r="AW89" i="1"/>
  <c r="AT90" i="1"/>
  <c r="AJ92" i="1"/>
  <c r="AL92" i="1" s="1"/>
  <c r="AF92" i="1"/>
  <c r="AC92" i="1"/>
  <c r="AE92" i="1" s="1"/>
  <c r="BZ88" i="1" l="1"/>
  <c r="BP89" i="1"/>
  <c r="BQ89" i="1"/>
  <c r="AG92" i="1"/>
  <c r="AN92" i="1" s="1"/>
  <c r="AO92" i="1" s="1"/>
  <c r="AP92" i="1" s="1"/>
  <c r="Z93" i="1"/>
  <c r="AR92" i="1"/>
  <c r="AS92" i="1" s="1"/>
  <c r="AU92" i="1" s="1"/>
  <c r="BC92" i="1"/>
  <c r="AQ91" i="1"/>
  <c r="AW90" i="1"/>
  <c r="AX90" i="1" a="1"/>
  <c r="AX90" i="1" s="1"/>
  <c r="AJ93" i="1"/>
  <c r="AL93" i="1" s="1"/>
  <c r="AC93" i="1"/>
  <c r="AE93" i="1" s="1"/>
  <c r="AF93" i="1"/>
  <c r="BZ89" i="1" l="1"/>
  <c r="BH91" i="1"/>
  <c r="BT91" i="1" s="1"/>
  <c r="BQ90" i="1"/>
  <c r="BP90" i="1"/>
  <c r="AG93" i="1"/>
  <c r="AN93" i="1" s="1"/>
  <c r="BD90" i="1"/>
  <c r="BE90" i="1" s="1"/>
  <c r="BF90" i="1" s="1"/>
  <c r="BG90" i="1" s="1"/>
  <c r="AY92" i="1"/>
  <c r="BA92" i="1"/>
  <c r="AR93" i="1"/>
  <c r="AS93" i="1" s="1"/>
  <c r="AU93" i="1" s="1"/>
  <c r="BC93" i="1"/>
  <c r="AQ92" i="1"/>
  <c r="BH92" i="1" s="1"/>
  <c r="BT92" i="1" s="1"/>
  <c r="AT91" i="1"/>
  <c r="Z94" i="1"/>
  <c r="AO93" i="1"/>
  <c r="AP93" i="1" s="1"/>
  <c r="BZ90" i="1" l="1"/>
  <c r="BD91" i="1"/>
  <c r="BP91" i="1"/>
  <c r="AR94" i="1"/>
  <c r="AS94" i="1" s="1"/>
  <c r="AU94" i="1" s="1"/>
  <c r="BC94" i="1"/>
  <c r="AY93" i="1"/>
  <c r="BA93" i="1"/>
  <c r="AQ93" i="1"/>
  <c r="BH93" i="1" s="1"/>
  <c r="BT93" i="1" s="1"/>
  <c r="AX91" i="1" a="1"/>
  <c r="AX91" i="1" s="1"/>
  <c r="AW91" i="1"/>
  <c r="BE91" i="1"/>
  <c r="BF91" i="1" s="1"/>
  <c r="BG91" i="1" s="1"/>
  <c r="AT92" i="1"/>
  <c r="AJ94" i="1"/>
  <c r="AL94" i="1" s="1"/>
  <c r="AF94" i="1"/>
  <c r="AC94" i="1"/>
  <c r="AE94" i="1" s="1"/>
  <c r="BZ91" i="1" l="1"/>
  <c r="BD92" i="1"/>
  <c r="BP92" i="1"/>
  <c r="BQ91" i="1"/>
  <c r="AG94" i="1"/>
  <c r="AN94" i="1" s="1"/>
  <c r="AY94" i="1"/>
  <c r="BA94" i="1"/>
  <c r="BE92" i="1"/>
  <c r="BF92" i="1" s="1"/>
  <c r="BG92" i="1" s="1"/>
  <c r="AW92" i="1"/>
  <c r="AX92" i="1" a="1"/>
  <c r="AX92" i="1" s="1"/>
  <c r="AT93" i="1"/>
  <c r="AO94" i="1"/>
  <c r="AP94" i="1" s="1"/>
  <c r="Z95" i="1"/>
  <c r="BZ92" i="1" l="1"/>
  <c r="BQ92" i="1"/>
  <c r="AR95" i="1"/>
  <c r="AS95" i="1" s="1"/>
  <c r="AU95" i="1" s="1"/>
  <c r="BC95" i="1"/>
  <c r="AQ94" i="1"/>
  <c r="AW93" i="1"/>
  <c r="AX93" i="1" a="1"/>
  <c r="AX93" i="1" s="1"/>
  <c r="AJ95" i="1"/>
  <c r="AL95" i="1" s="1"/>
  <c r="AC95" i="1"/>
  <c r="AE95" i="1" s="1"/>
  <c r="AF95" i="1"/>
  <c r="BZ93" i="1" l="1"/>
  <c r="BP93" i="1"/>
  <c r="BH94" i="1"/>
  <c r="BT94" i="1" s="1"/>
  <c r="AG95" i="1"/>
  <c r="AN95" i="1" s="1"/>
  <c r="BD93" i="1"/>
  <c r="BE93" i="1" s="1"/>
  <c r="BF93" i="1" s="1"/>
  <c r="BG93" i="1" s="1"/>
  <c r="Z96" i="1"/>
  <c r="AY95" i="1"/>
  <c r="BA95" i="1"/>
  <c r="AT94" i="1"/>
  <c r="AJ96" i="1"/>
  <c r="AL96" i="1" s="1"/>
  <c r="AF96" i="1"/>
  <c r="AC96" i="1"/>
  <c r="AE96" i="1" s="1"/>
  <c r="AO95" i="1"/>
  <c r="AP95" i="1" s="1"/>
  <c r="BZ94" i="1" l="1"/>
  <c r="BQ93" i="1"/>
  <c r="AG96" i="1"/>
  <c r="AN96" i="1" s="1"/>
  <c r="AR96" i="1"/>
  <c r="AS96" i="1" s="1"/>
  <c r="AU96" i="1" s="1"/>
  <c r="BC96" i="1"/>
  <c r="AQ95" i="1"/>
  <c r="AW94" i="1"/>
  <c r="AX94" i="1" a="1"/>
  <c r="AX94" i="1" s="1"/>
  <c r="AO96" i="1"/>
  <c r="AP96" i="1" s="1"/>
  <c r="Z97" i="1"/>
  <c r="BZ95" i="1" l="1"/>
  <c r="BP94" i="1"/>
  <c r="BH95" i="1"/>
  <c r="BT95" i="1" s="1"/>
  <c r="BD94" i="1"/>
  <c r="BE94" i="1" s="1"/>
  <c r="BF94" i="1" s="1"/>
  <c r="BG94" i="1" s="1"/>
  <c r="AR97" i="1"/>
  <c r="AS97" i="1" s="1"/>
  <c r="AU97" i="1" s="1"/>
  <c r="BC97" i="1"/>
  <c r="BA96" i="1"/>
  <c r="AY96" i="1"/>
  <c r="AQ96" i="1"/>
  <c r="BH96" i="1" s="1"/>
  <c r="BT96" i="1" s="1"/>
  <c r="AT95" i="1"/>
  <c r="AJ97" i="1"/>
  <c r="AL97" i="1" s="1"/>
  <c r="AF97" i="1"/>
  <c r="AC97" i="1"/>
  <c r="AE97" i="1" s="1"/>
  <c r="BZ97" i="1" l="1"/>
  <c r="BZ96" i="1"/>
  <c r="BQ94" i="1"/>
  <c r="BD95" i="1"/>
  <c r="BP95" i="1"/>
  <c r="AG97" i="1"/>
  <c r="AN97" i="1" s="1"/>
  <c r="AO97" i="1" s="1"/>
  <c r="AP97" i="1" s="1"/>
  <c r="Z98" i="1"/>
  <c r="BA97" i="1"/>
  <c r="AY97" i="1"/>
  <c r="AX95" i="1" a="1"/>
  <c r="AX95" i="1" s="1"/>
  <c r="AW95" i="1"/>
  <c r="BE95" i="1"/>
  <c r="BF95" i="1" s="1"/>
  <c r="BG95" i="1" s="1"/>
  <c r="AT96" i="1"/>
  <c r="AJ98" i="1"/>
  <c r="AL98" i="1" s="1"/>
  <c r="AC98" i="1"/>
  <c r="AE98" i="1" s="1"/>
  <c r="AF98" i="1"/>
  <c r="BZ98" i="1" l="1"/>
  <c r="BQ95" i="1"/>
  <c r="AG98" i="1"/>
  <c r="AN98" i="1" s="1"/>
  <c r="AR98" i="1"/>
  <c r="AS98" i="1" s="1"/>
  <c r="AU98" i="1" s="1"/>
  <c r="BC98" i="1"/>
  <c r="AW96" i="1"/>
  <c r="AX96" i="1" a="1"/>
  <c r="AX96" i="1" s="1"/>
  <c r="AQ97" i="1"/>
  <c r="BH97" i="1" s="1"/>
  <c r="BT97" i="1" s="1"/>
  <c r="AO98" i="1"/>
  <c r="AP98" i="1" s="1"/>
  <c r="Z99" i="1"/>
  <c r="BD96" i="1" l="1"/>
  <c r="BP96" i="1"/>
  <c r="AR99" i="1"/>
  <c r="AS99" i="1" s="1"/>
  <c r="BH99" i="1" s="1"/>
  <c r="BT99" i="1" s="1"/>
  <c r="BC99" i="1"/>
  <c r="BA98" i="1"/>
  <c r="AY98" i="1"/>
  <c r="AQ98" i="1"/>
  <c r="BH98" i="1" s="1"/>
  <c r="AT97" i="1"/>
  <c r="BE96" i="1"/>
  <c r="BF96" i="1" s="1"/>
  <c r="BG96" i="1" s="1"/>
  <c r="AJ99" i="1"/>
  <c r="AL99" i="1" s="1"/>
  <c r="AC99" i="1"/>
  <c r="AE99" i="1" s="1"/>
  <c r="AF99" i="1"/>
  <c r="BZ99" i="1" l="1"/>
  <c r="BT98" i="1"/>
  <c r="BD97" i="1"/>
  <c r="BP97" i="1"/>
  <c r="BP98" i="1" s="1"/>
  <c r="BQ96" i="1"/>
  <c r="BQ97" i="1" s="1"/>
  <c r="BQ98" i="1" s="1"/>
  <c r="AU99" i="1"/>
  <c r="BA99" i="1" s="1"/>
  <c r="BD98" i="1"/>
  <c r="AG99" i="1"/>
  <c r="AN99" i="1" s="1"/>
  <c r="BE97" i="1"/>
  <c r="BF97" i="1" s="1"/>
  <c r="BG97" i="1" s="1"/>
  <c r="AW97" i="1"/>
  <c r="AX97" i="1" a="1"/>
  <c r="AX97" i="1" s="1"/>
  <c r="AT98" i="1"/>
  <c r="AO99" i="1"/>
  <c r="AP99" i="1" s="1"/>
  <c r="AT99" i="1" s="1"/>
  <c r="Z100" i="1"/>
  <c r="AY99" i="1" l="1"/>
  <c r="AR100" i="1"/>
  <c r="AS100" i="1" s="1"/>
  <c r="AU100" i="1" s="1"/>
  <c r="BC100" i="1"/>
  <c r="BE98" i="1"/>
  <c r="BF98" i="1" s="1"/>
  <c r="BG98" i="1" s="1"/>
  <c r="AW98" i="1"/>
  <c r="AX98" i="1" a="1"/>
  <c r="AX98" i="1" s="1"/>
  <c r="AW99" i="1"/>
  <c r="AX99" i="1" a="1"/>
  <c r="AX99" i="1" s="1"/>
  <c r="AJ100" i="1"/>
  <c r="AL100" i="1" s="1"/>
  <c r="AF100" i="1"/>
  <c r="AC100" i="1"/>
  <c r="AE100" i="1" s="1"/>
  <c r="BZ100" i="1" l="1"/>
  <c r="AG100" i="1"/>
  <c r="AN100" i="1" s="1"/>
  <c r="AY100" i="1"/>
  <c r="BA100" i="1"/>
  <c r="AO100" i="1"/>
  <c r="AP100" i="1" s="1"/>
  <c r="Z101" i="1"/>
  <c r="AR101" i="1" l="1"/>
  <c r="AS101" i="1" s="1"/>
  <c r="AU101" i="1" s="1"/>
  <c r="BC101" i="1"/>
  <c r="AQ100" i="1"/>
  <c r="AJ101" i="1"/>
  <c r="AL101" i="1" s="1"/>
  <c r="AF101" i="1"/>
  <c r="AC101" i="1"/>
  <c r="AE101" i="1" s="1"/>
  <c r="BZ101" i="1" l="1"/>
  <c r="BH100" i="1"/>
  <c r="BT100" i="1" s="1"/>
  <c r="BP99" i="1"/>
  <c r="BQ99" i="1"/>
  <c r="AG101" i="1"/>
  <c r="AN101" i="1" s="1"/>
  <c r="BD99" i="1"/>
  <c r="BE99" i="1" s="1"/>
  <c r="BF99" i="1" s="1"/>
  <c r="BG99" i="1" s="1"/>
  <c r="Z102" i="1"/>
  <c r="AY101" i="1"/>
  <c r="BA101" i="1"/>
  <c r="AT100" i="1"/>
  <c r="AJ102" i="1"/>
  <c r="AL102" i="1" s="1"/>
  <c r="AF102" i="1"/>
  <c r="AC102" i="1"/>
  <c r="AE102" i="1" s="1"/>
  <c r="AO101" i="1"/>
  <c r="AP101" i="1" s="1"/>
  <c r="BZ102" i="1" l="1"/>
  <c r="AG102" i="1"/>
  <c r="AN102" i="1" s="1"/>
  <c r="AO102" i="1" s="1"/>
  <c r="AP102" i="1" s="1"/>
  <c r="Z103" i="1"/>
  <c r="AR102" i="1"/>
  <c r="AS102" i="1" s="1"/>
  <c r="AU102" i="1" s="1"/>
  <c r="BC102" i="1"/>
  <c r="AQ101" i="1"/>
  <c r="AW100" i="1"/>
  <c r="AX100" i="1" a="1"/>
  <c r="AX100" i="1" s="1"/>
  <c r="AC103" i="1"/>
  <c r="AE103" i="1" s="1"/>
  <c r="AJ103" i="1"/>
  <c r="AL103" i="1" s="1"/>
  <c r="AF103" i="1"/>
  <c r="BZ103" i="1" l="1"/>
  <c r="BQ100" i="1"/>
  <c r="BH101" i="1"/>
  <c r="BT101" i="1" s="1"/>
  <c r="AG103" i="1"/>
  <c r="AN103" i="1" s="1"/>
  <c r="BD100" i="1"/>
  <c r="BE100" i="1" s="1"/>
  <c r="BF100" i="1" s="1"/>
  <c r="BG100" i="1" s="1"/>
  <c r="AY102" i="1"/>
  <c r="BA102" i="1"/>
  <c r="AR103" i="1"/>
  <c r="AS103" i="1" s="1"/>
  <c r="AU103" i="1" s="1"/>
  <c r="BC103" i="1"/>
  <c r="AQ102" i="1"/>
  <c r="BH102" i="1" s="1"/>
  <c r="BT102" i="1" s="1"/>
  <c r="AT101" i="1"/>
  <c r="Z104" i="1"/>
  <c r="AO103" i="1"/>
  <c r="AP103" i="1" s="1"/>
  <c r="BP100" i="1" l="1"/>
  <c r="BD101" i="1"/>
  <c r="BQ101" i="1"/>
  <c r="AR104" i="1"/>
  <c r="AS104" i="1" s="1"/>
  <c r="AU104" i="1" s="1"/>
  <c r="BC104" i="1"/>
  <c r="AY103" i="1"/>
  <c r="BA103" i="1"/>
  <c r="AW101" i="1"/>
  <c r="AX101" i="1" a="1"/>
  <c r="AX101" i="1" s="1"/>
  <c r="BE101" i="1"/>
  <c r="BF101" i="1" s="1"/>
  <c r="BG101" i="1" s="1"/>
  <c r="AQ103" i="1"/>
  <c r="BH103" i="1" s="1"/>
  <c r="BT103" i="1" s="1"/>
  <c r="AT102" i="1"/>
  <c r="AJ104" i="1"/>
  <c r="AL104" i="1" s="1"/>
  <c r="AC104" i="1"/>
  <c r="AE104" i="1" s="1"/>
  <c r="AF104" i="1"/>
  <c r="BZ104" i="1" l="1"/>
  <c r="BD102" i="1"/>
  <c r="BQ102" i="1"/>
  <c r="BP101" i="1"/>
  <c r="BP102" i="1" s="1"/>
  <c r="AG104" i="1"/>
  <c r="AN104" i="1" s="1"/>
  <c r="AY104" i="1"/>
  <c r="BA104" i="1"/>
  <c r="BE102" i="1"/>
  <c r="BF102" i="1" s="1"/>
  <c r="BG102" i="1" s="1"/>
  <c r="AW102" i="1"/>
  <c r="AX102" i="1" a="1"/>
  <c r="AX102" i="1" s="1"/>
  <c r="AT103" i="1"/>
  <c r="AO104" i="1"/>
  <c r="AP104" i="1" s="1"/>
  <c r="Z105" i="1"/>
  <c r="AR105" i="1" l="1"/>
  <c r="AS105" i="1" s="1"/>
  <c r="AU105" i="1" s="1"/>
  <c r="BC105" i="1"/>
  <c r="AX103" i="1" a="1"/>
  <c r="AX103" i="1" s="1"/>
  <c r="AW103" i="1"/>
  <c r="AQ104" i="1"/>
  <c r="BH104" i="1" s="1"/>
  <c r="BT104" i="1" s="1"/>
  <c r="AJ105" i="1"/>
  <c r="AL105" i="1" s="1"/>
  <c r="AC105" i="1"/>
  <c r="AE105" i="1" s="1"/>
  <c r="AF105" i="1"/>
  <c r="BZ105" i="1" l="1"/>
  <c r="BD103" i="1"/>
  <c r="AG105" i="1"/>
  <c r="AN105" i="1" s="1"/>
  <c r="AY105" i="1"/>
  <c r="BA105" i="1"/>
  <c r="AT104" i="1"/>
  <c r="BE103" i="1"/>
  <c r="BF103" i="1" s="1"/>
  <c r="BG103" i="1" s="1"/>
  <c r="AO105" i="1"/>
  <c r="AP105" i="1" s="1"/>
  <c r="Z106" i="1"/>
  <c r="BQ103" i="1" l="1"/>
  <c r="BP103" i="1"/>
  <c r="AR106" i="1"/>
  <c r="AS106" i="1" s="1"/>
  <c r="AU106" i="1" s="1"/>
  <c r="BC106" i="1"/>
  <c r="AQ105" i="1"/>
  <c r="BH105" i="1" s="1"/>
  <c r="BT105" i="1" s="1"/>
  <c r="AX104" i="1" a="1"/>
  <c r="AX104" i="1" s="1"/>
  <c r="AW104" i="1"/>
  <c r="AJ106" i="1"/>
  <c r="AL106" i="1" s="1"/>
  <c r="AF106" i="1"/>
  <c r="AC106" i="1"/>
  <c r="AE106" i="1" s="1"/>
  <c r="BZ106" i="1" l="1"/>
  <c r="BD104" i="1"/>
  <c r="BE104" i="1" s="1"/>
  <c r="BF104" i="1" s="1"/>
  <c r="BG104" i="1" s="1"/>
  <c r="BP104" i="1"/>
  <c r="AG106" i="1"/>
  <c r="AN106" i="1" s="1"/>
  <c r="Z107" i="1"/>
  <c r="AY106" i="1"/>
  <c r="BA106" i="1"/>
  <c r="AT105" i="1"/>
  <c r="AJ107" i="1"/>
  <c r="AL107" i="1" s="1"/>
  <c r="AF107" i="1"/>
  <c r="AC107" i="1"/>
  <c r="AE107" i="1" s="1"/>
  <c r="AO106" i="1"/>
  <c r="AP106" i="1" s="1"/>
  <c r="BZ107" i="1" l="1"/>
  <c r="BQ104" i="1"/>
  <c r="AG107" i="1"/>
  <c r="AN107" i="1" s="1"/>
  <c r="AO107" i="1" s="1"/>
  <c r="AP107" i="1" s="1"/>
  <c r="Z108" i="1"/>
  <c r="AR107" i="1"/>
  <c r="AS107" i="1" s="1"/>
  <c r="AU107" i="1" s="1"/>
  <c r="BC107" i="1"/>
  <c r="AQ106" i="1"/>
  <c r="BH106" i="1" s="1"/>
  <c r="BT106" i="1" s="1"/>
  <c r="AX105" i="1" a="1"/>
  <c r="AX105" i="1" s="1"/>
  <c r="AW105" i="1"/>
  <c r="AJ108" i="1"/>
  <c r="AL108" i="1" s="1"/>
  <c r="AC108" i="1"/>
  <c r="AE108" i="1" s="1"/>
  <c r="AF108" i="1"/>
  <c r="BZ108" i="1" l="1"/>
  <c r="BD105" i="1"/>
  <c r="BE105" i="1" s="1"/>
  <c r="BF105" i="1" s="1"/>
  <c r="BG105" i="1" s="1"/>
  <c r="BP105" i="1"/>
  <c r="AG108" i="1"/>
  <c r="AN108" i="1" s="1"/>
  <c r="AO108" i="1" s="1"/>
  <c r="AP108" i="1" s="1"/>
  <c r="Z109" i="1"/>
  <c r="AY107" i="1"/>
  <c r="BA107" i="1"/>
  <c r="AR108" i="1"/>
  <c r="AS108" i="1" s="1"/>
  <c r="AU108" i="1" s="1"/>
  <c r="BC108" i="1"/>
  <c r="AQ107" i="1"/>
  <c r="BH107" i="1" s="1"/>
  <c r="BT107" i="1" s="1"/>
  <c r="AT106" i="1"/>
  <c r="AJ109" i="1"/>
  <c r="AL109" i="1" s="1"/>
  <c r="AF109" i="1"/>
  <c r="AC109" i="1"/>
  <c r="AE109" i="1" s="1"/>
  <c r="BZ109" i="1" l="1"/>
  <c r="BQ105" i="1"/>
  <c r="BD106" i="1"/>
  <c r="BP106" i="1"/>
  <c r="AG109" i="1"/>
  <c r="AN109" i="1" s="1"/>
  <c r="BA108" i="1"/>
  <c r="AY108" i="1"/>
  <c r="AR109" i="1"/>
  <c r="AS109" i="1" s="1"/>
  <c r="AU109" i="1" s="1"/>
  <c r="BC109" i="1"/>
  <c r="AQ108" i="1"/>
  <c r="BH108" i="1" s="1"/>
  <c r="BT108" i="1" s="1"/>
  <c r="BE106" i="1"/>
  <c r="BF106" i="1" s="1"/>
  <c r="BG106" i="1" s="1"/>
  <c r="AW106" i="1"/>
  <c r="AX106" i="1" a="1"/>
  <c r="AX106" i="1" s="1"/>
  <c r="AT107" i="1"/>
  <c r="Z110" i="1"/>
  <c r="AO109" i="1"/>
  <c r="AP109" i="1" s="1"/>
  <c r="BD107" i="1" l="1"/>
  <c r="BP107" i="1"/>
  <c r="BQ106" i="1"/>
  <c r="BQ107" i="1" s="1"/>
  <c r="AR110" i="1"/>
  <c r="AS110" i="1" s="1"/>
  <c r="AU110" i="1" s="1"/>
  <c r="BC110" i="1"/>
  <c r="BA109" i="1"/>
  <c r="AY109" i="1"/>
  <c r="AQ109" i="1"/>
  <c r="BH109" i="1" s="1"/>
  <c r="BT109" i="1" s="1"/>
  <c r="AX107" i="1" a="1"/>
  <c r="AX107" i="1" s="1"/>
  <c r="BE107" i="1"/>
  <c r="BF107" i="1" s="1"/>
  <c r="BG107" i="1" s="1"/>
  <c r="AW107" i="1"/>
  <c r="AT108" i="1"/>
  <c r="AJ110" i="1"/>
  <c r="AL110" i="1" s="1"/>
  <c r="AC110" i="1"/>
  <c r="AE110" i="1" s="1"/>
  <c r="AF110" i="1"/>
  <c r="BZ110" i="1" l="1"/>
  <c r="BD108" i="1"/>
  <c r="BP108" i="1"/>
  <c r="AG110" i="1"/>
  <c r="AN110" i="1" s="1"/>
  <c r="AO110" i="1" s="1"/>
  <c r="AP110" i="1" s="1"/>
  <c r="Z111" i="1"/>
  <c r="BA110" i="1"/>
  <c r="AY110" i="1"/>
  <c r="AX108" i="1" a="1"/>
  <c r="AX108" i="1" s="1"/>
  <c r="BE108" i="1"/>
  <c r="BF108" i="1" s="1"/>
  <c r="BG108" i="1" s="1"/>
  <c r="AW108" i="1"/>
  <c r="AT109" i="1"/>
  <c r="AJ111" i="1"/>
  <c r="AL111" i="1" s="1"/>
  <c r="AC111" i="1"/>
  <c r="AE111" i="1" s="1"/>
  <c r="AF111" i="1"/>
  <c r="BZ111" i="1" l="1"/>
  <c r="BQ108" i="1"/>
  <c r="AG111" i="1"/>
  <c r="AN111" i="1" s="1"/>
  <c r="Z112" i="1"/>
  <c r="AO111" i="1"/>
  <c r="AP111" i="1" s="1"/>
  <c r="AR111" i="1"/>
  <c r="AS111" i="1" s="1"/>
  <c r="AU111" i="1" s="1"/>
  <c r="BC111" i="1"/>
  <c r="AQ110" i="1"/>
  <c r="AX109" i="1" a="1"/>
  <c r="AX109" i="1" s="1"/>
  <c r="AW109" i="1"/>
  <c r="AJ112" i="1"/>
  <c r="AL112" i="1" s="1"/>
  <c r="AF112" i="1"/>
  <c r="AC112" i="1"/>
  <c r="AE112" i="1" s="1"/>
  <c r="BZ112" i="1" l="1"/>
  <c r="BP109" i="1"/>
  <c r="BH110" i="1"/>
  <c r="BT110" i="1" s="1"/>
  <c r="BQ109" i="1"/>
  <c r="AG112" i="1"/>
  <c r="AN112" i="1" s="1"/>
  <c r="AO112" i="1" s="1"/>
  <c r="AP112" i="1" s="1"/>
  <c r="BD109" i="1"/>
  <c r="BE109" i="1" s="1"/>
  <c r="BF109" i="1" s="1"/>
  <c r="BG109" i="1" s="1"/>
  <c r="Z113" i="1"/>
  <c r="BA111" i="1"/>
  <c r="AY111" i="1"/>
  <c r="AR112" i="1"/>
  <c r="AS112" i="1" s="1"/>
  <c r="AU112" i="1" s="1"/>
  <c r="BC112" i="1"/>
  <c r="AQ111" i="1"/>
  <c r="BH111" i="1" s="1"/>
  <c r="BT111" i="1" s="1"/>
  <c r="AT110" i="1"/>
  <c r="AJ113" i="1"/>
  <c r="AL113" i="1" s="1"/>
  <c r="AC113" i="1"/>
  <c r="AE113" i="1" s="1"/>
  <c r="BD110" i="1" l="1"/>
  <c r="BP110" i="1"/>
  <c r="AF113" i="1"/>
  <c r="Z114" i="1"/>
  <c r="AY112" i="1"/>
  <c r="BA112" i="1"/>
  <c r="AR113" i="1"/>
  <c r="AS113" i="1" s="1"/>
  <c r="AU113" i="1" s="1"/>
  <c r="BC113" i="1"/>
  <c r="AQ112" i="1"/>
  <c r="BH112" i="1" s="1"/>
  <c r="BT112" i="1" s="1"/>
  <c r="BE110" i="1"/>
  <c r="BF110" i="1" s="1"/>
  <c r="BG110" i="1" s="1"/>
  <c r="AX110" i="1" a="1"/>
  <c r="AX110" i="1" s="1"/>
  <c r="AW110" i="1"/>
  <c r="AT111" i="1"/>
  <c r="BZ113" i="1" l="1"/>
  <c r="BD111" i="1"/>
  <c r="BP111" i="1"/>
  <c r="BQ110" i="1"/>
  <c r="BQ111" i="1" s="1"/>
  <c r="AF114" i="1"/>
  <c r="AG113" i="1"/>
  <c r="AN113" i="1" s="1"/>
  <c r="AO113" i="1" s="1"/>
  <c r="AP113" i="1" s="1"/>
  <c r="AQ113" i="1" s="1"/>
  <c r="BH113" i="1" s="1"/>
  <c r="BT113" i="1" s="1"/>
  <c r="AC114" i="1"/>
  <c r="AE114" i="1" s="1"/>
  <c r="Z115" i="1" s="1"/>
  <c r="AJ114" i="1"/>
  <c r="AL114" i="1" s="1"/>
  <c r="BA113" i="1"/>
  <c r="AY113" i="1"/>
  <c r="AR114" i="1"/>
  <c r="AS114" i="1" s="1"/>
  <c r="AU114" i="1" s="1"/>
  <c r="BC114" i="1"/>
  <c r="BE111" i="1"/>
  <c r="BF111" i="1" s="1"/>
  <c r="BG111" i="1" s="1"/>
  <c r="AW111" i="1"/>
  <c r="AX111" i="1" a="1"/>
  <c r="AX111" i="1" s="1"/>
  <c r="AT112" i="1"/>
  <c r="BZ114" i="1" l="1"/>
  <c r="AG114" i="1"/>
  <c r="AN114" i="1" s="1"/>
  <c r="AO114" i="1"/>
  <c r="AP114" i="1" s="1"/>
  <c r="AQ114" i="1" s="1"/>
  <c r="BH114" i="1" s="1"/>
  <c r="BD112" i="1"/>
  <c r="BE112" i="1" s="1"/>
  <c r="BF112" i="1" s="1"/>
  <c r="BG112" i="1" s="1"/>
  <c r="BP112" i="1"/>
  <c r="AJ115" i="1"/>
  <c r="AL115" i="1" s="1"/>
  <c r="Z116" i="1"/>
  <c r="AJ116" i="1" s="1"/>
  <c r="AL116" i="1" s="1"/>
  <c r="AC115" i="1"/>
  <c r="AF115" i="1"/>
  <c r="AG115" i="1" s="1"/>
  <c r="AN115" i="1" s="1"/>
  <c r="BC116" i="1"/>
  <c r="AY114" i="1"/>
  <c r="BA114" i="1"/>
  <c r="AR115" i="1"/>
  <c r="AS115" i="1" s="1"/>
  <c r="BC115" i="1"/>
  <c r="AX112" i="1" a="1"/>
  <c r="AX112" i="1" s="1"/>
  <c r="AW112" i="1"/>
  <c r="AT113" i="1"/>
  <c r="BT114" i="1" l="1"/>
  <c r="AR116" i="1"/>
  <c r="AS116" i="1" s="1"/>
  <c r="Z117" i="1"/>
  <c r="AR117" i="1" s="1"/>
  <c r="AS117" i="1" s="1"/>
  <c r="AF116" i="1"/>
  <c r="BD114" i="1"/>
  <c r="BH115" i="1"/>
  <c r="AC116" i="1"/>
  <c r="BQ112" i="1"/>
  <c r="BD113" i="1"/>
  <c r="BE113" i="1" s="1"/>
  <c r="BF113" i="1" s="1"/>
  <c r="BG113" i="1" s="1"/>
  <c r="BP113" i="1"/>
  <c r="BP114" i="1" s="1"/>
  <c r="AG116" i="1"/>
  <c r="AO115" i="1"/>
  <c r="AP115" i="1" s="1"/>
  <c r="AU115" i="1"/>
  <c r="AX115" i="1" s="1" a="1"/>
  <c r="AX115" i="1" s="1"/>
  <c r="AU116" i="1"/>
  <c r="AX116" i="1" s="1" a="1"/>
  <c r="AX116" i="1" s="1"/>
  <c r="AW113" i="1"/>
  <c r="AX113" i="1" a="1"/>
  <c r="AX113" i="1" s="1"/>
  <c r="AT114" i="1"/>
  <c r="AJ117" i="1"/>
  <c r="AL117" i="1" s="1"/>
  <c r="AC117" i="1"/>
  <c r="Z118" i="1"/>
  <c r="AF117" i="1"/>
  <c r="AG117" i="1" s="1"/>
  <c r="AN117" i="1" s="1"/>
  <c r="BZ115" i="1" l="1"/>
  <c r="BD116" i="1"/>
  <c r="BH117" i="1"/>
  <c r="AN116" i="1"/>
  <c r="AO116" i="1" s="1"/>
  <c r="AP116" i="1" s="1"/>
  <c r="BT115" i="1"/>
  <c r="BP115" i="1"/>
  <c r="AY115" i="1"/>
  <c r="AY116" i="1"/>
  <c r="BA115" i="1"/>
  <c r="BE115" i="1" s="1"/>
  <c r="BF115" i="1" s="1"/>
  <c r="BC117" i="1"/>
  <c r="BD115" i="1"/>
  <c r="BH116" i="1"/>
  <c r="BQ113" i="1"/>
  <c r="BQ114" i="1" s="1"/>
  <c r="BQ115" i="1" s="1"/>
  <c r="AO117" i="1"/>
  <c r="AP117" i="1" s="1"/>
  <c r="BA116" i="1"/>
  <c r="BE116" i="1" s="1"/>
  <c r="BF116" i="1" s="1"/>
  <c r="AU117" i="1"/>
  <c r="AX117" i="1" s="1" a="1"/>
  <c r="AX117" i="1" s="1"/>
  <c r="AR118" i="1"/>
  <c r="AS118" i="1" s="1"/>
  <c r="BC118" i="1"/>
  <c r="BE114" i="1"/>
  <c r="BF114" i="1" s="1"/>
  <c r="BG114" i="1" s="1"/>
  <c r="AX114" i="1" a="1"/>
  <c r="AX114" i="1" s="1"/>
  <c r="AW114" i="1"/>
  <c r="AJ118" i="1"/>
  <c r="AL118" i="1" s="1"/>
  <c r="AC118" i="1"/>
  <c r="AF118" i="1"/>
  <c r="AG118" i="1" s="1"/>
  <c r="AN118" i="1" s="1"/>
  <c r="Z119" i="1"/>
  <c r="BZ117" i="1" l="1"/>
  <c r="BZ116" i="1"/>
  <c r="BA117" i="1"/>
  <c r="BE117" i="1" s="1"/>
  <c r="BF117" i="1" s="1"/>
  <c r="AY117" i="1"/>
  <c r="BP116" i="1"/>
  <c r="BT116" i="1"/>
  <c r="BG115" i="1"/>
  <c r="BG116" i="1" s="1"/>
  <c r="BD117" i="1"/>
  <c r="BH118" i="1"/>
  <c r="BT117" i="1"/>
  <c r="AO118" i="1"/>
  <c r="AP118" i="1" s="1"/>
  <c r="AR119" i="1"/>
  <c r="AS119" i="1" s="1"/>
  <c r="BC119" i="1"/>
  <c r="AU118" i="1"/>
  <c r="AJ119" i="1"/>
  <c r="AL119" i="1" s="1"/>
  <c r="AC119" i="1"/>
  <c r="Z120" i="1"/>
  <c r="AF119" i="1"/>
  <c r="AG119" i="1" s="1"/>
  <c r="AN119" i="1" s="1"/>
  <c r="BZ118" i="1" l="1"/>
  <c r="BG117" i="1"/>
  <c r="BP117" i="1"/>
  <c r="BT118" i="1"/>
  <c r="BD118" i="1"/>
  <c r="BH119" i="1"/>
  <c r="BQ116" i="1"/>
  <c r="BQ117" i="1" s="1"/>
  <c r="BQ118" i="1" s="1"/>
  <c r="AO119" i="1"/>
  <c r="AP119" i="1" s="1"/>
  <c r="AR120" i="1"/>
  <c r="AS120" i="1" s="1"/>
  <c r="BC120" i="1"/>
  <c r="AY118" i="1"/>
  <c r="BA118" i="1"/>
  <c r="AX118" i="1" a="1"/>
  <c r="AX118" i="1" s="1"/>
  <c r="AU119" i="1"/>
  <c r="AJ120" i="1"/>
  <c r="AL120" i="1" s="1"/>
  <c r="AF120" i="1"/>
  <c r="AG120" i="1" s="1"/>
  <c r="AN120" i="1" s="1"/>
  <c r="Z121" i="1"/>
  <c r="AC120" i="1"/>
  <c r="BZ119" i="1" l="1"/>
  <c r="BP118" i="1"/>
  <c r="BT119" i="1"/>
  <c r="BD119" i="1"/>
  <c r="BH120" i="1"/>
  <c r="BQ119" i="1"/>
  <c r="AO120" i="1"/>
  <c r="AP120" i="1" s="1"/>
  <c r="AG121" i="1"/>
  <c r="AN121" i="1" s="1"/>
  <c r="BE118" i="1"/>
  <c r="BF118" i="1" s="1"/>
  <c r="BG118" i="1" s="1"/>
  <c r="AR121" i="1"/>
  <c r="AS121" i="1" s="1"/>
  <c r="BC121" i="1"/>
  <c r="AY119" i="1"/>
  <c r="BA119" i="1"/>
  <c r="AX119" i="1" a="1"/>
  <c r="AX119" i="1" s="1"/>
  <c r="AU120" i="1"/>
  <c r="AJ121" i="1"/>
  <c r="AL121" i="1" s="1"/>
  <c r="Z122" i="1"/>
  <c r="AF121" i="1"/>
  <c r="AC121" i="1"/>
  <c r="BZ120" i="1" l="1"/>
  <c r="BP119" i="1"/>
  <c r="BD120" i="1"/>
  <c r="BH121" i="1"/>
  <c r="BT120" i="1"/>
  <c r="BP120" i="1"/>
  <c r="AO121" i="1"/>
  <c r="AP121" i="1" s="1"/>
  <c r="BE119" i="1"/>
  <c r="BF119" i="1" s="1"/>
  <c r="BG119" i="1" s="1"/>
  <c r="AR122" i="1"/>
  <c r="AS122" i="1" s="1"/>
  <c r="BC122" i="1"/>
  <c r="BA120" i="1"/>
  <c r="AY120" i="1"/>
  <c r="AX120" i="1" a="1"/>
  <c r="AX120" i="1" s="1"/>
  <c r="AU121" i="1"/>
  <c r="AJ122" i="1"/>
  <c r="AL122" i="1" s="1"/>
  <c r="AF122" i="1"/>
  <c r="AG122" i="1" s="1"/>
  <c r="AN122" i="1" s="1"/>
  <c r="Z123" i="1"/>
  <c r="AC122" i="1"/>
  <c r="BZ121" i="1" l="1"/>
  <c r="BD121" i="1"/>
  <c r="BH122" i="1"/>
  <c r="BQ120" i="1"/>
  <c r="BP121" i="1"/>
  <c r="BT121" i="1"/>
  <c r="AO122" i="1"/>
  <c r="AP122" i="1" s="1"/>
  <c r="BE120" i="1"/>
  <c r="BF120" i="1" s="1"/>
  <c r="BG120" i="1" s="1"/>
  <c r="AR123" i="1"/>
  <c r="AS123" i="1" s="1"/>
  <c r="BC123" i="1"/>
  <c r="BA121" i="1"/>
  <c r="AY121" i="1"/>
  <c r="AX121" i="1" a="1"/>
  <c r="AX121" i="1" s="1"/>
  <c r="AU122" i="1"/>
  <c r="AJ123" i="1"/>
  <c r="AL123" i="1" s="1"/>
  <c r="AC123" i="1"/>
  <c r="Z124" i="1"/>
  <c r="AF123" i="1"/>
  <c r="AG123" i="1" s="1"/>
  <c r="AN123" i="1" s="1"/>
  <c r="BZ122" i="1" l="1"/>
  <c r="BQ121" i="1"/>
  <c r="BP122" i="1"/>
  <c r="BT122" i="1"/>
  <c r="BQ122" i="1"/>
  <c r="BD122" i="1"/>
  <c r="BH123" i="1"/>
  <c r="AO123" i="1"/>
  <c r="AP123" i="1" s="1"/>
  <c r="AG124" i="1"/>
  <c r="AN124" i="1" s="1"/>
  <c r="BE121" i="1"/>
  <c r="BF121" i="1" s="1"/>
  <c r="BG121" i="1" s="1"/>
  <c r="AR124" i="1"/>
  <c r="AS124" i="1" s="1"/>
  <c r="BC124" i="1"/>
  <c r="BA122" i="1"/>
  <c r="AY122" i="1"/>
  <c r="AX122" i="1" a="1"/>
  <c r="AX122" i="1" s="1"/>
  <c r="AU123" i="1"/>
  <c r="AJ124" i="1"/>
  <c r="AL124" i="1" s="1"/>
  <c r="AC124" i="1"/>
  <c r="AF124" i="1"/>
  <c r="Z125" i="1"/>
  <c r="BZ123" i="1" l="1"/>
  <c r="BP123" i="1"/>
  <c r="BT123" i="1"/>
  <c r="BQ123" i="1"/>
  <c r="BD123" i="1"/>
  <c r="BH124" i="1"/>
  <c r="AO124" i="1"/>
  <c r="AP124" i="1" s="1"/>
  <c r="BE122" i="1"/>
  <c r="BF122" i="1" s="1"/>
  <c r="BG122" i="1" s="1"/>
  <c r="AR125" i="1"/>
  <c r="AS125" i="1" s="1"/>
  <c r="BC125" i="1"/>
  <c r="BA123" i="1"/>
  <c r="AY123" i="1"/>
  <c r="AX123" i="1" a="1"/>
  <c r="AX123" i="1" s="1"/>
  <c r="AU124" i="1"/>
  <c r="AJ125" i="1"/>
  <c r="AL125" i="1" s="1"/>
  <c r="AF125" i="1"/>
  <c r="AG125" i="1" s="1"/>
  <c r="AN125" i="1" s="1"/>
  <c r="Z126" i="1"/>
  <c r="AC125" i="1"/>
  <c r="BZ124" i="1" l="1"/>
  <c r="BD124" i="1"/>
  <c r="BH125" i="1"/>
  <c r="BP124" i="1"/>
  <c r="BT124" i="1"/>
  <c r="BQ124" i="1"/>
  <c r="AO125" i="1"/>
  <c r="AP125" i="1" s="1"/>
  <c r="BE123" i="1"/>
  <c r="BF123" i="1" s="1"/>
  <c r="BG123" i="1" s="1"/>
  <c r="AR126" i="1"/>
  <c r="AS126" i="1" s="1"/>
  <c r="BC126" i="1"/>
  <c r="AY124" i="1"/>
  <c r="BA124" i="1"/>
  <c r="AX124" i="1" a="1"/>
  <c r="AX124" i="1" s="1"/>
  <c r="AU125" i="1"/>
  <c r="AJ126" i="1"/>
  <c r="AL126" i="1" s="1"/>
  <c r="Z127" i="1"/>
  <c r="AC126" i="1"/>
  <c r="AF126" i="1"/>
  <c r="AG126" i="1" s="1"/>
  <c r="AN126" i="1" s="1"/>
  <c r="BZ125" i="1" l="1"/>
  <c r="BD125" i="1"/>
  <c r="BH126" i="1"/>
  <c r="BP125" i="1"/>
  <c r="BT125" i="1"/>
  <c r="AO126" i="1"/>
  <c r="AP126" i="1" s="1"/>
  <c r="BE124" i="1"/>
  <c r="BF124" i="1" s="1"/>
  <c r="BG124" i="1" s="1"/>
  <c r="AR127" i="1"/>
  <c r="AS127" i="1" s="1"/>
  <c r="BC127" i="1"/>
  <c r="AY125" i="1"/>
  <c r="BA125" i="1"/>
  <c r="AX125" i="1" a="1"/>
  <c r="AX125" i="1" s="1"/>
  <c r="AU126" i="1"/>
  <c r="AJ127" i="1"/>
  <c r="AL127" i="1" s="1"/>
  <c r="AC127" i="1"/>
  <c r="Z128" i="1"/>
  <c r="AF127" i="1"/>
  <c r="AG127" i="1" s="1"/>
  <c r="AN127" i="1" s="1"/>
  <c r="BZ126" i="1" l="1"/>
  <c r="BQ125" i="1"/>
  <c r="BQ126" i="1" s="1"/>
  <c r="BD126" i="1"/>
  <c r="BH127" i="1"/>
  <c r="BP126" i="1"/>
  <c r="BT126" i="1"/>
  <c r="AO127" i="1"/>
  <c r="AP127" i="1" s="1"/>
  <c r="BE125" i="1"/>
  <c r="BF125" i="1" s="1"/>
  <c r="BG125" i="1" s="1"/>
  <c r="AR128" i="1"/>
  <c r="AS128" i="1" s="1"/>
  <c r="BC128" i="1"/>
  <c r="AY126" i="1"/>
  <c r="BA126" i="1"/>
  <c r="AX126" i="1" a="1"/>
  <c r="AX126" i="1" s="1"/>
  <c r="AU127" i="1"/>
  <c r="AJ128" i="1"/>
  <c r="AL128" i="1" s="1"/>
  <c r="AF128" i="1"/>
  <c r="AG128" i="1" s="1"/>
  <c r="AN128" i="1" s="1"/>
  <c r="Z129" i="1"/>
  <c r="AC128" i="1"/>
  <c r="BZ127" i="1" l="1"/>
  <c r="BD127" i="1"/>
  <c r="BH128" i="1"/>
  <c r="BP127" i="1"/>
  <c r="BT127" i="1"/>
  <c r="BQ127" i="1"/>
  <c r="AO128" i="1"/>
  <c r="AP128" i="1" s="1"/>
  <c r="AG129" i="1"/>
  <c r="AN129" i="1" s="1"/>
  <c r="BE126" i="1"/>
  <c r="BF126" i="1" s="1"/>
  <c r="BG126" i="1" s="1"/>
  <c r="AR129" i="1"/>
  <c r="AS129" i="1" s="1"/>
  <c r="BC129" i="1"/>
  <c r="AY127" i="1"/>
  <c r="BA127" i="1"/>
  <c r="AX127" i="1" a="1"/>
  <c r="AX127" i="1" s="1"/>
  <c r="AU128" i="1"/>
  <c r="AJ129" i="1"/>
  <c r="AL129" i="1" s="1"/>
  <c r="Z130" i="1"/>
  <c r="AF129" i="1"/>
  <c r="AC129" i="1"/>
  <c r="BZ128" i="1" l="1"/>
  <c r="BD128" i="1"/>
  <c r="BH129" i="1"/>
  <c r="BP128" i="1"/>
  <c r="BT128" i="1"/>
  <c r="AO129" i="1"/>
  <c r="AP129" i="1" s="1"/>
  <c r="BE127" i="1"/>
  <c r="BF127" i="1" s="1"/>
  <c r="BG127" i="1" s="1"/>
  <c r="AR130" i="1"/>
  <c r="AS130" i="1" s="1"/>
  <c r="BC130" i="1"/>
  <c r="AY128" i="1"/>
  <c r="BA128" i="1"/>
  <c r="AX128" i="1" a="1"/>
  <c r="AX128" i="1" s="1"/>
  <c r="AU129" i="1"/>
  <c r="AJ130" i="1"/>
  <c r="AL130" i="1" s="1"/>
  <c r="Z131" i="1"/>
  <c r="AC130" i="1"/>
  <c r="AF130" i="1"/>
  <c r="AG130" i="1" s="1"/>
  <c r="AN130" i="1" s="1"/>
  <c r="BZ129" i="1" l="1"/>
  <c r="BP129" i="1"/>
  <c r="BT129" i="1"/>
  <c r="BD129" i="1"/>
  <c r="BH130" i="1"/>
  <c r="BQ128" i="1"/>
  <c r="BQ129" i="1" s="1"/>
  <c r="AO130" i="1"/>
  <c r="AP130" i="1" s="1"/>
  <c r="BE128" i="1"/>
  <c r="BF128" i="1" s="1"/>
  <c r="BG128" i="1" s="1"/>
  <c r="AR131" i="1"/>
  <c r="AS131" i="1" s="1"/>
  <c r="BC131" i="1"/>
  <c r="AY129" i="1"/>
  <c r="BA129" i="1"/>
  <c r="AX129" i="1" a="1"/>
  <c r="AX129" i="1" s="1"/>
  <c r="AU130" i="1"/>
  <c r="AJ131" i="1"/>
  <c r="AL131" i="1" s="1"/>
  <c r="AC131" i="1"/>
  <c r="Z132" i="1"/>
  <c r="AF131" i="1"/>
  <c r="AG131" i="1" s="1"/>
  <c r="AN131" i="1" s="1"/>
  <c r="BZ130" i="1" l="1"/>
  <c r="BP130" i="1"/>
  <c r="BT130" i="1"/>
  <c r="BD130" i="1"/>
  <c r="BH131" i="1"/>
  <c r="BQ130" i="1"/>
  <c r="AO131" i="1"/>
  <c r="AP131" i="1" s="1"/>
  <c r="BE129" i="1"/>
  <c r="BF129" i="1" s="1"/>
  <c r="BG129" i="1" s="1"/>
  <c r="AR132" i="1"/>
  <c r="AS132" i="1" s="1"/>
  <c r="BC132" i="1"/>
  <c r="AY130" i="1"/>
  <c r="BA130" i="1"/>
  <c r="AX130" i="1" a="1"/>
  <c r="AX130" i="1" s="1"/>
  <c r="AU131" i="1"/>
  <c r="AJ132" i="1"/>
  <c r="AL132" i="1" s="1"/>
  <c r="AF132" i="1"/>
  <c r="AG132" i="1" s="1"/>
  <c r="AN132" i="1" s="1"/>
  <c r="AC132" i="1"/>
  <c r="Z133" i="1"/>
  <c r="BZ131" i="1" l="1"/>
  <c r="BP131" i="1"/>
  <c r="BT131" i="1"/>
  <c r="BD131" i="1"/>
  <c r="BH132" i="1"/>
  <c r="BT132" i="1" s="1"/>
  <c r="AO132" i="1"/>
  <c r="AP132" i="1" s="1"/>
  <c r="BE130" i="1"/>
  <c r="BF130" i="1" s="1"/>
  <c r="BG130" i="1" s="1"/>
  <c r="AR133" i="1"/>
  <c r="AS133" i="1" s="1"/>
  <c r="AU133" i="1" s="1"/>
  <c r="BC133" i="1"/>
  <c r="AY131" i="1"/>
  <c r="BA131" i="1"/>
  <c r="AX131" i="1" a="1"/>
  <c r="AX131" i="1" s="1"/>
  <c r="AU132" i="1"/>
  <c r="AJ133" i="1"/>
  <c r="AL133" i="1" s="1"/>
  <c r="AF133" i="1"/>
  <c r="AG133" i="1" s="1"/>
  <c r="AN133" i="1" s="1"/>
  <c r="AC133" i="1"/>
  <c r="AE133" i="1" s="1"/>
  <c r="BZ132" i="1" l="1"/>
  <c r="BQ131" i="1"/>
  <c r="BE131" i="1"/>
  <c r="BF131" i="1" s="1"/>
  <c r="BG131" i="1" s="1"/>
  <c r="Z134" i="1"/>
  <c r="AO133" i="1"/>
  <c r="AP133" i="1" s="1"/>
  <c r="BA132" i="1"/>
  <c r="AY132" i="1"/>
  <c r="AX132" i="1" a="1"/>
  <c r="AX132" i="1" s="1"/>
  <c r="BA133" i="1"/>
  <c r="AY133" i="1"/>
  <c r="AJ134" i="1"/>
  <c r="AL134" i="1" s="1"/>
  <c r="AC134" i="1"/>
  <c r="AE134" i="1" s="1"/>
  <c r="BZ133" i="1" l="1"/>
  <c r="AF134" i="1"/>
  <c r="AG134" i="1"/>
  <c r="AN134" i="1" s="1"/>
  <c r="AO134" i="1" s="1"/>
  <c r="AP134" i="1" s="1"/>
  <c r="AR134" i="1"/>
  <c r="AS134" i="1" s="1"/>
  <c r="AU134" i="1" s="1"/>
  <c r="BC134" i="1"/>
  <c r="AQ133" i="1"/>
  <c r="Z135" i="1"/>
  <c r="BZ134" i="1" l="1"/>
  <c r="BH133" i="1"/>
  <c r="BT133" i="1" s="1"/>
  <c r="BP132" i="1"/>
  <c r="BQ132" i="1"/>
  <c r="BD132" i="1"/>
  <c r="BE132" i="1" s="1"/>
  <c r="BF132" i="1" s="1"/>
  <c r="BG132" i="1" s="1"/>
  <c r="AR135" i="1"/>
  <c r="AS135" i="1" s="1"/>
  <c r="AU135" i="1" s="1"/>
  <c r="BC135" i="1"/>
  <c r="BA134" i="1"/>
  <c r="AY134" i="1"/>
  <c r="AQ134" i="1"/>
  <c r="BH134" i="1" s="1"/>
  <c r="BT134" i="1" s="1"/>
  <c r="AJ135" i="1"/>
  <c r="AL135" i="1" s="1"/>
  <c r="AC135" i="1"/>
  <c r="AE135" i="1" s="1"/>
  <c r="AF135" i="1"/>
  <c r="BZ135" i="1" l="1"/>
  <c r="BD133" i="1"/>
  <c r="BE133" i="1" s="1"/>
  <c r="BF133" i="1" s="1"/>
  <c r="BG133" i="1" s="1"/>
  <c r="BQ133" i="1"/>
  <c r="AG135" i="1"/>
  <c r="AN135" i="1" s="1"/>
  <c r="BA135" i="1"/>
  <c r="AY135" i="1"/>
  <c r="AX133" i="1" a="1"/>
  <c r="AX133" i="1" s="1"/>
  <c r="AW133" i="1"/>
  <c r="AT134" i="1"/>
  <c r="AO135" i="1"/>
  <c r="AP135" i="1" s="1"/>
  <c r="Z136" i="1"/>
  <c r="BP133" i="1" l="1"/>
  <c r="AR136" i="1"/>
  <c r="AS136" i="1" s="1"/>
  <c r="AU136" i="1" s="1"/>
  <c r="BC136" i="1"/>
  <c r="AW134" i="1"/>
  <c r="AX134" i="1" a="1"/>
  <c r="AX134" i="1" s="1"/>
  <c r="AQ135" i="1"/>
  <c r="BH135" i="1" s="1"/>
  <c r="BT135" i="1" s="1"/>
  <c r="AJ136" i="1"/>
  <c r="AL136" i="1" s="1"/>
  <c r="AC136" i="1"/>
  <c r="AE136" i="1" s="1"/>
  <c r="AF136" i="1"/>
  <c r="BZ136" i="1" l="1"/>
  <c r="BD134" i="1"/>
  <c r="AG136" i="1"/>
  <c r="AN136" i="1" s="1"/>
  <c r="AY136" i="1"/>
  <c r="BA136" i="1"/>
  <c r="AT135" i="1"/>
  <c r="BE134" i="1"/>
  <c r="BF134" i="1" s="1"/>
  <c r="BG134" i="1" s="1"/>
  <c r="AO136" i="1"/>
  <c r="AP136" i="1" s="1"/>
  <c r="Z137" i="1"/>
  <c r="BQ134" i="1" l="1"/>
  <c r="BP134" i="1"/>
  <c r="AR137" i="1"/>
  <c r="AS137" i="1" s="1"/>
  <c r="AU137" i="1" s="1"/>
  <c r="BC137" i="1"/>
  <c r="AQ136" i="1"/>
  <c r="AW135" i="1"/>
  <c r="AX135" i="1" a="1"/>
  <c r="AX135" i="1" s="1"/>
  <c r="AJ137" i="1"/>
  <c r="AL137" i="1" s="1"/>
  <c r="AC137" i="1"/>
  <c r="AE137" i="1" s="1"/>
  <c r="AF137" i="1"/>
  <c r="BZ137" i="1" l="1"/>
  <c r="BP135" i="1"/>
  <c r="BH136" i="1"/>
  <c r="BT136" i="1" s="1"/>
  <c r="AG137" i="1"/>
  <c r="AN137" i="1" s="1"/>
  <c r="BD135" i="1"/>
  <c r="BE135" i="1" s="1"/>
  <c r="BF135" i="1" s="1"/>
  <c r="BG135" i="1" s="1"/>
  <c r="Z138" i="1"/>
  <c r="BA137" i="1"/>
  <c r="AY137" i="1"/>
  <c r="AT136" i="1"/>
  <c r="AJ138" i="1"/>
  <c r="AL138" i="1" s="1"/>
  <c r="AC138" i="1"/>
  <c r="AE138" i="1" s="1"/>
  <c r="AF138" i="1"/>
  <c r="AO137" i="1"/>
  <c r="AP137" i="1" s="1"/>
  <c r="BZ138" i="1" l="1"/>
  <c r="BQ135" i="1"/>
  <c r="AG138" i="1"/>
  <c r="AN138" i="1" s="1"/>
  <c r="AR138" i="1"/>
  <c r="AS138" i="1" s="1"/>
  <c r="AU138" i="1" s="1"/>
  <c r="BC138" i="1"/>
  <c r="AQ137" i="1"/>
  <c r="AW136" i="1"/>
  <c r="AX136" i="1" a="1"/>
  <c r="AX136" i="1" s="1"/>
  <c r="AO138" i="1"/>
  <c r="AP138" i="1" s="1"/>
  <c r="Z139" i="1"/>
  <c r="BQ136" i="1" l="1"/>
  <c r="BH137" i="1"/>
  <c r="BT137" i="1" s="1"/>
  <c r="BD136" i="1"/>
  <c r="BE136" i="1" s="1"/>
  <c r="BF136" i="1" s="1"/>
  <c r="BG136" i="1" s="1"/>
  <c r="AR139" i="1"/>
  <c r="AS139" i="1" s="1"/>
  <c r="BC139" i="1"/>
  <c r="AY138" i="1"/>
  <c r="BA138" i="1"/>
  <c r="AQ138" i="1"/>
  <c r="BH138" i="1" s="1"/>
  <c r="AT137" i="1"/>
  <c r="AJ139" i="1"/>
  <c r="AL139" i="1" s="1"/>
  <c r="Z140" i="1"/>
  <c r="AC139" i="1"/>
  <c r="AF139" i="1"/>
  <c r="BZ139" i="1" l="1"/>
  <c r="BP136" i="1"/>
  <c r="BT138" i="1"/>
  <c r="BD138" i="1"/>
  <c r="BH139" i="1"/>
  <c r="BD137" i="1"/>
  <c r="BQ137" i="1"/>
  <c r="BQ138" i="1" s="1"/>
  <c r="AG139" i="1"/>
  <c r="AN139" i="1" s="1"/>
  <c r="AO139" i="1" s="1"/>
  <c r="AP139" i="1" s="1"/>
  <c r="AU139" i="1"/>
  <c r="AX139" i="1" s="1" a="1"/>
  <c r="AX139" i="1" s="1"/>
  <c r="AR140" i="1"/>
  <c r="AS140" i="1" s="1"/>
  <c r="BC140" i="1"/>
  <c r="AX137" i="1" a="1"/>
  <c r="AX137" i="1" s="1"/>
  <c r="BE137" i="1"/>
  <c r="BF137" i="1" s="1"/>
  <c r="BG137" i="1" s="1"/>
  <c r="AW137" i="1"/>
  <c r="AT138" i="1"/>
  <c r="AJ140" i="1"/>
  <c r="AL140" i="1" s="1"/>
  <c r="AC140" i="1"/>
  <c r="Z141" i="1"/>
  <c r="AF140" i="1"/>
  <c r="AG140" i="1" s="1"/>
  <c r="AN140" i="1" s="1"/>
  <c r="AY139" i="1" l="1"/>
  <c r="BA139" i="1"/>
  <c r="BD139" i="1"/>
  <c r="BH140" i="1"/>
  <c r="BT139" i="1"/>
  <c r="BQ139" i="1"/>
  <c r="BP137" i="1"/>
  <c r="BP138" i="1" s="1"/>
  <c r="BP139" i="1" s="1"/>
  <c r="AO140" i="1"/>
  <c r="AP140" i="1" s="1"/>
  <c r="AU140" i="1"/>
  <c r="AX140" i="1" s="1" a="1"/>
  <c r="AX140" i="1" s="1"/>
  <c r="AR141" i="1"/>
  <c r="AS141" i="1" s="1"/>
  <c r="BC141" i="1"/>
  <c r="AX138" i="1" a="1"/>
  <c r="AX138" i="1" s="1"/>
  <c r="BE138" i="1"/>
  <c r="BF138" i="1" s="1"/>
  <c r="BG138" i="1" s="1"/>
  <c r="AW138" i="1"/>
  <c r="AJ141" i="1"/>
  <c r="AL141" i="1" s="1"/>
  <c r="AF141" i="1"/>
  <c r="AG141" i="1" s="1"/>
  <c r="AN141" i="1" s="1"/>
  <c r="AC141" i="1"/>
  <c r="Z142" i="1"/>
  <c r="BZ140" i="1" l="1"/>
  <c r="BE139" i="1"/>
  <c r="BF139" i="1" s="1"/>
  <c r="BG139" i="1" s="1"/>
  <c r="BA140" i="1"/>
  <c r="AY140" i="1"/>
  <c r="BD140" i="1"/>
  <c r="BH141" i="1"/>
  <c r="BT140" i="1"/>
  <c r="BQ140" i="1"/>
  <c r="AO141" i="1"/>
  <c r="AP141" i="1" s="1"/>
  <c r="AR142" i="1"/>
  <c r="AS142" i="1" s="1"/>
  <c r="BC142" i="1"/>
  <c r="AU141" i="1"/>
  <c r="AJ142" i="1"/>
  <c r="AL142" i="1" s="1"/>
  <c r="Z143" i="1"/>
  <c r="AF142" i="1"/>
  <c r="AG142" i="1" s="1"/>
  <c r="AN142" i="1" s="1"/>
  <c r="AC142" i="1"/>
  <c r="AE142" i="1" s="1"/>
  <c r="BZ141" i="1" l="1"/>
  <c r="BE140" i="1"/>
  <c r="BF140" i="1" s="1"/>
  <c r="BG140" i="1" s="1"/>
  <c r="BD141" i="1"/>
  <c r="BH142" i="1"/>
  <c r="BP140" i="1"/>
  <c r="BT141" i="1"/>
  <c r="BQ141" i="1"/>
  <c r="AO142" i="1"/>
  <c r="AP142" i="1" s="1"/>
  <c r="AR143" i="1"/>
  <c r="AS143" i="1" s="1"/>
  <c r="BC143" i="1"/>
  <c r="AY141" i="1"/>
  <c r="BA141" i="1"/>
  <c r="AX141" i="1" a="1"/>
  <c r="AX141" i="1" s="1"/>
  <c r="AU142" i="1"/>
  <c r="AJ143" i="1"/>
  <c r="AL143" i="1" s="1"/>
  <c r="AF143" i="1"/>
  <c r="AG143" i="1" s="1"/>
  <c r="AN143" i="1" s="1"/>
  <c r="AC143" i="1"/>
  <c r="AE143" i="1" s="1"/>
  <c r="Z144" i="1" s="1"/>
  <c r="BZ142" i="1" l="1"/>
  <c r="BD142" i="1"/>
  <c r="BH143" i="1"/>
  <c r="BP141" i="1"/>
  <c r="BT142" i="1"/>
  <c r="BQ142" i="1"/>
  <c r="AO143" i="1"/>
  <c r="AP143" i="1" s="1"/>
  <c r="BE141" i="1"/>
  <c r="BF141" i="1" s="1"/>
  <c r="BG141" i="1" s="1"/>
  <c r="AR144" i="1"/>
  <c r="AS144" i="1" s="1"/>
  <c r="BC144" i="1"/>
  <c r="AY142" i="1"/>
  <c r="BA142" i="1"/>
  <c r="AX142" i="1" a="1"/>
  <c r="AX142" i="1" s="1"/>
  <c r="AU143" i="1"/>
  <c r="AJ144" i="1"/>
  <c r="AL144" i="1" s="1"/>
  <c r="AF144" i="1"/>
  <c r="AG144" i="1" s="1"/>
  <c r="AN144" i="1" s="1"/>
  <c r="AC144" i="1"/>
  <c r="AE144" i="1" s="1"/>
  <c r="Z145" i="1" s="1"/>
  <c r="BZ143" i="1" l="1"/>
  <c r="BP142" i="1"/>
  <c r="BD143" i="1"/>
  <c r="BH144" i="1"/>
  <c r="BT143" i="1"/>
  <c r="BQ143" i="1"/>
  <c r="AO144" i="1"/>
  <c r="AP144" i="1" s="1"/>
  <c r="BE142" i="1"/>
  <c r="BF142" i="1" s="1"/>
  <c r="BG142" i="1" s="1"/>
  <c r="AR145" i="1"/>
  <c r="AS145" i="1" s="1"/>
  <c r="BC145" i="1"/>
  <c r="AY143" i="1"/>
  <c r="BA143" i="1"/>
  <c r="AX143" i="1" a="1"/>
  <c r="AX143" i="1" s="1"/>
  <c r="AU144" i="1"/>
  <c r="AJ145" i="1"/>
  <c r="AL145" i="1" s="1"/>
  <c r="AC145" i="1"/>
  <c r="AE145" i="1" s="1"/>
  <c r="Z146" i="1" s="1"/>
  <c r="AF145" i="1"/>
  <c r="AG145" i="1" s="1"/>
  <c r="AN145" i="1" s="1"/>
  <c r="BZ144" i="1" l="1"/>
  <c r="BQ144" i="1"/>
  <c r="BT144" i="1"/>
  <c r="BD144" i="1"/>
  <c r="BH145" i="1"/>
  <c r="BP143" i="1"/>
  <c r="BP144" i="1" s="1"/>
  <c r="AO145" i="1"/>
  <c r="AP145" i="1" s="1"/>
  <c r="BE143" i="1"/>
  <c r="BF143" i="1" s="1"/>
  <c r="BG143" i="1" s="1"/>
  <c r="AR146" i="1"/>
  <c r="AS146" i="1" s="1"/>
  <c r="BC146" i="1"/>
  <c r="BA144" i="1"/>
  <c r="AY144" i="1"/>
  <c r="AX144" i="1" a="1"/>
  <c r="AX144" i="1" s="1"/>
  <c r="AU145" i="1"/>
  <c r="AJ146" i="1"/>
  <c r="AL146" i="1" s="1"/>
  <c r="AF146" i="1"/>
  <c r="AG146" i="1" s="1"/>
  <c r="AN146" i="1" s="1"/>
  <c r="AC146" i="1"/>
  <c r="AE146" i="1" s="1"/>
  <c r="Z147" i="1"/>
  <c r="BZ145" i="1" l="1"/>
  <c r="BD145" i="1"/>
  <c r="BH146" i="1"/>
  <c r="BQ145" i="1"/>
  <c r="BT145" i="1"/>
  <c r="AO146" i="1"/>
  <c r="AP146" i="1" s="1"/>
  <c r="BE144" i="1"/>
  <c r="BF144" i="1" s="1"/>
  <c r="BG144" i="1" s="1"/>
  <c r="AR147" i="1"/>
  <c r="AS147" i="1" s="1"/>
  <c r="BC147" i="1"/>
  <c r="BA145" i="1"/>
  <c r="AY145" i="1"/>
  <c r="AX145" i="1" a="1"/>
  <c r="AX145" i="1" s="1"/>
  <c r="AU146" i="1"/>
  <c r="AJ147" i="1"/>
  <c r="AL147" i="1" s="1"/>
  <c r="AF147" i="1"/>
  <c r="AG147" i="1" s="1"/>
  <c r="AN147" i="1" s="1"/>
  <c r="Z148" i="1"/>
  <c r="AC147" i="1"/>
  <c r="AE147" i="1" s="1"/>
  <c r="BZ146" i="1" l="1"/>
  <c r="BP145" i="1"/>
  <c r="BQ146" i="1"/>
  <c r="BT146" i="1"/>
  <c r="BD146" i="1"/>
  <c r="BH147" i="1"/>
  <c r="AO147" i="1"/>
  <c r="AP147" i="1" s="1"/>
  <c r="AG148" i="1"/>
  <c r="AN148" i="1" s="1"/>
  <c r="BE145" i="1"/>
  <c r="BF145" i="1" s="1"/>
  <c r="BG145" i="1" s="1"/>
  <c r="AR148" i="1"/>
  <c r="AS148" i="1" s="1"/>
  <c r="BC148" i="1"/>
  <c r="BA146" i="1"/>
  <c r="AY146" i="1"/>
  <c r="AX146" i="1" a="1"/>
  <c r="AX146" i="1" s="1"/>
  <c r="AU147" i="1"/>
  <c r="AJ148" i="1"/>
  <c r="AL148" i="1" s="1"/>
  <c r="AC148" i="1"/>
  <c r="AE148" i="1" s="1"/>
  <c r="AF148" i="1"/>
  <c r="Z149" i="1"/>
  <c r="BZ147" i="1" l="1"/>
  <c r="BQ147" i="1"/>
  <c r="BT147" i="1"/>
  <c r="BP146" i="1"/>
  <c r="BD147" i="1"/>
  <c r="BH148" i="1"/>
  <c r="AO148" i="1"/>
  <c r="AP148" i="1" s="1"/>
  <c r="BE146" i="1"/>
  <c r="BF146" i="1" s="1"/>
  <c r="BG146" i="1" s="1"/>
  <c r="AR149" i="1"/>
  <c r="AS149" i="1" s="1"/>
  <c r="BC149" i="1"/>
  <c r="BA147" i="1"/>
  <c r="AY147" i="1"/>
  <c r="AX147" i="1" a="1"/>
  <c r="AX147" i="1" s="1"/>
  <c r="AU148" i="1"/>
  <c r="AJ149" i="1"/>
  <c r="AL149" i="1" s="1"/>
  <c r="AC149" i="1"/>
  <c r="AE149" i="1" s="1"/>
  <c r="Z150" i="1" s="1"/>
  <c r="AF149" i="1"/>
  <c r="AG149" i="1" s="1"/>
  <c r="AN149" i="1" s="1"/>
  <c r="BZ148" i="1" l="1"/>
  <c r="BP147" i="1"/>
  <c r="BQ148" i="1"/>
  <c r="BT148" i="1"/>
  <c r="BD148" i="1"/>
  <c r="BH149" i="1"/>
  <c r="AO149" i="1"/>
  <c r="AP149" i="1" s="1"/>
  <c r="BC150" i="1"/>
  <c r="BE147" i="1"/>
  <c r="BF147" i="1" s="1"/>
  <c r="BG147" i="1" s="1"/>
  <c r="AY148" i="1"/>
  <c r="BA148" i="1"/>
  <c r="AX148" i="1" a="1"/>
  <c r="AX148" i="1" s="1"/>
  <c r="AU149" i="1"/>
  <c r="AR150" i="1"/>
  <c r="AS150" i="1" s="1"/>
  <c r="Z151" i="1"/>
  <c r="AJ150" i="1"/>
  <c r="AL150" i="1" s="1"/>
  <c r="AC150" i="1"/>
  <c r="AE150" i="1" s="1"/>
  <c r="AF150" i="1"/>
  <c r="AG150" i="1" s="1"/>
  <c r="AN150" i="1" s="1"/>
  <c r="BZ149" i="1" l="1"/>
  <c r="BD149" i="1"/>
  <c r="BH150" i="1"/>
  <c r="BQ149" i="1"/>
  <c r="BT149" i="1"/>
  <c r="AO150" i="1"/>
  <c r="AP150" i="1" s="1"/>
  <c r="BP148" i="1"/>
  <c r="BP149" i="1" s="1"/>
  <c r="BE148" i="1"/>
  <c r="BF148" i="1" s="1"/>
  <c r="BG148" i="1" s="1"/>
  <c r="AR151" i="1"/>
  <c r="AS151" i="1" s="1"/>
  <c r="BC151" i="1"/>
  <c r="AU150" i="1"/>
  <c r="AY149" i="1"/>
  <c r="BA149" i="1"/>
  <c r="AX149" i="1" a="1"/>
  <c r="AX149" i="1" s="1"/>
  <c r="AJ151" i="1"/>
  <c r="AL151" i="1" s="1"/>
  <c r="AC151" i="1"/>
  <c r="AE151" i="1" s="1"/>
  <c r="Z152" i="1" s="1"/>
  <c r="AF151" i="1"/>
  <c r="AG151" i="1" s="1"/>
  <c r="AN151" i="1" s="1"/>
  <c r="AF161" i="1"/>
  <c r="BZ150" i="1" l="1"/>
  <c r="BD150" i="1"/>
  <c r="BH151" i="1"/>
  <c r="BQ150" i="1"/>
  <c r="BT150" i="1"/>
  <c r="AO151" i="1"/>
  <c r="AP151" i="1" s="1"/>
  <c r="BE149" i="1"/>
  <c r="BF149" i="1" s="1"/>
  <c r="BG149" i="1" s="1"/>
  <c r="AR152" i="1"/>
  <c r="AS152" i="1" s="1"/>
  <c r="BC152" i="1"/>
  <c r="AY150" i="1"/>
  <c r="BA150" i="1"/>
  <c r="AX150" i="1" a="1"/>
  <c r="AX150" i="1" s="1"/>
  <c r="AU151" i="1"/>
  <c r="AJ152" i="1"/>
  <c r="AL152" i="1" s="1"/>
  <c r="AF152" i="1"/>
  <c r="AG152" i="1" s="1"/>
  <c r="AN152" i="1" s="1"/>
  <c r="AC152" i="1"/>
  <c r="AE152" i="1" s="1"/>
  <c r="Z153" i="1" s="1"/>
  <c r="AJ162" i="1"/>
  <c r="AL162" i="1" s="1"/>
  <c r="BZ151" i="1" l="1"/>
  <c r="BD151" i="1"/>
  <c r="BH152" i="1"/>
  <c r="BQ151" i="1"/>
  <c r="BT151" i="1"/>
  <c r="BP150" i="1"/>
  <c r="BP151" i="1" s="1"/>
  <c r="AO152" i="1"/>
  <c r="AP152" i="1" s="1"/>
  <c r="BE150" i="1"/>
  <c r="BF150" i="1" s="1"/>
  <c r="BG150" i="1" s="1"/>
  <c r="AR153" i="1"/>
  <c r="AS153" i="1" s="1"/>
  <c r="BC153" i="1"/>
  <c r="AY151" i="1"/>
  <c r="BA151" i="1"/>
  <c r="AX151" i="1" a="1"/>
  <c r="AX151" i="1" s="1"/>
  <c r="AU152" i="1"/>
  <c r="AJ153" i="1"/>
  <c r="AL153" i="1" s="1"/>
  <c r="AF153" i="1"/>
  <c r="AG153" i="1" s="1"/>
  <c r="AN153" i="1" s="1"/>
  <c r="AC153" i="1"/>
  <c r="AE153" i="1" s="1"/>
  <c r="Z154" i="1"/>
  <c r="AF162" i="1"/>
  <c r="AG162" i="1" s="1"/>
  <c r="AC162" i="1"/>
  <c r="AE162" i="1" s="1"/>
  <c r="BZ152" i="1" l="1"/>
  <c r="BD152" i="1"/>
  <c r="BH153" i="1"/>
  <c r="BT152" i="1"/>
  <c r="BQ152" i="1"/>
  <c r="AO153" i="1"/>
  <c r="AP153" i="1" s="1"/>
  <c r="BE151" i="1"/>
  <c r="BF151" i="1" s="1"/>
  <c r="BG151" i="1" s="1"/>
  <c r="AR154" i="1"/>
  <c r="AS154" i="1" s="1"/>
  <c r="BC154" i="1"/>
  <c r="AY152" i="1"/>
  <c r="BA152" i="1"/>
  <c r="AX152" i="1" a="1"/>
  <c r="AX152" i="1" s="1"/>
  <c r="AU153" i="1"/>
  <c r="AJ154" i="1"/>
  <c r="AL154" i="1" s="1"/>
  <c r="Z155" i="1"/>
  <c r="AF154" i="1"/>
  <c r="AG154" i="1" s="1"/>
  <c r="AN154" i="1" s="1"/>
  <c r="AC154" i="1"/>
  <c r="AE154" i="1" s="1"/>
  <c r="AO162" i="1"/>
  <c r="AP162" i="1" s="1"/>
  <c r="AJ163" i="1"/>
  <c r="AL163" i="1" s="1"/>
  <c r="AC163" i="1"/>
  <c r="AE163" i="1" s="1"/>
  <c r="AF163" i="1"/>
  <c r="AG163" i="1" s="1"/>
  <c r="BZ153" i="1" l="1"/>
  <c r="BP152" i="1"/>
  <c r="BD153" i="1"/>
  <c r="BH154" i="1"/>
  <c r="BT154" i="1" s="1"/>
  <c r="BT153" i="1"/>
  <c r="BQ153" i="1"/>
  <c r="AO154" i="1"/>
  <c r="AP154" i="1" s="1"/>
  <c r="BE152" i="1"/>
  <c r="BF152" i="1" s="1"/>
  <c r="BG152" i="1" s="1"/>
  <c r="AR155" i="1"/>
  <c r="AS155" i="1" s="1"/>
  <c r="AU155" i="1" s="1"/>
  <c r="BC155" i="1"/>
  <c r="AY153" i="1"/>
  <c r="BA153" i="1"/>
  <c r="AX153" i="1" a="1"/>
  <c r="AX153" i="1" s="1"/>
  <c r="AU154" i="1"/>
  <c r="AQ162" i="1"/>
  <c r="AJ155" i="1"/>
  <c r="AL155" i="1" s="1"/>
  <c r="AC155" i="1"/>
  <c r="AE155" i="1" s="1"/>
  <c r="AF155" i="1"/>
  <c r="AG155" i="1" s="1"/>
  <c r="AN155" i="1" s="1"/>
  <c r="AJ164" i="1"/>
  <c r="AL164" i="1" s="1"/>
  <c r="AO163" i="1"/>
  <c r="AP163" i="1" s="1"/>
  <c r="BZ154" i="1" l="1"/>
  <c r="BP153" i="1"/>
  <c r="BD161" i="1"/>
  <c r="BE153" i="1"/>
  <c r="BF153" i="1" s="1"/>
  <c r="BG153" i="1" s="1"/>
  <c r="AY154" i="1"/>
  <c r="BA154" i="1"/>
  <c r="AX154" i="1" a="1"/>
  <c r="AX154" i="1" s="1"/>
  <c r="AY155" i="1"/>
  <c r="BA155" i="1"/>
  <c r="AQ163" i="1"/>
  <c r="AT162" i="1"/>
  <c r="AO155" i="1"/>
  <c r="AP155" i="1" s="1"/>
  <c r="Z156" i="1"/>
  <c r="AF164" i="1"/>
  <c r="AG164" i="1" s="1"/>
  <c r="AC164" i="1"/>
  <c r="AE164" i="1" s="1"/>
  <c r="BZ155" i="1" l="1"/>
  <c r="BD162" i="1"/>
  <c r="AR156" i="1"/>
  <c r="AS156" i="1" s="1"/>
  <c r="AU156" i="1" s="1"/>
  <c r="BC156" i="1"/>
  <c r="AQ155" i="1"/>
  <c r="AX162" i="1" a="1"/>
  <c r="AX162" i="1" s="1"/>
  <c r="BF162" i="1"/>
  <c r="AW162" i="1"/>
  <c r="AT163" i="1"/>
  <c r="AJ156" i="1"/>
  <c r="AL156" i="1" s="1"/>
  <c r="AF156" i="1"/>
  <c r="AC156" i="1"/>
  <c r="AE156" i="1" s="1"/>
  <c r="AO164" i="1"/>
  <c r="AP164" i="1" s="1"/>
  <c r="BZ156" i="1" l="1"/>
  <c r="BQ154" i="1"/>
  <c r="BH155" i="1"/>
  <c r="BT155" i="1" s="1"/>
  <c r="AG156" i="1"/>
  <c r="AN156" i="1" s="1"/>
  <c r="AO156" i="1" s="1"/>
  <c r="AP156" i="1" s="1"/>
  <c r="BD154" i="1"/>
  <c r="BE154" i="1" s="1"/>
  <c r="BF154" i="1" s="1"/>
  <c r="BG154" i="1" s="1"/>
  <c r="Z157" i="1"/>
  <c r="BA156" i="1"/>
  <c r="AY156" i="1"/>
  <c r="AW163" i="1"/>
  <c r="AX163" i="1" a="1"/>
  <c r="AX163" i="1" s="1"/>
  <c r="AQ164" i="1"/>
  <c r="AJ157" i="1"/>
  <c r="AL157" i="1" s="1"/>
  <c r="AF157" i="1"/>
  <c r="AJ165" i="1"/>
  <c r="AL165" i="1" s="1"/>
  <c r="AC165" i="1"/>
  <c r="AF165" i="1"/>
  <c r="BZ157" i="1" l="1"/>
  <c r="BP154" i="1"/>
  <c r="AC157" i="1"/>
  <c r="AE157" i="1" s="1"/>
  <c r="Z158" i="1" s="1"/>
  <c r="AG157" i="1"/>
  <c r="AN157" i="1" s="1"/>
  <c r="AO157" i="1" s="1"/>
  <c r="AP157" i="1" s="1"/>
  <c r="BD163" i="1"/>
  <c r="BF163" i="1" s="1"/>
  <c r="AR157" i="1"/>
  <c r="AS157" i="1" s="1"/>
  <c r="AU157" i="1" s="1"/>
  <c r="BC157" i="1"/>
  <c r="AQ156" i="1"/>
  <c r="BH156" i="1" s="1"/>
  <c r="BT156" i="1" s="1"/>
  <c r="AX155" i="1" a="1"/>
  <c r="AX155" i="1" s="1"/>
  <c r="AW155" i="1"/>
  <c r="AT164" i="1"/>
  <c r="AO165" i="1"/>
  <c r="AP165" i="1" s="1"/>
  <c r="BD155" i="1" l="1"/>
  <c r="BE155" i="1" s="1"/>
  <c r="BF155" i="1" s="1"/>
  <c r="BG155" i="1" s="1"/>
  <c r="AT165" i="1"/>
  <c r="AF158" i="1"/>
  <c r="AC158" i="1"/>
  <c r="AE158" i="1" s="1"/>
  <c r="Z159" i="1" s="1"/>
  <c r="AJ158" i="1"/>
  <c r="AL158" i="1" s="1"/>
  <c r="BA157" i="1"/>
  <c r="AY157" i="1"/>
  <c r="AR158" i="1"/>
  <c r="AS158" i="1" s="1"/>
  <c r="AU158" i="1" s="1"/>
  <c r="BC158" i="1"/>
  <c r="AX164" i="1" a="1"/>
  <c r="AX164" i="1" s="1"/>
  <c r="AW164" i="1"/>
  <c r="BF164" i="1"/>
  <c r="AQ157" i="1"/>
  <c r="BH157" i="1" s="1"/>
  <c r="BT157" i="1" s="1"/>
  <c r="AT156" i="1"/>
  <c r="AX165" i="1" a="1"/>
  <c r="AX165" i="1" s="1"/>
  <c r="BE165" i="1"/>
  <c r="BF165" i="1" s="1"/>
  <c r="AW165" i="1"/>
  <c r="AJ166" i="1"/>
  <c r="AL166" i="1" s="1"/>
  <c r="AF166" i="1"/>
  <c r="AC166" i="1"/>
  <c r="BZ158" i="1" l="1"/>
  <c r="BP155" i="1"/>
  <c r="BQ155" i="1"/>
  <c r="BD156" i="1"/>
  <c r="AG158" i="1"/>
  <c r="AN158" i="1" s="1"/>
  <c r="AO158" i="1" s="1"/>
  <c r="AP158" i="1" s="1"/>
  <c r="AR159" i="1"/>
  <c r="AS159" i="1" s="1"/>
  <c r="AU159" i="1" s="1"/>
  <c r="BC159" i="1"/>
  <c r="BA158" i="1"/>
  <c r="AY158" i="1"/>
  <c r="AW156" i="1"/>
  <c r="AX156" i="1" a="1"/>
  <c r="AX156" i="1" s="1"/>
  <c r="BE156" i="1"/>
  <c r="BF156" i="1" s="1"/>
  <c r="BG156" i="1" s="1"/>
  <c r="AT157" i="1"/>
  <c r="AQ158" i="1"/>
  <c r="BH158" i="1" s="1"/>
  <c r="BT158" i="1" s="1"/>
  <c r="AJ159" i="1"/>
  <c r="AL159" i="1" s="1"/>
  <c r="AF159" i="1"/>
  <c r="AC159" i="1"/>
  <c r="AE159" i="1" s="1"/>
  <c r="AO166" i="1"/>
  <c r="AP166" i="1" s="1"/>
  <c r="AT166" i="1" s="1"/>
  <c r="BZ159" i="1" l="1"/>
  <c r="BD157" i="1"/>
  <c r="BQ156" i="1"/>
  <c r="BQ157" i="1" s="1"/>
  <c r="BP156" i="1"/>
  <c r="BP157" i="1" s="1"/>
  <c r="AG159" i="1"/>
  <c r="AN159" i="1" s="1"/>
  <c r="AO159" i="1" s="1"/>
  <c r="AP159" i="1" s="1"/>
  <c r="Z160" i="1"/>
  <c r="BA159" i="1"/>
  <c r="AY159" i="1"/>
  <c r="AX157" i="1" a="1"/>
  <c r="AX157" i="1" s="1"/>
  <c r="AW157" i="1"/>
  <c r="BE157" i="1"/>
  <c r="BF157" i="1" s="1"/>
  <c r="BG157" i="1" s="1"/>
  <c r="AT158" i="1"/>
  <c r="AX166" i="1" a="1"/>
  <c r="AX166" i="1" s="1"/>
  <c r="BE166" i="1"/>
  <c r="BF166" i="1" s="1"/>
  <c r="AW166" i="1"/>
  <c r="AC161" i="1"/>
  <c r="AE161" i="1" s="1"/>
  <c r="AJ167" i="1"/>
  <c r="AL167" i="1" s="1"/>
  <c r="AF167" i="1"/>
  <c r="AC167" i="1"/>
  <c r="AJ160" i="1" l="1"/>
  <c r="AL160" i="1" s="1"/>
  <c r="AG161" i="1"/>
  <c r="AN161" i="1" s="1"/>
  <c r="AC160" i="1"/>
  <c r="AE160" i="1" s="1"/>
  <c r="AF160" i="1"/>
  <c r="AR160" i="1"/>
  <c r="AS160" i="1" s="1"/>
  <c r="AU160" i="1" s="1"/>
  <c r="BC160" i="1"/>
  <c r="AW158" i="1"/>
  <c r="AX158" i="1" a="1"/>
  <c r="AX158" i="1" s="1"/>
  <c r="AQ159" i="1"/>
  <c r="BH159" i="1" s="1"/>
  <c r="BT159" i="1" s="1"/>
  <c r="AO161" i="1"/>
  <c r="AP161" i="1" s="1"/>
  <c r="AT161" i="1" s="1"/>
  <c r="AO167" i="1"/>
  <c r="AP167" i="1" s="1"/>
  <c r="AT167" i="1" s="1"/>
  <c r="BZ160" i="1" l="1"/>
  <c r="BD158" i="1"/>
  <c r="AG160" i="1"/>
  <c r="AN160" i="1" s="1"/>
  <c r="AO160" i="1" s="1"/>
  <c r="AP160" i="1" s="1"/>
  <c r="AY160" i="1"/>
  <c r="BA160" i="1"/>
  <c r="AT159" i="1"/>
  <c r="AQ160" i="1"/>
  <c r="BH160" i="1" s="1"/>
  <c r="BE158" i="1"/>
  <c r="BF158" i="1" s="1"/>
  <c r="BG158" i="1" s="1"/>
  <c r="AX167" i="1" a="1"/>
  <c r="AX167" i="1" s="1"/>
  <c r="BE167" i="1"/>
  <c r="BF167" i="1" s="1"/>
  <c r="AW167" i="1"/>
  <c r="AX161" i="1" a="1"/>
  <c r="AX161" i="1" s="1"/>
  <c r="BE161" i="1"/>
  <c r="BF161" i="1" s="1"/>
  <c r="AW161" i="1"/>
  <c r="AJ168" i="1"/>
  <c r="AL168" i="1" s="1"/>
  <c r="AC168" i="1"/>
  <c r="AF168" i="1"/>
  <c r="BZ161" i="1" l="1"/>
  <c r="BT160" i="1"/>
  <c r="BM9" i="1" s="1"/>
  <c r="BM8" i="1"/>
  <c r="BD159" i="1"/>
  <c r="BP158" i="1"/>
  <c r="BQ158" i="1"/>
  <c r="BQ159" i="1" s="1"/>
  <c r="BQ160" i="1" s="1"/>
  <c r="BQ161" i="1" s="1"/>
  <c r="BQ162" i="1" s="1"/>
  <c r="BQ163" i="1" s="1"/>
  <c r="BQ164" i="1" s="1"/>
  <c r="BQ165" i="1" s="1"/>
  <c r="BQ166" i="1" s="1"/>
  <c r="BQ167" i="1" s="1"/>
  <c r="BQ168" i="1" s="1"/>
  <c r="BQ169" i="1" s="1"/>
  <c r="BQ170" i="1" s="1"/>
  <c r="BQ171" i="1" s="1"/>
  <c r="BQ172" i="1" s="1"/>
  <c r="BQ173" i="1" s="1"/>
  <c r="BQ174" i="1" s="1"/>
  <c r="BQ175" i="1" s="1"/>
  <c r="BQ176" i="1" s="1"/>
  <c r="BQ177" i="1" s="1"/>
  <c r="BQ178" i="1" s="1"/>
  <c r="BQ179" i="1" s="1"/>
  <c r="BQ180" i="1" s="1"/>
  <c r="BQ181" i="1" s="1"/>
  <c r="BQ182" i="1" s="1"/>
  <c r="BQ183" i="1" s="1"/>
  <c r="AT160" i="1"/>
  <c r="AX159" i="1" a="1"/>
  <c r="AX159" i="1" s="1"/>
  <c r="AW159" i="1"/>
  <c r="BE159" i="1"/>
  <c r="BF159" i="1" s="1"/>
  <c r="BG159" i="1" s="1"/>
  <c r="AO168" i="1"/>
  <c r="AP168" i="1" s="1"/>
  <c r="AT168" i="1" s="1"/>
  <c r="BZ162" i="1" l="1"/>
  <c r="BI178" i="1"/>
  <c r="BI21" i="1"/>
  <c r="BI141" i="1"/>
  <c r="BI135" i="1"/>
  <c r="BI465" i="1"/>
  <c r="BI65" i="1"/>
  <c r="BI166" i="1"/>
  <c r="BI212" i="1"/>
  <c r="BI517" i="1"/>
  <c r="BI272" i="1"/>
  <c r="BI429" i="1"/>
  <c r="BI318" i="1"/>
  <c r="BI530" i="1"/>
  <c r="BI513" i="1"/>
  <c r="BI148" i="1"/>
  <c r="BI76" i="1"/>
  <c r="BI357" i="1"/>
  <c r="BI243" i="1"/>
  <c r="BI137" i="1"/>
  <c r="BI129" i="1"/>
  <c r="BI132" i="1"/>
  <c r="BI176" i="1"/>
  <c r="BI155" i="1"/>
  <c r="BI286" i="1"/>
  <c r="BI515" i="1"/>
  <c r="BI228" i="1"/>
  <c r="BI224" i="1"/>
  <c r="BI164" i="1"/>
  <c r="BI292" i="1"/>
  <c r="BI37" i="1"/>
  <c r="BI415" i="1"/>
  <c r="BI362" i="1"/>
  <c r="BI246" i="1"/>
  <c r="BI23" i="1"/>
  <c r="BI493" i="1"/>
  <c r="BI139" i="1"/>
  <c r="BI443" i="1"/>
  <c r="BI117" i="1"/>
  <c r="BI489" i="1"/>
  <c r="BI328" i="1"/>
  <c r="BI47" i="1"/>
  <c r="BI234" i="1"/>
  <c r="BI12" i="1"/>
  <c r="BI469" i="1"/>
  <c r="BI523" i="1"/>
  <c r="BI56" i="1"/>
  <c r="BI413" i="1"/>
  <c r="BI175" i="1"/>
  <c r="BI33" i="1"/>
  <c r="BI263" i="1"/>
  <c r="BI288" i="1"/>
  <c r="BI430" i="1"/>
  <c r="BI183" i="1"/>
  <c r="BI473" i="1"/>
  <c r="BI43" i="1"/>
  <c r="BI386" i="1"/>
  <c r="BI300" i="1"/>
  <c r="BI123" i="1"/>
  <c r="BI457" i="1"/>
  <c r="BI217" i="1"/>
  <c r="BI296" i="1"/>
  <c r="BI271" i="1"/>
  <c r="BI67" i="1"/>
  <c r="BI287" i="1"/>
  <c r="BI455" i="1"/>
  <c r="BI504" i="1"/>
  <c r="BI505" i="1"/>
  <c r="BI472" i="1"/>
  <c r="BI521" i="1"/>
  <c r="BI283" i="1"/>
  <c r="BI494" i="1"/>
  <c r="BI227" i="1"/>
  <c r="BI363" i="1"/>
  <c r="BI54" i="1"/>
  <c r="BI453" i="1"/>
  <c r="BI44" i="1"/>
  <c r="BI38" i="1"/>
  <c r="BI341" i="1"/>
  <c r="BI30" i="1"/>
  <c r="BI464" i="1"/>
  <c r="BI446" i="1"/>
  <c r="BI40" i="1"/>
  <c r="BI348" i="1"/>
  <c r="BI462" i="1"/>
  <c r="BI320" i="1"/>
  <c r="BI225" i="1"/>
  <c r="BI89" i="1"/>
  <c r="BI511" i="1"/>
  <c r="BI400" i="1"/>
  <c r="BI59" i="1"/>
  <c r="BI242" i="1"/>
  <c r="BI396" i="1"/>
  <c r="BI127" i="1"/>
  <c r="BI29" i="1"/>
  <c r="BI179" i="1"/>
  <c r="BI522" i="1"/>
  <c r="BI181" i="1"/>
  <c r="BI107" i="1"/>
  <c r="BI509" i="1"/>
  <c r="BI436" i="1"/>
  <c r="BI199" i="1"/>
  <c r="BI379" i="1"/>
  <c r="BI266" i="1"/>
  <c r="BI216" i="1"/>
  <c r="BI165" i="1"/>
  <c r="BI170" i="1"/>
  <c r="BI412" i="1"/>
  <c r="BI387" i="1"/>
  <c r="BI46" i="1"/>
  <c r="BI160" i="1"/>
  <c r="BI92" i="1"/>
  <c r="BI316" i="1"/>
  <c r="BI311" i="1"/>
  <c r="BI6" i="1"/>
  <c r="BI312" i="1"/>
  <c r="BI495" i="1"/>
  <c r="BI213" i="1"/>
  <c r="BI17" i="1"/>
  <c r="BI322" i="1"/>
  <c r="BI376" i="1"/>
  <c r="BI477" i="1"/>
  <c r="BI367" i="1"/>
  <c r="BI189" i="1"/>
  <c r="BI365" i="1"/>
  <c r="BI110" i="1"/>
  <c r="BI314" i="1"/>
  <c r="BI309" i="1"/>
  <c r="BI279" i="1"/>
  <c r="BI426" i="1"/>
  <c r="BI433" i="1"/>
  <c r="BI342" i="1"/>
  <c r="BI388" i="1"/>
  <c r="BI420" i="1"/>
  <c r="BI378" i="1"/>
  <c r="BI358" i="1"/>
  <c r="BI478" i="1"/>
  <c r="BI61" i="1"/>
  <c r="BI24" i="1"/>
  <c r="BI516" i="1"/>
  <c r="BI106" i="1"/>
  <c r="BI171" i="1"/>
  <c r="BI108" i="1"/>
  <c r="BI532" i="1"/>
  <c r="BI295" i="1"/>
  <c r="BI7" i="1"/>
  <c r="BI101" i="1"/>
  <c r="BI72" i="1"/>
  <c r="BI161" i="1"/>
  <c r="BI240" i="1"/>
  <c r="BI96" i="1"/>
  <c r="BI306" i="1"/>
  <c r="BI81" i="1"/>
  <c r="BI492" i="1"/>
  <c r="BI337" i="1"/>
  <c r="BI476" i="1"/>
  <c r="BI305" i="1"/>
  <c r="BI486" i="1"/>
  <c r="BI482" i="1"/>
  <c r="BI355" i="1"/>
  <c r="BI57" i="1"/>
  <c r="BI48" i="1"/>
  <c r="BI398" i="1"/>
  <c r="BI42" i="1"/>
  <c r="BI177" i="1"/>
  <c r="BI297" i="1"/>
  <c r="BI256" i="1"/>
  <c r="BI69" i="1"/>
  <c r="BI510" i="1"/>
  <c r="BI250" i="1"/>
  <c r="BI138" i="1"/>
  <c r="BI84" i="1"/>
  <c r="BI209" i="1"/>
  <c r="BI163" i="1"/>
  <c r="BI404" i="1"/>
  <c r="BI70" i="1"/>
  <c r="BI512" i="1"/>
  <c r="BI253" i="1"/>
  <c r="BI340" i="1"/>
  <c r="BI480" i="1"/>
  <c r="BI402" i="1"/>
  <c r="BI310" i="1"/>
  <c r="BI474" i="1"/>
  <c r="BI280" i="1"/>
  <c r="BI394" i="1"/>
  <c r="BI4" i="1"/>
  <c r="BI206" i="1"/>
  <c r="BI343" i="1"/>
  <c r="BI327" i="1"/>
  <c r="BI431" i="1"/>
  <c r="BI284" i="1"/>
  <c r="BI68" i="1"/>
  <c r="BI45" i="1"/>
  <c r="BI91" i="1"/>
  <c r="BI66" i="1"/>
  <c r="BI267" i="1"/>
  <c r="BI157" i="1"/>
  <c r="BI261" i="1"/>
  <c r="BI16" i="1"/>
  <c r="BI346" i="1"/>
  <c r="BI74" i="1"/>
  <c r="BI514" i="1"/>
  <c r="BI241" i="1"/>
  <c r="BI382" i="1"/>
  <c r="BI364" i="1"/>
  <c r="BI490" i="1"/>
  <c r="BI169" i="1"/>
  <c r="BI211" i="1"/>
  <c r="BI83" i="1"/>
  <c r="BI115" i="1"/>
  <c r="BI414" i="1"/>
  <c r="BI100" i="1"/>
  <c r="BI531" i="1"/>
  <c r="BI349" i="1"/>
  <c r="BI451" i="1"/>
  <c r="BI380" i="1"/>
  <c r="BI440" i="1"/>
  <c r="BI200" i="1"/>
  <c r="BI208" i="1"/>
  <c r="BI403" i="1"/>
  <c r="BI188" i="1"/>
  <c r="BI525" i="1"/>
  <c r="BI411" i="1"/>
  <c r="BI215" i="1"/>
  <c r="BI325" i="1"/>
  <c r="BI14" i="1"/>
  <c r="BI221" i="1"/>
  <c r="BI26" i="1"/>
  <c r="BI529" i="1"/>
  <c r="BI353" i="1"/>
  <c r="BI361" i="1"/>
  <c r="BI319" i="1"/>
  <c r="BI34" i="1"/>
  <c r="BI173" i="1"/>
  <c r="BI158" i="1"/>
  <c r="BI265" i="1"/>
  <c r="BI470" i="1"/>
  <c r="BI257" i="1"/>
  <c r="BI399" i="1"/>
  <c r="BI454" i="1"/>
  <c r="BI156" i="1"/>
  <c r="BI53" i="1"/>
  <c r="BI131" i="1"/>
  <c r="BI339" i="1"/>
  <c r="BI475" i="1"/>
  <c r="BI326" i="1"/>
  <c r="BI223" i="1"/>
  <c r="BI259" i="1"/>
  <c r="BI506" i="1"/>
  <c r="BI447" i="1"/>
  <c r="BI93" i="1"/>
  <c r="BI103" i="1"/>
  <c r="BI55" i="1"/>
  <c r="BI366" i="1"/>
  <c r="BI313" i="1"/>
  <c r="BI435" i="1"/>
  <c r="BI519" i="1"/>
  <c r="BI524" i="1"/>
  <c r="BI11" i="1"/>
  <c r="BI290" i="1"/>
  <c r="BI120" i="1"/>
  <c r="BI247" i="1"/>
  <c r="BI391" i="1"/>
  <c r="BI255" i="1"/>
  <c r="BI461" i="1"/>
  <c r="BI449" i="1"/>
  <c r="BI274" i="1"/>
  <c r="BI329" i="1"/>
  <c r="BI97" i="1"/>
  <c r="BI460" i="1"/>
  <c r="BI184" i="1"/>
  <c r="BI204" i="1"/>
  <c r="BI197" i="1"/>
  <c r="BI500" i="1"/>
  <c r="BI269" i="1"/>
  <c r="BI15" i="1"/>
  <c r="BI254" i="1"/>
  <c r="BI3" i="1"/>
  <c r="BI468" i="1"/>
  <c r="BI95" i="1"/>
  <c r="BI481" i="1"/>
  <c r="BI260" i="1"/>
  <c r="BI368" i="1"/>
  <c r="BI351" i="1"/>
  <c r="BI236" i="1"/>
  <c r="BI77" i="1"/>
  <c r="BI423" i="1"/>
  <c r="BI49" i="1"/>
  <c r="BI109" i="1"/>
  <c r="BI62" i="1"/>
  <c r="BI140" i="1"/>
  <c r="BI168" i="1"/>
  <c r="BI203" i="1"/>
  <c r="BI409" i="1"/>
  <c r="BI371" i="1"/>
  <c r="BI78" i="1"/>
  <c r="BI303" i="1"/>
  <c r="BI344" i="1"/>
  <c r="BI264" i="1"/>
  <c r="BI419" i="1"/>
  <c r="BI428" i="1"/>
  <c r="BI408" i="1"/>
  <c r="BI50" i="1"/>
  <c r="BI172" i="1"/>
  <c r="BI336" i="1"/>
  <c r="BI533" i="1"/>
  <c r="BI369" i="1"/>
  <c r="BI5" i="1"/>
  <c r="BI230" i="1"/>
  <c r="BI226" i="1"/>
  <c r="BI281" i="1"/>
  <c r="BI485" i="1"/>
  <c r="BI99" i="1"/>
  <c r="BI452" i="1"/>
  <c r="BI467" i="1"/>
  <c r="BI333" i="1"/>
  <c r="BI190" i="1"/>
  <c r="BI238" i="1"/>
  <c r="BI202" i="1"/>
  <c r="BI416" i="1"/>
  <c r="BI291" i="1"/>
  <c r="BI10" i="1"/>
  <c r="BI191" i="1"/>
  <c r="BI302" i="1"/>
  <c r="BI133" i="1"/>
  <c r="BI437" i="1"/>
  <c r="BI20" i="1"/>
  <c r="BI471" i="1"/>
  <c r="BI111" i="1"/>
  <c r="BI116" i="1"/>
  <c r="BI162" i="1"/>
  <c r="BI410" i="1"/>
  <c r="BI122" i="1"/>
  <c r="BI19" i="1"/>
  <c r="BI124" i="1"/>
  <c r="BI359" i="1"/>
  <c r="BI32" i="1"/>
  <c r="BI232" i="1"/>
  <c r="BI152" i="1"/>
  <c r="BI444" i="1"/>
  <c r="BI268" i="1"/>
  <c r="BI324" i="1"/>
  <c r="BI308" i="1"/>
  <c r="BI87" i="1"/>
  <c r="BI307" i="1"/>
  <c r="BI105" i="1"/>
  <c r="BI90" i="1"/>
  <c r="BI528" i="1"/>
  <c r="BI58" i="1"/>
  <c r="BI439" i="1"/>
  <c r="BI75" i="1"/>
  <c r="BI167" i="1"/>
  <c r="BI450" i="1"/>
  <c r="BI235" i="1"/>
  <c r="BI9" i="1"/>
  <c r="BI118" i="1"/>
  <c r="BI350" i="1"/>
  <c r="BI248" i="1"/>
  <c r="BI385" i="1"/>
  <c r="BI432" i="1"/>
  <c r="BI194" i="1"/>
  <c r="BI193" i="1"/>
  <c r="BI231" i="1"/>
  <c r="BI201" i="1"/>
  <c r="BI442" i="1"/>
  <c r="BI503" i="1"/>
  <c r="BI244" i="1"/>
  <c r="BI360" i="1"/>
  <c r="BI401" i="1"/>
  <c r="BI323" i="1"/>
  <c r="BI251" i="1"/>
  <c r="BI502" i="1"/>
  <c r="BI136" i="1"/>
  <c r="BI112" i="1"/>
  <c r="BI438" i="1"/>
  <c r="BI377" i="1"/>
  <c r="BI80" i="1"/>
  <c r="BI374" i="1"/>
  <c r="BI392" i="1"/>
  <c r="BI381" i="1"/>
  <c r="BI205" i="1"/>
  <c r="BI94" i="1"/>
  <c r="BI192" i="1"/>
  <c r="BI384" i="1"/>
  <c r="BI142" i="1"/>
  <c r="BI315" i="1"/>
  <c r="BI126" i="1"/>
  <c r="BI299" i="1"/>
  <c r="BI456" i="1"/>
  <c r="BI463" i="1"/>
  <c r="BI187" i="1"/>
  <c r="BI507" i="1"/>
  <c r="BI207" i="1"/>
  <c r="BI354" i="1"/>
  <c r="BI36" i="1"/>
  <c r="BI418" i="1"/>
  <c r="BI145" i="1"/>
  <c r="BI334" i="1"/>
  <c r="BI102" i="1"/>
  <c r="BI222" i="1"/>
  <c r="BI31" i="1"/>
  <c r="BI331" i="1"/>
  <c r="BI526" i="1"/>
  <c r="BI484" i="1"/>
  <c r="BI527" i="1"/>
  <c r="BI421" i="1"/>
  <c r="BI356" i="1"/>
  <c r="BI153" i="1"/>
  <c r="BI276" i="1"/>
  <c r="BI282" i="1"/>
  <c r="BI52" i="1"/>
  <c r="BI427" i="1"/>
  <c r="BI508" i="1"/>
  <c r="BI397" i="1"/>
  <c r="BI298" i="1"/>
  <c r="BI459" i="1"/>
  <c r="BI321" i="1"/>
  <c r="BI422" i="1"/>
  <c r="BI289" i="1"/>
  <c r="BI285" i="1"/>
  <c r="BI88" i="1"/>
  <c r="BI144" i="1"/>
  <c r="BI258" i="1"/>
  <c r="BI143" i="1"/>
  <c r="BI498" i="1"/>
  <c r="BI383" i="1"/>
  <c r="BI186" i="1"/>
  <c r="BI301" i="1"/>
  <c r="BI332" i="1"/>
  <c r="BI338" i="1"/>
  <c r="BI28" i="1"/>
  <c r="BI406" i="1"/>
  <c r="BI393" i="1"/>
  <c r="BI218" i="1"/>
  <c r="BI159" i="1"/>
  <c r="BI417" i="1"/>
  <c r="BI196" i="1"/>
  <c r="BI405" i="1"/>
  <c r="BI278" i="1"/>
  <c r="BI395" i="1"/>
  <c r="BI220" i="1"/>
  <c r="BI347" i="1"/>
  <c r="BI79" i="1"/>
  <c r="BI249" i="1"/>
  <c r="BI180" i="1"/>
  <c r="BI304" i="1"/>
  <c r="BI345" i="1"/>
  <c r="BI214" i="1"/>
  <c r="BI466" i="1"/>
  <c r="BI119" i="1"/>
  <c r="BI195" i="1"/>
  <c r="BI146" i="1"/>
  <c r="BI182" i="1"/>
  <c r="BI151" i="1"/>
  <c r="BI130" i="1"/>
  <c r="BI252" i="1"/>
  <c r="BI434" i="1"/>
  <c r="BI277" i="1"/>
  <c r="BI425" i="1"/>
  <c r="BI174" i="1"/>
  <c r="BI445" i="1"/>
  <c r="BI18" i="1"/>
  <c r="BI128" i="1"/>
  <c r="BI330" i="1"/>
  <c r="BI335" i="1"/>
  <c r="BI114" i="1"/>
  <c r="BI13" i="1"/>
  <c r="BI372" i="1"/>
  <c r="BI237" i="1"/>
  <c r="BI390" i="1"/>
  <c r="BI60" i="1"/>
  <c r="BI39" i="1"/>
  <c r="BI262" i="1"/>
  <c r="BI488" i="1"/>
  <c r="BI518" i="1"/>
  <c r="BI487" i="1"/>
  <c r="BI407" i="1"/>
  <c r="BI185" i="1"/>
  <c r="BI147" i="1"/>
  <c r="BI448" i="1"/>
  <c r="BI104" i="1"/>
  <c r="BI389" i="1"/>
  <c r="BI85" i="1"/>
  <c r="BI113" i="1"/>
  <c r="BI496" i="1"/>
  <c r="BI352" i="1"/>
  <c r="BI125" i="1"/>
  <c r="BI121" i="1"/>
  <c r="BI273" i="1"/>
  <c r="BI491" i="1"/>
  <c r="BI25" i="1"/>
  <c r="BI73" i="1"/>
  <c r="BI149" i="1"/>
  <c r="BI479" i="1"/>
  <c r="BI63" i="1"/>
  <c r="BI245" i="1"/>
  <c r="BI275" i="1"/>
  <c r="BI458" i="1"/>
  <c r="BI499" i="1"/>
  <c r="BI98" i="1"/>
  <c r="BI8" i="1"/>
  <c r="BI239" i="1"/>
  <c r="BI373" i="1"/>
  <c r="BI71" i="1"/>
  <c r="BI294" i="1"/>
  <c r="BI520" i="1"/>
  <c r="BI210" i="1"/>
  <c r="BI64" i="1"/>
  <c r="BI219" i="1"/>
  <c r="BI317" i="1"/>
  <c r="BI22" i="1"/>
  <c r="BI82" i="1"/>
  <c r="BI424" i="1"/>
  <c r="BI198" i="1"/>
  <c r="BI86" i="1"/>
  <c r="BI293" i="1"/>
  <c r="BI483" i="1"/>
  <c r="BI51" i="1"/>
  <c r="BI441" i="1"/>
  <c r="BI41" i="1"/>
  <c r="BI270" i="1"/>
  <c r="BI229" i="1"/>
  <c r="BI375" i="1"/>
  <c r="BI134" i="1"/>
  <c r="BI370" i="1"/>
  <c r="BI154" i="1"/>
  <c r="BI497" i="1"/>
  <c r="BI150" i="1"/>
  <c r="BI35" i="1"/>
  <c r="BI27" i="1"/>
  <c r="BI501" i="1"/>
  <c r="BI233" i="1"/>
  <c r="BL18" i="1"/>
  <c r="BP159" i="1"/>
  <c r="BP160" i="1" s="1"/>
  <c r="BP161" i="1" s="1"/>
  <c r="BP162" i="1" s="1"/>
  <c r="BP163" i="1" s="1"/>
  <c r="BP164" i="1" s="1"/>
  <c r="BP165" i="1" s="1"/>
  <c r="BP166" i="1" s="1"/>
  <c r="BP167" i="1" s="1"/>
  <c r="BP168" i="1" s="1"/>
  <c r="BP169" i="1" s="1"/>
  <c r="BP170" i="1" s="1"/>
  <c r="BP171" i="1" s="1"/>
  <c r="BP172" i="1" s="1"/>
  <c r="BP173" i="1" s="1"/>
  <c r="BP174" i="1" s="1"/>
  <c r="BP175" i="1" s="1"/>
  <c r="BP176" i="1" s="1"/>
  <c r="BP177" i="1" s="1"/>
  <c r="BP178" i="1" s="1"/>
  <c r="BP179" i="1" s="1"/>
  <c r="BP180" i="1" s="1"/>
  <c r="BP181" i="1" s="1"/>
  <c r="BP182" i="1" s="1"/>
  <c r="BP183" i="1" s="1"/>
  <c r="AW160" i="1"/>
  <c r="AX160" i="1" a="1"/>
  <c r="AX160" i="1" s="1"/>
  <c r="BE160" i="1"/>
  <c r="BF160" i="1" s="1"/>
  <c r="BG160" i="1" s="1"/>
  <c r="BG161" i="1" s="1"/>
  <c r="BG162" i="1" s="1"/>
  <c r="BG163" i="1" s="1"/>
  <c r="BG164" i="1" s="1"/>
  <c r="BG165" i="1" s="1"/>
  <c r="BG166" i="1" s="1"/>
  <c r="BG167" i="1" s="1"/>
  <c r="AW168" i="1"/>
  <c r="AX168" i="1" a="1"/>
  <c r="AX168" i="1" s="1"/>
  <c r="BE168" i="1"/>
  <c r="BF168" i="1" s="1"/>
  <c r="AJ169" i="1"/>
  <c r="AL169" i="1" s="1"/>
  <c r="AC169" i="1"/>
  <c r="AF169" i="1"/>
  <c r="BZ163" i="1" l="1"/>
  <c r="CB262" i="1"/>
  <c r="BX262" i="1"/>
  <c r="CB428" i="1"/>
  <c r="BX428" i="1"/>
  <c r="CB120" i="1"/>
  <c r="CC120" i="1" s="1"/>
  <c r="BX120" i="1"/>
  <c r="CB179" i="1"/>
  <c r="BX179" i="1"/>
  <c r="BX521" i="1"/>
  <c r="CB521" i="1"/>
  <c r="CB63" i="1"/>
  <c r="CC63" i="1" s="1"/>
  <c r="BX63" i="1"/>
  <c r="CB406" i="1"/>
  <c r="BX406" i="1"/>
  <c r="CB167" i="1"/>
  <c r="BX167" i="1"/>
  <c r="CB26" i="1"/>
  <c r="CC26" i="1" s="1"/>
  <c r="BX26" i="1"/>
  <c r="CB160" i="1"/>
  <c r="CC160" i="1" s="1"/>
  <c r="BX160" i="1"/>
  <c r="CB39" i="1"/>
  <c r="CC39" i="1" s="1"/>
  <c r="BX39" i="1"/>
  <c r="CB28" i="1"/>
  <c r="CC28" i="1" s="1"/>
  <c r="BX28" i="1"/>
  <c r="CB377" i="1"/>
  <c r="BX377" i="1"/>
  <c r="CB269" i="1"/>
  <c r="BX269" i="1"/>
  <c r="CB329" i="1"/>
  <c r="BX329" i="1"/>
  <c r="CB257" i="1"/>
  <c r="BX257" i="1"/>
  <c r="BX261" i="1"/>
  <c r="CB261" i="1"/>
  <c r="BX482" i="1"/>
  <c r="CB482" i="1"/>
  <c r="CB171" i="1"/>
  <c r="BX171" i="1"/>
  <c r="CB46" i="1"/>
  <c r="CC46" i="1" s="1"/>
  <c r="BX46" i="1"/>
  <c r="CB379" i="1"/>
  <c r="BX379" i="1"/>
  <c r="BX341" i="1"/>
  <c r="CB341" i="1"/>
  <c r="CB217" i="1"/>
  <c r="BX217" i="1"/>
  <c r="BX362" i="1"/>
  <c r="CB362" i="1"/>
  <c r="CB228" i="1"/>
  <c r="BX228" i="1"/>
  <c r="CB424" i="1"/>
  <c r="BX424" i="1"/>
  <c r="CB479" i="1"/>
  <c r="BX479" i="1"/>
  <c r="CB121" i="1"/>
  <c r="CC121" i="1" s="1"/>
  <c r="BX121" i="1"/>
  <c r="CB185" i="1"/>
  <c r="BX185" i="1"/>
  <c r="CB60" i="1"/>
  <c r="CC60" i="1" s="1"/>
  <c r="BX60" i="1"/>
  <c r="CB425" i="1"/>
  <c r="BX425" i="1"/>
  <c r="CB304" i="1"/>
  <c r="BX304" i="1"/>
  <c r="CB405" i="1"/>
  <c r="BX405" i="1"/>
  <c r="BX338" i="1"/>
  <c r="CB338" i="1"/>
  <c r="CB384" i="1"/>
  <c r="BX384" i="1"/>
  <c r="CB438" i="1"/>
  <c r="BX438" i="1"/>
  <c r="CB503" i="1"/>
  <c r="BX503" i="1"/>
  <c r="CB308" i="1"/>
  <c r="BX308" i="1"/>
  <c r="CB19" i="1"/>
  <c r="CC19" i="1" s="1"/>
  <c r="BX19" i="1"/>
  <c r="BX437" i="1"/>
  <c r="CB437" i="1"/>
  <c r="CB368" i="1"/>
  <c r="BX368" i="1"/>
  <c r="CB500" i="1"/>
  <c r="BX500" i="1"/>
  <c r="BX274" i="1"/>
  <c r="CB274" i="1"/>
  <c r="CB93" i="1"/>
  <c r="CC93" i="1" s="1"/>
  <c r="BX93" i="1"/>
  <c r="CB470" i="1"/>
  <c r="BX470" i="1"/>
  <c r="CB221" i="1"/>
  <c r="BX221" i="1"/>
  <c r="CB310" i="1"/>
  <c r="BX310" i="1"/>
  <c r="CB486" i="1"/>
  <c r="BX486" i="1"/>
  <c r="BX106" i="1"/>
  <c r="CB106" i="1"/>
  <c r="CC106" i="1" s="1"/>
  <c r="CB358" i="1"/>
  <c r="BX358" i="1"/>
  <c r="BX314" i="1"/>
  <c r="CB314" i="1"/>
  <c r="CB387" i="1"/>
  <c r="BX387" i="1"/>
  <c r="CB457" i="1"/>
  <c r="BX457" i="1"/>
  <c r="CB263" i="1"/>
  <c r="BX263" i="1"/>
  <c r="BX234" i="1"/>
  <c r="CB234" i="1"/>
  <c r="CB415" i="1"/>
  <c r="BX415" i="1"/>
  <c r="BX357" i="1"/>
  <c r="CB357" i="1"/>
  <c r="CB124" i="1"/>
  <c r="CC124" i="1" s="1"/>
  <c r="BX124" i="1"/>
  <c r="CB55" i="1"/>
  <c r="CC55" i="1" s="1"/>
  <c r="BX55" i="1"/>
  <c r="CB96" i="1"/>
  <c r="CC96" i="1" s="1"/>
  <c r="BX96" i="1"/>
  <c r="CB282" i="1"/>
  <c r="BX282" i="1"/>
  <c r="CB374" i="1"/>
  <c r="BX374" i="1"/>
  <c r="BX450" i="1"/>
  <c r="CB450" i="1"/>
  <c r="CB92" i="1"/>
  <c r="CC92" i="1" s="1"/>
  <c r="BX92" i="1"/>
  <c r="CB16" i="1"/>
  <c r="CC16" i="1" s="1"/>
  <c r="BX16" i="1"/>
  <c r="CB225" i="1"/>
  <c r="BX225" i="1"/>
  <c r="CB153" i="1"/>
  <c r="CC153" i="1" s="1"/>
  <c r="BX153" i="1"/>
  <c r="CB243" i="1"/>
  <c r="BX243" i="1"/>
  <c r="BX370" i="1"/>
  <c r="CB370" i="1"/>
  <c r="BX82" i="1"/>
  <c r="CB82" i="1"/>
  <c r="CC82" i="1" s="1"/>
  <c r="CB125" i="1"/>
  <c r="CC125" i="1" s="1"/>
  <c r="BX125" i="1"/>
  <c r="CB390" i="1"/>
  <c r="BX390" i="1"/>
  <c r="CB180" i="1"/>
  <c r="BX180" i="1"/>
  <c r="CB196" i="1"/>
  <c r="BX196" i="1"/>
  <c r="CB332" i="1"/>
  <c r="BX332" i="1"/>
  <c r="CB422" i="1"/>
  <c r="BX422" i="1"/>
  <c r="CB356" i="1"/>
  <c r="BX356" i="1"/>
  <c r="CB207" i="1"/>
  <c r="BX207" i="1"/>
  <c r="CB112" i="1"/>
  <c r="CC112" i="1" s="1"/>
  <c r="BX112" i="1"/>
  <c r="BX442" i="1"/>
  <c r="CB442" i="1"/>
  <c r="CB439" i="1"/>
  <c r="BX439" i="1"/>
  <c r="CB324" i="1"/>
  <c r="BX324" i="1"/>
  <c r="BX133" i="1"/>
  <c r="CB133" i="1"/>
  <c r="CC133" i="1" s="1"/>
  <c r="BX5" i="1"/>
  <c r="CB5" i="1"/>
  <c r="CB78" i="1"/>
  <c r="CC78" i="1" s="1"/>
  <c r="BX78" i="1"/>
  <c r="CB260" i="1"/>
  <c r="BX260" i="1"/>
  <c r="CB449" i="1"/>
  <c r="BX449" i="1"/>
  <c r="CB265" i="1"/>
  <c r="BX265" i="1"/>
  <c r="CB169" i="1"/>
  <c r="BX169" i="1"/>
  <c r="CB68" i="1"/>
  <c r="CC68" i="1" s="1"/>
  <c r="BX68" i="1"/>
  <c r="CB69" i="1"/>
  <c r="CC69" i="1" s="1"/>
  <c r="BX69" i="1"/>
  <c r="CB161" i="1"/>
  <c r="CC161" i="1" s="1"/>
  <c r="BX161" i="1"/>
  <c r="CB378" i="1"/>
  <c r="BX378" i="1"/>
  <c r="BX213" i="1"/>
  <c r="CB213" i="1"/>
  <c r="CB199" i="1"/>
  <c r="BX199" i="1"/>
  <c r="CB472" i="1"/>
  <c r="BX472" i="1"/>
  <c r="CB33" i="1"/>
  <c r="CC33" i="1" s="1"/>
  <c r="BX33" i="1"/>
  <c r="CB515" i="1"/>
  <c r="BX515" i="1"/>
  <c r="CB76" i="1"/>
  <c r="CC76" i="1" s="1"/>
  <c r="BX76" i="1"/>
  <c r="BX166" i="1"/>
  <c r="CB166" i="1"/>
  <c r="CB448" i="1"/>
  <c r="BX448" i="1"/>
  <c r="CB254" i="1"/>
  <c r="BX254" i="1"/>
  <c r="CB91" i="1"/>
  <c r="CC91" i="1" s="1"/>
  <c r="BX91" i="1"/>
  <c r="BX272" i="1"/>
  <c r="CB272" i="1"/>
  <c r="CB71" i="1"/>
  <c r="CC71" i="1" s="1"/>
  <c r="BX71" i="1"/>
  <c r="CB471" i="1"/>
  <c r="BX471" i="1"/>
  <c r="BX290" i="1"/>
  <c r="CB290" i="1"/>
  <c r="CB525" i="1"/>
  <c r="BX525" i="1"/>
  <c r="BX266" i="1"/>
  <c r="CB266" i="1"/>
  <c r="CB430" i="1"/>
  <c r="BX430" i="1"/>
  <c r="CB80" i="1"/>
  <c r="CC80" i="1" s="1"/>
  <c r="BX80" i="1"/>
  <c r="CB349" i="1"/>
  <c r="BX349" i="1"/>
  <c r="CB288" i="1"/>
  <c r="BX288" i="1"/>
  <c r="CB239" i="1"/>
  <c r="BX239" i="1"/>
  <c r="BX474" i="1"/>
  <c r="CB474" i="1"/>
  <c r="CB410" i="1"/>
  <c r="BX410" i="1"/>
  <c r="CB481" i="1"/>
  <c r="BX481" i="1"/>
  <c r="CB158" i="1"/>
  <c r="CC158" i="1" s="1"/>
  <c r="BX158" i="1"/>
  <c r="CB364" i="1"/>
  <c r="BX364" i="1"/>
  <c r="CB157" i="1"/>
  <c r="CC157" i="1" s="1"/>
  <c r="BX157" i="1"/>
  <c r="CB284" i="1"/>
  <c r="BX284" i="1"/>
  <c r="BX163" i="1"/>
  <c r="CB163" i="1"/>
  <c r="CC163" i="1" s="1"/>
  <c r="CB256" i="1"/>
  <c r="BX256" i="1"/>
  <c r="CB72" i="1"/>
  <c r="CC72" i="1" s="1"/>
  <c r="BX72" i="1"/>
  <c r="CB420" i="1"/>
  <c r="BX420" i="1"/>
  <c r="CB495" i="1"/>
  <c r="BX495" i="1"/>
  <c r="CB127" i="1"/>
  <c r="CC127" i="1" s="1"/>
  <c r="BX127" i="1"/>
  <c r="CB462" i="1"/>
  <c r="BX462" i="1"/>
  <c r="CB44" i="1"/>
  <c r="CC44" i="1" s="1"/>
  <c r="BX44" i="1"/>
  <c r="CB123" i="1"/>
  <c r="CC123" i="1" s="1"/>
  <c r="BX123" i="1"/>
  <c r="CB413" i="1"/>
  <c r="BX413" i="1"/>
  <c r="CB47" i="1"/>
  <c r="CC47" i="1" s="1"/>
  <c r="BX47" i="1"/>
  <c r="CB465" i="1"/>
  <c r="BX465" i="1"/>
  <c r="BX194" i="1"/>
  <c r="CB194" i="1"/>
  <c r="CB280" i="1"/>
  <c r="BX280" i="1"/>
  <c r="CB31" i="1"/>
  <c r="CC31" i="1" s="1"/>
  <c r="BX31" i="1"/>
  <c r="CB240" i="1"/>
  <c r="BX240" i="1"/>
  <c r="BX517" i="1"/>
  <c r="CB517" i="1"/>
  <c r="BX373" i="1"/>
  <c r="CB373" i="1"/>
  <c r="CB214" i="1"/>
  <c r="BX214" i="1"/>
  <c r="CB222" i="1"/>
  <c r="BX222" i="1"/>
  <c r="BX226" i="1"/>
  <c r="CB226" i="1"/>
  <c r="CB399" i="1"/>
  <c r="BX399" i="1"/>
  <c r="CB355" i="1"/>
  <c r="BX355" i="1"/>
  <c r="BX322" i="1"/>
  <c r="CB322" i="1"/>
  <c r="CB212" i="1"/>
  <c r="BX212" i="1"/>
  <c r="CB41" i="1"/>
  <c r="CC41" i="1" s="1"/>
  <c r="BX41" i="1"/>
  <c r="CB244" i="1"/>
  <c r="BX244" i="1"/>
  <c r="CB87" i="1"/>
  <c r="CC87" i="1" s="1"/>
  <c r="BX87" i="1"/>
  <c r="BX419" i="1"/>
  <c r="CB419" i="1"/>
  <c r="CB351" i="1"/>
  <c r="BX351" i="1"/>
  <c r="CB339" i="1"/>
  <c r="BX339" i="1"/>
  <c r="CB478" i="1"/>
  <c r="BX478" i="1"/>
  <c r="CB149" i="1"/>
  <c r="CC149" i="1" s="1"/>
  <c r="BX149" i="1"/>
  <c r="CB277" i="1"/>
  <c r="BX277" i="1"/>
  <c r="CB249" i="1"/>
  <c r="BX249" i="1"/>
  <c r="CB301" i="1"/>
  <c r="BX301" i="1"/>
  <c r="CB321" i="1"/>
  <c r="BX321" i="1"/>
  <c r="CB122" i="1"/>
  <c r="CC122" i="1" s="1"/>
  <c r="BX122" i="1"/>
  <c r="CB452" i="1"/>
  <c r="BX452" i="1"/>
  <c r="BX371" i="1"/>
  <c r="CB371" i="1"/>
  <c r="BX490" i="1"/>
  <c r="CB490" i="1"/>
  <c r="CB404" i="1"/>
  <c r="BX404" i="1"/>
  <c r="CB305" i="1"/>
  <c r="BX305" i="1"/>
  <c r="CB436" i="1"/>
  <c r="BX436" i="1"/>
  <c r="CB38" i="1"/>
  <c r="CC38" i="1" s="1"/>
  <c r="BX38" i="1"/>
  <c r="CB505" i="1"/>
  <c r="BX505" i="1"/>
  <c r="CB175" i="1"/>
  <c r="BX175" i="1"/>
  <c r="CB148" i="1"/>
  <c r="CC148" i="1" s="1"/>
  <c r="BX148" i="1"/>
  <c r="CB8" i="1"/>
  <c r="CC8" i="1" s="1"/>
  <c r="BX8" i="1"/>
  <c r="BX58" i="1"/>
  <c r="CB58" i="1"/>
  <c r="CC58" i="1" s="1"/>
  <c r="CB22" i="1"/>
  <c r="CC22" i="1" s="1"/>
  <c r="BX22" i="1"/>
  <c r="CB487" i="1"/>
  <c r="BX487" i="1"/>
  <c r="CB335" i="1"/>
  <c r="BX335" i="1"/>
  <c r="CB252" i="1"/>
  <c r="BX252" i="1"/>
  <c r="CB159" i="1"/>
  <c r="CC159" i="1" s="1"/>
  <c r="BX159" i="1"/>
  <c r="BX186" i="1"/>
  <c r="CB186" i="1"/>
  <c r="BX187" i="1"/>
  <c r="CB187" i="1"/>
  <c r="CB502" i="1"/>
  <c r="BX502" i="1"/>
  <c r="CB350" i="1"/>
  <c r="BX350" i="1"/>
  <c r="BX162" i="1"/>
  <c r="CB162" i="1"/>
  <c r="CC162" i="1" s="1"/>
  <c r="CB99" i="1"/>
  <c r="CC99" i="1" s="1"/>
  <c r="BX99" i="1"/>
  <c r="CB533" i="1"/>
  <c r="BX533" i="1"/>
  <c r="CB409" i="1"/>
  <c r="BX409" i="1"/>
  <c r="CB95" i="1"/>
  <c r="CC95" i="1" s="1"/>
  <c r="BX95" i="1"/>
  <c r="CB519" i="1"/>
  <c r="BX519" i="1"/>
  <c r="CB447" i="1"/>
  <c r="BX447" i="1"/>
  <c r="CB131" i="1"/>
  <c r="CC131" i="1" s="1"/>
  <c r="BX131" i="1"/>
  <c r="CB531" i="1"/>
  <c r="BX531" i="1"/>
  <c r="CB382" i="1"/>
  <c r="BX382" i="1"/>
  <c r="CB209" i="1"/>
  <c r="BX209" i="1"/>
  <c r="CB476" i="1"/>
  <c r="BX476" i="1"/>
  <c r="BX101" i="1"/>
  <c r="CB101" i="1"/>
  <c r="CC101" i="1" s="1"/>
  <c r="CB388" i="1"/>
  <c r="BX388" i="1"/>
  <c r="CB170" i="1"/>
  <c r="BX170" i="1"/>
  <c r="CB509" i="1"/>
  <c r="BX509" i="1"/>
  <c r="CB396" i="1"/>
  <c r="BX396" i="1"/>
  <c r="CB453" i="1"/>
  <c r="BX453" i="1"/>
  <c r="CB504" i="1"/>
  <c r="BX504" i="1"/>
  <c r="CB300" i="1"/>
  <c r="BX300" i="1"/>
  <c r="CB328" i="1"/>
  <c r="BX328" i="1"/>
  <c r="BX37" i="1"/>
  <c r="CB37" i="1"/>
  <c r="CC37" i="1" s="1"/>
  <c r="CB513" i="1"/>
  <c r="BX513" i="1"/>
  <c r="CB135" i="1"/>
  <c r="CC135" i="1" s="1"/>
  <c r="BX135" i="1"/>
  <c r="CB294" i="1"/>
  <c r="BX294" i="1"/>
  <c r="BX466" i="1"/>
  <c r="CB466" i="1"/>
  <c r="CB392" i="1"/>
  <c r="BX392" i="1"/>
  <c r="CB190" i="1"/>
  <c r="BX190" i="1"/>
  <c r="CB380" i="1"/>
  <c r="BX380" i="1"/>
  <c r="CB108" i="1"/>
  <c r="CC108" i="1" s="1"/>
  <c r="BX108" i="1"/>
  <c r="CB271" i="1"/>
  <c r="BX271" i="1"/>
  <c r="CB23" i="1"/>
  <c r="CC23" i="1" s="1"/>
  <c r="BX23" i="1"/>
  <c r="CB276" i="1"/>
  <c r="BX276" i="1"/>
  <c r="CB360" i="1"/>
  <c r="BX360" i="1"/>
  <c r="CB467" i="1"/>
  <c r="BX467" i="1"/>
  <c r="CB246" i="1"/>
  <c r="BX246" i="1"/>
  <c r="BX345" i="1"/>
  <c r="CB345" i="1"/>
  <c r="CB142" i="1"/>
  <c r="CC142" i="1" s="1"/>
  <c r="BX142" i="1"/>
  <c r="CB230" i="1"/>
  <c r="BX230" i="1"/>
  <c r="CB188" i="1"/>
  <c r="BX188" i="1"/>
  <c r="CB407" i="1"/>
  <c r="BX407" i="1"/>
  <c r="BX434" i="1"/>
  <c r="CB434" i="1"/>
  <c r="BX192" i="1"/>
  <c r="CB192" i="1"/>
  <c r="CB201" i="1"/>
  <c r="BX201" i="1"/>
  <c r="CB191" i="1"/>
  <c r="BX191" i="1"/>
  <c r="CB233" i="1"/>
  <c r="BX233" i="1"/>
  <c r="CB317" i="1"/>
  <c r="BX317" i="1"/>
  <c r="BX98" i="1"/>
  <c r="CB98" i="1"/>
  <c r="CC98" i="1" s="1"/>
  <c r="CB73" i="1"/>
  <c r="CC73" i="1" s="1"/>
  <c r="BX73" i="1"/>
  <c r="BX113" i="1"/>
  <c r="CB113" i="1"/>
  <c r="CC113" i="1" s="1"/>
  <c r="CB372" i="1"/>
  <c r="BX372" i="1"/>
  <c r="CB330" i="1"/>
  <c r="BX330" i="1"/>
  <c r="BX130" i="1"/>
  <c r="CB130" i="1"/>
  <c r="CC130" i="1" s="1"/>
  <c r="CB347" i="1"/>
  <c r="BX347" i="1"/>
  <c r="CB383" i="1"/>
  <c r="BX383" i="1"/>
  <c r="CB298" i="1"/>
  <c r="BX298" i="1"/>
  <c r="CB334" i="1"/>
  <c r="BX334" i="1"/>
  <c r="CB231" i="1"/>
  <c r="BX231" i="1"/>
  <c r="CB528" i="1"/>
  <c r="BX528" i="1"/>
  <c r="CB268" i="1"/>
  <c r="BX268" i="1"/>
  <c r="BX10" i="1"/>
  <c r="CB10" i="1"/>
  <c r="CC10" i="1" s="1"/>
  <c r="CB264" i="1"/>
  <c r="BX264" i="1"/>
  <c r="CB203" i="1"/>
  <c r="BX203" i="1"/>
  <c r="CB461" i="1"/>
  <c r="BX461" i="1"/>
  <c r="CB435" i="1"/>
  <c r="BX435" i="1"/>
  <c r="CB506" i="1"/>
  <c r="BX506" i="1"/>
  <c r="BX53" i="1"/>
  <c r="CB53" i="1"/>
  <c r="CC53" i="1" s="1"/>
  <c r="CB173" i="1"/>
  <c r="BX173" i="1"/>
  <c r="CB14" i="1"/>
  <c r="CC14" i="1" s="1"/>
  <c r="BX14" i="1"/>
  <c r="CB403" i="1"/>
  <c r="BX403" i="1"/>
  <c r="CB431" i="1"/>
  <c r="BX431" i="1"/>
  <c r="CB84" i="1"/>
  <c r="CC84" i="1" s="1"/>
  <c r="BX84" i="1"/>
  <c r="CB297" i="1"/>
  <c r="BX297" i="1"/>
  <c r="CB337" i="1"/>
  <c r="BX337" i="1"/>
  <c r="CB516" i="1"/>
  <c r="BX516" i="1"/>
  <c r="CB342" i="1"/>
  <c r="BX342" i="1"/>
  <c r="CB110" i="1"/>
  <c r="CC110" i="1" s="1"/>
  <c r="BX110" i="1"/>
  <c r="CB312" i="1"/>
  <c r="BX312" i="1"/>
  <c r="BX242" i="1"/>
  <c r="CB242" i="1"/>
  <c r="CB54" i="1"/>
  <c r="CC54" i="1" s="1"/>
  <c r="BX54" i="1"/>
  <c r="CB455" i="1"/>
  <c r="BX455" i="1"/>
  <c r="BX386" i="1"/>
  <c r="CB386" i="1"/>
  <c r="CB56" i="1"/>
  <c r="CC56" i="1" s="1"/>
  <c r="BX56" i="1"/>
  <c r="CB489" i="1"/>
  <c r="BX489" i="1"/>
  <c r="CB292" i="1"/>
  <c r="BX292" i="1"/>
  <c r="CB286" i="1"/>
  <c r="BX286" i="1"/>
  <c r="CB36" i="1"/>
  <c r="CC36" i="1" s="1"/>
  <c r="BX36" i="1"/>
  <c r="CB111" i="1"/>
  <c r="CC111" i="1" s="1"/>
  <c r="BX111" i="1"/>
  <c r="CB77" i="1"/>
  <c r="CC77" i="1" s="1"/>
  <c r="BX77" i="1"/>
  <c r="CB529" i="1"/>
  <c r="BX529" i="1"/>
  <c r="CB316" i="1"/>
  <c r="BX316" i="1"/>
  <c r="CB511" i="1"/>
  <c r="BX511" i="1"/>
  <c r="BX354" i="1"/>
  <c r="CB354" i="1"/>
  <c r="CB61" i="1"/>
  <c r="CC61" i="1" s="1"/>
  <c r="BX61" i="1"/>
  <c r="CB154" i="1"/>
  <c r="CC154" i="1" s="1"/>
  <c r="BX154" i="1"/>
  <c r="BX114" i="1"/>
  <c r="CB114" i="1"/>
  <c r="CC114" i="1" s="1"/>
  <c r="CB75" i="1"/>
  <c r="CC75" i="1" s="1"/>
  <c r="BX75" i="1"/>
  <c r="CB140" i="1"/>
  <c r="CC140" i="1" s="1"/>
  <c r="BX140" i="1"/>
  <c r="CB524" i="1"/>
  <c r="BX524" i="1"/>
  <c r="CB417" i="1"/>
  <c r="BX417" i="1"/>
  <c r="CB102" i="1"/>
  <c r="CC102" i="1" s="1"/>
  <c r="BX102" i="1"/>
  <c r="CB248" i="1"/>
  <c r="BX248" i="1"/>
  <c r="CB302" i="1"/>
  <c r="BX302" i="1"/>
  <c r="BX402" i="1"/>
  <c r="CB402" i="1"/>
  <c r="CB412" i="1"/>
  <c r="BX412" i="1"/>
  <c r="CB320" i="1"/>
  <c r="BX320" i="1"/>
  <c r="CB65" i="1"/>
  <c r="CC65" i="1" s="1"/>
  <c r="BX65" i="1"/>
  <c r="CB496" i="1"/>
  <c r="BX496" i="1"/>
  <c r="CB237" i="1"/>
  <c r="BX237" i="1"/>
  <c r="CB79" i="1"/>
  <c r="CC79" i="1" s="1"/>
  <c r="BX79" i="1"/>
  <c r="CB459" i="1"/>
  <c r="BX459" i="1"/>
  <c r="CB507" i="1"/>
  <c r="BX507" i="1"/>
  <c r="CB136" i="1"/>
  <c r="CC136" i="1" s="1"/>
  <c r="BX136" i="1"/>
  <c r="CB134" i="1"/>
  <c r="CC134" i="1" s="1"/>
  <c r="BX134" i="1"/>
  <c r="CB219" i="1"/>
  <c r="BX219" i="1"/>
  <c r="CB128" i="1"/>
  <c r="CC128" i="1" s="1"/>
  <c r="BX128" i="1"/>
  <c r="CB151" i="1"/>
  <c r="CC151" i="1" s="1"/>
  <c r="BX151" i="1"/>
  <c r="CB397" i="1"/>
  <c r="BX397" i="1"/>
  <c r="CB145" i="1"/>
  <c r="CC145" i="1" s="1"/>
  <c r="BX145" i="1"/>
  <c r="CB94" i="1"/>
  <c r="CC94" i="1" s="1"/>
  <c r="BX94" i="1"/>
  <c r="CB251" i="1"/>
  <c r="BX251" i="1"/>
  <c r="CB118" i="1"/>
  <c r="CC118" i="1" s="1"/>
  <c r="BX118" i="1"/>
  <c r="CB444" i="1"/>
  <c r="BX444" i="1"/>
  <c r="CB291" i="1"/>
  <c r="BX291" i="1"/>
  <c r="BX485" i="1"/>
  <c r="CB485" i="1"/>
  <c r="CB336" i="1"/>
  <c r="BX336" i="1"/>
  <c r="CB344" i="1"/>
  <c r="BX344" i="1"/>
  <c r="CB255" i="1"/>
  <c r="BX255" i="1"/>
  <c r="CB259" i="1"/>
  <c r="BX259" i="1"/>
  <c r="CB156" i="1"/>
  <c r="CC156" i="1" s="1"/>
  <c r="BX156" i="1"/>
  <c r="BX34" i="1"/>
  <c r="CB34" i="1"/>
  <c r="CC34" i="1" s="1"/>
  <c r="CB325" i="1"/>
  <c r="BX325" i="1"/>
  <c r="CB208" i="1"/>
  <c r="BX208" i="1"/>
  <c r="CB100" i="1"/>
  <c r="CC100" i="1" s="1"/>
  <c r="BX100" i="1"/>
  <c r="CB241" i="1"/>
  <c r="BX241" i="1"/>
  <c r="BX267" i="1"/>
  <c r="CB267" i="1"/>
  <c r="CB480" i="1"/>
  <c r="BX480" i="1"/>
  <c r="CB177" i="1"/>
  <c r="BX177" i="1"/>
  <c r="CB7" i="1"/>
  <c r="CC7" i="1" s="1"/>
  <c r="BX7" i="1"/>
  <c r="CB433" i="1"/>
  <c r="BX433" i="1"/>
  <c r="BX59" i="1"/>
  <c r="CB59" i="1"/>
  <c r="CC59" i="1" s="1"/>
  <c r="CB523" i="1"/>
  <c r="BX523" i="1"/>
  <c r="BX117" i="1"/>
  <c r="CB117" i="1"/>
  <c r="CC117" i="1" s="1"/>
  <c r="CB141" i="1"/>
  <c r="CC141" i="1" s="1"/>
  <c r="BX141" i="1"/>
  <c r="CB270" i="1"/>
  <c r="BX270" i="1"/>
  <c r="BX315" i="1"/>
  <c r="CB315" i="1"/>
  <c r="CB15" i="1"/>
  <c r="CC15" i="1" s="1"/>
  <c r="BX15" i="1"/>
  <c r="CB454" i="1"/>
  <c r="BX454" i="1"/>
  <c r="BX346" i="1"/>
  <c r="CB346" i="1"/>
  <c r="CB376" i="1"/>
  <c r="BX376" i="1"/>
  <c r="CB198" i="1"/>
  <c r="BX198" i="1"/>
  <c r="BX296" i="1"/>
  <c r="CB296" i="1"/>
  <c r="BX369" i="1"/>
  <c r="CB369" i="1"/>
  <c r="BX501" i="1"/>
  <c r="CB501" i="1"/>
  <c r="CB64" i="1"/>
  <c r="CC64" i="1" s="1"/>
  <c r="BX64" i="1"/>
  <c r="CB499" i="1"/>
  <c r="BX499" i="1"/>
  <c r="CB25" i="1"/>
  <c r="CC25" i="1" s="1"/>
  <c r="BX25" i="1"/>
  <c r="CB518" i="1"/>
  <c r="BX518" i="1"/>
  <c r="BX498" i="1"/>
  <c r="CB498" i="1"/>
  <c r="CB508" i="1"/>
  <c r="BX508" i="1"/>
  <c r="CB463" i="1"/>
  <c r="BX463" i="1"/>
  <c r="CB205" i="1"/>
  <c r="BX205" i="1"/>
  <c r="CB323" i="1"/>
  <c r="BX323" i="1"/>
  <c r="CB152" i="1"/>
  <c r="CC152" i="1" s="1"/>
  <c r="BX152" i="1"/>
  <c r="CB416" i="1"/>
  <c r="BX416" i="1"/>
  <c r="CB172" i="1"/>
  <c r="BX172" i="1"/>
  <c r="CB109" i="1"/>
  <c r="CC109" i="1" s="1"/>
  <c r="BX109" i="1"/>
  <c r="CB197" i="1"/>
  <c r="BX197" i="1"/>
  <c r="CB223" i="1"/>
  <c r="BX223" i="1"/>
  <c r="CB319" i="1"/>
  <c r="BX319" i="1"/>
  <c r="CB414" i="1"/>
  <c r="BX414" i="1"/>
  <c r="BX514" i="1"/>
  <c r="CB514" i="1"/>
  <c r="BX66" i="1"/>
  <c r="CB66" i="1"/>
  <c r="CC66" i="1" s="1"/>
  <c r="CB327" i="1"/>
  <c r="BX327" i="1"/>
  <c r="BX138" i="1"/>
  <c r="CB138" i="1"/>
  <c r="CC138" i="1" s="1"/>
  <c r="CB42" i="1"/>
  <c r="CC42" i="1" s="1"/>
  <c r="BX42" i="1"/>
  <c r="CB492" i="1"/>
  <c r="BX492" i="1"/>
  <c r="CB426" i="1"/>
  <c r="BX426" i="1"/>
  <c r="CB365" i="1"/>
  <c r="BX365" i="1"/>
  <c r="BX107" i="1"/>
  <c r="CB107" i="1"/>
  <c r="CC107" i="1" s="1"/>
  <c r="BX363" i="1"/>
  <c r="CB363" i="1"/>
  <c r="CB43" i="1"/>
  <c r="CC43" i="1" s="1"/>
  <c r="BX43" i="1"/>
  <c r="CB443" i="1"/>
  <c r="BX443" i="1"/>
  <c r="CB164" i="1"/>
  <c r="BX164" i="1"/>
  <c r="CB155" i="1"/>
  <c r="CC155" i="1" s="1"/>
  <c r="BX155" i="1"/>
  <c r="CB21" i="1"/>
  <c r="CC21" i="1" s="1"/>
  <c r="BX21" i="1"/>
  <c r="CB126" i="1"/>
  <c r="CC126" i="1" s="1"/>
  <c r="BX126" i="1"/>
  <c r="CB12" i="1"/>
  <c r="CC12" i="1" s="1"/>
  <c r="BX12" i="1"/>
  <c r="CB432" i="1"/>
  <c r="BX432" i="1"/>
  <c r="CB451" i="1"/>
  <c r="BX451" i="1"/>
  <c r="BX89" i="1"/>
  <c r="CB89" i="1"/>
  <c r="CC89" i="1" s="1"/>
  <c r="BX395" i="1"/>
  <c r="CB395" i="1"/>
  <c r="CB30" i="1"/>
  <c r="CC30" i="1" s="1"/>
  <c r="BX30" i="1"/>
  <c r="CB289" i="1"/>
  <c r="BX289" i="1"/>
  <c r="CB441" i="1"/>
  <c r="BX441" i="1"/>
  <c r="CB375" i="1"/>
  <c r="BX375" i="1"/>
  <c r="CB27" i="1"/>
  <c r="CC27" i="1" s="1"/>
  <c r="BX27" i="1"/>
  <c r="CB458" i="1"/>
  <c r="BX458" i="1"/>
  <c r="BX18" i="1"/>
  <c r="CB18" i="1"/>
  <c r="CC18" i="1" s="1"/>
  <c r="CB182" i="1"/>
  <c r="BX182" i="1"/>
  <c r="CB220" i="1"/>
  <c r="BX220" i="1"/>
  <c r="CB143" i="1"/>
  <c r="CC143" i="1" s="1"/>
  <c r="BX143" i="1"/>
  <c r="CB427" i="1"/>
  <c r="BX427" i="1"/>
  <c r="CB527" i="1"/>
  <c r="BX527" i="1"/>
  <c r="CB401" i="1"/>
  <c r="BX401" i="1"/>
  <c r="CB9" i="1"/>
  <c r="CC9" i="1" s="1"/>
  <c r="BX9" i="1"/>
  <c r="CB232" i="1"/>
  <c r="BX232" i="1"/>
  <c r="CB49" i="1"/>
  <c r="CC49" i="1" s="1"/>
  <c r="BX49" i="1"/>
  <c r="CB468" i="1"/>
  <c r="BX468" i="1"/>
  <c r="CB204" i="1"/>
  <c r="BX204" i="1"/>
  <c r="CB313" i="1"/>
  <c r="BX313" i="1"/>
  <c r="CB361" i="1"/>
  <c r="BX361" i="1"/>
  <c r="CB200" i="1"/>
  <c r="BX200" i="1"/>
  <c r="CB343" i="1"/>
  <c r="BX343" i="1"/>
  <c r="CB340" i="1"/>
  <c r="BX340" i="1"/>
  <c r="CB81" i="1"/>
  <c r="CC81" i="1" s="1"/>
  <c r="BX81" i="1"/>
  <c r="CB189" i="1"/>
  <c r="BX189" i="1"/>
  <c r="CB6" i="1"/>
  <c r="CC6" i="1" s="1"/>
  <c r="BX6" i="1"/>
  <c r="CB348" i="1"/>
  <c r="BX348" i="1"/>
  <c r="CB227" i="1"/>
  <c r="BX227" i="1"/>
  <c r="CB473" i="1"/>
  <c r="BX473" i="1"/>
  <c r="BX469" i="1"/>
  <c r="CB469" i="1"/>
  <c r="BX139" i="1"/>
  <c r="CB139" i="1"/>
  <c r="CC139" i="1" s="1"/>
  <c r="CB176" i="1"/>
  <c r="BX176" i="1"/>
  <c r="BX530" i="1"/>
  <c r="CB530" i="1"/>
  <c r="BX178" i="1"/>
  <c r="CB178" i="1"/>
  <c r="BX86" i="1"/>
  <c r="CB86" i="1"/>
  <c r="CC86" i="1" s="1"/>
  <c r="BX88" i="1"/>
  <c r="CB88" i="1"/>
  <c r="CC88" i="1" s="1"/>
  <c r="CB411" i="1"/>
  <c r="BX411" i="1"/>
  <c r="BX497" i="1"/>
  <c r="CB497" i="1"/>
  <c r="CB236" i="1"/>
  <c r="BX236" i="1"/>
  <c r="CB103" i="1"/>
  <c r="CC103" i="1" s="1"/>
  <c r="BX103" i="1"/>
  <c r="CB45" i="1"/>
  <c r="CC45" i="1" s="1"/>
  <c r="BX45" i="1"/>
  <c r="CB29" i="1"/>
  <c r="CC29" i="1" s="1"/>
  <c r="BX29" i="1"/>
  <c r="CB464" i="1"/>
  <c r="BX464" i="1"/>
  <c r="CB285" i="1"/>
  <c r="BX285" i="1"/>
  <c r="CB20" i="1"/>
  <c r="CC20" i="1" s="1"/>
  <c r="BX20" i="1"/>
  <c r="CB70" i="1"/>
  <c r="CC70" i="1" s="1"/>
  <c r="BX70" i="1"/>
  <c r="CB273" i="1"/>
  <c r="BX273" i="1"/>
  <c r="CB278" i="1"/>
  <c r="BX278" i="1"/>
  <c r="CB62" i="1"/>
  <c r="CC62" i="1" s="1"/>
  <c r="BX62" i="1"/>
  <c r="CB51" i="1"/>
  <c r="CC51" i="1" s="1"/>
  <c r="BX51" i="1"/>
  <c r="BX210" i="1"/>
  <c r="CB210" i="1"/>
  <c r="CB491" i="1"/>
  <c r="BX491" i="1"/>
  <c r="BX85" i="1"/>
  <c r="CB85" i="1"/>
  <c r="CC85" i="1" s="1"/>
  <c r="CB488" i="1"/>
  <c r="BX488" i="1"/>
  <c r="CB13" i="1"/>
  <c r="CC13" i="1" s="1"/>
  <c r="BX13" i="1"/>
  <c r="BX146" i="1"/>
  <c r="CB146" i="1"/>
  <c r="CC146" i="1" s="1"/>
  <c r="BX218" i="1"/>
  <c r="CB218" i="1"/>
  <c r="CB52" i="1"/>
  <c r="CC52" i="1" s="1"/>
  <c r="BX52" i="1"/>
  <c r="CB484" i="1"/>
  <c r="BX484" i="1"/>
  <c r="CB456" i="1"/>
  <c r="BX456" i="1"/>
  <c r="BX193" i="1"/>
  <c r="CB193" i="1"/>
  <c r="BX90" i="1"/>
  <c r="CB90" i="1"/>
  <c r="CC90" i="1" s="1"/>
  <c r="CB32" i="1"/>
  <c r="CC32" i="1" s="1"/>
  <c r="BX32" i="1"/>
  <c r="CB116" i="1"/>
  <c r="CC116" i="1" s="1"/>
  <c r="BX116" i="1"/>
  <c r="CB202" i="1"/>
  <c r="BX202" i="1"/>
  <c r="BX50" i="1"/>
  <c r="CB50" i="1"/>
  <c r="CC50" i="1" s="1"/>
  <c r="CB423" i="1"/>
  <c r="BX423" i="1"/>
  <c r="CB184" i="1"/>
  <c r="BX184" i="1"/>
  <c r="CB460" i="1"/>
  <c r="BX460" i="1"/>
  <c r="CB391" i="1"/>
  <c r="BX391" i="1"/>
  <c r="CB366" i="1"/>
  <c r="BX366" i="1"/>
  <c r="CB115" i="1"/>
  <c r="CC115" i="1" s="1"/>
  <c r="BX115" i="1"/>
  <c r="CB206" i="1"/>
  <c r="BX206" i="1"/>
  <c r="CB253" i="1"/>
  <c r="BX253" i="1"/>
  <c r="CB295" i="1"/>
  <c r="BX295" i="1"/>
  <c r="CB279" i="1"/>
  <c r="BX279" i="1"/>
  <c r="CB367" i="1"/>
  <c r="BX367" i="1"/>
  <c r="BX181" i="1"/>
  <c r="CB181" i="1"/>
  <c r="BX400" i="1"/>
  <c r="CB400" i="1"/>
  <c r="CB287" i="1"/>
  <c r="BX287" i="1"/>
  <c r="CB224" i="1"/>
  <c r="BX224" i="1"/>
  <c r="CB132" i="1"/>
  <c r="CC132" i="1" s="1"/>
  <c r="BX132" i="1"/>
  <c r="CB318" i="1"/>
  <c r="BX318" i="1"/>
  <c r="CB215" i="1"/>
  <c r="BX215" i="1"/>
  <c r="CB74" i="1"/>
  <c r="CC74" i="1" s="1"/>
  <c r="BX74" i="1"/>
  <c r="CB4" i="1"/>
  <c r="BX4" i="1"/>
  <c r="CB512" i="1"/>
  <c r="BX512" i="1"/>
  <c r="CB250" i="1"/>
  <c r="BX250" i="1"/>
  <c r="CB398" i="1"/>
  <c r="BX398" i="1"/>
  <c r="BX306" i="1"/>
  <c r="CB306" i="1"/>
  <c r="CB532" i="1"/>
  <c r="BX532" i="1"/>
  <c r="CB40" i="1"/>
  <c r="CC40" i="1" s="1"/>
  <c r="BX40" i="1"/>
  <c r="CB494" i="1"/>
  <c r="BX494" i="1"/>
  <c r="CB67" i="1"/>
  <c r="CC67" i="1" s="1"/>
  <c r="BX67" i="1"/>
  <c r="CB183" i="1"/>
  <c r="BX183" i="1"/>
  <c r="CB493" i="1"/>
  <c r="BX493" i="1"/>
  <c r="CB129" i="1"/>
  <c r="CC129" i="1" s="1"/>
  <c r="BX129" i="1"/>
  <c r="CB429" i="1"/>
  <c r="BX429" i="1"/>
  <c r="CB331" i="1"/>
  <c r="BX331" i="1"/>
  <c r="CB307" i="1"/>
  <c r="BX307" i="1"/>
  <c r="CB303" i="1"/>
  <c r="BX303" i="1"/>
  <c r="CB211" i="1"/>
  <c r="BX211" i="1"/>
  <c r="CB57" i="1"/>
  <c r="CC57" i="1" s="1"/>
  <c r="BX57" i="1"/>
  <c r="BX216" i="1"/>
  <c r="CB216" i="1"/>
  <c r="CB446" i="1"/>
  <c r="BX446" i="1"/>
  <c r="CB147" i="1"/>
  <c r="CC147" i="1" s="1"/>
  <c r="BX147" i="1"/>
  <c r="CB333" i="1"/>
  <c r="BX333" i="1"/>
  <c r="BX11" i="1"/>
  <c r="CB11" i="1"/>
  <c r="CC11" i="1" s="1"/>
  <c r="CB385" i="1"/>
  <c r="BX385" i="1"/>
  <c r="CB17" i="1"/>
  <c r="CC17" i="1" s="1"/>
  <c r="BX17" i="1"/>
  <c r="CB352" i="1"/>
  <c r="BX352" i="1"/>
  <c r="BX421" i="1"/>
  <c r="CB421" i="1"/>
  <c r="CB35" i="1"/>
  <c r="CC35" i="1" s="1"/>
  <c r="BX35" i="1"/>
  <c r="BX229" i="1"/>
  <c r="CB229" i="1"/>
  <c r="CB483" i="1"/>
  <c r="BX483" i="1"/>
  <c r="CB520" i="1"/>
  <c r="BX520" i="1"/>
  <c r="CB275" i="1"/>
  <c r="BX275" i="1"/>
  <c r="BX389" i="1"/>
  <c r="CB389" i="1"/>
  <c r="CB445" i="1"/>
  <c r="BX445" i="1"/>
  <c r="CB195" i="1"/>
  <c r="BX195" i="1"/>
  <c r="BX393" i="1"/>
  <c r="CB393" i="1"/>
  <c r="BX258" i="1"/>
  <c r="CB258" i="1"/>
  <c r="CB526" i="1"/>
  <c r="BX526" i="1"/>
  <c r="CB299" i="1"/>
  <c r="BX299" i="1"/>
  <c r="CB168" i="1"/>
  <c r="BX168" i="1"/>
  <c r="CB326" i="1"/>
  <c r="BX326" i="1"/>
  <c r="CB150" i="1"/>
  <c r="CC150" i="1" s="1"/>
  <c r="BX150" i="1"/>
  <c r="BX293" i="1"/>
  <c r="CB293" i="1"/>
  <c r="BX245" i="1"/>
  <c r="CB245" i="1"/>
  <c r="CB104" i="1"/>
  <c r="CC104" i="1" s="1"/>
  <c r="BX104" i="1"/>
  <c r="CB174" i="1"/>
  <c r="BX174" i="1"/>
  <c r="CB119" i="1"/>
  <c r="CC119" i="1" s="1"/>
  <c r="BX119" i="1"/>
  <c r="CB144" i="1"/>
  <c r="CC144" i="1" s="1"/>
  <c r="BX144" i="1"/>
  <c r="BX418" i="1"/>
  <c r="CB418" i="1"/>
  <c r="CB381" i="1"/>
  <c r="BX381" i="1"/>
  <c r="BX235" i="1"/>
  <c r="CB235" i="1"/>
  <c r="CB105" i="1"/>
  <c r="CC105" i="1" s="1"/>
  <c r="BX105" i="1"/>
  <c r="CB359" i="1"/>
  <c r="BX359" i="1"/>
  <c r="CB238" i="1"/>
  <c r="BX238" i="1"/>
  <c r="CB281" i="1"/>
  <c r="BX281" i="1"/>
  <c r="CB408" i="1"/>
  <c r="BX408" i="1"/>
  <c r="CB3" i="1"/>
  <c r="BX3" i="1"/>
  <c r="CB97" i="1"/>
  <c r="CC97" i="1" s="1"/>
  <c r="BX97" i="1"/>
  <c r="CB247" i="1"/>
  <c r="BX247" i="1"/>
  <c r="CB475" i="1"/>
  <c r="BX475" i="1"/>
  <c r="CB353" i="1"/>
  <c r="BX353" i="1"/>
  <c r="CB440" i="1"/>
  <c r="BX440" i="1"/>
  <c r="CB83" i="1"/>
  <c r="CC83" i="1" s="1"/>
  <c r="BX83" i="1"/>
  <c r="BX394" i="1"/>
  <c r="CB394" i="1"/>
  <c r="CB510" i="1"/>
  <c r="BX510" i="1"/>
  <c r="CB48" i="1"/>
  <c r="CC48" i="1" s="1"/>
  <c r="BX48" i="1"/>
  <c r="CB24" i="1"/>
  <c r="CC24" i="1" s="1"/>
  <c r="BX24" i="1"/>
  <c r="BX309" i="1"/>
  <c r="CB309" i="1"/>
  <c r="CB477" i="1"/>
  <c r="BX477" i="1"/>
  <c r="CB311" i="1"/>
  <c r="BX311" i="1"/>
  <c r="BX165" i="1"/>
  <c r="CB165" i="1"/>
  <c r="BX522" i="1"/>
  <c r="CB522" i="1"/>
  <c r="CB283" i="1"/>
  <c r="BX283" i="1"/>
  <c r="CB137" i="1"/>
  <c r="CC137" i="1" s="1"/>
  <c r="BX137" i="1"/>
  <c r="BM15" i="1"/>
  <c r="BL19" i="1"/>
  <c r="BG168" i="1"/>
  <c r="AJ170" i="1"/>
  <c r="AL170" i="1" s="1"/>
  <c r="AF170" i="1"/>
  <c r="AC170" i="1"/>
  <c r="AO169" i="1"/>
  <c r="AP169" i="1" s="1"/>
  <c r="AT169" i="1" s="1"/>
  <c r="BZ164" i="1" l="1"/>
  <c r="CC164" i="1" s="1"/>
  <c r="CC5" i="1"/>
  <c r="CD4" i="1"/>
  <c r="CC4" i="1"/>
  <c r="BK9" i="1"/>
  <c r="BE169" i="1"/>
  <c r="BF169" i="1" s="1"/>
  <c r="BG169" i="1" s="1"/>
  <c r="AW169" i="1"/>
  <c r="AX169" i="1" a="1"/>
  <c r="AX169" i="1" s="1"/>
  <c r="AO170" i="1"/>
  <c r="AP170" i="1" s="1"/>
  <c r="AT170" i="1"/>
  <c r="BZ165" i="1" l="1"/>
  <c r="CC165" i="1" s="1"/>
  <c r="CD5" i="1"/>
  <c r="CD6" i="1" s="1"/>
  <c r="CD7" i="1" s="1"/>
  <c r="CD8" i="1" s="1"/>
  <c r="CD9" i="1" s="1"/>
  <c r="CD10" i="1" s="1"/>
  <c r="CD11" i="1" s="1"/>
  <c r="CD12" i="1" s="1"/>
  <c r="CD13" i="1" s="1"/>
  <c r="CD14" i="1" s="1"/>
  <c r="CD15" i="1" s="1"/>
  <c r="CD16" i="1" s="1"/>
  <c r="CD17" i="1" s="1"/>
  <c r="CD18" i="1" s="1"/>
  <c r="CD19" i="1" s="1"/>
  <c r="CD20" i="1" s="1"/>
  <c r="CD21" i="1" s="1"/>
  <c r="CD22" i="1" s="1"/>
  <c r="CD23" i="1" s="1"/>
  <c r="CD24" i="1" s="1"/>
  <c r="CD25" i="1" s="1"/>
  <c r="CD26" i="1" s="1"/>
  <c r="CD27" i="1" s="1"/>
  <c r="CD28" i="1" s="1"/>
  <c r="CD29" i="1" s="1"/>
  <c r="CD30" i="1" s="1"/>
  <c r="CD31" i="1" s="1"/>
  <c r="CD32" i="1" s="1"/>
  <c r="CD33" i="1" s="1"/>
  <c r="CD34" i="1" s="1"/>
  <c r="CD35" i="1" s="1"/>
  <c r="CD36" i="1" s="1"/>
  <c r="CD37" i="1" s="1"/>
  <c r="CD38" i="1" s="1"/>
  <c r="CD39" i="1" s="1"/>
  <c r="CD40" i="1" s="1"/>
  <c r="CD41" i="1" s="1"/>
  <c r="CD42" i="1" s="1"/>
  <c r="CD43" i="1" s="1"/>
  <c r="CD44" i="1" s="1"/>
  <c r="CD45" i="1" s="1"/>
  <c r="CD46" i="1" s="1"/>
  <c r="CD47" i="1" s="1"/>
  <c r="CD48" i="1" s="1"/>
  <c r="CD49" i="1" s="1"/>
  <c r="CD50" i="1" s="1"/>
  <c r="CD51" i="1" s="1"/>
  <c r="CD52" i="1" s="1"/>
  <c r="CD53" i="1" s="1"/>
  <c r="CD54" i="1" s="1"/>
  <c r="CD55" i="1" s="1"/>
  <c r="CD56" i="1" s="1"/>
  <c r="CD57" i="1" s="1"/>
  <c r="CD58" i="1" s="1"/>
  <c r="CD59" i="1" s="1"/>
  <c r="CD60" i="1" s="1"/>
  <c r="CD61" i="1" s="1"/>
  <c r="CD62" i="1" s="1"/>
  <c r="CD63" i="1" s="1"/>
  <c r="CD64" i="1" s="1"/>
  <c r="CD65" i="1" s="1"/>
  <c r="CD66" i="1" s="1"/>
  <c r="CD67" i="1" s="1"/>
  <c r="CD68" i="1" s="1"/>
  <c r="CD69" i="1" s="1"/>
  <c r="CD70" i="1" s="1"/>
  <c r="CD71" i="1" s="1"/>
  <c r="CD72" i="1" s="1"/>
  <c r="CD73" i="1" s="1"/>
  <c r="CD74" i="1" s="1"/>
  <c r="CD75" i="1" s="1"/>
  <c r="CD76" i="1" s="1"/>
  <c r="CD77" i="1" s="1"/>
  <c r="CD78" i="1" s="1"/>
  <c r="CD79" i="1" s="1"/>
  <c r="CD80" i="1" s="1"/>
  <c r="CD81" i="1" s="1"/>
  <c r="CD82" i="1" s="1"/>
  <c r="CD83" i="1" s="1"/>
  <c r="CD84" i="1" s="1"/>
  <c r="CD85" i="1" s="1"/>
  <c r="CD86" i="1" s="1"/>
  <c r="CD87" i="1" s="1"/>
  <c r="CD88" i="1" s="1"/>
  <c r="CD89" i="1" s="1"/>
  <c r="CD90" i="1" s="1"/>
  <c r="CD91" i="1" s="1"/>
  <c r="CD92" i="1" s="1"/>
  <c r="CD93" i="1" s="1"/>
  <c r="CD94" i="1" s="1"/>
  <c r="CD95" i="1" s="1"/>
  <c r="CD96" i="1" s="1"/>
  <c r="CD97" i="1" s="1"/>
  <c r="CD98" i="1" s="1"/>
  <c r="CD99" i="1" s="1"/>
  <c r="CD100" i="1" s="1"/>
  <c r="CD101" i="1" s="1"/>
  <c r="CD102" i="1" s="1"/>
  <c r="CD103" i="1" s="1"/>
  <c r="CD104" i="1" s="1"/>
  <c r="CD105" i="1" s="1"/>
  <c r="CD106" i="1" s="1"/>
  <c r="CD107" i="1" s="1"/>
  <c r="CD108" i="1" s="1"/>
  <c r="CD109" i="1" s="1"/>
  <c r="CD110" i="1" s="1"/>
  <c r="CD111" i="1" s="1"/>
  <c r="CD112" i="1" s="1"/>
  <c r="CD113" i="1" s="1"/>
  <c r="CD114" i="1" s="1"/>
  <c r="CD115" i="1" s="1"/>
  <c r="CD116" i="1" s="1"/>
  <c r="CD117" i="1" s="1"/>
  <c r="CD118" i="1" s="1"/>
  <c r="CD119" i="1" s="1"/>
  <c r="CD120" i="1" s="1"/>
  <c r="CD121" i="1" s="1"/>
  <c r="CD122" i="1" s="1"/>
  <c r="CD123" i="1" s="1"/>
  <c r="CD124" i="1" s="1"/>
  <c r="CD125" i="1" s="1"/>
  <c r="CD126" i="1" s="1"/>
  <c r="CD127" i="1" s="1"/>
  <c r="CD128" i="1" s="1"/>
  <c r="CD129" i="1" s="1"/>
  <c r="CD130" i="1" s="1"/>
  <c r="CD131" i="1" s="1"/>
  <c r="CD132" i="1" s="1"/>
  <c r="CD133" i="1" s="1"/>
  <c r="CD134" i="1" s="1"/>
  <c r="CD135" i="1" s="1"/>
  <c r="CD136" i="1" s="1"/>
  <c r="CD137" i="1" s="1"/>
  <c r="CD138" i="1" s="1"/>
  <c r="CD139" i="1" s="1"/>
  <c r="CD140" i="1" s="1"/>
  <c r="CD141" i="1" s="1"/>
  <c r="CD142" i="1" s="1"/>
  <c r="CD143" i="1" s="1"/>
  <c r="CD144" i="1" s="1"/>
  <c r="CD145" i="1" s="1"/>
  <c r="CD146" i="1" s="1"/>
  <c r="CD147" i="1" s="1"/>
  <c r="CD148" i="1" s="1"/>
  <c r="CD149" i="1" s="1"/>
  <c r="CD150" i="1" s="1"/>
  <c r="CD151" i="1" s="1"/>
  <c r="CD152" i="1" s="1"/>
  <c r="CD153" i="1" s="1"/>
  <c r="CD154" i="1" s="1"/>
  <c r="CD155" i="1" s="1"/>
  <c r="CD156" i="1" s="1"/>
  <c r="CD157" i="1" s="1"/>
  <c r="CD158" i="1" s="1"/>
  <c r="CD159" i="1" s="1"/>
  <c r="CD160" i="1" s="1"/>
  <c r="CD161" i="1" s="1"/>
  <c r="CD162" i="1" s="1"/>
  <c r="CD163" i="1" s="1"/>
  <c r="CD164" i="1" s="1"/>
  <c r="CD165" i="1" s="1"/>
  <c r="CD166" i="1" s="1"/>
  <c r="CD167" i="1" s="1"/>
  <c r="CD168" i="1" s="1"/>
  <c r="CD169" i="1" s="1"/>
  <c r="CD170" i="1" s="1"/>
  <c r="CD171" i="1" s="1"/>
  <c r="CD172" i="1" s="1"/>
  <c r="CD173" i="1" s="1"/>
  <c r="CD174" i="1" s="1"/>
  <c r="CD175" i="1" s="1"/>
  <c r="CD176" i="1" s="1"/>
  <c r="CD177" i="1" s="1"/>
  <c r="CD178" i="1" s="1"/>
  <c r="CD179" i="1" s="1"/>
  <c r="CD180" i="1" s="1"/>
  <c r="CD181" i="1" s="1"/>
  <c r="CD182" i="1" s="1"/>
  <c r="CD183" i="1" s="1"/>
  <c r="CD184" i="1" s="1"/>
  <c r="CD185" i="1" s="1"/>
  <c r="CD186" i="1" s="1"/>
  <c r="CD187" i="1" s="1"/>
  <c r="CD188" i="1" s="1"/>
  <c r="CD189" i="1" s="1"/>
  <c r="CD190" i="1" s="1"/>
  <c r="CD191" i="1" s="1"/>
  <c r="CD192" i="1" s="1"/>
  <c r="CD193" i="1" s="1"/>
  <c r="CD194" i="1" s="1"/>
  <c r="CD195" i="1" s="1"/>
  <c r="CD196" i="1" s="1"/>
  <c r="CD197" i="1" s="1"/>
  <c r="CD198" i="1" s="1"/>
  <c r="CD199" i="1" s="1"/>
  <c r="CD200" i="1" s="1"/>
  <c r="CD201" i="1" s="1"/>
  <c r="CD202" i="1" s="1"/>
  <c r="CD203" i="1" s="1"/>
  <c r="CD204" i="1" s="1"/>
  <c r="CD205" i="1" s="1"/>
  <c r="CD206" i="1" s="1"/>
  <c r="CD207" i="1" s="1"/>
  <c r="CD208" i="1" s="1"/>
  <c r="CD209" i="1" s="1"/>
  <c r="CD210" i="1" s="1"/>
  <c r="CD211" i="1" s="1"/>
  <c r="CD212" i="1" s="1"/>
  <c r="CD213" i="1" s="1"/>
  <c r="CD214" i="1" s="1"/>
  <c r="CD215" i="1" s="1"/>
  <c r="CD216" i="1" s="1"/>
  <c r="CD217" i="1" s="1"/>
  <c r="CD218" i="1" s="1"/>
  <c r="CD219" i="1" s="1"/>
  <c r="CD220" i="1" s="1"/>
  <c r="CD221" i="1" s="1"/>
  <c r="CD222" i="1" s="1"/>
  <c r="CD223" i="1" s="1"/>
  <c r="CD224" i="1" s="1"/>
  <c r="CD225" i="1" s="1"/>
  <c r="CD226" i="1" s="1"/>
  <c r="CD227" i="1" s="1"/>
  <c r="CD228" i="1" s="1"/>
  <c r="CD229" i="1" s="1"/>
  <c r="CD230" i="1" s="1"/>
  <c r="CD231" i="1" s="1"/>
  <c r="CD232" i="1" s="1"/>
  <c r="CD233" i="1" s="1"/>
  <c r="CD234" i="1" s="1"/>
  <c r="CD235" i="1" s="1"/>
  <c r="CD236" i="1" s="1"/>
  <c r="CD237" i="1" s="1"/>
  <c r="CD238" i="1" s="1"/>
  <c r="CD239" i="1" s="1"/>
  <c r="CD240" i="1" s="1"/>
  <c r="CD241" i="1" s="1"/>
  <c r="CD242" i="1" s="1"/>
  <c r="CD243" i="1" s="1"/>
  <c r="CD244" i="1" s="1"/>
  <c r="CD245" i="1" s="1"/>
  <c r="CD246" i="1" s="1"/>
  <c r="CD247" i="1" s="1"/>
  <c r="CD248" i="1" s="1"/>
  <c r="CD249" i="1" s="1"/>
  <c r="CD250" i="1" s="1"/>
  <c r="CD251" i="1" s="1"/>
  <c r="CD252" i="1" s="1"/>
  <c r="CD253" i="1" s="1"/>
  <c r="CD254" i="1" s="1"/>
  <c r="CD255" i="1" s="1"/>
  <c r="CD256" i="1" s="1"/>
  <c r="CD257" i="1" s="1"/>
  <c r="CD258" i="1" s="1"/>
  <c r="CD259" i="1" s="1"/>
  <c r="CD260" i="1" s="1"/>
  <c r="CD261" i="1" s="1"/>
  <c r="CD262" i="1" s="1"/>
  <c r="CD263" i="1" s="1"/>
  <c r="CD264" i="1" s="1"/>
  <c r="CD265" i="1" s="1"/>
  <c r="CD266" i="1" s="1"/>
  <c r="CD267" i="1" s="1"/>
  <c r="CD268" i="1" s="1"/>
  <c r="CD269" i="1" s="1"/>
  <c r="CD270" i="1" s="1"/>
  <c r="CD271" i="1" s="1"/>
  <c r="CD272" i="1" s="1"/>
  <c r="CD273" i="1" s="1"/>
  <c r="CD274" i="1" s="1"/>
  <c r="CD275" i="1" s="1"/>
  <c r="CD276" i="1" s="1"/>
  <c r="CD277" i="1" s="1"/>
  <c r="CD278" i="1" s="1"/>
  <c r="CD279" i="1" s="1"/>
  <c r="CD280" i="1" s="1"/>
  <c r="CD281" i="1" s="1"/>
  <c r="CD282" i="1" s="1"/>
  <c r="CD283" i="1" s="1"/>
  <c r="CD284" i="1" s="1"/>
  <c r="CD285" i="1" s="1"/>
  <c r="CD286" i="1" s="1"/>
  <c r="CD287" i="1" s="1"/>
  <c r="CD288" i="1" s="1"/>
  <c r="CD289" i="1" s="1"/>
  <c r="CD290" i="1" s="1"/>
  <c r="CD291" i="1" s="1"/>
  <c r="CD292" i="1" s="1"/>
  <c r="CD293" i="1" s="1"/>
  <c r="CD294" i="1" s="1"/>
  <c r="CD295" i="1" s="1"/>
  <c r="CD296" i="1" s="1"/>
  <c r="CD297" i="1" s="1"/>
  <c r="CD298" i="1" s="1"/>
  <c r="CD299" i="1" s="1"/>
  <c r="CD300" i="1" s="1"/>
  <c r="CD301" i="1" s="1"/>
  <c r="CD302" i="1" s="1"/>
  <c r="CD303" i="1" s="1"/>
  <c r="CD304" i="1" s="1"/>
  <c r="CD305" i="1" s="1"/>
  <c r="CD306" i="1" s="1"/>
  <c r="CD307" i="1" s="1"/>
  <c r="CD308" i="1" s="1"/>
  <c r="CD309" i="1" s="1"/>
  <c r="CD310" i="1" s="1"/>
  <c r="CD311" i="1" s="1"/>
  <c r="CD312" i="1" s="1"/>
  <c r="CD313" i="1" s="1"/>
  <c r="CD314" i="1" s="1"/>
  <c r="CD315" i="1" s="1"/>
  <c r="CD316" i="1" s="1"/>
  <c r="CD317" i="1" s="1"/>
  <c r="CD318" i="1" s="1"/>
  <c r="CD319" i="1" s="1"/>
  <c r="CD320" i="1" s="1"/>
  <c r="CD321" i="1" s="1"/>
  <c r="CD322" i="1" s="1"/>
  <c r="CD323" i="1" s="1"/>
  <c r="CD324" i="1" s="1"/>
  <c r="CD325" i="1" s="1"/>
  <c r="CD326" i="1" s="1"/>
  <c r="CD327" i="1" s="1"/>
  <c r="CD328" i="1" s="1"/>
  <c r="CD329" i="1" s="1"/>
  <c r="CD330" i="1" s="1"/>
  <c r="CD331" i="1" s="1"/>
  <c r="CD332" i="1" s="1"/>
  <c r="CD333" i="1" s="1"/>
  <c r="CD334" i="1" s="1"/>
  <c r="CD335" i="1" s="1"/>
  <c r="CD336" i="1" s="1"/>
  <c r="CD337" i="1" s="1"/>
  <c r="CD338" i="1" s="1"/>
  <c r="CD339" i="1" s="1"/>
  <c r="CD340" i="1" s="1"/>
  <c r="CD341" i="1" s="1"/>
  <c r="CD342" i="1" s="1"/>
  <c r="CD343" i="1" s="1"/>
  <c r="CD344" i="1" s="1"/>
  <c r="CD345" i="1" s="1"/>
  <c r="CD346" i="1" s="1"/>
  <c r="CD347" i="1" s="1"/>
  <c r="CD348" i="1" s="1"/>
  <c r="CD349" i="1" s="1"/>
  <c r="CD350" i="1" s="1"/>
  <c r="CD351" i="1" s="1"/>
  <c r="CD352" i="1" s="1"/>
  <c r="CD353" i="1" s="1"/>
  <c r="CD354" i="1" s="1"/>
  <c r="CD355" i="1" s="1"/>
  <c r="CD356" i="1" s="1"/>
  <c r="CD357" i="1" s="1"/>
  <c r="CD358" i="1" s="1"/>
  <c r="CD359" i="1" s="1"/>
  <c r="CD360" i="1" s="1"/>
  <c r="CD361" i="1" s="1"/>
  <c r="CD362" i="1" s="1"/>
  <c r="CD363" i="1" s="1"/>
  <c r="CD364" i="1" s="1"/>
  <c r="CD365" i="1" s="1"/>
  <c r="CD366" i="1" s="1"/>
  <c r="CD367" i="1" s="1"/>
  <c r="CD368" i="1" s="1"/>
  <c r="CD369" i="1" s="1"/>
  <c r="CD370" i="1" s="1"/>
  <c r="CD371" i="1" s="1"/>
  <c r="CD372" i="1" s="1"/>
  <c r="CD373" i="1" s="1"/>
  <c r="CD374" i="1" s="1"/>
  <c r="CD375" i="1" s="1"/>
  <c r="CD376" i="1" s="1"/>
  <c r="CD377" i="1" s="1"/>
  <c r="CD378" i="1" s="1"/>
  <c r="CD379" i="1" s="1"/>
  <c r="CD380" i="1" s="1"/>
  <c r="CD381" i="1" s="1"/>
  <c r="CD382" i="1" s="1"/>
  <c r="CD383" i="1" s="1"/>
  <c r="CD384" i="1" s="1"/>
  <c r="CD385" i="1" s="1"/>
  <c r="CD386" i="1" s="1"/>
  <c r="CD387" i="1" s="1"/>
  <c r="CD388" i="1" s="1"/>
  <c r="CD389" i="1" s="1"/>
  <c r="CD390" i="1" s="1"/>
  <c r="CD391" i="1" s="1"/>
  <c r="CD392" i="1" s="1"/>
  <c r="CD393" i="1" s="1"/>
  <c r="CD394" i="1" s="1"/>
  <c r="CD395" i="1" s="1"/>
  <c r="CD396" i="1" s="1"/>
  <c r="CD397" i="1" s="1"/>
  <c r="CD398" i="1" s="1"/>
  <c r="CD399" i="1" s="1"/>
  <c r="CD400" i="1" s="1"/>
  <c r="CD401" i="1" s="1"/>
  <c r="CD402" i="1" s="1"/>
  <c r="CD403" i="1" s="1"/>
  <c r="CD404" i="1" s="1"/>
  <c r="CD405" i="1" s="1"/>
  <c r="CD406" i="1" s="1"/>
  <c r="CD407" i="1" s="1"/>
  <c r="CD408" i="1" s="1"/>
  <c r="CD409" i="1" s="1"/>
  <c r="CD410" i="1" s="1"/>
  <c r="CD411" i="1" s="1"/>
  <c r="CD412" i="1" s="1"/>
  <c r="CD413" i="1" s="1"/>
  <c r="CD414" i="1" s="1"/>
  <c r="CD415" i="1" s="1"/>
  <c r="CD416" i="1" s="1"/>
  <c r="CD417" i="1" s="1"/>
  <c r="CD418" i="1" s="1"/>
  <c r="CD419" i="1" s="1"/>
  <c r="CD420" i="1" s="1"/>
  <c r="CD421" i="1" s="1"/>
  <c r="CD422" i="1" s="1"/>
  <c r="CD423" i="1" s="1"/>
  <c r="CD424" i="1" s="1"/>
  <c r="CD425" i="1" s="1"/>
  <c r="CD426" i="1" s="1"/>
  <c r="CD427" i="1" s="1"/>
  <c r="CD428" i="1" s="1"/>
  <c r="CD429" i="1" s="1"/>
  <c r="CD430" i="1" s="1"/>
  <c r="CD431" i="1" s="1"/>
  <c r="CD432" i="1" s="1"/>
  <c r="CD433" i="1" s="1"/>
  <c r="CD434" i="1" s="1"/>
  <c r="CD435" i="1" s="1"/>
  <c r="CD436" i="1" s="1"/>
  <c r="CD437" i="1" s="1"/>
  <c r="CD438" i="1" s="1"/>
  <c r="CD439" i="1" s="1"/>
  <c r="CD440" i="1" s="1"/>
  <c r="CD441" i="1" s="1"/>
  <c r="CD442" i="1" s="1"/>
  <c r="CD443" i="1" s="1"/>
  <c r="CD444" i="1" s="1"/>
  <c r="CD445" i="1" s="1"/>
  <c r="CD446" i="1" s="1"/>
  <c r="CD447" i="1" s="1"/>
  <c r="CD448" i="1" s="1"/>
  <c r="CD449" i="1" s="1"/>
  <c r="CD450" i="1" s="1"/>
  <c r="CD451" i="1" s="1"/>
  <c r="CD452" i="1" s="1"/>
  <c r="CD453" i="1" s="1"/>
  <c r="CD454" i="1" s="1"/>
  <c r="CD455" i="1" s="1"/>
  <c r="CD456" i="1" s="1"/>
  <c r="CD457" i="1" s="1"/>
  <c r="CD458" i="1" s="1"/>
  <c r="CD459" i="1" s="1"/>
  <c r="CD460" i="1" s="1"/>
  <c r="CD461" i="1" s="1"/>
  <c r="CD462" i="1" s="1"/>
  <c r="CD463" i="1" s="1"/>
  <c r="CD464" i="1" s="1"/>
  <c r="CD465" i="1" s="1"/>
  <c r="CD466" i="1" s="1"/>
  <c r="CD467" i="1" s="1"/>
  <c r="CD468" i="1" s="1"/>
  <c r="CD469" i="1" s="1"/>
  <c r="CD470" i="1" s="1"/>
  <c r="CD471" i="1" s="1"/>
  <c r="CD472" i="1" s="1"/>
  <c r="CD473" i="1" s="1"/>
  <c r="CD474" i="1" s="1"/>
  <c r="CD475" i="1" s="1"/>
  <c r="CD476" i="1" s="1"/>
  <c r="CD477" i="1" s="1"/>
  <c r="CD478" i="1" s="1"/>
  <c r="CD479" i="1" s="1"/>
  <c r="CD480" i="1" s="1"/>
  <c r="CD481" i="1" s="1"/>
  <c r="CD482" i="1" s="1"/>
  <c r="CD483" i="1" s="1"/>
  <c r="CD484" i="1" s="1"/>
  <c r="CD485" i="1" s="1"/>
  <c r="CD486" i="1" s="1"/>
  <c r="CD487" i="1" s="1"/>
  <c r="CD488" i="1" s="1"/>
  <c r="CD489" i="1" s="1"/>
  <c r="CD490" i="1" s="1"/>
  <c r="CD491" i="1" s="1"/>
  <c r="CD492" i="1" s="1"/>
  <c r="CD493" i="1" s="1"/>
  <c r="CD494" i="1" s="1"/>
  <c r="CD495" i="1" s="1"/>
  <c r="CD496" i="1" s="1"/>
  <c r="CD497" i="1" s="1"/>
  <c r="CD498" i="1" s="1"/>
  <c r="CD499" i="1" s="1"/>
  <c r="CD500" i="1" s="1"/>
  <c r="CD501" i="1" s="1"/>
  <c r="CD502" i="1" s="1"/>
  <c r="CD503" i="1" s="1"/>
  <c r="CD504" i="1" s="1"/>
  <c r="CD505" i="1" s="1"/>
  <c r="CD506" i="1" s="1"/>
  <c r="CD507" i="1" s="1"/>
  <c r="CD508" i="1" s="1"/>
  <c r="CD509" i="1" s="1"/>
  <c r="CD510" i="1" s="1"/>
  <c r="CD511" i="1" s="1"/>
  <c r="CD512" i="1" s="1"/>
  <c r="CD513" i="1" s="1"/>
  <c r="CD514" i="1" s="1"/>
  <c r="CD515" i="1" s="1"/>
  <c r="CD516" i="1" s="1"/>
  <c r="CD517" i="1" s="1"/>
  <c r="CD518" i="1" s="1"/>
  <c r="CD519" i="1" s="1"/>
  <c r="CD520" i="1" s="1"/>
  <c r="CD521" i="1" s="1"/>
  <c r="CD522" i="1" s="1"/>
  <c r="CD523" i="1" s="1"/>
  <c r="CD524" i="1" s="1"/>
  <c r="CD525" i="1" s="1"/>
  <c r="CD526" i="1" s="1"/>
  <c r="CD527" i="1" s="1"/>
  <c r="CD528" i="1" s="1"/>
  <c r="CD529" i="1" s="1"/>
  <c r="CD530" i="1" s="1"/>
  <c r="CD531" i="1" s="1"/>
  <c r="CD532" i="1" s="1"/>
  <c r="CD533" i="1" s="1"/>
  <c r="CD534" i="1" s="1"/>
  <c r="BE170" i="1"/>
  <c r="BF170" i="1" s="1"/>
  <c r="BG170" i="1" s="1"/>
  <c r="AW170" i="1"/>
  <c r="AX170" i="1" a="1"/>
  <c r="AX170" i="1" s="1"/>
  <c r="AJ171" i="1"/>
  <c r="AL171" i="1" s="1"/>
  <c r="AC171" i="1"/>
  <c r="AF171" i="1"/>
  <c r="BZ166" i="1" l="1"/>
  <c r="CC166" i="1" s="1"/>
  <c r="AO171" i="1"/>
  <c r="AP171" i="1" s="1"/>
  <c r="AT171" i="1"/>
  <c r="D6" i="12" l="1"/>
  <c r="D11" i="12" s="1"/>
  <c r="D12" i="12" s="1"/>
  <c r="BZ167" i="1"/>
  <c r="CC167" i="1" s="1"/>
  <c r="AX171" i="1" a="1"/>
  <c r="AX171" i="1" s="1"/>
  <c r="BE171" i="1"/>
  <c r="BF171" i="1" s="1"/>
  <c r="BG171" i="1" s="1"/>
  <c r="AW171" i="1"/>
  <c r="AJ172" i="1"/>
  <c r="AL172" i="1" s="1"/>
  <c r="AF172" i="1"/>
  <c r="AC172" i="1"/>
  <c r="BZ168" i="1" l="1"/>
  <c r="CC168" i="1" s="1"/>
  <c r="AO172" i="1"/>
  <c r="AP172" i="1" s="1"/>
  <c r="AT172" i="1" s="1"/>
  <c r="AF180" i="1"/>
  <c r="BZ169" i="1" l="1"/>
  <c r="CC169" i="1" s="1"/>
  <c r="AX172" i="1" a="1"/>
  <c r="AX172" i="1" s="1"/>
  <c r="BE172" i="1"/>
  <c r="BF172" i="1" s="1"/>
  <c r="BG172" i="1" s="1"/>
  <c r="AW172" i="1"/>
  <c r="AJ173" i="1"/>
  <c r="AL173" i="1" s="1"/>
  <c r="AC173" i="1"/>
  <c r="AF173" i="1"/>
  <c r="AC181" i="1"/>
  <c r="AF181" i="1"/>
  <c r="BZ170" i="1" l="1"/>
  <c r="CC170" i="1" s="1"/>
  <c r="AO181" i="1"/>
  <c r="AP181" i="1" s="1"/>
  <c r="AT181" i="1" s="1"/>
  <c r="AO173" i="1"/>
  <c r="AP173" i="1" s="1"/>
  <c r="AT173" i="1" s="1"/>
  <c r="BZ171" i="1" l="1"/>
  <c r="CC171" i="1" s="1"/>
  <c r="AX173" i="1" a="1"/>
  <c r="AX173" i="1" s="1"/>
  <c r="BE173" i="1"/>
  <c r="BF173" i="1" s="1"/>
  <c r="BG173" i="1" s="1"/>
  <c r="AW173" i="1"/>
  <c r="BE181" i="1"/>
  <c r="BF181" i="1" s="1"/>
  <c r="AX181" i="1" a="1"/>
  <c r="AX181" i="1" s="1"/>
  <c r="AW181" i="1"/>
  <c r="AJ174" i="1"/>
  <c r="AL174" i="1" s="1"/>
  <c r="AF174" i="1"/>
  <c r="AC174" i="1"/>
  <c r="AF182" i="1"/>
  <c r="AC182" i="1"/>
  <c r="BZ172" i="1" l="1"/>
  <c r="CC172" i="1" s="1"/>
  <c r="AO182" i="1"/>
  <c r="AP182" i="1" s="1"/>
  <c r="AT182" i="1" s="1"/>
  <c r="AO174" i="1"/>
  <c r="AP174" i="1" s="1"/>
  <c r="AT174" i="1" s="1"/>
  <c r="AC183" i="1"/>
  <c r="AF183" i="1"/>
  <c r="BZ173" i="1" l="1"/>
  <c r="CC173" i="1" s="1"/>
  <c r="AX174" i="1" a="1"/>
  <c r="AX174" i="1" s="1"/>
  <c r="BE174" i="1"/>
  <c r="BF174" i="1" s="1"/>
  <c r="BG174" i="1" s="1"/>
  <c r="AW174" i="1"/>
  <c r="BE182" i="1"/>
  <c r="BF182" i="1" s="1"/>
  <c r="AX182" i="1" a="1"/>
  <c r="AX182" i="1" s="1"/>
  <c r="AW182" i="1"/>
  <c r="AO183" i="1"/>
  <c r="AP183" i="1" s="1"/>
  <c r="AT183" i="1"/>
  <c r="AJ175" i="1"/>
  <c r="AL175" i="1" s="1"/>
  <c r="AC175" i="1"/>
  <c r="AF175" i="1"/>
  <c r="BZ174" i="1" l="1"/>
  <c r="CC174" i="1" s="1"/>
  <c r="BE183" i="1"/>
  <c r="BF183" i="1" s="1"/>
  <c r="AX183" i="1" a="1"/>
  <c r="AX183" i="1" s="1"/>
  <c r="AW183" i="1"/>
  <c r="AO175" i="1"/>
  <c r="AP175" i="1" s="1"/>
  <c r="AT175" i="1"/>
  <c r="AF184" i="1"/>
  <c r="AC184" i="1"/>
  <c r="BZ175" i="1" l="1"/>
  <c r="CC175" i="1" s="1"/>
  <c r="AX175" i="1" a="1"/>
  <c r="AX175" i="1" s="1"/>
  <c r="BE175" i="1"/>
  <c r="BF175" i="1" s="1"/>
  <c r="BG175" i="1" s="1"/>
  <c r="AW175" i="1"/>
  <c r="AO184" i="1"/>
  <c r="AP184" i="1" s="1"/>
  <c r="AT184" i="1"/>
  <c r="AJ176" i="1"/>
  <c r="AL176" i="1" s="1"/>
  <c r="AC176" i="1"/>
  <c r="AF176" i="1"/>
  <c r="AF185" i="1"/>
  <c r="AC185" i="1"/>
  <c r="AE185" i="1" s="1"/>
  <c r="BZ176" i="1" l="1"/>
  <c r="CC176" i="1" s="1"/>
  <c r="AG185" i="1"/>
  <c r="AN185" i="1" s="1"/>
  <c r="Z186" i="1"/>
  <c r="AR186" i="1" s="1"/>
  <c r="AS186" i="1" s="1"/>
  <c r="AU186" i="1" s="1"/>
  <c r="AX184" i="1" a="1"/>
  <c r="AX184" i="1" s="1"/>
  <c r="AW184" i="1"/>
  <c r="AO185" i="1"/>
  <c r="AP185" i="1" s="1"/>
  <c r="AO176" i="1"/>
  <c r="AP176" i="1" s="1"/>
  <c r="AT176" i="1" s="1"/>
  <c r="AF186" i="1"/>
  <c r="AC186" i="1"/>
  <c r="AE186" i="1" s="1"/>
  <c r="BZ177" i="1" l="1"/>
  <c r="CC177" i="1" s="1"/>
  <c r="AJ186" i="1"/>
  <c r="AL186" i="1" s="1"/>
  <c r="BC186" i="1"/>
  <c r="AG186" i="1"/>
  <c r="AN186" i="1" s="1"/>
  <c r="BA186" i="1"/>
  <c r="AY186" i="1"/>
  <c r="Z187" i="1"/>
  <c r="AJ187" i="1" s="1"/>
  <c r="AL187" i="1" s="1"/>
  <c r="AQ185" i="1"/>
  <c r="AX176" i="1" a="1"/>
  <c r="AX176" i="1" s="1"/>
  <c r="BE176" i="1"/>
  <c r="BF176" i="1" s="1"/>
  <c r="BG176" i="1" s="1"/>
  <c r="AW176" i="1"/>
  <c r="AO186" i="1"/>
  <c r="AP186" i="1" s="1"/>
  <c r="AJ177" i="1"/>
  <c r="AL177" i="1" s="1"/>
  <c r="AC177" i="1"/>
  <c r="AF177" i="1"/>
  <c r="BZ178" i="1" l="1"/>
  <c r="CC178" i="1" s="1"/>
  <c r="BQ184" i="1"/>
  <c r="BP184" i="1"/>
  <c r="AF187" i="1"/>
  <c r="AC187" i="1"/>
  <c r="AE187" i="1" s="1"/>
  <c r="Z188" i="1" s="1"/>
  <c r="AJ188" i="1" s="1"/>
  <c r="AL188" i="1" s="1"/>
  <c r="BD184" i="1"/>
  <c r="BE184" i="1" s="1"/>
  <c r="BF184" i="1" s="1"/>
  <c r="AR187" i="1"/>
  <c r="AS187" i="1" s="1"/>
  <c r="AU187" i="1" s="1"/>
  <c r="BC187" i="1"/>
  <c r="AQ186" i="1"/>
  <c r="AT185" i="1"/>
  <c r="AO177" i="1"/>
  <c r="AP177" i="1" s="1"/>
  <c r="AT177" i="1" s="1"/>
  <c r="BZ179" i="1" l="1"/>
  <c r="CC179" i="1" s="1"/>
  <c r="BD185" i="1"/>
  <c r="BP185" i="1"/>
  <c r="BQ185" i="1"/>
  <c r="AF188" i="1"/>
  <c r="AG187" i="1"/>
  <c r="AN187" i="1" s="1"/>
  <c r="AO187" i="1" s="1"/>
  <c r="AP187" i="1" s="1"/>
  <c r="AR188" i="1"/>
  <c r="AS188" i="1" s="1"/>
  <c r="AU188" i="1" s="1"/>
  <c r="BC188" i="1"/>
  <c r="BA187" i="1"/>
  <c r="AY187" i="1"/>
  <c r="AC188" i="1"/>
  <c r="AE188" i="1" s="1"/>
  <c r="AQ187" i="1"/>
  <c r="BE185" i="1"/>
  <c r="BF185" i="1" s="1"/>
  <c r="AW185" i="1"/>
  <c r="AX185" i="1" a="1"/>
  <c r="AX185" i="1" s="1"/>
  <c r="AT186" i="1"/>
  <c r="AX177" i="1" a="1"/>
  <c r="AX177" i="1" s="1"/>
  <c r="BE177" i="1"/>
  <c r="BF177" i="1" s="1"/>
  <c r="BG177" i="1" s="1"/>
  <c r="AW177" i="1"/>
  <c r="AJ178" i="1"/>
  <c r="AL178" i="1" s="1"/>
  <c r="AF178" i="1"/>
  <c r="AC178" i="1"/>
  <c r="BZ180" i="1" l="1"/>
  <c r="CC180" i="1" s="1"/>
  <c r="BD186" i="1"/>
  <c r="BQ186" i="1"/>
  <c r="AG188" i="1"/>
  <c r="AN188" i="1" s="1"/>
  <c r="AO188" i="1" s="1"/>
  <c r="AP188" i="1" s="1"/>
  <c r="Z189" i="1"/>
  <c r="AQ188" i="1"/>
  <c r="BA188" i="1"/>
  <c r="AY188" i="1"/>
  <c r="AX186" i="1" a="1"/>
  <c r="AX186" i="1" s="1"/>
  <c r="AW186" i="1"/>
  <c r="BE186" i="1"/>
  <c r="BF186" i="1" s="1"/>
  <c r="AT187" i="1"/>
  <c r="AO178" i="1"/>
  <c r="AP178" i="1" s="1"/>
  <c r="AT178" i="1" s="1"/>
  <c r="BZ181" i="1" l="1"/>
  <c r="CC181" i="1" s="1"/>
  <c r="BD187" i="1"/>
  <c r="BQ187" i="1"/>
  <c r="BP186" i="1"/>
  <c r="AT188" i="1"/>
  <c r="AR189" i="1"/>
  <c r="AS189" i="1" s="1"/>
  <c r="AU189" i="1" s="1"/>
  <c r="BC189" i="1"/>
  <c r="AJ189" i="1"/>
  <c r="AL189" i="1" s="1"/>
  <c r="AC189" i="1"/>
  <c r="AE189" i="1" s="1"/>
  <c r="AF189" i="1"/>
  <c r="AW188" i="1"/>
  <c r="AW187" i="1"/>
  <c r="AX187" i="1" a="1"/>
  <c r="AX187" i="1" s="1"/>
  <c r="BE187" i="1"/>
  <c r="BF187" i="1" s="1"/>
  <c r="AX178" i="1" a="1"/>
  <c r="AX178" i="1" s="1"/>
  <c r="BE178" i="1"/>
  <c r="BF178" i="1" s="1"/>
  <c r="BG178" i="1" s="1"/>
  <c r="AW178" i="1"/>
  <c r="AJ179" i="1"/>
  <c r="AL179" i="1" s="1"/>
  <c r="AF179" i="1"/>
  <c r="AC179" i="1"/>
  <c r="AC180" i="1"/>
  <c r="BZ182" i="1" l="1"/>
  <c r="CC182" i="1" s="1"/>
  <c r="BP187" i="1"/>
  <c r="AG189" i="1"/>
  <c r="AN189" i="1" s="1"/>
  <c r="AX188" i="1" a="1"/>
  <c r="AX188" i="1" s="1"/>
  <c r="Z190" i="1"/>
  <c r="AO189" i="1"/>
  <c r="AP189" i="1" s="1"/>
  <c r="AQ189" i="1" s="1"/>
  <c r="BQ188" i="1" s="1"/>
  <c r="BA189" i="1"/>
  <c r="AY189" i="1"/>
  <c r="AO180" i="1"/>
  <c r="AP180" i="1" s="1"/>
  <c r="AT180" i="1" s="1"/>
  <c r="AO179" i="1"/>
  <c r="AP179" i="1" s="1"/>
  <c r="AT179" i="1" s="1"/>
  <c r="BZ183" i="1" l="1"/>
  <c r="CC183" i="1" s="1"/>
  <c r="BP188" i="1"/>
  <c r="BD188" i="1"/>
  <c r="BE188" i="1" s="1"/>
  <c r="BF188" i="1" s="1"/>
  <c r="AR190" i="1"/>
  <c r="AS190" i="1" s="1"/>
  <c r="AU190" i="1" s="1"/>
  <c r="BC190" i="1"/>
  <c r="AJ190" i="1"/>
  <c r="AL190" i="1" s="1"/>
  <c r="AC190" i="1"/>
  <c r="AE190" i="1" s="1"/>
  <c r="AF190" i="1"/>
  <c r="AX189" i="1" a="1"/>
  <c r="AX189" i="1" s="1"/>
  <c r="AW189" i="1"/>
  <c r="BE179" i="1"/>
  <c r="BF179" i="1" s="1"/>
  <c r="BG179" i="1" s="1"/>
  <c r="AX179" i="1" a="1"/>
  <c r="AX179" i="1" s="1"/>
  <c r="AW179" i="1"/>
  <c r="AW180" i="1"/>
  <c r="BE180" i="1"/>
  <c r="BF180" i="1" s="1"/>
  <c r="AX180" i="1" a="1"/>
  <c r="AX180" i="1" s="1"/>
  <c r="BZ184" i="1" l="1"/>
  <c r="CC184" i="1" s="1"/>
  <c r="BG180" i="1"/>
  <c r="BG181" i="1" s="1"/>
  <c r="BG182" i="1" s="1"/>
  <c r="BG183" i="1" s="1"/>
  <c r="BG184" i="1" s="1"/>
  <c r="BG185" i="1" s="1"/>
  <c r="BG186" i="1" s="1"/>
  <c r="BG187" i="1" s="1"/>
  <c r="BG188" i="1" s="1"/>
  <c r="AG190" i="1"/>
  <c r="AN190" i="1" s="1"/>
  <c r="Z191" i="1"/>
  <c r="AO190" i="1"/>
  <c r="AP190" i="1" s="1"/>
  <c r="AQ190" i="1" s="1"/>
  <c r="BA190" i="1"/>
  <c r="AY190" i="1"/>
  <c r="BZ185" i="1" l="1"/>
  <c r="CC185" i="1" s="1"/>
  <c r="BD189" i="1"/>
  <c r="BE189" i="1" s="1"/>
  <c r="BF189" i="1" s="1"/>
  <c r="BG189" i="1" s="1"/>
  <c r="AT190" i="1"/>
  <c r="AR191" i="1"/>
  <c r="AS191" i="1" s="1"/>
  <c r="AU191" i="1" s="1"/>
  <c r="BC191" i="1"/>
  <c r="AJ191" i="1"/>
  <c r="AL191" i="1" s="1"/>
  <c r="AC191" i="1"/>
  <c r="AE191" i="1" s="1"/>
  <c r="AF191" i="1"/>
  <c r="BZ186" i="1" l="1"/>
  <c r="CC186" i="1" s="1"/>
  <c r="BQ189" i="1"/>
  <c r="BP189" i="1"/>
  <c r="AG191" i="1"/>
  <c r="AN191" i="1" s="1"/>
  <c r="AO191" i="1" s="1"/>
  <c r="AP191" i="1" s="1"/>
  <c r="AQ191" i="1" s="1"/>
  <c r="Z192" i="1"/>
  <c r="AX190" i="1" a="1"/>
  <c r="AX190" i="1" s="1"/>
  <c r="AW190" i="1"/>
  <c r="BA191" i="1"/>
  <c r="AY191" i="1"/>
  <c r="AE196" i="1"/>
  <c r="BZ187" i="1" l="1"/>
  <c r="CC187" i="1" s="1"/>
  <c r="BD190" i="1"/>
  <c r="BP190" i="1"/>
  <c r="AQ196" i="1"/>
  <c r="BE190" i="1"/>
  <c r="BF190" i="1" s="1"/>
  <c r="BG190" i="1" s="1"/>
  <c r="AT191" i="1"/>
  <c r="AR192" i="1"/>
  <c r="AS192" i="1" s="1"/>
  <c r="AU192" i="1" s="1"/>
  <c r="BC192" i="1"/>
  <c r="AC192" i="1"/>
  <c r="AE192" i="1" s="1"/>
  <c r="AJ192" i="1"/>
  <c r="AL192" i="1" s="1"/>
  <c r="AF192" i="1"/>
  <c r="BZ188" i="1" l="1"/>
  <c r="CC188" i="1" s="1"/>
  <c r="BQ190" i="1"/>
  <c r="AG192" i="1"/>
  <c r="AN192" i="1" s="1"/>
  <c r="BA192" i="1"/>
  <c r="AY192" i="1"/>
  <c r="AX191" i="1" a="1"/>
  <c r="AX191" i="1" s="1"/>
  <c r="AW191" i="1"/>
  <c r="Z193" i="1"/>
  <c r="AO192" i="1"/>
  <c r="AP192" i="1" s="1"/>
  <c r="AQ192" i="1" s="1"/>
  <c r="BZ189" i="1" l="1"/>
  <c r="CC189" i="1" s="1"/>
  <c r="BD191" i="1"/>
  <c r="BP191" i="1"/>
  <c r="BE191" i="1"/>
  <c r="BF191" i="1" s="1"/>
  <c r="BG191" i="1" s="1"/>
  <c r="AT192" i="1"/>
  <c r="AR193" i="1"/>
  <c r="AS193" i="1" s="1"/>
  <c r="AU193" i="1" s="1"/>
  <c r="BC193" i="1"/>
  <c r="AJ193" i="1"/>
  <c r="AL193" i="1" s="1"/>
  <c r="AC193" i="1"/>
  <c r="AE193" i="1" s="1"/>
  <c r="AF193" i="1"/>
  <c r="BZ190" i="1" l="1"/>
  <c r="CC190" i="1" s="1"/>
  <c r="BQ191" i="1"/>
  <c r="AG193" i="1"/>
  <c r="AN193" i="1" s="1"/>
  <c r="Z194" i="1"/>
  <c r="AO193" i="1"/>
  <c r="AP193" i="1" s="1"/>
  <c r="AQ193" i="1" s="1"/>
  <c r="BA193" i="1"/>
  <c r="AY193" i="1"/>
  <c r="AW192" i="1"/>
  <c r="AX192" i="1" a="1"/>
  <c r="AX192" i="1" s="1"/>
  <c r="BZ191" i="1" l="1"/>
  <c r="CC191" i="1" s="1"/>
  <c r="BD192" i="1"/>
  <c r="BP192" i="1"/>
  <c r="BE192" i="1"/>
  <c r="BF192" i="1" s="1"/>
  <c r="BG192" i="1" s="1"/>
  <c r="AT193" i="1"/>
  <c r="AR194" i="1"/>
  <c r="AS194" i="1" s="1"/>
  <c r="AU194" i="1" s="1"/>
  <c r="BC194" i="1"/>
  <c r="AJ194" i="1"/>
  <c r="AL194" i="1" s="1"/>
  <c r="AF194" i="1"/>
  <c r="AC194" i="1"/>
  <c r="AE194" i="1" s="1"/>
  <c r="BZ192" i="1" l="1"/>
  <c r="CC192" i="1" s="1"/>
  <c r="BQ192" i="1"/>
  <c r="AG194" i="1"/>
  <c r="AN194" i="1" s="1"/>
  <c r="AO194" i="1" s="1"/>
  <c r="AP194" i="1" s="1"/>
  <c r="AQ194" i="1" s="1"/>
  <c r="Z195" i="1"/>
  <c r="BA194" i="1"/>
  <c r="AY194" i="1"/>
  <c r="AW193" i="1"/>
  <c r="AX193" i="1" a="1"/>
  <c r="AX193" i="1" s="1"/>
  <c r="BZ194" i="1" l="1"/>
  <c r="BZ193" i="1"/>
  <c r="CC193" i="1" s="1"/>
  <c r="BD193" i="1"/>
  <c r="BP193" i="1"/>
  <c r="BE193" i="1"/>
  <c r="BF193" i="1" s="1"/>
  <c r="BG193" i="1" s="1"/>
  <c r="AT194" i="1"/>
  <c r="AR195" i="1"/>
  <c r="AS195" i="1" s="1"/>
  <c r="AU195" i="1" s="1"/>
  <c r="BC195" i="1"/>
  <c r="AJ195" i="1"/>
  <c r="AL195" i="1" s="1"/>
  <c r="AF195" i="1"/>
  <c r="AC195" i="1"/>
  <c r="AE195" i="1" s="1"/>
  <c r="CC194" i="1" l="1"/>
  <c r="BZ195" i="1"/>
  <c r="CC195" i="1" s="1"/>
  <c r="BQ193" i="1"/>
  <c r="AG195" i="1"/>
  <c r="AN195" i="1" s="1"/>
  <c r="Z196" i="1"/>
  <c r="AO195" i="1"/>
  <c r="AP195" i="1" s="1"/>
  <c r="AQ195" i="1" s="1"/>
  <c r="AY195" i="1"/>
  <c r="BA195" i="1"/>
  <c r="AX194" i="1" a="1"/>
  <c r="AX194" i="1" s="1"/>
  <c r="AW194" i="1"/>
  <c r="BD194" i="1" l="1"/>
  <c r="AR196" i="1"/>
  <c r="BC196" i="1"/>
  <c r="AJ196" i="1"/>
  <c r="AL196" i="1" s="1"/>
  <c r="AF196" i="1"/>
  <c r="Z197" i="1"/>
  <c r="BE194" i="1"/>
  <c r="BF194" i="1" s="1"/>
  <c r="BG194" i="1" s="1"/>
  <c r="AT195" i="1"/>
  <c r="BZ196" i="1" l="1"/>
  <c r="CC196" i="1" s="1"/>
  <c r="BP194" i="1"/>
  <c r="BQ194" i="1"/>
  <c r="AS196" i="1"/>
  <c r="BD195" i="1" s="1"/>
  <c r="AG196" i="1"/>
  <c r="AN196" i="1" s="1"/>
  <c r="AO196" i="1" s="1"/>
  <c r="AP196" i="1" s="1"/>
  <c r="AT196" i="1" s="1"/>
  <c r="AX195" i="1" a="1"/>
  <c r="AX195" i="1" s="1"/>
  <c r="AW195" i="1"/>
  <c r="AR197" i="1"/>
  <c r="AS197" i="1" s="1"/>
  <c r="AU197" i="1" s="1"/>
  <c r="BC197" i="1"/>
  <c r="AC197" i="1"/>
  <c r="AE197" i="1" s="1"/>
  <c r="AF197" i="1"/>
  <c r="AJ197" i="1"/>
  <c r="AL197" i="1" s="1"/>
  <c r="AU196" i="1"/>
  <c r="BE195" i="1"/>
  <c r="BF195" i="1" s="1"/>
  <c r="BG195" i="1" s="1"/>
  <c r="BZ197" i="1" l="1"/>
  <c r="CC197" i="1" s="1"/>
  <c r="BQ195" i="1"/>
  <c r="BP195" i="1"/>
  <c r="AW196" i="1"/>
  <c r="AX196" i="1" a="1"/>
  <c r="AX196" i="1" s="1"/>
  <c r="AG197" i="1"/>
  <c r="AN197" i="1" s="1"/>
  <c r="AO197" i="1" s="1"/>
  <c r="AP197" i="1" s="1"/>
  <c r="AQ197" i="1" s="1"/>
  <c r="BA197" i="1"/>
  <c r="AY197" i="1"/>
  <c r="Z198" i="1"/>
  <c r="AY196" i="1"/>
  <c r="BA196" i="1"/>
  <c r="BD196" i="1" l="1"/>
  <c r="BP196" i="1"/>
  <c r="AR198" i="1"/>
  <c r="AS198" i="1" s="1"/>
  <c r="AU198" i="1" s="1"/>
  <c r="BC198" i="1"/>
  <c r="AC198" i="1"/>
  <c r="AE198" i="1" s="1"/>
  <c r="AF198" i="1"/>
  <c r="AJ198" i="1"/>
  <c r="AL198" i="1" s="1"/>
  <c r="BE196" i="1"/>
  <c r="BF196" i="1" s="1"/>
  <c r="BG196" i="1" s="1"/>
  <c r="AT197" i="1"/>
  <c r="BZ198" i="1" l="1"/>
  <c r="CC198" i="1" s="1"/>
  <c r="BQ196" i="1"/>
  <c r="AG198" i="1"/>
  <c r="AN198" i="1" s="1"/>
  <c r="Z199" i="1"/>
  <c r="AO198" i="1"/>
  <c r="AP198" i="1" s="1"/>
  <c r="AQ198" i="1" s="1"/>
  <c r="AX197" i="1" a="1"/>
  <c r="AX197" i="1" s="1"/>
  <c r="AW197" i="1"/>
  <c r="BA198" i="1"/>
  <c r="AY198" i="1"/>
  <c r="BD197" i="1" l="1"/>
  <c r="BP197" i="1"/>
  <c r="BE197" i="1"/>
  <c r="BF197" i="1" s="1"/>
  <c r="BG197" i="1" s="1"/>
  <c r="AT198" i="1"/>
  <c r="AR199" i="1"/>
  <c r="AS199" i="1" s="1"/>
  <c r="AU199" i="1" s="1"/>
  <c r="BC199" i="1"/>
  <c r="AJ199" i="1"/>
  <c r="AL199" i="1" s="1"/>
  <c r="AC199" i="1"/>
  <c r="AE199" i="1" s="1"/>
  <c r="AF199" i="1"/>
  <c r="BZ199" i="1" l="1"/>
  <c r="CC199" i="1" s="1"/>
  <c r="BQ197" i="1"/>
  <c r="AG199" i="1"/>
  <c r="AN199" i="1" s="1"/>
  <c r="BA199" i="1"/>
  <c r="AY199" i="1"/>
  <c r="AW198" i="1"/>
  <c r="AX198" i="1" a="1"/>
  <c r="AX198" i="1" s="1"/>
  <c r="Z200" i="1"/>
  <c r="AO199" i="1"/>
  <c r="AP199" i="1" s="1"/>
  <c r="AQ199" i="1" s="1"/>
  <c r="BD198" i="1" l="1"/>
  <c r="BP198" i="1"/>
  <c r="AT199" i="1"/>
  <c r="AR200" i="1"/>
  <c r="AS200" i="1" s="1"/>
  <c r="AU200" i="1" s="1"/>
  <c r="BC200" i="1"/>
  <c r="AJ200" i="1"/>
  <c r="AL200" i="1" s="1"/>
  <c r="AF200" i="1"/>
  <c r="AC200" i="1"/>
  <c r="AE200" i="1" s="1"/>
  <c r="BE198" i="1"/>
  <c r="BF198" i="1" s="1"/>
  <c r="BG198" i="1" s="1"/>
  <c r="BZ200" i="1" l="1"/>
  <c r="CC200" i="1" s="1"/>
  <c r="BQ198" i="1"/>
  <c r="AG200" i="1"/>
  <c r="AN200" i="1" s="1"/>
  <c r="AO200" i="1" s="1"/>
  <c r="AP200" i="1" s="1"/>
  <c r="Z201" i="1"/>
  <c r="AQ200" i="1"/>
  <c r="AX199" i="1" a="1"/>
  <c r="AX199" i="1" s="1"/>
  <c r="AW199" i="1"/>
  <c r="BA200" i="1"/>
  <c r="AY200" i="1"/>
  <c r="BD199" i="1" l="1"/>
  <c r="BP199" i="1"/>
  <c r="BE199" i="1"/>
  <c r="BF199" i="1" s="1"/>
  <c r="BG199" i="1" s="1"/>
  <c r="AT200" i="1"/>
  <c r="AR201" i="1"/>
  <c r="AS201" i="1" s="1"/>
  <c r="AU201" i="1" s="1"/>
  <c r="BC201" i="1"/>
  <c r="AF201" i="1"/>
  <c r="AJ201" i="1"/>
  <c r="AL201" i="1" s="1"/>
  <c r="AC201" i="1"/>
  <c r="AE201" i="1" s="1"/>
  <c r="BZ201" i="1" l="1"/>
  <c r="CC201" i="1" s="1"/>
  <c r="BQ199" i="1"/>
  <c r="AG201" i="1"/>
  <c r="AN201" i="1" s="1"/>
  <c r="AO201" i="1" s="1"/>
  <c r="AP201" i="1" s="1"/>
  <c r="AQ201" i="1" s="1"/>
  <c r="BA201" i="1"/>
  <c r="AY201" i="1"/>
  <c r="Z202" i="1"/>
  <c r="AW200" i="1"/>
  <c r="AX200" i="1" a="1"/>
  <c r="AX200" i="1" s="1"/>
  <c r="AR268" i="1"/>
  <c r="AS268" i="1" s="1"/>
  <c r="BE267" i="1" s="1"/>
  <c r="BF267" i="1" s="1"/>
  <c r="BC268" i="1"/>
  <c r="AJ268" i="1"/>
  <c r="AL268" i="1" s="1"/>
  <c r="AF268" i="1"/>
  <c r="AC268" i="1"/>
  <c r="AE268" i="1" s="1"/>
  <c r="BD200" i="1" l="1"/>
  <c r="BP200" i="1"/>
  <c r="AR202" i="1"/>
  <c r="AS202" i="1" s="1"/>
  <c r="AU202" i="1" s="1"/>
  <c r="BC202" i="1"/>
  <c r="AJ202" i="1"/>
  <c r="AL202" i="1" s="1"/>
  <c r="AC202" i="1"/>
  <c r="AE202" i="1" s="1"/>
  <c r="AF202" i="1"/>
  <c r="BE200" i="1"/>
  <c r="BF200" i="1" s="1"/>
  <c r="BG200" i="1" s="1"/>
  <c r="AT201" i="1"/>
  <c r="BC269" i="1"/>
  <c r="AO268" i="1"/>
  <c r="AP268" i="1" s="1"/>
  <c r="AU268" i="1"/>
  <c r="BZ202" i="1" l="1"/>
  <c r="CC202" i="1" s="1"/>
  <c r="BQ200" i="1"/>
  <c r="AG202" i="1"/>
  <c r="AN202" i="1" s="1"/>
  <c r="AC269" i="1"/>
  <c r="AE269" i="1" s="1"/>
  <c r="AF269" i="1"/>
  <c r="AG269" i="1" s="1"/>
  <c r="AJ269" i="1"/>
  <c r="AL269" i="1" s="1"/>
  <c r="AR269" i="1"/>
  <c r="AS269" i="1" s="1"/>
  <c r="AW201" i="1"/>
  <c r="AX201" i="1" a="1"/>
  <c r="AX201" i="1" s="1"/>
  <c r="Z203" i="1"/>
  <c r="AO202" i="1"/>
  <c r="AP202" i="1" s="1"/>
  <c r="AQ202" i="1" s="1"/>
  <c r="BA202" i="1"/>
  <c r="AY202" i="1"/>
  <c r="BA268" i="1"/>
  <c r="AY268" i="1"/>
  <c r="AX268" i="1" a="1"/>
  <c r="AX268" i="1" s="1"/>
  <c r="BD201" i="1" l="1"/>
  <c r="BE201" i="1" s="1"/>
  <c r="BF201" i="1" s="1"/>
  <c r="BG201" i="1" s="1"/>
  <c r="BP201" i="1"/>
  <c r="AO269" i="1"/>
  <c r="AP269" i="1" s="1"/>
  <c r="AT202" i="1"/>
  <c r="AU269" i="1"/>
  <c r="BA269" i="1" s="1"/>
  <c r="BC203" i="1"/>
  <c r="AJ203" i="1"/>
  <c r="AL203" i="1" s="1"/>
  <c r="AC203" i="1"/>
  <c r="AE203" i="1" s="1"/>
  <c r="AR203" i="1"/>
  <c r="AS203" i="1" s="1"/>
  <c r="AU203" i="1" s="1"/>
  <c r="AF203" i="1"/>
  <c r="BC270" i="1"/>
  <c r="AR270" i="1"/>
  <c r="AS270" i="1" s="1"/>
  <c r="AU270" i="1" s="1"/>
  <c r="AC270" i="1"/>
  <c r="AE270" i="1" s="1"/>
  <c r="BE268" i="1"/>
  <c r="BF268" i="1" s="1"/>
  <c r="BZ203" i="1" l="1"/>
  <c r="CC203" i="1" s="1"/>
  <c r="BQ201" i="1"/>
  <c r="AG203" i="1"/>
  <c r="AN203" i="1" s="1"/>
  <c r="AF270" i="1"/>
  <c r="AG270" i="1" s="1"/>
  <c r="AJ270" i="1"/>
  <c r="AL270" i="1" s="1"/>
  <c r="AO270" i="1" s="1"/>
  <c r="AP270" i="1" s="1"/>
  <c r="AY269" i="1"/>
  <c r="AX269" i="1" a="1"/>
  <c r="AX269" i="1" s="1"/>
  <c r="Z204" i="1"/>
  <c r="AO203" i="1"/>
  <c r="AP203" i="1" s="1"/>
  <c r="AQ203" i="1" s="1"/>
  <c r="BE269" i="1"/>
  <c r="BF269" i="1" s="1"/>
  <c r="AW202" i="1"/>
  <c r="AX202" i="1" a="1"/>
  <c r="AX202" i="1" s="1"/>
  <c r="BA203" i="1"/>
  <c r="AY203" i="1"/>
  <c r="BA270" i="1"/>
  <c r="AY270" i="1"/>
  <c r="AX270" i="1" a="1"/>
  <c r="AX270" i="1" s="1"/>
  <c r="BD202" i="1" l="1"/>
  <c r="BP202" i="1"/>
  <c r="AF271" i="1"/>
  <c r="AG271" i="1" s="1"/>
  <c r="AT203" i="1"/>
  <c r="BE202" i="1"/>
  <c r="BF202" i="1" s="1"/>
  <c r="BG202" i="1" s="1"/>
  <c r="AC271" i="1"/>
  <c r="AE271" i="1" s="1"/>
  <c r="AR271" i="1"/>
  <c r="AS271" i="1" s="1"/>
  <c r="AJ271" i="1"/>
  <c r="AL271" i="1" s="1"/>
  <c r="BC271" i="1"/>
  <c r="BC204" i="1"/>
  <c r="AR204" i="1"/>
  <c r="AS204" i="1" s="1"/>
  <c r="AU204" i="1" s="1"/>
  <c r="AJ204" i="1"/>
  <c r="AL204" i="1" s="1"/>
  <c r="AF204" i="1"/>
  <c r="AC204" i="1"/>
  <c r="AE204" i="1" s="1"/>
  <c r="BZ204" i="1" l="1"/>
  <c r="CC204" i="1" s="1"/>
  <c r="BQ202" i="1"/>
  <c r="AG204" i="1"/>
  <c r="AN204" i="1" s="1"/>
  <c r="BA204" i="1"/>
  <c r="AY204" i="1"/>
  <c r="BE270" i="1"/>
  <c r="BF270" i="1" s="1"/>
  <c r="AU271" i="1"/>
  <c r="AW203" i="1"/>
  <c r="AX203" i="1" a="1"/>
  <c r="AX203" i="1" s="1"/>
  <c r="AO271" i="1"/>
  <c r="AP271" i="1" s="1"/>
  <c r="Z205" i="1"/>
  <c r="AO204" i="1"/>
  <c r="AP204" i="1" s="1"/>
  <c r="AQ204" i="1" s="1"/>
  <c r="BD203" i="1" l="1"/>
  <c r="BP203" i="1"/>
  <c r="AR205" i="1"/>
  <c r="AS205" i="1" s="1"/>
  <c r="AU205" i="1" s="1"/>
  <c r="BC205" i="1"/>
  <c r="AJ205" i="1"/>
  <c r="AL205" i="1" s="1"/>
  <c r="AC205" i="1"/>
  <c r="AE205" i="1" s="1"/>
  <c r="AF205" i="1"/>
  <c r="BA271" i="1"/>
  <c r="AY271" i="1"/>
  <c r="AX271" i="1" a="1"/>
  <c r="AX271" i="1" s="1"/>
  <c r="BE203" i="1"/>
  <c r="BF203" i="1" s="1"/>
  <c r="BG203" i="1" s="1"/>
  <c r="AJ272" i="1"/>
  <c r="AL272" i="1" s="1"/>
  <c r="AC272" i="1"/>
  <c r="AE272" i="1" s="1"/>
  <c r="AF272" i="1"/>
  <c r="AG272" i="1" s="1"/>
  <c r="AR272" i="1"/>
  <c r="AS272" i="1" s="1"/>
  <c r="BC272" i="1"/>
  <c r="BZ205" i="1" l="1"/>
  <c r="CC205" i="1" s="1"/>
  <c r="BQ203" i="1"/>
  <c r="AG205" i="1"/>
  <c r="AN205" i="1" s="1"/>
  <c r="AC274" i="1"/>
  <c r="AG274" i="1"/>
  <c r="AO205" i="1"/>
  <c r="AP205" i="1" s="1"/>
  <c r="AQ205" i="1"/>
  <c r="AX204" i="1" a="1"/>
  <c r="AX204" i="1" s="1"/>
  <c r="AW204" i="1"/>
  <c r="AO272" i="1"/>
  <c r="AP272" i="1" s="1"/>
  <c r="AR273" i="1"/>
  <c r="AS273" i="1" s="1"/>
  <c r="BC273" i="1"/>
  <c r="AJ273" i="1"/>
  <c r="AL273" i="1" s="1"/>
  <c r="AF273" i="1"/>
  <c r="AG273" i="1" s="1"/>
  <c r="AC273" i="1"/>
  <c r="AE273" i="1" s="1"/>
  <c r="AU272" i="1"/>
  <c r="BE271" i="1"/>
  <c r="BF271" i="1" s="1"/>
  <c r="BA205" i="1"/>
  <c r="AY205" i="1"/>
  <c r="BD204" i="1" l="1"/>
  <c r="BP204" i="1"/>
  <c r="BQ204" i="1"/>
  <c r="BE204" i="1"/>
  <c r="BF204" i="1" s="1"/>
  <c r="BG204" i="1" s="1"/>
  <c r="AT205" i="1"/>
  <c r="AU273" i="1"/>
  <c r="AY272" i="1"/>
  <c r="BA272" i="1"/>
  <c r="BE272" i="1" s="1"/>
  <c r="BF272" i="1" s="1"/>
  <c r="AX272" i="1" a="1"/>
  <c r="AX272" i="1" s="1"/>
  <c r="AR206" i="1"/>
  <c r="AS206" i="1" s="1"/>
  <c r="AU206" i="1" s="1"/>
  <c r="BC206" i="1"/>
  <c r="AF206" i="1"/>
  <c r="AJ206" i="1"/>
  <c r="AL206" i="1" s="1"/>
  <c r="AC206" i="1"/>
  <c r="AE206" i="1" s="1"/>
  <c r="AO273" i="1"/>
  <c r="AP273" i="1" s="1"/>
  <c r="AR321" i="1"/>
  <c r="AS321" i="1" s="1"/>
  <c r="BF320" i="1" s="1"/>
  <c r="BC321" i="1"/>
  <c r="AJ321" i="1"/>
  <c r="AL321" i="1" s="1"/>
  <c r="AF321" i="1"/>
  <c r="AG321" i="1" s="1"/>
  <c r="AC321" i="1"/>
  <c r="AE321" i="1" s="1"/>
  <c r="AG206" i="1" l="1"/>
  <c r="AN206" i="1" s="1"/>
  <c r="BA273" i="1"/>
  <c r="BE273" i="1" s="1"/>
  <c r="BF273" i="1" s="1"/>
  <c r="AY273" i="1"/>
  <c r="AX273" i="1" a="1"/>
  <c r="AX273" i="1" s="1"/>
  <c r="AO321" i="1"/>
  <c r="AP321" i="1" s="1"/>
  <c r="AX205" i="1" a="1"/>
  <c r="AX205" i="1" s="1"/>
  <c r="AW205" i="1"/>
  <c r="BA206" i="1"/>
  <c r="AY206" i="1"/>
  <c r="AO206" i="1"/>
  <c r="AP206" i="1" s="1"/>
  <c r="AR322" i="1"/>
  <c r="AS322" i="1" s="1"/>
  <c r="BC322" i="1"/>
  <c r="AU321" i="1"/>
  <c r="AJ322" i="1"/>
  <c r="AL322" i="1" s="1"/>
  <c r="AF322" i="1"/>
  <c r="AG322" i="1" s="1"/>
  <c r="AC322" i="1"/>
  <c r="AE322" i="1" s="1"/>
  <c r="BZ206" i="1" l="1"/>
  <c r="CC206" i="1" s="1"/>
  <c r="AQ206" i="1"/>
  <c r="AT206" i="1" s="1"/>
  <c r="AR207" i="1"/>
  <c r="AS207" i="1" s="1"/>
  <c r="AU207" i="1" s="1"/>
  <c r="BC207" i="1"/>
  <c r="AC207" i="1"/>
  <c r="AE207" i="1" s="1"/>
  <c r="AJ207" i="1"/>
  <c r="AL207" i="1" s="1"/>
  <c r="AF207" i="1"/>
  <c r="AO322" i="1"/>
  <c r="AP322" i="1" s="1"/>
  <c r="AR323" i="1"/>
  <c r="AS323" i="1" s="1"/>
  <c r="BC323" i="1"/>
  <c r="AU322" i="1"/>
  <c r="BA321" i="1"/>
  <c r="AY321" i="1"/>
  <c r="AX321" i="1" a="1"/>
  <c r="AX321" i="1" s="1"/>
  <c r="AJ323" i="1"/>
  <c r="AL323" i="1" s="1"/>
  <c r="AC323" i="1"/>
  <c r="AE323" i="1" s="1"/>
  <c r="AG323" i="1"/>
  <c r="BZ207" i="1" l="1"/>
  <c r="CC207" i="1" s="1"/>
  <c r="BD205" i="1"/>
  <c r="BE205" i="1" s="1"/>
  <c r="BF205" i="1" s="1"/>
  <c r="BG205" i="1" s="1"/>
  <c r="AG207" i="1"/>
  <c r="AY207" i="1"/>
  <c r="BA207" i="1"/>
  <c r="AW206" i="1"/>
  <c r="AX206" i="1" a="1"/>
  <c r="AX206" i="1" s="1"/>
  <c r="AO207" i="1"/>
  <c r="AP207" i="1" s="1"/>
  <c r="AO323" i="1"/>
  <c r="AP323" i="1" s="1"/>
  <c r="AG324" i="1"/>
  <c r="BE321" i="1"/>
  <c r="BF321" i="1" s="1"/>
  <c r="AR324" i="1"/>
  <c r="AS324" i="1" s="1"/>
  <c r="BC324" i="1"/>
  <c r="AU323" i="1"/>
  <c r="BA322" i="1"/>
  <c r="AY322" i="1"/>
  <c r="AX322" i="1" a="1"/>
  <c r="AX322" i="1" s="1"/>
  <c r="AJ324" i="1"/>
  <c r="AL324" i="1" s="1"/>
  <c r="BQ205" i="1" l="1"/>
  <c r="BP205" i="1"/>
  <c r="AQ207" i="1"/>
  <c r="AR208" i="1"/>
  <c r="AS208" i="1" s="1"/>
  <c r="AU208" i="1" s="1"/>
  <c r="BC208" i="1"/>
  <c r="AJ208" i="1"/>
  <c r="AL208" i="1" s="1"/>
  <c r="AF208" i="1"/>
  <c r="AC208" i="1"/>
  <c r="AE208" i="1" s="1"/>
  <c r="AC324" i="1"/>
  <c r="AE324" i="1" s="1"/>
  <c r="AO324" i="1" s="1"/>
  <c r="AP324" i="1" s="1"/>
  <c r="BE322" i="1"/>
  <c r="BF322" i="1" s="1"/>
  <c r="BA323" i="1"/>
  <c r="AY323" i="1"/>
  <c r="AX323" i="1" a="1"/>
  <c r="AX323" i="1" s="1"/>
  <c r="AU324" i="1"/>
  <c r="BZ208" i="1" l="1"/>
  <c r="CC208" i="1" s="1"/>
  <c r="BD206" i="1"/>
  <c r="BF206" i="1" s="1"/>
  <c r="BG206" i="1" s="1"/>
  <c r="BP206" i="1"/>
  <c r="AG208" i="1"/>
  <c r="AY208" i="1"/>
  <c r="BA208" i="1"/>
  <c r="AO208" i="1"/>
  <c r="AP208" i="1" s="1"/>
  <c r="AX207" i="1" a="1"/>
  <c r="AX207" i="1" s="1"/>
  <c r="AW207" i="1"/>
  <c r="BA324" i="1"/>
  <c r="AY324" i="1"/>
  <c r="AX324" i="1" a="1"/>
  <c r="AX324" i="1" s="1"/>
  <c r="BE323" i="1"/>
  <c r="BF323" i="1" s="1"/>
  <c r="BQ206" i="1" l="1"/>
  <c r="AQ208" i="1"/>
  <c r="AT208" i="1" s="1"/>
  <c r="BC209" i="1"/>
  <c r="AJ209" i="1"/>
  <c r="AL209" i="1" s="1"/>
  <c r="AR209" i="1"/>
  <c r="AS209" i="1" s="1"/>
  <c r="AU209" i="1" s="1"/>
  <c r="AC209" i="1"/>
  <c r="AE209" i="1" s="1"/>
  <c r="AF209" i="1"/>
  <c r="AJ325" i="1"/>
  <c r="AL325" i="1" s="1"/>
  <c r="AC325" i="1"/>
  <c r="AE325" i="1" s="1"/>
  <c r="AR325" i="1"/>
  <c r="AS325" i="1" s="1"/>
  <c r="BC325" i="1"/>
  <c r="BZ209" i="1" l="1"/>
  <c r="CC209" i="1" s="1"/>
  <c r="BD207" i="1"/>
  <c r="BF207" i="1" s="1"/>
  <c r="BG207" i="1" s="1"/>
  <c r="AG209" i="1"/>
  <c r="BA209" i="1"/>
  <c r="AY209" i="1"/>
  <c r="AO209" i="1"/>
  <c r="AP209" i="1" s="1"/>
  <c r="AW208" i="1"/>
  <c r="AX208" i="1" a="1"/>
  <c r="AX208" i="1" s="1"/>
  <c r="AO325" i="1"/>
  <c r="AP325" i="1" s="1"/>
  <c r="AU325" i="1"/>
  <c r="BE324" i="1"/>
  <c r="BF324" i="1" s="1"/>
  <c r="AC326" i="1"/>
  <c r="AE326" i="1" s="1"/>
  <c r="AR326" i="1"/>
  <c r="AS326" i="1" s="1"/>
  <c r="BC326" i="1"/>
  <c r="AG326" i="1"/>
  <c r="AJ326" i="1"/>
  <c r="AL326" i="1" s="1"/>
  <c r="BP207" i="1" l="1"/>
  <c r="BQ207" i="1"/>
  <c r="AQ209" i="1"/>
  <c r="AT209" i="1"/>
  <c r="BC210" i="1"/>
  <c r="AR210" i="1"/>
  <c r="AS210" i="1" s="1"/>
  <c r="AJ210" i="1"/>
  <c r="AL210" i="1" s="1"/>
  <c r="AC210" i="1"/>
  <c r="AE210" i="1" s="1"/>
  <c r="AF210" i="1"/>
  <c r="AO326" i="1"/>
  <c r="AP326" i="1" s="1"/>
  <c r="BA325" i="1"/>
  <c r="AY325" i="1"/>
  <c r="AX325" i="1" a="1"/>
  <c r="AX325" i="1" s="1"/>
  <c r="BZ210" i="1" l="1"/>
  <c r="CC210" i="1" s="1"/>
  <c r="BD208" i="1"/>
  <c r="BF208" i="1" s="1"/>
  <c r="BG208" i="1" s="1"/>
  <c r="BQ208" i="1"/>
  <c r="BE325" i="1"/>
  <c r="BF325" i="1" s="1"/>
  <c r="AG212" i="1"/>
  <c r="AG210" i="1"/>
  <c r="AF211" i="1"/>
  <c r="AJ211" i="1"/>
  <c r="AL211" i="1" s="1"/>
  <c r="BC211" i="1"/>
  <c r="AR211" i="1"/>
  <c r="AS211" i="1" s="1"/>
  <c r="AU211" i="1" s="1"/>
  <c r="AC211" i="1"/>
  <c r="AE211" i="1" s="1"/>
  <c r="AO210" i="1"/>
  <c r="AP210" i="1" s="1"/>
  <c r="BA210" i="1"/>
  <c r="AY210" i="1"/>
  <c r="AW209" i="1"/>
  <c r="AX209" i="1" a="1"/>
  <c r="AX209" i="1" s="1"/>
  <c r="AY326" i="1"/>
  <c r="AX326" i="1" a="1"/>
  <c r="AX326" i="1" s="1"/>
  <c r="BA326" i="1"/>
  <c r="BE326" i="1" s="1"/>
  <c r="BF326" i="1" s="1"/>
  <c r="BZ211" i="1" l="1"/>
  <c r="CC211" i="1" s="1"/>
  <c r="BP208" i="1"/>
  <c r="AQ210" i="1"/>
  <c r="AG211" i="1"/>
  <c r="AY211" i="1"/>
  <c r="BA211" i="1"/>
  <c r="AO211" i="1"/>
  <c r="AP211" i="1" s="1"/>
  <c r="AT210" i="1"/>
  <c r="BF209" i="1"/>
  <c r="BG209" i="1" s="1"/>
  <c r="AR374" i="1"/>
  <c r="AS374" i="1" s="1"/>
  <c r="BC374" i="1"/>
  <c r="AJ374" i="1"/>
  <c r="AL374" i="1" s="1"/>
  <c r="AC374" i="1"/>
  <c r="AE374" i="1" s="1"/>
  <c r="BZ212" i="1" l="1"/>
  <c r="CC212" i="1" s="1"/>
  <c r="BD209" i="1"/>
  <c r="BQ209" i="1"/>
  <c r="AQ211" i="1"/>
  <c r="AO374" i="1"/>
  <c r="AP374" i="1" s="1"/>
  <c r="AQ374" i="1" s="1"/>
  <c r="BF210" i="1"/>
  <c r="BG210" i="1" s="1"/>
  <c r="AX210" i="1" a="1"/>
  <c r="AX210" i="1" s="1"/>
  <c r="AW210" i="1"/>
  <c r="AU374" i="1"/>
  <c r="BZ213" i="1" l="1"/>
  <c r="CC213" i="1" s="1"/>
  <c r="BD210" i="1"/>
  <c r="BQ210" i="1"/>
  <c r="BQ211" i="1" s="1"/>
  <c r="BQ212" i="1" s="1"/>
  <c r="BQ213" i="1" s="1"/>
  <c r="BQ214" i="1" s="1"/>
  <c r="BQ215" i="1" s="1"/>
  <c r="BQ216" i="1" s="1"/>
  <c r="BQ217" i="1" s="1"/>
  <c r="BQ218" i="1" s="1"/>
  <c r="BQ219" i="1" s="1"/>
  <c r="BQ220" i="1" s="1"/>
  <c r="BQ221" i="1" s="1"/>
  <c r="BQ222" i="1" s="1"/>
  <c r="BQ223" i="1" s="1"/>
  <c r="BQ224" i="1" s="1"/>
  <c r="BQ225" i="1" s="1"/>
  <c r="BQ226" i="1" s="1"/>
  <c r="BQ227" i="1" s="1"/>
  <c r="BQ228" i="1" s="1"/>
  <c r="BQ229" i="1" s="1"/>
  <c r="BQ230" i="1" s="1"/>
  <c r="BQ231" i="1" s="1"/>
  <c r="BQ232" i="1" s="1"/>
  <c r="BQ233" i="1" s="1"/>
  <c r="BQ234" i="1" s="1"/>
  <c r="BQ235" i="1" s="1"/>
  <c r="BQ236" i="1" s="1"/>
  <c r="BQ237" i="1" s="1"/>
  <c r="BQ238" i="1" s="1"/>
  <c r="BQ239" i="1" s="1"/>
  <c r="BQ240" i="1" s="1"/>
  <c r="BQ241" i="1" s="1"/>
  <c r="BQ242" i="1" s="1"/>
  <c r="BQ243" i="1" s="1"/>
  <c r="BQ244" i="1" s="1"/>
  <c r="BQ245" i="1" s="1"/>
  <c r="BQ246" i="1" s="1"/>
  <c r="BQ247" i="1" s="1"/>
  <c r="BQ248" i="1" s="1"/>
  <c r="BQ249" i="1" s="1"/>
  <c r="BQ250" i="1" s="1"/>
  <c r="BQ251" i="1" s="1"/>
  <c r="BQ252" i="1" s="1"/>
  <c r="BQ253" i="1" s="1"/>
  <c r="BQ254" i="1" s="1"/>
  <c r="BQ255" i="1" s="1"/>
  <c r="BQ256" i="1" s="1"/>
  <c r="BQ257" i="1" s="1"/>
  <c r="BQ258" i="1" s="1"/>
  <c r="BQ259" i="1" s="1"/>
  <c r="BQ260" i="1" s="1"/>
  <c r="BQ261" i="1" s="1"/>
  <c r="BQ262" i="1" s="1"/>
  <c r="BQ263" i="1" s="1"/>
  <c r="BQ264" i="1" s="1"/>
  <c r="BQ265" i="1" s="1"/>
  <c r="BQ266" i="1" s="1"/>
  <c r="BQ267" i="1" s="1"/>
  <c r="BQ268" i="1" s="1"/>
  <c r="BQ269" i="1" s="1"/>
  <c r="BQ270" i="1" s="1"/>
  <c r="BQ271" i="1" s="1"/>
  <c r="BQ272" i="1" s="1"/>
  <c r="BQ273" i="1" s="1"/>
  <c r="BQ274" i="1" s="1"/>
  <c r="BQ275" i="1" s="1"/>
  <c r="BQ276" i="1" s="1"/>
  <c r="BQ277" i="1" s="1"/>
  <c r="BQ278" i="1" s="1"/>
  <c r="BQ279" i="1" s="1"/>
  <c r="BQ280" i="1" s="1"/>
  <c r="BQ281" i="1" s="1"/>
  <c r="BQ282" i="1" s="1"/>
  <c r="BQ283" i="1" s="1"/>
  <c r="BQ284" i="1" s="1"/>
  <c r="BQ285" i="1" s="1"/>
  <c r="BQ286" i="1" s="1"/>
  <c r="BQ287" i="1" s="1"/>
  <c r="BQ288" i="1" s="1"/>
  <c r="BQ289" i="1" s="1"/>
  <c r="BQ290" i="1" s="1"/>
  <c r="BQ291" i="1" s="1"/>
  <c r="BQ292" i="1" s="1"/>
  <c r="BQ293" i="1" s="1"/>
  <c r="BQ294" i="1" s="1"/>
  <c r="BQ295" i="1" s="1"/>
  <c r="BQ296" i="1" s="1"/>
  <c r="BQ297" i="1" s="1"/>
  <c r="BQ298" i="1" s="1"/>
  <c r="BQ299" i="1" s="1"/>
  <c r="BQ300" i="1" s="1"/>
  <c r="BQ301" i="1" s="1"/>
  <c r="BQ302" i="1" s="1"/>
  <c r="BQ303" i="1" s="1"/>
  <c r="BQ304" i="1" s="1"/>
  <c r="BQ305" i="1" s="1"/>
  <c r="BQ306" i="1" s="1"/>
  <c r="BQ307" i="1" s="1"/>
  <c r="BQ308" i="1" s="1"/>
  <c r="BQ309" i="1" s="1"/>
  <c r="BQ310" i="1" s="1"/>
  <c r="BQ311" i="1" s="1"/>
  <c r="BQ312" i="1" s="1"/>
  <c r="BQ313" i="1" s="1"/>
  <c r="BQ314" i="1" s="1"/>
  <c r="BQ315" i="1" s="1"/>
  <c r="BQ316" i="1" s="1"/>
  <c r="BQ317" i="1" s="1"/>
  <c r="BQ318" i="1" s="1"/>
  <c r="BQ319" i="1" s="1"/>
  <c r="BQ320" i="1" s="1"/>
  <c r="BQ321" i="1" s="1"/>
  <c r="BQ322" i="1" s="1"/>
  <c r="BQ323" i="1" s="1"/>
  <c r="BQ324" i="1" s="1"/>
  <c r="BQ325" i="1" s="1"/>
  <c r="BQ326" i="1" s="1"/>
  <c r="BQ327" i="1" s="1"/>
  <c r="BQ328" i="1" s="1"/>
  <c r="BQ329" i="1" s="1"/>
  <c r="BQ330" i="1" s="1"/>
  <c r="BQ331" i="1" s="1"/>
  <c r="BQ332" i="1" s="1"/>
  <c r="BQ333" i="1" s="1"/>
  <c r="BQ334" i="1" s="1"/>
  <c r="BQ335" i="1" s="1"/>
  <c r="BQ336" i="1" s="1"/>
  <c r="BQ337" i="1" s="1"/>
  <c r="BQ338" i="1" s="1"/>
  <c r="BQ339" i="1" s="1"/>
  <c r="BQ340" i="1" s="1"/>
  <c r="BQ341" i="1" s="1"/>
  <c r="BQ342" i="1" s="1"/>
  <c r="BQ343" i="1" s="1"/>
  <c r="BQ344" i="1" s="1"/>
  <c r="BQ345" i="1" s="1"/>
  <c r="BQ346" i="1" s="1"/>
  <c r="BQ347" i="1" s="1"/>
  <c r="BQ348" i="1" s="1"/>
  <c r="BQ349" i="1" s="1"/>
  <c r="BQ350" i="1" s="1"/>
  <c r="BQ351" i="1" s="1"/>
  <c r="BQ352" i="1" s="1"/>
  <c r="BQ353" i="1" s="1"/>
  <c r="BQ354" i="1" s="1"/>
  <c r="BQ355" i="1" s="1"/>
  <c r="BQ356" i="1" s="1"/>
  <c r="BQ357" i="1" s="1"/>
  <c r="BQ358" i="1" s="1"/>
  <c r="BQ359" i="1" s="1"/>
  <c r="BQ360" i="1" s="1"/>
  <c r="BQ361" i="1" s="1"/>
  <c r="BQ362" i="1" s="1"/>
  <c r="BQ363" i="1" s="1"/>
  <c r="BQ364" i="1" s="1"/>
  <c r="BQ365" i="1" s="1"/>
  <c r="BQ366" i="1" s="1"/>
  <c r="BQ367" i="1" s="1"/>
  <c r="BQ368" i="1" s="1"/>
  <c r="BQ369" i="1" s="1"/>
  <c r="BQ370" i="1" s="1"/>
  <c r="BQ371" i="1" s="1"/>
  <c r="BQ372" i="1" s="1"/>
  <c r="BQ373" i="1" s="1"/>
  <c r="BP209" i="1"/>
  <c r="BP210" i="1" s="1"/>
  <c r="BP211" i="1" s="1"/>
  <c r="BP212" i="1" s="1"/>
  <c r="BP213" i="1" s="1"/>
  <c r="BP214" i="1" s="1"/>
  <c r="BP215" i="1" s="1"/>
  <c r="BP216" i="1" s="1"/>
  <c r="BP217" i="1" s="1"/>
  <c r="BP218" i="1" s="1"/>
  <c r="BP219" i="1" s="1"/>
  <c r="BP220" i="1" s="1"/>
  <c r="BP221" i="1" s="1"/>
  <c r="BP222" i="1" s="1"/>
  <c r="BP223" i="1" s="1"/>
  <c r="BP224" i="1" s="1"/>
  <c r="BP225" i="1" s="1"/>
  <c r="BP226" i="1" s="1"/>
  <c r="BP227" i="1" s="1"/>
  <c r="BP228" i="1" s="1"/>
  <c r="BP229" i="1" s="1"/>
  <c r="BP230" i="1" s="1"/>
  <c r="BP231" i="1" s="1"/>
  <c r="BP232" i="1" s="1"/>
  <c r="BP233" i="1" s="1"/>
  <c r="BP234" i="1" s="1"/>
  <c r="BP235" i="1" s="1"/>
  <c r="BP236" i="1" s="1"/>
  <c r="BP237" i="1" s="1"/>
  <c r="BP238" i="1" s="1"/>
  <c r="BP239" i="1" s="1"/>
  <c r="BP240" i="1" s="1"/>
  <c r="BP241" i="1" s="1"/>
  <c r="BP242" i="1" s="1"/>
  <c r="BP243" i="1" s="1"/>
  <c r="BP244" i="1" s="1"/>
  <c r="BP245" i="1" s="1"/>
  <c r="BP246" i="1" s="1"/>
  <c r="BP247" i="1" s="1"/>
  <c r="BP248" i="1" s="1"/>
  <c r="BP249" i="1" s="1"/>
  <c r="BP250" i="1" s="1"/>
  <c r="BP251" i="1" s="1"/>
  <c r="BP252" i="1" s="1"/>
  <c r="BP253" i="1" s="1"/>
  <c r="BP254" i="1" s="1"/>
  <c r="BP255" i="1" s="1"/>
  <c r="BP256" i="1" s="1"/>
  <c r="BP257" i="1" s="1"/>
  <c r="BP258" i="1" s="1"/>
  <c r="BP259" i="1" s="1"/>
  <c r="BP260" i="1" s="1"/>
  <c r="BP261" i="1" s="1"/>
  <c r="BP262" i="1" s="1"/>
  <c r="BP263" i="1" s="1"/>
  <c r="BP264" i="1" s="1"/>
  <c r="BP265" i="1" s="1"/>
  <c r="BP266" i="1" s="1"/>
  <c r="BP267" i="1" s="1"/>
  <c r="BP268" i="1" s="1"/>
  <c r="BP269" i="1" s="1"/>
  <c r="BP270" i="1" s="1"/>
  <c r="BP271" i="1" s="1"/>
  <c r="BP272" i="1" s="1"/>
  <c r="BP273" i="1" s="1"/>
  <c r="BP274" i="1" s="1"/>
  <c r="BP275" i="1" s="1"/>
  <c r="BP276" i="1" s="1"/>
  <c r="BP277" i="1" s="1"/>
  <c r="BP278" i="1" s="1"/>
  <c r="BP279" i="1" s="1"/>
  <c r="BP280" i="1" s="1"/>
  <c r="BP281" i="1" s="1"/>
  <c r="BP282" i="1" s="1"/>
  <c r="BP283" i="1" s="1"/>
  <c r="BP284" i="1" s="1"/>
  <c r="BP285" i="1" s="1"/>
  <c r="BP286" i="1" s="1"/>
  <c r="BP287" i="1" s="1"/>
  <c r="BP288" i="1" s="1"/>
  <c r="BP289" i="1" s="1"/>
  <c r="BP290" i="1" s="1"/>
  <c r="BP291" i="1" s="1"/>
  <c r="BP292" i="1" s="1"/>
  <c r="BP293" i="1" s="1"/>
  <c r="BP294" i="1" s="1"/>
  <c r="BP295" i="1" s="1"/>
  <c r="BP296" i="1" s="1"/>
  <c r="BP297" i="1" s="1"/>
  <c r="BP298" i="1" s="1"/>
  <c r="BP299" i="1" s="1"/>
  <c r="BP300" i="1" s="1"/>
  <c r="BP301" i="1" s="1"/>
  <c r="BP302" i="1" s="1"/>
  <c r="BP303" i="1" s="1"/>
  <c r="BP304" i="1" s="1"/>
  <c r="BP305" i="1" s="1"/>
  <c r="BP306" i="1" s="1"/>
  <c r="BP307" i="1" s="1"/>
  <c r="BP308" i="1" s="1"/>
  <c r="BP309" i="1" s="1"/>
  <c r="BP310" i="1" s="1"/>
  <c r="BP311" i="1" s="1"/>
  <c r="BP312" i="1" s="1"/>
  <c r="BP313" i="1" s="1"/>
  <c r="BP314" i="1" s="1"/>
  <c r="BP315" i="1" s="1"/>
  <c r="BP316" i="1" s="1"/>
  <c r="BP317" i="1" s="1"/>
  <c r="BP318" i="1" s="1"/>
  <c r="BP319" i="1" s="1"/>
  <c r="BP320" i="1" s="1"/>
  <c r="BP321" i="1" s="1"/>
  <c r="BP322" i="1" s="1"/>
  <c r="BP323" i="1" s="1"/>
  <c r="BP324" i="1" s="1"/>
  <c r="BP325" i="1" s="1"/>
  <c r="BP326" i="1" s="1"/>
  <c r="BP327" i="1" s="1"/>
  <c r="BP328" i="1" s="1"/>
  <c r="BP329" i="1" s="1"/>
  <c r="BP330" i="1" s="1"/>
  <c r="BP331" i="1" s="1"/>
  <c r="BP332" i="1" s="1"/>
  <c r="BP333" i="1" s="1"/>
  <c r="BP334" i="1" s="1"/>
  <c r="BP335" i="1" s="1"/>
  <c r="BP336" i="1" s="1"/>
  <c r="BP337" i="1" s="1"/>
  <c r="BP338" i="1" s="1"/>
  <c r="BP339" i="1" s="1"/>
  <c r="BP340" i="1" s="1"/>
  <c r="BP341" i="1" s="1"/>
  <c r="BP342" i="1" s="1"/>
  <c r="BP343" i="1" s="1"/>
  <c r="BP344" i="1" s="1"/>
  <c r="BP345" i="1" s="1"/>
  <c r="BP346" i="1" s="1"/>
  <c r="BP347" i="1" s="1"/>
  <c r="BP348" i="1" s="1"/>
  <c r="BP349" i="1" s="1"/>
  <c r="BP350" i="1" s="1"/>
  <c r="BP351" i="1" s="1"/>
  <c r="BP352" i="1" s="1"/>
  <c r="BP353" i="1" s="1"/>
  <c r="BP354" i="1" s="1"/>
  <c r="BP355" i="1" s="1"/>
  <c r="BP356" i="1" s="1"/>
  <c r="BP357" i="1" s="1"/>
  <c r="BP358" i="1" s="1"/>
  <c r="BP359" i="1" s="1"/>
  <c r="BP360" i="1" s="1"/>
  <c r="BP361" i="1" s="1"/>
  <c r="BP362" i="1" s="1"/>
  <c r="BP363" i="1" s="1"/>
  <c r="BP364" i="1" s="1"/>
  <c r="BP365" i="1" s="1"/>
  <c r="BP366" i="1" s="1"/>
  <c r="BP367" i="1" s="1"/>
  <c r="BP368" i="1" s="1"/>
  <c r="BP369" i="1" s="1"/>
  <c r="BP370" i="1" s="1"/>
  <c r="BP371" i="1" s="1"/>
  <c r="BP372" i="1" s="1"/>
  <c r="BP373" i="1" s="1"/>
  <c r="AT374" i="1"/>
  <c r="BD373" i="1"/>
  <c r="BE373" i="1" s="1"/>
  <c r="BF373" i="1" s="1"/>
  <c r="AW374" i="1"/>
  <c r="AR375" i="1"/>
  <c r="AS375" i="1" s="1"/>
  <c r="AF375" i="1"/>
  <c r="BC375" i="1"/>
  <c r="AC375" i="1"/>
  <c r="AE375" i="1" s="1"/>
  <c r="AJ375" i="1"/>
  <c r="AL375" i="1" s="1"/>
  <c r="BE211" i="1"/>
  <c r="BF211" i="1" s="1"/>
  <c r="BG211" i="1" s="1"/>
  <c r="BG212" i="1" s="1"/>
  <c r="BG213" i="1" s="1"/>
  <c r="BG214" i="1" s="1"/>
  <c r="BG215" i="1" s="1"/>
  <c r="BG216" i="1" s="1"/>
  <c r="BG217" i="1" s="1"/>
  <c r="BG218" i="1" s="1"/>
  <c r="BG219" i="1" s="1"/>
  <c r="BG220" i="1" s="1"/>
  <c r="BG221" i="1" s="1"/>
  <c r="BG222" i="1" s="1"/>
  <c r="BG223" i="1" s="1"/>
  <c r="BG224" i="1" s="1"/>
  <c r="BG225" i="1" s="1"/>
  <c r="BG226" i="1" s="1"/>
  <c r="BG227" i="1" s="1"/>
  <c r="BG228" i="1" s="1"/>
  <c r="BG229" i="1" s="1"/>
  <c r="BG230" i="1" s="1"/>
  <c r="BG231" i="1" s="1"/>
  <c r="BG232" i="1" s="1"/>
  <c r="BG233" i="1" s="1"/>
  <c r="BG234" i="1" s="1"/>
  <c r="BG235" i="1" s="1"/>
  <c r="BG236" i="1" s="1"/>
  <c r="BG237" i="1" s="1"/>
  <c r="BG238" i="1" s="1"/>
  <c r="BG239" i="1" s="1"/>
  <c r="BG240" i="1" s="1"/>
  <c r="BG241" i="1" s="1"/>
  <c r="BG242" i="1" s="1"/>
  <c r="BG243" i="1" s="1"/>
  <c r="BG244" i="1" s="1"/>
  <c r="BG245" i="1" s="1"/>
  <c r="BG246" i="1" s="1"/>
  <c r="BG247" i="1" s="1"/>
  <c r="BG248" i="1" s="1"/>
  <c r="BG249" i="1" s="1"/>
  <c r="BG250" i="1" s="1"/>
  <c r="BG251" i="1" s="1"/>
  <c r="BG252" i="1" s="1"/>
  <c r="BG253" i="1" s="1"/>
  <c r="BG254" i="1" s="1"/>
  <c r="BG255" i="1" s="1"/>
  <c r="BG256" i="1" s="1"/>
  <c r="BG257" i="1" s="1"/>
  <c r="BG258" i="1" s="1"/>
  <c r="BG259" i="1" s="1"/>
  <c r="BG260" i="1" s="1"/>
  <c r="BG261" i="1" s="1"/>
  <c r="BG262" i="1" s="1"/>
  <c r="BG263" i="1" s="1"/>
  <c r="BG264" i="1" s="1"/>
  <c r="BG265" i="1" s="1"/>
  <c r="BG266" i="1" s="1"/>
  <c r="BG267" i="1" s="1"/>
  <c r="BG268" i="1" s="1"/>
  <c r="BG269" i="1" s="1"/>
  <c r="BG270" i="1" s="1"/>
  <c r="BG271" i="1" s="1"/>
  <c r="BG272" i="1" s="1"/>
  <c r="BG273" i="1" s="1"/>
  <c r="BG274" i="1" s="1"/>
  <c r="BG275" i="1" s="1"/>
  <c r="BG276" i="1" s="1"/>
  <c r="BG277" i="1" s="1"/>
  <c r="BG278" i="1" s="1"/>
  <c r="BG279" i="1" s="1"/>
  <c r="BG280" i="1" s="1"/>
  <c r="BG281" i="1" s="1"/>
  <c r="BG282" i="1" s="1"/>
  <c r="BG283" i="1" s="1"/>
  <c r="BG284" i="1" s="1"/>
  <c r="BG285" i="1" s="1"/>
  <c r="BG286" i="1" s="1"/>
  <c r="BG287" i="1" s="1"/>
  <c r="BG288" i="1" s="1"/>
  <c r="BG289" i="1" s="1"/>
  <c r="BG290" i="1" s="1"/>
  <c r="BG291" i="1" s="1"/>
  <c r="BG292" i="1" s="1"/>
  <c r="BG293" i="1" s="1"/>
  <c r="BG294" i="1" s="1"/>
  <c r="BG295" i="1" s="1"/>
  <c r="BG296" i="1" s="1"/>
  <c r="BG297" i="1" s="1"/>
  <c r="BG298" i="1" s="1"/>
  <c r="BG299" i="1" s="1"/>
  <c r="BG300" i="1" s="1"/>
  <c r="BG301" i="1" s="1"/>
  <c r="BG302" i="1" s="1"/>
  <c r="BG303" i="1" s="1"/>
  <c r="BG304" i="1" s="1"/>
  <c r="BG305" i="1" s="1"/>
  <c r="BG306" i="1" s="1"/>
  <c r="BG307" i="1" s="1"/>
  <c r="BG308" i="1" s="1"/>
  <c r="BG309" i="1" s="1"/>
  <c r="BG310" i="1" s="1"/>
  <c r="BG311" i="1" s="1"/>
  <c r="BG312" i="1" s="1"/>
  <c r="BG313" i="1" s="1"/>
  <c r="BG314" i="1" s="1"/>
  <c r="BG315" i="1" s="1"/>
  <c r="BG316" i="1" s="1"/>
  <c r="BG317" i="1" s="1"/>
  <c r="BG318" i="1" s="1"/>
  <c r="BG319" i="1" s="1"/>
  <c r="BG320" i="1" s="1"/>
  <c r="BG321" i="1" s="1"/>
  <c r="BG322" i="1" s="1"/>
  <c r="BG323" i="1" s="1"/>
  <c r="BG324" i="1" s="1"/>
  <c r="BG325" i="1" s="1"/>
  <c r="BG326" i="1" s="1"/>
  <c r="BG327" i="1" s="1"/>
  <c r="BG328" i="1" s="1"/>
  <c r="BG329" i="1" s="1"/>
  <c r="BG330" i="1" s="1"/>
  <c r="BG331" i="1" s="1"/>
  <c r="BG332" i="1" s="1"/>
  <c r="BG333" i="1" s="1"/>
  <c r="BG334" i="1" s="1"/>
  <c r="BG335" i="1" s="1"/>
  <c r="BG336" i="1" s="1"/>
  <c r="BG337" i="1" s="1"/>
  <c r="BG338" i="1" s="1"/>
  <c r="BG339" i="1" s="1"/>
  <c r="BG340" i="1" s="1"/>
  <c r="BG341" i="1" s="1"/>
  <c r="BG342" i="1" s="1"/>
  <c r="BG343" i="1" s="1"/>
  <c r="BG344" i="1" s="1"/>
  <c r="BG345" i="1" s="1"/>
  <c r="BG346" i="1" s="1"/>
  <c r="BG347" i="1" s="1"/>
  <c r="BG348" i="1" s="1"/>
  <c r="BG349" i="1" s="1"/>
  <c r="BG350" i="1" s="1"/>
  <c r="BG351" i="1" s="1"/>
  <c r="BG352" i="1" s="1"/>
  <c r="BG353" i="1" s="1"/>
  <c r="BG354" i="1" s="1"/>
  <c r="BG355" i="1" s="1"/>
  <c r="BG356" i="1" s="1"/>
  <c r="BG357" i="1" s="1"/>
  <c r="BG358" i="1" s="1"/>
  <c r="BG359" i="1" s="1"/>
  <c r="BG360" i="1" s="1"/>
  <c r="BG361" i="1" s="1"/>
  <c r="BG362" i="1" s="1"/>
  <c r="BG363" i="1" s="1"/>
  <c r="BG364" i="1" s="1"/>
  <c r="BG365" i="1" s="1"/>
  <c r="BG366" i="1" s="1"/>
  <c r="BG367" i="1" s="1"/>
  <c r="BG368" i="1" s="1"/>
  <c r="BG369" i="1" s="1"/>
  <c r="BG370" i="1" s="1"/>
  <c r="BG371" i="1" s="1"/>
  <c r="BG372" i="1" s="1"/>
  <c r="BG373" i="1" s="1"/>
  <c r="AX211" i="1" a="1"/>
  <c r="AX211" i="1" s="1"/>
  <c r="AW211" i="1"/>
  <c r="AU375" i="1"/>
  <c r="BA374" i="1"/>
  <c r="AY374" i="1"/>
  <c r="BZ214" i="1" l="1"/>
  <c r="CC214" i="1" s="1"/>
  <c r="AX374" i="1" a="1"/>
  <c r="AX374" i="1" s="1"/>
  <c r="AO375" i="1"/>
  <c r="AP375" i="1" s="1"/>
  <c r="AQ375" i="1" s="1"/>
  <c r="BC376" i="1"/>
  <c r="AG375" i="1"/>
  <c r="AC376" i="1"/>
  <c r="AE376" i="1" s="1"/>
  <c r="AF376" i="1"/>
  <c r="AJ376" i="1"/>
  <c r="AL376" i="1" s="1"/>
  <c r="AR376" i="1"/>
  <c r="AS376" i="1" s="1"/>
  <c r="AU376" i="1" s="1"/>
  <c r="BA375" i="1"/>
  <c r="AY375" i="1"/>
  <c r="BZ215" i="1" l="1"/>
  <c r="CC215" i="1" s="1"/>
  <c r="BD374" i="1"/>
  <c r="BE374" i="1" s="1"/>
  <c r="BF374" i="1" s="1"/>
  <c r="BG374" i="1" s="1"/>
  <c r="AT375" i="1"/>
  <c r="AX375" i="1" s="1" a="1"/>
  <c r="AX375" i="1" s="1"/>
  <c r="AO376" i="1"/>
  <c r="AP376" i="1" s="1"/>
  <c r="BC377" i="1"/>
  <c r="AG376" i="1"/>
  <c r="AR377" i="1"/>
  <c r="AS377" i="1" s="1"/>
  <c r="AU377" i="1" s="1"/>
  <c r="AC377" i="1"/>
  <c r="AE377" i="1" s="1"/>
  <c r="AF377" i="1"/>
  <c r="AJ377" i="1"/>
  <c r="AL377" i="1" s="1"/>
  <c r="AW375" i="1"/>
  <c r="BA376" i="1"/>
  <c r="AY376" i="1"/>
  <c r="BZ216" i="1" l="1"/>
  <c r="CC216" i="1" s="1"/>
  <c r="BQ374" i="1"/>
  <c r="BP374" i="1"/>
  <c r="AQ376" i="1"/>
  <c r="AG377" i="1"/>
  <c r="AR378" i="1"/>
  <c r="AS378" i="1" s="1"/>
  <c r="AU378" i="1" s="1"/>
  <c r="BC378" i="1"/>
  <c r="AF378" i="1"/>
  <c r="AJ378" i="1"/>
  <c r="AL378" i="1" s="1"/>
  <c r="AC378" i="1"/>
  <c r="AE378" i="1" s="1"/>
  <c r="AO377" i="1"/>
  <c r="AP377" i="1" s="1"/>
  <c r="BA377" i="1"/>
  <c r="AY377" i="1"/>
  <c r="BZ217" i="1" l="1"/>
  <c r="CC217" i="1" s="1"/>
  <c r="BP375" i="1"/>
  <c r="BQ375" i="1"/>
  <c r="AQ377" i="1"/>
  <c r="BD375" i="1"/>
  <c r="BE375" i="1" s="1"/>
  <c r="BF375" i="1" s="1"/>
  <c r="BG375" i="1" s="1"/>
  <c r="AT376" i="1"/>
  <c r="AG378" i="1"/>
  <c r="AO378" i="1"/>
  <c r="AP378" i="1" s="1"/>
  <c r="BA378" i="1"/>
  <c r="AY378" i="1"/>
  <c r="BZ218" i="1" l="1"/>
  <c r="CC218" i="1" s="1"/>
  <c r="BD376" i="1"/>
  <c r="BQ376" i="1"/>
  <c r="AQ378" i="1"/>
  <c r="AT377" i="1"/>
  <c r="BF377" i="1" s="1"/>
  <c r="AX376" i="1" a="1"/>
  <c r="AX376" i="1" s="1"/>
  <c r="BF376" i="1"/>
  <c r="BG376" i="1" s="1"/>
  <c r="AW376" i="1"/>
  <c r="AT378" i="1"/>
  <c r="AF379" i="1"/>
  <c r="AR379" i="1"/>
  <c r="AS379" i="1" s="1"/>
  <c r="AU379" i="1" s="1"/>
  <c r="BA379" i="1" s="1"/>
  <c r="BC379" i="1"/>
  <c r="AC379" i="1"/>
  <c r="AE379" i="1" s="1"/>
  <c r="AJ379" i="1"/>
  <c r="AL379" i="1" s="1"/>
  <c r="BZ219" i="1" l="1"/>
  <c r="CC219" i="1" s="1"/>
  <c r="BD377" i="1"/>
  <c r="BQ377" i="1"/>
  <c r="BP376" i="1"/>
  <c r="AX377" i="1" a="1"/>
  <c r="AX377" i="1" s="1"/>
  <c r="AW377" i="1"/>
  <c r="BG377" i="1"/>
  <c r="AG379" i="1"/>
  <c r="AR380" i="1"/>
  <c r="AS380" i="1" s="1"/>
  <c r="AU380" i="1" s="1"/>
  <c r="BA380" i="1" s="1"/>
  <c r="BC380" i="1"/>
  <c r="AJ380" i="1"/>
  <c r="AL380" i="1" s="1"/>
  <c r="AC380" i="1"/>
  <c r="AE380" i="1" s="1"/>
  <c r="AF380" i="1"/>
  <c r="AY379" i="1"/>
  <c r="AO379" i="1"/>
  <c r="AP379" i="1" s="1"/>
  <c r="AW378" i="1"/>
  <c r="AX378" i="1" a="1"/>
  <c r="AX378" i="1" s="1"/>
  <c r="BZ220" i="1" l="1"/>
  <c r="CC220" i="1" s="1"/>
  <c r="BP377" i="1"/>
  <c r="AQ379" i="1"/>
  <c r="AG380" i="1"/>
  <c r="AY380" i="1"/>
  <c r="AT379" i="1"/>
  <c r="BF378" i="1"/>
  <c r="BG378" i="1" s="1"/>
  <c r="AJ381" i="1"/>
  <c r="AL381" i="1" s="1"/>
  <c r="AC381" i="1"/>
  <c r="AE381" i="1" s="1"/>
  <c r="BC381" i="1"/>
  <c r="AR381" i="1"/>
  <c r="AS381" i="1" s="1"/>
  <c r="AU381" i="1" s="1"/>
  <c r="BA381" i="1" s="1"/>
  <c r="AF381" i="1"/>
  <c r="AG381" i="1" s="1"/>
  <c r="AO380" i="1"/>
  <c r="AP380" i="1" s="1"/>
  <c r="BZ221" i="1" l="1"/>
  <c r="CC221" i="1" s="1"/>
  <c r="BD378" i="1"/>
  <c r="BQ378" i="1"/>
  <c r="AQ380" i="1"/>
  <c r="AT380" i="1"/>
  <c r="BC382" i="1"/>
  <c r="AJ382" i="1"/>
  <c r="AL382" i="1" s="1"/>
  <c r="AF382" i="1"/>
  <c r="AG382" i="1" s="1"/>
  <c r="AC382" i="1"/>
  <c r="AE382" i="1" s="1"/>
  <c r="AR382" i="1"/>
  <c r="AS382" i="1" s="1"/>
  <c r="AY382" i="1" s="1"/>
  <c r="AY381" i="1"/>
  <c r="AO381" i="1"/>
  <c r="AP381" i="1" s="1"/>
  <c r="BF379" i="1"/>
  <c r="BG379" i="1" s="1"/>
  <c r="AW379" i="1"/>
  <c r="AX379" i="1" a="1"/>
  <c r="AX379" i="1" s="1"/>
  <c r="BZ222" i="1" l="1"/>
  <c r="CC222" i="1" s="1"/>
  <c r="BD379" i="1"/>
  <c r="BQ379" i="1"/>
  <c r="BP378" i="1"/>
  <c r="AQ381" i="1"/>
  <c r="AT381" i="1" s="1"/>
  <c r="AR383" i="1"/>
  <c r="AS383" i="1" s="1"/>
  <c r="AU383" i="1" s="1"/>
  <c r="AY383" i="1" s="1"/>
  <c r="BC383" i="1"/>
  <c r="AJ383" i="1"/>
  <c r="AL383" i="1" s="1"/>
  <c r="AC383" i="1"/>
  <c r="AE383" i="1" s="1"/>
  <c r="AF383" i="1"/>
  <c r="AG383" i="1" s="1"/>
  <c r="AO382" i="1"/>
  <c r="AP382" i="1" s="1"/>
  <c r="BA382" i="1"/>
  <c r="BF380" i="1"/>
  <c r="BG380" i="1" s="1"/>
  <c r="AW380" i="1"/>
  <c r="AX380" i="1" a="1"/>
  <c r="AX380" i="1" s="1"/>
  <c r="BZ223" i="1" l="1"/>
  <c r="CC223" i="1" s="1"/>
  <c r="BD380" i="1"/>
  <c r="BQ380" i="1"/>
  <c r="BP379" i="1"/>
  <c r="BP380" i="1" s="1"/>
  <c r="AQ382" i="1"/>
  <c r="BA383" i="1"/>
  <c r="AT382" i="1"/>
  <c r="AO383" i="1"/>
  <c r="AP383" i="1" s="1"/>
  <c r="BF381" i="1"/>
  <c r="BG381" i="1" s="1"/>
  <c r="AW381" i="1"/>
  <c r="AX381" i="1" a="1"/>
  <c r="AX381" i="1" s="1"/>
  <c r="BZ224" i="1" l="1"/>
  <c r="CC224" i="1" s="1"/>
  <c r="BD381" i="1"/>
  <c r="BQ381" i="1"/>
  <c r="AQ383" i="1"/>
  <c r="BC384" i="1"/>
  <c r="AC384" i="1"/>
  <c r="AE384" i="1" s="1"/>
  <c r="AJ384" i="1"/>
  <c r="AL384" i="1" s="1"/>
  <c r="AF384" i="1"/>
  <c r="AG384" i="1" s="1"/>
  <c r="AR384" i="1"/>
  <c r="AS384" i="1" s="1"/>
  <c r="AU384" i="1" s="1"/>
  <c r="BF382" i="1"/>
  <c r="BG382" i="1" s="1"/>
  <c r="AW382" i="1"/>
  <c r="AX382" i="1" a="1"/>
  <c r="AX382" i="1" s="1"/>
  <c r="BZ225" i="1" l="1"/>
  <c r="CC225" i="1" s="1"/>
  <c r="BD382" i="1"/>
  <c r="BQ382" i="1"/>
  <c r="BP381" i="1"/>
  <c r="AW383" i="1"/>
  <c r="AX383" i="1" a="1"/>
  <c r="AX383" i="1" s="1"/>
  <c r="BA384" i="1"/>
  <c r="AY384" i="1"/>
  <c r="AO384" i="1"/>
  <c r="AP384" i="1" s="1"/>
  <c r="AR432" i="1"/>
  <c r="AS432" i="1" s="1"/>
  <c r="BC432" i="1"/>
  <c r="AJ432" i="1"/>
  <c r="AL432" i="1" s="1"/>
  <c r="AO432" i="1" s="1"/>
  <c r="AP432" i="1" s="1"/>
  <c r="AC432" i="1"/>
  <c r="AF432" i="1"/>
  <c r="AG432" i="1" s="1"/>
  <c r="BZ226" i="1" l="1"/>
  <c r="CC226" i="1" s="1"/>
  <c r="BP382" i="1"/>
  <c r="AQ384" i="1"/>
  <c r="BD431" i="1"/>
  <c r="BF431" i="1" s="1"/>
  <c r="AU432" i="1"/>
  <c r="AR433" i="1"/>
  <c r="AS433" i="1" s="1"/>
  <c r="BD432" i="1" s="1"/>
  <c r="BC433" i="1"/>
  <c r="AJ433" i="1"/>
  <c r="AL433" i="1" s="1"/>
  <c r="AO433" i="1" s="1"/>
  <c r="AP433" i="1" s="1"/>
  <c r="AC433" i="1"/>
  <c r="AF433" i="1"/>
  <c r="AG433" i="1" s="1"/>
  <c r="BZ227" i="1" l="1"/>
  <c r="CC227" i="1" s="1"/>
  <c r="BD383" i="1"/>
  <c r="BE383" i="1" s="1"/>
  <c r="BF383" i="1" s="1"/>
  <c r="BG383" i="1" s="1"/>
  <c r="BE384" i="1"/>
  <c r="BF384" i="1" s="1"/>
  <c r="AW384" i="1"/>
  <c r="AX384" i="1" a="1"/>
  <c r="AX384" i="1" s="1"/>
  <c r="AR434" i="1"/>
  <c r="AS434" i="1" s="1"/>
  <c r="BD433" i="1" s="1"/>
  <c r="BC434" i="1"/>
  <c r="BA432" i="1"/>
  <c r="AY432" i="1"/>
  <c r="AX432" i="1" a="1"/>
  <c r="AX432" i="1" s="1"/>
  <c r="AU433" i="1"/>
  <c r="AJ434" i="1"/>
  <c r="AL434" i="1" s="1"/>
  <c r="AO434" i="1" s="1"/>
  <c r="AP434" i="1" s="1"/>
  <c r="AF434" i="1"/>
  <c r="AG434" i="1" s="1"/>
  <c r="AC434" i="1"/>
  <c r="BZ228" i="1" l="1"/>
  <c r="CC228" i="1" s="1"/>
  <c r="BG384" i="1"/>
  <c r="BG385" i="1" s="1"/>
  <c r="BG386" i="1" s="1"/>
  <c r="BG387" i="1" s="1"/>
  <c r="BG388" i="1" s="1"/>
  <c r="BG389" i="1" s="1"/>
  <c r="BG390" i="1" s="1"/>
  <c r="BG391" i="1" s="1"/>
  <c r="BG392" i="1" s="1"/>
  <c r="BG393" i="1" s="1"/>
  <c r="BG394" i="1" s="1"/>
  <c r="BG395" i="1" s="1"/>
  <c r="BG396" i="1" s="1"/>
  <c r="BG397" i="1" s="1"/>
  <c r="BG398" i="1" s="1"/>
  <c r="BG399" i="1" s="1"/>
  <c r="BG400" i="1" s="1"/>
  <c r="BG401" i="1" s="1"/>
  <c r="BG402" i="1" s="1"/>
  <c r="BG403" i="1" s="1"/>
  <c r="BG404" i="1" s="1"/>
  <c r="BG405" i="1" s="1"/>
  <c r="BG406" i="1" s="1"/>
  <c r="BG407" i="1" s="1"/>
  <c r="BG408" i="1" s="1"/>
  <c r="BG409" i="1" s="1"/>
  <c r="BG410" i="1" s="1"/>
  <c r="BG411" i="1" s="1"/>
  <c r="BG412" i="1" s="1"/>
  <c r="BG413" i="1" s="1"/>
  <c r="BG414" i="1" s="1"/>
  <c r="BG415" i="1" s="1"/>
  <c r="BG416" i="1" s="1"/>
  <c r="BG417" i="1" s="1"/>
  <c r="BG418" i="1" s="1"/>
  <c r="BG419" i="1" s="1"/>
  <c r="BG420" i="1" s="1"/>
  <c r="BG421" i="1" s="1"/>
  <c r="BG422" i="1" s="1"/>
  <c r="BG423" i="1" s="1"/>
  <c r="BG424" i="1" s="1"/>
  <c r="BG425" i="1" s="1"/>
  <c r="BG426" i="1" s="1"/>
  <c r="BG427" i="1" s="1"/>
  <c r="BG428" i="1" s="1"/>
  <c r="BG429" i="1" s="1"/>
  <c r="BG430" i="1" s="1"/>
  <c r="BG431" i="1" s="1"/>
  <c r="BQ383" i="1"/>
  <c r="BQ384" i="1" s="1"/>
  <c r="BQ385" i="1" s="1"/>
  <c r="BQ386" i="1" s="1"/>
  <c r="BQ387" i="1" s="1"/>
  <c r="BQ388" i="1" s="1"/>
  <c r="BQ389" i="1" s="1"/>
  <c r="BQ390" i="1" s="1"/>
  <c r="BQ391" i="1" s="1"/>
  <c r="BQ392" i="1" s="1"/>
  <c r="BQ393" i="1" s="1"/>
  <c r="BQ394" i="1" s="1"/>
  <c r="BQ395" i="1" s="1"/>
  <c r="BQ396" i="1" s="1"/>
  <c r="BQ397" i="1" s="1"/>
  <c r="BQ398" i="1" s="1"/>
  <c r="BQ399" i="1" s="1"/>
  <c r="BQ400" i="1" s="1"/>
  <c r="BQ401" i="1" s="1"/>
  <c r="BQ402" i="1" s="1"/>
  <c r="BQ403" i="1" s="1"/>
  <c r="BQ404" i="1" s="1"/>
  <c r="BQ405" i="1" s="1"/>
  <c r="BQ406" i="1" s="1"/>
  <c r="BQ407" i="1" s="1"/>
  <c r="BQ408" i="1" s="1"/>
  <c r="BQ409" i="1" s="1"/>
  <c r="BQ410" i="1" s="1"/>
  <c r="BQ411" i="1" s="1"/>
  <c r="BQ412" i="1" s="1"/>
  <c r="BQ413" i="1" s="1"/>
  <c r="BQ414" i="1" s="1"/>
  <c r="BQ415" i="1" s="1"/>
  <c r="BQ416" i="1" s="1"/>
  <c r="BQ417" i="1" s="1"/>
  <c r="BQ418" i="1" s="1"/>
  <c r="BQ419" i="1" s="1"/>
  <c r="BQ420" i="1" s="1"/>
  <c r="BQ421" i="1" s="1"/>
  <c r="BQ422" i="1" s="1"/>
  <c r="BQ423" i="1" s="1"/>
  <c r="BQ424" i="1" s="1"/>
  <c r="BQ425" i="1" s="1"/>
  <c r="BQ426" i="1" s="1"/>
  <c r="BQ427" i="1" s="1"/>
  <c r="BQ428" i="1" s="1"/>
  <c r="BQ429" i="1" s="1"/>
  <c r="BQ430" i="1" s="1"/>
  <c r="BQ431" i="1" s="1"/>
  <c r="BQ432" i="1" s="1"/>
  <c r="BQ433" i="1" s="1"/>
  <c r="BQ434" i="1" s="1"/>
  <c r="BQ435" i="1" s="1"/>
  <c r="BQ436" i="1" s="1"/>
  <c r="BQ437" i="1" s="1"/>
  <c r="BQ438" i="1" s="1"/>
  <c r="BQ439" i="1" s="1"/>
  <c r="BQ440" i="1" s="1"/>
  <c r="BQ441" i="1" s="1"/>
  <c r="BQ442" i="1" s="1"/>
  <c r="BQ443" i="1" s="1"/>
  <c r="BQ444" i="1" s="1"/>
  <c r="BQ445" i="1" s="1"/>
  <c r="BQ446" i="1" s="1"/>
  <c r="BQ447" i="1" s="1"/>
  <c r="BQ448" i="1" s="1"/>
  <c r="BQ449" i="1" s="1"/>
  <c r="BQ450" i="1" s="1"/>
  <c r="BQ451" i="1" s="1"/>
  <c r="BQ452" i="1" s="1"/>
  <c r="BQ453" i="1" s="1"/>
  <c r="BQ454" i="1" s="1"/>
  <c r="BQ455" i="1" s="1"/>
  <c r="BQ456" i="1" s="1"/>
  <c r="BQ457" i="1" s="1"/>
  <c r="BQ458" i="1" s="1"/>
  <c r="BQ459" i="1" s="1"/>
  <c r="BQ460" i="1" s="1"/>
  <c r="BQ461" i="1" s="1"/>
  <c r="BQ462" i="1" s="1"/>
  <c r="BQ463" i="1" s="1"/>
  <c r="BQ464" i="1" s="1"/>
  <c r="BQ465" i="1" s="1"/>
  <c r="BQ466" i="1" s="1"/>
  <c r="BQ467" i="1" s="1"/>
  <c r="BQ468" i="1" s="1"/>
  <c r="BQ469" i="1" s="1"/>
  <c r="BQ470" i="1" s="1"/>
  <c r="BQ471" i="1" s="1"/>
  <c r="BQ472" i="1" s="1"/>
  <c r="BQ473" i="1" s="1"/>
  <c r="BQ474" i="1" s="1"/>
  <c r="BQ475" i="1" s="1"/>
  <c r="BQ476" i="1" s="1"/>
  <c r="BQ477" i="1" s="1"/>
  <c r="BQ478" i="1" s="1"/>
  <c r="BQ479" i="1" s="1"/>
  <c r="BQ480" i="1" s="1"/>
  <c r="BQ481" i="1" s="1"/>
  <c r="BP383" i="1"/>
  <c r="BP384" i="1" s="1"/>
  <c r="BP385" i="1" s="1"/>
  <c r="BP386" i="1" s="1"/>
  <c r="BP387" i="1" s="1"/>
  <c r="BP388" i="1" s="1"/>
  <c r="BP389" i="1" s="1"/>
  <c r="BP390" i="1" s="1"/>
  <c r="BP391" i="1" s="1"/>
  <c r="BP392" i="1" s="1"/>
  <c r="BP393" i="1" s="1"/>
  <c r="BP394" i="1" s="1"/>
  <c r="BP395" i="1" s="1"/>
  <c r="BP396" i="1" s="1"/>
  <c r="BP397" i="1" s="1"/>
  <c r="BP398" i="1" s="1"/>
  <c r="BP399" i="1" s="1"/>
  <c r="BP400" i="1" s="1"/>
  <c r="BP401" i="1" s="1"/>
  <c r="BP402" i="1" s="1"/>
  <c r="BP403" i="1" s="1"/>
  <c r="BP404" i="1" s="1"/>
  <c r="BP405" i="1" s="1"/>
  <c r="BP406" i="1" s="1"/>
  <c r="BP407" i="1" s="1"/>
  <c r="BP408" i="1" s="1"/>
  <c r="BP409" i="1" s="1"/>
  <c r="BP410" i="1" s="1"/>
  <c r="BP411" i="1" s="1"/>
  <c r="BP412" i="1" s="1"/>
  <c r="BP413" i="1" s="1"/>
  <c r="BP414" i="1" s="1"/>
  <c r="BP415" i="1" s="1"/>
  <c r="BP416" i="1" s="1"/>
  <c r="BP417" i="1" s="1"/>
  <c r="BP418" i="1" s="1"/>
  <c r="BP419" i="1" s="1"/>
  <c r="BP420" i="1" s="1"/>
  <c r="BP421" i="1" s="1"/>
  <c r="BP422" i="1" s="1"/>
  <c r="BP423" i="1" s="1"/>
  <c r="BP424" i="1" s="1"/>
  <c r="BP425" i="1" s="1"/>
  <c r="BP426" i="1" s="1"/>
  <c r="BP427" i="1" s="1"/>
  <c r="BP428" i="1" s="1"/>
  <c r="BP429" i="1" s="1"/>
  <c r="BP430" i="1" s="1"/>
  <c r="BP431" i="1" s="1"/>
  <c r="BP432" i="1" s="1"/>
  <c r="BP433" i="1" s="1"/>
  <c r="BP434" i="1" s="1"/>
  <c r="BP435" i="1" s="1"/>
  <c r="BP436" i="1" s="1"/>
  <c r="BP437" i="1" s="1"/>
  <c r="BP438" i="1" s="1"/>
  <c r="BP439" i="1" s="1"/>
  <c r="BP440" i="1" s="1"/>
  <c r="BP441" i="1" s="1"/>
  <c r="BP442" i="1" s="1"/>
  <c r="BP443" i="1" s="1"/>
  <c r="BP444" i="1" s="1"/>
  <c r="BP445" i="1" s="1"/>
  <c r="BP446" i="1" s="1"/>
  <c r="BP447" i="1" s="1"/>
  <c r="BP448" i="1" s="1"/>
  <c r="BP449" i="1" s="1"/>
  <c r="BP450" i="1" s="1"/>
  <c r="BP451" i="1" s="1"/>
  <c r="BP452" i="1" s="1"/>
  <c r="BP453" i="1" s="1"/>
  <c r="BP454" i="1" s="1"/>
  <c r="BP455" i="1" s="1"/>
  <c r="BP456" i="1" s="1"/>
  <c r="BP457" i="1" s="1"/>
  <c r="BP458" i="1" s="1"/>
  <c r="BP459" i="1" s="1"/>
  <c r="BP460" i="1" s="1"/>
  <c r="BP461" i="1" s="1"/>
  <c r="BP462" i="1" s="1"/>
  <c r="BP463" i="1" s="1"/>
  <c r="BP464" i="1" s="1"/>
  <c r="BP465" i="1" s="1"/>
  <c r="BP466" i="1" s="1"/>
  <c r="BP467" i="1" s="1"/>
  <c r="BP468" i="1" s="1"/>
  <c r="BP469" i="1" s="1"/>
  <c r="BP470" i="1" s="1"/>
  <c r="BP471" i="1" s="1"/>
  <c r="BP472" i="1" s="1"/>
  <c r="BP473" i="1" s="1"/>
  <c r="BP474" i="1" s="1"/>
  <c r="BP475" i="1" s="1"/>
  <c r="BP476" i="1" s="1"/>
  <c r="BP477" i="1" s="1"/>
  <c r="BP478" i="1" s="1"/>
  <c r="BP479" i="1" s="1"/>
  <c r="BP480" i="1" s="1"/>
  <c r="BP481" i="1" s="1"/>
  <c r="AG436" i="1"/>
  <c r="BA433" i="1"/>
  <c r="AY433" i="1"/>
  <c r="AX433" i="1" a="1"/>
  <c r="AX433" i="1" s="1"/>
  <c r="AR435" i="1"/>
  <c r="AS435" i="1" s="1"/>
  <c r="BD434" i="1" s="1"/>
  <c r="BC435" i="1"/>
  <c r="BE432" i="1"/>
  <c r="BF432" i="1" s="1"/>
  <c r="AJ435" i="1"/>
  <c r="AL435" i="1" s="1"/>
  <c r="AO435" i="1" s="1"/>
  <c r="AP435" i="1" s="1"/>
  <c r="AC435" i="1"/>
  <c r="AF435" i="1"/>
  <c r="AG435" i="1" s="1"/>
  <c r="BZ229" i="1" l="1"/>
  <c r="CC229" i="1" s="1"/>
  <c r="BG432" i="1"/>
  <c r="BA434" i="1"/>
  <c r="AY434" i="1"/>
  <c r="AX434" i="1" a="1"/>
  <c r="AX434" i="1" s="1"/>
  <c r="BE433" i="1"/>
  <c r="BF433" i="1" s="1"/>
  <c r="BZ230" i="1" l="1"/>
  <c r="CC230" i="1" s="1"/>
  <c r="BG433" i="1"/>
  <c r="BA435" i="1"/>
  <c r="AY435" i="1"/>
  <c r="AX435" i="1" a="1"/>
  <c r="AX435" i="1" s="1"/>
  <c r="BE434" i="1"/>
  <c r="BF434" i="1" s="1"/>
  <c r="BZ231" i="1" l="1"/>
  <c r="CC231" i="1" s="1"/>
  <c r="BG434" i="1"/>
  <c r="BE435" i="1"/>
  <c r="BF435" i="1" s="1"/>
  <c r="AR483" i="1"/>
  <c r="AS483" i="1" s="1"/>
  <c r="BC483" i="1"/>
  <c r="AJ483" i="1"/>
  <c r="AL483" i="1" s="1"/>
  <c r="AC483" i="1"/>
  <c r="AE483" i="1" s="1"/>
  <c r="AF483" i="1"/>
  <c r="BZ232" i="1" l="1"/>
  <c r="CC232" i="1" s="1"/>
  <c r="BG435" i="1"/>
  <c r="BG436" i="1" s="1"/>
  <c r="BG437" i="1" s="1"/>
  <c r="BG438" i="1" s="1"/>
  <c r="BG439" i="1" s="1"/>
  <c r="BG440" i="1" s="1"/>
  <c r="BG441" i="1" s="1"/>
  <c r="BG442" i="1" s="1"/>
  <c r="BG443" i="1" s="1"/>
  <c r="BG444" i="1" s="1"/>
  <c r="BG445" i="1" s="1"/>
  <c r="BG446" i="1" s="1"/>
  <c r="BG447" i="1" s="1"/>
  <c r="BG448" i="1" s="1"/>
  <c r="BG449" i="1" s="1"/>
  <c r="BG450" i="1" s="1"/>
  <c r="BG451" i="1" s="1"/>
  <c r="BG452" i="1" s="1"/>
  <c r="BG453" i="1" s="1"/>
  <c r="BG454" i="1" s="1"/>
  <c r="BG455" i="1" s="1"/>
  <c r="BG456" i="1" s="1"/>
  <c r="BG457" i="1" s="1"/>
  <c r="BG458" i="1" s="1"/>
  <c r="BG459" i="1" s="1"/>
  <c r="BG460" i="1" s="1"/>
  <c r="BG461" i="1" s="1"/>
  <c r="BG462" i="1" s="1"/>
  <c r="BG463" i="1" s="1"/>
  <c r="BG464" i="1" s="1"/>
  <c r="BG465" i="1" s="1"/>
  <c r="BG466" i="1" s="1"/>
  <c r="BG467" i="1" s="1"/>
  <c r="BG468" i="1" s="1"/>
  <c r="BG469" i="1" s="1"/>
  <c r="BG470" i="1" s="1"/>
  <c r="BG471" i="1" s="1"/>
  <c r="BG472" i="1" s="1"/>
  <c r="BG473" i="1" s="1"/>
  <c r="BG474" i="1" s="1"/>
  <c r="BG475" i="1" s="1"/>
  <c r="BG476" i="1" s="1"/>
  <c r="BG477" i="1" s="1"/>
  <c r="BG478" i="1" s="1"/>
  <c r="BG479" i="1" s="1"/>
  <c r="BG480" i="1" s="1"/>
  <c r="BG481" i="1" s="1"/>
  <c r="AG483" i="1"/>
  <c r="AN483" i="1" s="1"/>
  <c r="AO483" i="1"/>
  <c r="AP483" i="1" s="1"/>
  <c r="AR484" i="1"/>
  <c r="AS484" i="1" s="1"/>
  <c r="BC484" i="1"/>
  <c r="AU483" i="1"/>
  <c r="AJ484" i="1"/>
  <c r="AL484" i="1" s="1"/>
  <c r="AC484" i="1"/>
  <c r="AE484" i="1" s="1"/>
  <c r="AF484" i="1"/>
  <c r="AG484" i="1" s="1"/>
  <c r="BZ233" i="1" l="1"/>
  <c r="CC233" i="1" s="1"/>
  <c r="AQ483" i="1"/>
  <c r="AT483" i="1"/>
  <c r="BD482" i="1"/>
  <c r="BE482" i="1" s="1"/>
  <c r="BF482" i="1" s="1"/>
  <c r="BG482" i="1" s="1"/>
  <c r="AO484" i="1"/>
  <c r="AP484" i="1" s="1"/>
  <c r="AR485" i="1"/>
  <c r="AS485" i="1" s="1"/>
  <c r="BC485" i="1"/>
  <c r="BA483" i="1"/>
  <c r="AY483" i="1"/>
  <c r="AU484" i="1"/>
  <c r="AJ485" i="1"/>
  <c r="AL485" i="1" s="1"/>
  <c r="AF485" i="1"/>
  <c r="AC485" i="1"/>
  <c r="AE485" i="1" s="1"/>
  <c r="BZ234" i="1" l="1"/>
  <c r="CC234" i="1" s="1"/>
  <c r="BP482" i="1"/>
  <c r="BQ482" i="1"/>
  <c r="AQ484" i="1"/>
  <c r="AW483" i="1"/>
  <c r="AX483" i="1" a="1"/>
  <c r="AX483" i="1" s="1"/>
  <c r="AT484" i="1"/>
  <c r="BD483" i="1"/>
  <c r="AG485" i="1"/>
  <c r="AO485" i="1"/>
  <c r="AP485" i="1" s="1"/>
  <c r="AR486" i="1"/>
  <c r="AS486" i="1" s="1"/>
  <c r="BC486" i="1"/>
  <c r="BA484" i="1"/>
  <c r="AY484" i="1"/>
  <c r="AU485" i="1"/>
  <c r="AJ486" i="1"/>
  <c r="AL486" i="1" s="1"/>
  <c r="AC486" i="1"/>
  <c r="AE486" i="1" s="1"/>
  <c r="AF486" i="1"/>
  <c r="AG486" i="1" s="1"/>
  <c r="BZ235" i="1" l="1"/>
  <c r="CC235" i="1" s="1"/>
  <c r="BQ483" i="1"/>
  <c r="BP483" i="1"/>
  <c r="AX484" i="1" a="1"/>
  <c r="AX484" i="1" s="1"/>
  <c r="AQ485" i="1"/>
  <c r="AW484" i="1"/>
  <c r="BE483" i="1"/>
  <c r="BF483" i="1" s="1"/>
  <c r="BG483" i="1" s="1"/>
  <c r="AT485" i="1"/>
  <c r="AO486" i="1"/>
  <c r="AP486" i="1" s="1"/>
  <c r="BF484" i="1"/>
  <c r="BA485" i="1"/>
  <c r="AY485" i="1"/>
  <c r="AR487" i="1"/>
  <c r="AS487" i="1" s="1"/>
  <c r="BC487" i="1"/>
  <c r="AU486" i="1"/>
  <c r="AJ487" i="1"/>
  <c r="AL487" i="1" s="1"/>
  <c r="AC487" i="1"/>
  <c r="AE487" i="1" s="1"/>
  <c r="AF487" i="1"/>
  <c r="AG487" i="1" s="1"/>
  <c r="BZ236" i="1" l="1"/>
  <c r="CC236" i="1" s="1"/>
  <c r="BG484" i="1"/>
  <c r="BD484" i="1"/>
  <c r="BQ484" i="1"/>
  <c r="AQ486" i="1"/>
  <c r="AX485" i="1" a="1"/>
  <c r="AX485" i="1" s="1"/>
  <c r="AW485" i="1"/>
  <c r="AO487" i="1"/>
  <c r="AP487" i="1" s="1"/>
  <c r="AR488" i="1"/>
  <c r="AS488" i="1" s="1"/>
  <c r="BC488" i="1"/>
  <c r="BA486" i="1"/>
  <c r="AY486" i="1"/>
  <c r="AU487" i="1"/>
  <c r="AJ488" i="1"/>
  <c r="AL488" i="1" s="1"/>
  <c r="AF488" i="1"/>
  <c r="AG488" i="1" s="1"/>
  <c r="AC488" i="1"/>
  <c r="AE488" i="1" s="1"/>
  <c r="BZ237" i="1" l="1"/>
  <c r="CC237" i="1" s="1"/>
  <c r="BD485" i="1"/>
  <c r="BQ485" i="1"/>
  <c r="BP484" i="1"/>
  <c r="BP485" i="1" s="1"/>
  <c r="AT486" i="1"/>
  <c r="AX486" i="1" s="1" a="1"/>
  <c r="AX486" i="1" s="1"/>
  <c r="AQ487" i="1"/>
  <c r="BF485" i="1"/>
  <c r="BG485" i="1" s="1"/>
  <c r="AG490" i="1"/>
  <c r="AT487" i="1"/>
  <c r="AX487" i="1" s="1" a="1"/>
  <c r="AX487" i="1" s="1"/>
  <c r="AO488" i="1"/>
  <c r="AP488" i="1" s="1"/>
  <c r="AR489" i="1"/>
  <c r="AS489" i="1" s="1"/>
  <c r="BC489" i="1"/>
  <c r="BA487" i="1"/>
  <c r="AY487" i="1"/>
  <c r="AU488" i="1"/>
  <c r="AJ489" i="1"/>
  <c r="AL489" i="1" s="1"/>
  <c r="AF489" i="1"/>
  <c r="AG489" i="1" s="1"/>
  <c r="AC489" i="1"/>
  <c r="AE489" i="1" s="1"/>
  <c r="BZ238" i="1" l="1"/>
  <c r="CC238" i="1" s="1"/>
  <c r="AW486" i="1"/>
  <c r="BD486" i="1"/>
  <c r="BQ486" i="1"/>
  <c r="AQ488" i="1"/>
  <c r="BF486" i="1"/>
  <c r="BG486" i="1" s="1"/>
  <c r="AW487" i="1"/>
  <c r="BL5" i="1"/>
  <c r="AT488" i="1"/>
  <c r="AO489" i="1"/>
  <c r="AP489" i="1" s="1"/>
  <c r="BA488" i="1"/>
  <c r="AY488" i="1"/>
  <c r="BZ239" i="1" l="1"/>
  <c r="CC239" i="1" s="1"/>
  <c r="BL12" i="1"/>
  <c r="BD487" i="1"/>
  <c r="BQ487" i="1"/>
  <c r="BP486" i="1"/>
  <c r="AQ489" i="1"/>
  <c r="AX488" i="1" a="1"/>
  <c r="AX488" i="1" s="1"/>
  <c r="AW488" i="1"/>
  <c r="BF487" i="1"/>
  <c r="BG487" i="1" s="1"/>
  <c r="AT489" i="1"/>
  <c r="AX489" i="1" s="1" a="1"/>
  <c r="AX489" i="1" s="1"/>
  <c r="BA489" i="1"/>
  <c r="AY489" i="1"/>
  <c r="BZ240" i="1" l="1"/>
  <c r="CC240" i="1" s="1"/>
  <c r="BD488" i="1"/>
  <c r="BP487" i="1"/>
  <c r="BF488" i="1"/>
  <c r="BG488" i="1" s="1"/>
  <c r="BF489" i="1"/>
  <c r="AW489" i="1"/>
  <c r="BZ241" i="1" l="1"/>
  <c r="CC241" i="1" s="1"/>
  <c r="BQ488" i="1"/>
  <c r="BQ489" i="1" s="1"/>
  <c r="BQ490" i="1" s="1"/>
  <c r="BQ491" i="1" s="1"/>
  <c r="BQ492" i="1" s="1"/>
  <c r="BQ493" i="1" s="1"/>
  <c r="BQ494" i="1" s="1"/>
  <c r="BQ495" i="1" s="1"/>
  <c r="BQ496" i="1" s="1"/>
  <c r="BQ497" i="1" s="1"/>
  <c r="BQ498" i="1" s="1"/>
  <c r="BQ499" i="1" s="1"/>
  <c r="BQ500" i="1" s="1"/>
  <c r="BQ501" i="1" s="1"/>
  <c r="BQ502" i="1" s="1"/>
  <c r="BQ503" i="1" s="1"/>
  <c r="BQ504" i="1" s="1"/>
  <c r="BQ505" i="1" s="1"/>
  <c r="BQ506" i="1" s="1"/>
  <c r="BQ507" i="1" s="1"/>
  <c r="BQ508" i="1" s="1"/>
  <c r="BQ509" i="1" s="1"/>
  <c r="BQ510" i="1" s="1"/>
  <c r="BQ511" i="1" s="1"/>
  <c r="BQ512" i="1" s="1"/>
  <c r="BQ513" i="1" s="1"/>
  <c r="BQ514" i="1" s="1"/>
  <c r="BQ515" i="1" s="1"/>
  <c r="BQ516" i="1" s="1"/>
  <c r="BQ517" i="1" s="1"/>
  <c r="BQ518" i="1" s="1"/>
  <c r="BQ519" i="1" s="1"/>
  <c r="BQ520" i="1" s="1"/>
  <c r="BQ521" i="1" s="1"/>
  <c r="BQ522" i="1" s="1"/>
  <c r="BQ523" i="1" s="1"/>
  <c r="BQ524" i="1" s="1"/>
  <c r="BQ525" i="1" s="1"/>
  <c r="BQ526" i="1" s="1"/>
  <c r="BQ527" i="1" s="1"/>
  <c r="BQ528" i="1" s="1"/>
  <c r="BQ529" i="1" s="1"/>
  <c r="BQ530" i="1" s="1"/>
  <c r="BQ531" i="1" s="1"/>
  <c r="BQ532" i="1" s="1"/>
  <c r="BQ533" i="1" s="1"/>
  <c r="BL11" i="1" s="1"/>
  <c r="BG489" i="1"/>
  <c r="BG490" i="1" s="1"/>
  <c r="BG491" i="1" s="1"/>
  <c r="BG492" i="1" s="1"/>
  <c r="BG493" i="1" s="1"/>
  <c r="BG494" i="1" s="1"/>
  <c r="BG495" i="1" s="1"/>
  <c r="BG496" i="1" s="1"/>
  <c r="BG497" i="1" s="1"/>
  <c r="BG498" i="1" s="1"/>
  <c r="BG499" i="1" s="1"/>
  <c r="BG500" i="1" s="1"/>
  <c r="BG501" i="1" s="1"/>
  <c r="BG502" i="1" s="1"/>
  <c r="BG503" i="1" s="1"/>
  <c r="BG504" i="1" s="1"/>
  <c r="BG505" i="1" s="1"/>
  <c r="BG506" i="1" s="1"/>
  <c r="BG507" i="1" s="1"/>
  <c r="BG508" i="1" s="1"/>
  <c r="BG509" i="1" s="1"/>
  <c r="BG510" i="1" s="1"/>
  <c r="BG511" i="1" s="1"/>
  <c r="BG512" i="1" s="1"/>
  <c r="BG513" i="1" s="1"/>
  <c r="BG514" i="1" s="1"/>
  <c r="BG515" i="1" s="1"/>
  <c r="BG516" i="1" s="1"/>
  <c r="BG517" i="1" s="1"/>
  <c r="BG518" i="1" s="1"/>
  <c r="BG519" i="1" s="1"/>
  <c r="BG520" i="1" s="1"/>
  <c r="BG521" i="1" s="1"/>
  <c r="BG522" i="1" s="1"/>
  <c r="BG523" i="1" s="1"/>
  <c r="BG524" i="1" s="1"/>
  <c r="BG525" i="1" s="1"/>
  <c r="BG526" i="1" s="1"/>
  <c r="BG527" i="1" s="1"/>
  <c r="BG528" i="1" s="1"/>
  <c r="BG529" i="1" s="1"/>
  <c r="BG530" i="1" s="1"/>
  <c r="BG531" i="1" s="1"/>
  <c r="BG532" i="1" s="1"/>
  <c r="BZ242" i="1" l="1"/>
  <c r="CC242" i="1" s="1"/>
  <c r="BP488" i="1"/>
  <c r="BP489" i="1" s="1"/>
  <c r="BP490" i="1" s="1"/>
  <c r="BP491" i="1" s="1"/>
  <c r="BP492" i="1" s="1"/>
  <c r="BP493" i="1" s="1"/>
  <c r="BP494" i="1" s="1"/>
  <c r="BP495" i="1" s="1"/>
  <c r="BP496" i="1" s="1"/>
  <c r="BP497" i="1" s="1"/>
  <c r="BP498" i="1" s="1"/>
  <c r="BP499" i="1" s="1"/>
  <c r="BP500" i="1" s="1"/>
  <c r="BP501" i="1" s="1"/>
  <c r="BP502" i="1" s="1"/>
  <c r="BP503" i="1" s="1"/>
  <c r="BP504" i="1" s="1"/>
  <c r="BP505" i="1" s="1"/>
  <c r="BP506" i="1" s="1"/>
  <c r="BP507" i="1" s="1"/>
  <c r="BP508" i="1" s="1"/>
  <c r="BP509" i="1" s="1"/>
  <c r="BP510" i="1" s="1"/>
  <c r="BP511" i="1" s="1"/>
  <c r="BP512" i="1" s="1"/>
  <c r="BP513" i="1" s="1"/>
  <c r="BP514" i="1" s="1"/>
  <c r="BP515" i="1" s="1"/>
  <c r="BP516" i="1" s="1"/>
  <c r="BP517" i="1" s="1"/>
  <c r="BP518" i="1" s="1"/>
  <c r="BP519" i="1" s="1"/>
  <c r="BP520" i="1" s="1"/>
  <c r="BP521" i="1" s="1"/>
  <c r="BP522" i="1" s="1"/>
  <c r="BP523" i="1" s="1"/>
  <c r="BP524" i="1" s="1"/>
  <c r="BP525" i="1" s="1"/>
  <c r="BP526" i="1" s="1"/>
  <c r="BP527" i="1" s="1"/>
  <c r="BP528" i="1" s="1"/>
  <c r="BP529" i="1" s="1"/>
  <c r="BP530" i="1" s="1"/>
  <c r="BP531" i="1" s="1"/>
  <c r="BP532" i="1" s="1"/>
  <c r="BP533" i="1" s="1"/>
  <c r="BE533" i="1"/>
  <c r="BF533" i="1" s="1"/>
  <c r="BG533" i="1" s="1"/>
  <c r="BJ5" i="1" s="1"/>
  <c r="BZ243" i="1" l="1"/>
  <c r="CC243" i="1" s="1"/>
  <c r="BZ244" i="1" l="1"/>
  <c r="CC244" i="1" s="1"/>
  <c r="BZ245" i="1" l="1"/>
  <c r="CC245" i="1" s="1"/>
  <c r="BZ246" i="1" l="1"/>
  <c r="CC246" i="1" s="1"/>
  <c r="BZ247" i="1" l="1"/>
  <c r="CC247" i="1" s="1"/>
  <c r="BZ248" i="1" l="1"/>
  <c r="CC248" i="1" s="1"/>
  <c r="BZ249" i="1" l="1"/>
  <c r="CC249" i="1" s="1"/>
  <c r="BZ250" i="1" l="1"/>
  <c r="CC250" i="1" s="1"/>
  <c r="BZ251" i="1" l="1"/>
  <c r="CC251" i="1" s="1"/>
  <c r="BZ252" i="1" l="1"/>
  <c r="CC252" i="1" s="1"/>
  <c r="BZ253" i="1" l="1"/>
  <c r="CC253" i="1" s="1"/>
  <c r="BZ254" i="1" l="1"/>
  <c r="CC254" i="1" s="1"/>
  <c r="BZ255" i="1" l="1"/>
  <c r="CC255" i="1" s="1"/>
  <c r="BZ256" i="1" l="1"/>
  <c r="CC256" i="1" s="1"/>
  <c r="BZ257" i="1" l="1"/>
  <c r="CC257" i="1" s="1"/>
  <c r="BZ258" i="1" l="1"/>
  <c r="CC258" i="1" s="1"/>
  <c r="BZ259" i="1" l="1"/>
  <c r="CC259" i="1" s="1"/>
  <c r="BZ260" i="1" l="1"/>
  <c r="CC260" i="1" s="1"/>
  <c r="BZ261" i="1" l="1"/>
  <c r="CC261" i="1" s="1"/>
  <c r="BZ262" i="1" l="1"/>
  <c r="CC262" i="1" s="1"/>
  <c r="BZ263" i="1" l="1"/>
  <c r="CC263" i="1" s="1"/>
  <c r="BZ264" i="1" l="1"/>
  <c r="CC264" i="1" s="1"/>
  <c r="BZ265" i="1" l="1"/>
  <c r="CC265" i="1" s="1"/>
  <c r="BZ266" i="1" l="1"/>
  <c r="CC266" i="1" s="1"/>
  <c r="BZ267" i="1" l="1"/>
  <c r="CC267" i="1" s="1"/>
  <c r="BZ268" i="1" l="1"/>
  <c r="CC268" i="1" s="1"/>
  <c r="BZ269" i="1" l="1"/>
  <c r="CC269" i="1" s="1"/>
  <c r="BZ270" i="1" l="1"/>
  <c r="CC270" i="1" s="1"/>
  <c r="BZ271" i="1" l="1"/>
  <c r="CC271" i="1" s="1"/>
  <c r="BZ272" i="1" l="1"/>
  <c r="CC272" i="1" s="1"/>
  <c r="BZ273" i="1" l="1"/>
  <c r="CC273" i="1" s="1"/>
  <c r="BZ274" i="1" l="1"/>
  <c r="CC274" i="1" s="1"/>
  <c r="BZ275" i="1" l="1"/>
  <c r="CC275" i="1" s="1"/>
  <c r="BZ276" i="1" l="1"/>
  <c r="CC276" i="1" s="1"/>
  <c r="BZ277" i="1" l="1"/>
  <c r="CC277" i="1" s="1"/>
  <c r="BZ278" i="1" l="1"/>
  <c r="CC278" i="1" s="1"/>
  <c r="BZ279" i="1" l="1"/>
  <c r="CC279" i="1" s="1"/>
  <c r="BZ280" i="1" l="1"/>
  <c r="CC280" i="1" s="1"/>
  <c r="BZ281" i="1" l="1"/>
  <c r="CC281" i="1" s="1"/>
  <c r="BZ282" i="1" l="1"/>
  <c r="CC282" i="1" s="1"/>
  <c r="BZ283" i="1" l="1"/>
  <c r="CC283" i="1" s="1"/>
  <c r="BZ284" i="1" l="1"/>
  <c r="CC284" i="1" s="1"/>
  <c r="BZ285" i="1" l="1"/>
  <c r="CC285" i="1" s="1"/>
  <c r="BZ286" i="1" l="1"/>
  <c r="CC286" i="1" s="1"/>
  <c r="BZ287" i="1" l="1"/>
  <c r="CC287" i="1" s="1"/>
  <c r="BZ288" i="1" l="1"/>
  <c r="CC288" i="1" s="1"/>
  <c r="BZ289" i="1" l="1"/>
  <c r="CC289" i="1" s="1"/>
  <c r="BZ290" i="1" l="1"/>
  <c r="CC290" i="1" s="1"/>
  <c r="BZ291" i="1" l="1"/>
  <c r="CC291" i="1" s="1"/>
  <c r="BZ292" i="1" l="1"/>
  <c r="CC292" i="1" s="1"/>
  <c r="BZ293" i="1" l="1"/>
  <c r="CC293" i="1" s="1"/>
  <c r="BZ294" i="1" l="1"/>
  <c r="CC294" i="1" s="1"/>
  <c r="BZ295" i="1" l="1"/>
  <c r="CC295" i="1" s="1"/>
  <c r="BZ296" i="1" l="1"/>
  <c r="CC296" i="1" s="1"/>
  <c r="BZ297" i="1" l="1"/>
  <c r="CC297" i="1" s="1"/>
  <c r="BZ298" i="1" l="1"/>
  <c r="CC298" i="1" s="1"/>
  <c r="BZ299" i="1" l="1"/>
  <c r="CC299" i="1" s="1"/>
  <c r="BZ300" i="1" l="1"/>
  <c r="CC300" i="1" s="1"/>
  <c r="BZ301" i="1" l="1"/>
  <c r="CC301" i="1" s="1"/>
  <c r="BZ302" i="1" l="1"/>
  <c r="CC302" i="1" s="1"/>
  <c r="BZ303" i="1" l="1"/>
  <c r="CC303" i="1" s="1"/>
  <c r="BZ304" i="1" l="1"/>
  <c r="CC304" i="1" s="1"/>
  <c r="BZ305" i="1" l="1"/>
  <c r="CC305" i="1" s="1"/>
  <c r="BZ306" i="1" l="1"/>
  <c r="CC306" i="1" s="1"/>
  <c r="BZ307" i="1" l="1"/>
  <c r="CC307" i="1" s="1"/>
  <c r="BZ308" i="1" l="1"/>
  <c r="CC308" i="1" s="1"/>
  <c r="BZ309" i="1" l="1"/>
  <c r="CC309" i="1" s="1"/>
  <c r="BZ310" i="1" l="1"/>
  <c r="CC310" i="1" s="1"/>
  <c r="BZ311" i="1" l="1"/>
  <c r="CC311" i="1" s="1"/>
  <c r="BZ312" i="1" l="1"/>
  <c r="CC312" i="1" s="1"/>
  <c r="BZ313" i="1" l="1"/>
  <c r="CC313" i="1" s="1"/>
  <c r="BZ314" i="1" l="1"/>
  <c r="CC314" i="1" s="1"/>
  <c r="BZ315" i="1" l="1"/>
  <c r="CC315" i="1" s="1"/>
  <c r="BZ316" i="1" l="1"/>
  <c r="CC316" i="1" s="1"/>
  <c r="BZ317" i="1" l="1"/>
  <c r="CC317" i="1" s="1"/>
  <c r="BZ318" i="1" l="1"/>
  <c r="CC318" i="1" s="1"/>
  <c r="BZ319" i="1" l="1"/>
  <c r="CC319" i="1" s="1"/>
  <c r="BZ320" i="1" l="1"/>
  <c r="CC320" i="1" s="1"/>
  <c r="BZ321" i="1" l="1"/>
  <c r="CC321" i="1" s="1"/>
  <c r="BZ322" i="1" l="1"/>
  <c r="CC322" i="1" s="1"/>
  <c r="BZ323" i="1" l="1"/>
  <c r="CC323" i="1" s="1"/>
  <c r="BZ324" i="1" l="1"/>
  <c r="CC324" i="1" s="1"/>
  <c r="BZ325" i="1" l="1"/>
  <c r="CC325" i="1" s="1"/>
  <c r="BZ326" i="1" l="1"/>
  <c r="CC326" i="1" s="1"/>
  <c r="BZ327" i="1" l="1"/>
  <c r="CC327" i="1" s="1"/>
  <c r="BZ328" i="1" l="1"/>
  <c r="CC328" i="1" s="1"/>
  <c r="BZ329" i="1" l="1"/>
  <c r="CC329" i="1" s="1"/>
  <c r="BZ330" i="1" l="1"/>
  <c r="CC330" i="1" s="1"/>
  <c r="BZ331" i="1" l="1"/>
  <c r="CC331" i="1" s="1"/>
  <c r="BZ332" i="1" l="1"/>
  <c r="CC332" i="1" s="1"/>
  <c r="BZ333" i="1" l="1"/>
  <c r="CC333" i="1" s="1"/>
  <c r="BZ334" i="1" l="1"/>
  <c r="CC334" i="1" s="1"/>
  <c r="BZ335" i="1" l="1"/>
  <c r="CC335" i="1" s="1"/>
  <c r="BZ336" i="1" l="1"/>
  <c r="CC336" i="1" s="1"/>
  <c r="BZ337" i="1" l="1"/>
  <c r="CC337" i="1" s="1"/>
  <c r="BZ338" i="1" l="1"/>
  <c r="CC338" i="1" s="1"/>
  <c r="BZ339" i="1" l="1"/>
  <c r="CC339" i="1" s="1"/>
  <c r="BZ340" i="1" l="1"/>
  <c r="CC340" i="1" s="1"/>
  <c r="BZ341" i="1" l="1"/>
  <c r="CC341" i="1" s="1"/>
  <c r="BZ342" i="1" l="1"/>
  <c r="CC342" i="1" s="1"/>
  <c r="BZ343" i="1" l="1"/>
  <c r="CC343" i="1" s="1"/>
  <c r="BZ344" i="1" l="1"/>
  <c r="CC344" i="1" s="1"/>
  <c r="BZ345" i="1" l="1"/>
  <c r="CC345" i="1" s="1"/>
  <c r="BZ346" i="1" l="1"/>
  <c r="CC346" i="1" s="1"/>
  <c r="BZ347" i="1" l="1"/>
  <c r="CC347" i="1" s="1"/>
  <c r="BZ348" i="1" l="1"/>
  <c r="CC348" i="1" s="1"/>
  <c r="BZ349" i="1" l="1"/>
  <c r="CC349" i="1" s="1"/>
  <c r="BZ350" i="1" l="1"/>
  <c r="CC350" i="1" s="1"/>
  <c r="BZ351" i="1" l="1"/>
  <c r="CC351" i="1" s="1"/>
  <c r="BZ352" i="1" l="1"/>
  <c r="CC352" i="1" s="1"/>
  <c r="BZ353" i="1" l="1"/>
  <c r="CC353" i="1" s="1"/>
  <c r="BZ354" i="1" l="1"/>
  <c r="CC354" i="1" s="1"/>
  <c r="BZ355" i="1" l="1"/>
  <c r="CC355" i="1" s="1"/>
  <c r="BZ356" i="1" l="1"/>
  <c r="CC356" i="1" s="1"/>
  <c r="BZ357" i="1" l="1"/>
  <c r="CC357" i="1" s="1"/>
  <c r="BZ358" i="1" l="1"/>
  <c r="CC358" i="1" s="1"/>
  <c r="BZ359" i="1" l="1"/>
  <c r="CC359" i="1" s="1"/>
  <c r="BZ360" i="1" l="1"/>
  <c r="CC360" i="1" s="1"/>
  <c r="BZ361" i="1" l="1"/>
  <c r="CC361" i="1" s="1"/>
  <c r="BZ362" i="1" l="1"/>
  <c r="CC362" i="1" s="1"/>
  <c r="BZ363" i="1" l="1"/>
  <c r="CC363" i="1" s="1"/>
  <c r="BZ364" i="1" l="1"/>
  <c r="CC364" i="1" s="1"/>
  <c r="BZ365" i="1" l="1"/>
  <c r="CC365" i="1" s="1"/>
  <c r="BZ366" i="1" l="1"/>
  <c r="CC366" i="1" s="1"/>
  <c r="BZ367" i="1" l="1"/>
  <c r="CC367" i="1" s="1"/>
  <c r="BZ368" i="1" l="1"/>
  <c r="CC368" i="1" s="1"/>
  <c r="BZ369" i="1" l="1"/>
  <c r="CC369" i="1" s="1"/>
  <c r="BZ370" i="1" l="1"/>
  <c r="CC370" i="1" s="1"/>
  <c r="BZ371" i="1" l="1"/>
  <c r="CC371" i="1" s="1"/>
  <c r="BZ372" i="1" l="1"/>
  <c r="CC372" i="1" s="1"/>
  <c r="BZ373" i="1" l="1"/>
  <c r="CC373" i="1" s="1"/>
  <c r="BZ374" i="1" l="1"/>
  <c r="CC374" i="1" s="1"/>
  <c r="BZ375" i="1" l="1"/>
  <c r="CC375" i="1" s="1"/>
  <c r="BZ376" i="1" l="1"/>
  <c r="CC376" i="1" s="1"/>
  <c r="BZ377" i="1" l="1"/>
  <c r="CC377" i="1" s="1"/>
  <c r="BZ378" i="1" l="1"/>
  <c r="CC378" i="1" s="1"/>
  <c r="BZ379" i="1" l="1"/>
  <c r="CC379" i="1" s="1"/>
  <c r="BZ380" i="1" l="1"/>
  <c r="CC380" i="1" s="1"/>
  <c r="BZ381" i="1" l="1"/>
  <c r="CC381" i="1" s="1"/>
  <c r="BZ382" i="1" l="1"/>
  <c r="CC382" i="1" s="1"/>
  <c r="BZ383" i="1" l="1"/>
  <c r="CC383" i="1" s="1"/>
  <c r="BZ384" i="1" l="1"/>
  <c r="CC384" i="1" s="1"/>
  <c r="BZ385" i="1" l="1"/>
  <c r="CC385" i="1" s="1"/>
  <c r="BZ386" i="1" l="1"/>
  <c r="CC386" i="1" s="1"/>
  <c r="BZ387" i="1" l="1"/>
  <c r="CC387" i="1" s="1"/>
  <c r="BZ388" i="1" l="1"/>
  <c r="CC388" i="1" s="1"/>
  <c r="BZ389" i="1" l="1"/>
  <c r="CC389" i="1" s="1"/>
  <c r="BZ390" i="1" l="1"/>
  <c r="CC390" i="1" s="1"/>
  <c r="BZ391" i="1" l="1"/>
  <c r="CC391" i="1" s="1"/>
  <c r="BZ392" i="1" l="1"/>
  <c r="CC392" i="1" s="1"/>
  <c r="BZ393" i="1" l="1"/>
  <c r="CC393" i="1" s="1"/>
  <c r="BZ394" i="1" l="1"/>
  <c r="CC394" i="1" s="1"/>
  <c r="BZ395" i="1" l="1"/>
  <c r="CC395" i="1" s="1"/>
  <c r="BZ396" i="1" l="1"/>
  <c r="CC396" i="1" s="1"/>
  <c r="BZ397" i="1" l="1"/>
  <c r="CC397" i="1" s="1"/>
  <c r="BZ398" i="1" l="1"/>
  <c r="CC398" i="1" s="1"/>
  <c r="BZ399" i="1" l="1"/>
  <c r="CC399" i="1" s="1"/>
  <c r="BZ400" i="1" l="1"/>
  <c r="CC400" i="1" s="1"/>
  <c r="BZ401" i="1" l="1"/>
  <c r="CC401" i="1" s="1"/>
  <c r="BZ402" i="1" l="1"/>
  <c r="CC402" i="1" s="1"/>
  <c r="BZ403" i="1" l="1"/>
  <c r="CC403" i="1" s="1"/>
  <c r="BZ404" i="1" l="1"/>
  <c r="CC404" i="1" s="1"/>
  <c r="BZ405" i="1" l="1"/>
  <c r="CC405" i="1" s="1"/>
  <c r="BZ406" i="1" l="1"/>
  <c r="CC406" i="1" s="1"/>
  <c r="BZ407" i="1" l="1"/>
  <c r="CC407" i="1" s="1"/>
  <c r="BZ408" i="1" l="1"/>
  <c r="CC408" i="1" s="1"/>
  <c r="BZ409" i="1" l="1"/>
  <c r="CC409" i="1" s="1"/>
  <c r="BZ410" i="1" l="1"/>
  <c r="CC410" i="1" s="1"/>
  <c r="BZ411" i="1" l="1"/>
  <c r="CC411" i="1" s="1"/>
  <c r="BZ412" i="1" l="1"/>
  <c r="CC412" i="1" s="1"/>
  <c r="BZ413" i="1" l="1"/>
  <c r="CC413" i="1" s="1"/>
  <c r="BZ414" i="1" l="1"/>
  <c r="CC414" i="1" s="1"/>
  <c r="BZ415" i="1" l="1"/>
  <c r="CC415" i="1" s="1"/>
  <c r="BZ416" i="1" l="1"/>
  <c r="CC416" i="1" s="1"/>
  <c r="BZ417" i="1" l="1"/>
  <c r="CC417" i="1" s="1"/>
  <c r="BZ418" i="1" l="1"/>
  <c r="CC418" i="1" s="1"/>
  <c r="BZ419" i="1" l="1"/>
  <c r="CC419" i="1" s="1"/>
  <c r="BZ420" i="1" l="1"/>
  <c r="CC420" i="1" s="1"/>
  <c r="BZ421" i="1" l="1"/>
  <c r="CC421" i="1" s="1"/>
  <c r="BZ422" i="1" l="1"/>
  <c r="CC422" i="1" s="1"/>
  <c r="BZ423" i="1" l="1"/>
  <c r="CC423" i="1" s="1"/>
  <c r="BZ424" i="1" l="1"/>
  <c r="CC424" i="1" s="1"/>
  <c r="BZ425" i="1" l="1"/>
  <c r="CC425" i="1" s="1"/>
  <c r="BZ426" i="1" l="1"/>
  <c r="CC426" i="1" s="1"/>
  <c r="BZ427" i="1" l="1"/>
  <c r="CC427" i="1" s="1"/>
  <c r="BZ428" i="1" l="1"/>
  <c r="CC428" i="1" s="1"/>
  <c r="BZ429" i="1" l="1"/>
  <c r="CC429" i="1" s="1"/>
  <c r="BZ430" i="1" l="1"/>
  <c r="CC430" i="1" s="1"/>
  <c r="BZ431" i="1" l="1"/>
  <c r="CC431" i="1" s="1"/>
  <c r="BZ432" i="1" l="1"/>
  <c r="CC432" i="1" s="1"/>
  <c r="BZ433" i="1" l="1"/>
  <c r="CC433" i="1" s="1"/>
  <c r="BZ434" i="1" l="1"/>
  <c r="CC434" i="1" s="1"/>
  <c r="BZ435" i="1" l="1"/>
  <c r="CC435" i="1" s="1"/>
  <c r="BZ436" i="1" l="1"/>
  <c r="CC436" i="1" s="1"/>
  <c r="BZ437" i="1" l="1"/>
  <c r="CC437" i="1" s="1"/>
  <c r="BZ438" i="1" l="1"/>
  <c r="CC438" i="1" s="1"/>
  <c r="BZ439" i="1" l="1"/>
  <c r="CC439" i="1" s="1"/>
  <c r="BZ440" i="1" l="1"/>
  <c r="CC440" i="1" s="1"/>
  <c r="BZ441" i="1" l="1"/>
  <c r="CC441" i="1" s="1"/>
  <c r="BZ442" i="1" l="1"/>
  <c r="CC442" i="1" s="1"/>
  <c r="BZ443" i="1" l="1"/>
  <c r="CC443" i="1" s="1"/>
  <c r="BZ444" i="1" l="1"/>
  <c r="CC444" i="1" s="1"/>
  <c r="BZ445" i="1" l="1"/>
  <c r="CC445" i="1" s="1"/>
  <c r="BZ446" i="1" l="1"/>
  <c r="CC446" i="1" s="1"/>
  <c r="BZ447" i="1" l="1"/>
  <c r="CC447" i="1" s="1"/>
  <c r="BZ448" i="1" l="1"/>
  <c r="CC448" i="1" s="1"/>
  <c r="BZ449" i="1" l="1"/>
  <c r="CC449" i="1" s="1"/>
  <c r="BZ450" i="1" l="1"/>
  <c r="CC450" i="1" s="1"/>
  <c r="BZ451" i="1" l="1"/>
  <c r="CC451" i="1" s="1"/>
  <c r="BZ452" i="1" l="1"/>
  <c r="CC452" i="1" s="1"/>
  <c r="BZ453" i="1" l="1"/>
  <c r="CC453" i="1" s="1"/>
  <c r="BZ454" i="1" l="1"/>
  <c r="CC454" i="1" s="1"/>
  <c r="BZ455" i="1" l="1"/>
  <c r="CC455" i="1" s="1"/>
  <c r="BZ456" i="1" l="1"/>
  <c r="CC456" i="1" s="1"/>
  <c r="BZ457" i="1" l="1"/>
  <c r="CC457" i="1" s="1"/>
  <c r="BZ458" i="1" l="1"/>
  <c r="CC458" i="1" s="1"/>
  <c r="BZ459" i="1" l="1"/>
  <c r="CC459" i="1" s="1"/>
  <c r="BZ460" i="1" l="1"/>
  <c r="CC460" i="1" s="1"/>
  <c r="BZ461" i="1" l="1"/>
  <c r="CC461" i="1" s="1"/>
  <c r="BZ462" i="1" l="1"/>
  <c r="CC462" i="1" s="1"/>
  <c r="BZ463" i="1" l="1"/>
  <c r="CC463" i="1" s="1"/>
  <c r="BZ464" i="1" l="1"/>
  <c r="CC464" i="1" s="1"/>
  <c r="BZ465" i="1" l="1"/>
  <c r="CC465" i="1" s="1"/>
  <c r="BZ466" i="1" l="1"/>
  <c r="CC466" i="1" s="1"/>
  <c r="BZ467" i="1" l="1"/>
  <c r="CC467" i="1" s="1"/>
  <c r="BZ468" i="1" l="1"/>
  <c r="CC468" i="1" s="1"/>
  <c r="BZ469" i="1" l="1"/>
  <c r="CC469" i="1" s="1"/>
  <c r="BZ470" i="1" l="1"/>
  <c r="CC470" i="1" s="1"/>
  <c r="BZ471" i="1" l="1"/>
  <c r="CC471" i="1" s="1"/>
  <c r="BZ472" i="1" l="1"/>
  <c r="CC472" i="1" s="1"/>
  <c r="BZ473" i="1" l="1"/>
  <c r="CC473" i="1" s="1"/>
  <c r="BZ474" i="1" l="1"/>
  <c r="CC474" i="1" s="1"/>
  <c r="BZ475" i="1" l="1"/>
  <c r="CC475" i="1" s="1"/>
  <c r="BZ476" i="1" l="1"/>
  <c r="CC476" i="1" s="1"/>
  <c r="BZ477" i="1" l="1"/>
  <c r="CC477" i="1" s="1"/>
  <c r="BZ478" i="1" l="1"/>
  <c r="CC478" i="1" s="1"/>
  <c r="BZ479" i="1" l="1"/>
  <c r="CC479" i="1" s="1"/>
  <c r="BZ480" i="1" l="1"/>
  <c r="CC480" i="1" s="1"/>
  <c r="BZ481" i="1" l="1"/>
  <c r="CC481" i="1" s="1"/>
  <c r="BZ482" i="1" l="1"/>
  <c r="CC482" i="1" s="1"/>
  <c r="BZ483" i="1" l="1"/>
  <c r="CC483" i="1" s="1"/>
  <c r="BZ484" i="1" l="1"/>
  <c r="CC484" i="1" s="1"/>
  <c r="BZ485" i="1" l="1"/>
  <c r="CC485" i="1" s="1"/>
  <c r="BZ486" i="1" l="1"/>
  <c r="CC486" i="1" s="1"/>
  <c r="BZ487" i="1" l="1"/>
  <c r="CC487" i="1" s="1"/>
  <c r="BZ488" i="1" l="1"/>
  <c r="CC488" i="1" s="1"/>
  <c r="BZ489" i="1" l="1"/>
  <c r="CC489" i="1" s="1"/>
  <c r="BZ490" i="1" l="1"/>
  <c r="CC490" i="1" s="1"/>
  <c r="BZ491" i="1" l="1"/>
  <c r="CC491" i="1" s="1"/>
  <c r="BZ492" i="1" l="1"/>
  <c r="CC492" i="1" s="1"/>
  <c r="BZ493" i="1" l="1"/>
  <c r="CC493" i="1" s="1"/>
  <c r="BZ494" i="1" l="1"/>
  <c r="CC494" i="1" s="1"/>
  <c r="BZ495" i="1" l="1"/>
  <c r="CC495" i="1" s="1"/>
  <c r="BZ496" i="1" l="1"/>
  <c r="CC496" i="1" s="1"/>
  <c r="BZ497" i="1" l="1"/>
  <c r="CC497" i="1" s="1"/>
  <c r="BZ498" i="1" l="1"/>
  <c r="CC498" i="1" s="1"/>
  <c r="BZ499" i="1" l="1"/>
  <c r="CC499" i="1" s="1"/>
  <c r="BZ500" i="1" l="1"/>
  <c r="CC500" i="1" s="1"/>
  <c r="BZ501" i="1" l="1"/>
  <c r="CC501" i="1" s="1"/>
  <c r="BZ502" i="1" l="1"/>
  <c r="CC502" i="1" s="1"/>
  <c r="BZ503" i="1" l="1"/>
  <c r="CC503" i="1" s="1"/>
  <c r="BZ504" i="1" l="1"/>
  <c r="CC504" i="1" s="1"/>
  <c r="BZ505" i="1" l="1"/>
  <c r="CC505" i="1" s="1"/>
  <c r="BZ506" i="1" l="1"/>
  <c r="CC506" i="1" s="1"/>
  <c r="BZ507" i="1" l="1"/>
  <c r="CC507" i="1" s="1"/>
  <c r="BZ508" i="1" l="1"/>
  <c r="CC508" i="1" s="1"/>
  <c r="BZ509" i="1" l="1"/>
  <c r="CC509" i="1" s="1"/>
  <c r="BZ510" i="1" l="1"/>
  <c r="CC510" i="1" s="1"/>
  <c r="BZ511" i="1" l="1"/>
  <c r="CC511" i="1" s="1"/>
  <c r="BZ512" i="1" l="1"/>
  <c r="CC512" i="1" s="1"/>
  <c r="BZ513" i="1" l="1"/>
  <c r="CC513" i="1" s="1"/>
  <c r="BZ514" i="1" l="1"/>
  <c r="CC514" i="1" s="1"/>
  <c r="BZ515" i="1" l="1"/>
  <c r="CC515" i="1" s="1"/>
  <c r="BZ516" i="1" l="1"/>
  <c r="CC516" i="1" s="1"/>
  <c r="BZ517" i="1" l="1"/>
  <c r="CC517" i="1" s="1"/>
  <c r="BZ518" i="1" l="1"/>
  <c r="CC518" i="1" s="1"/>
  <c r="BZ519" i="1" l="1"/>
  <c r="CC519" i="1" s="1"/>
  <c r="BZ520" i="1" l="1"/>
  <c r="CC520" i="1" s="1"/>
  <c r="BZ521" i="1" l="1"/>
  <c r="CC521" i="1" s="1"/>
  <c r="BZ522" i="1" l="1"/>
  <c r="CC522" i="1" s="1"/>
  <c r="BZ523" i="1" l="1"/>
  <c r="CC523" i="1" s="1"/>
  <c r="BZ524" i="1" l="1"/>
  <c r="CC524" i="1" s="1"/>
  <c r="BZ525" i="1" l="1"/>
  <c r="CC525" i="1" s="1"/>
  <c r="BZ526" i="1" l="1"/>
  <c r="CC526" i="1" s="1"/>
  <c r="BZ527" i="1" l="1"/>
  <c r="CC527" i="1" s="1"/>
  <c r="BZ528" i="1" l="1"/>
  <c r="CC528" i="1" s="1"/>
  <c r="BZ529" i="1" l="1"/>
  <c r="CC529" i="1" s="1"/>
  <c r="BZ530" i="1" l="1"/>
  <c r="CC530" i="1" s="1"/>
  <c r="BZ531" i="1" l="1"/>
  <c r="CC531" i="1" s="1"/>
  <c r="BZ532" i="1" l="1"/>
  <c r="CC532" i="1" s="1"/>
  <c r="BZ534" i="1" l="1"/>
  <c r="BZ533" i="1"/>
  <c r="CC533" i="1" l="1"/>
  <c r="CC534"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<sst xmlns="http://schemas.openxmlformats.org/spreadsheetml/2006/main" count="1418" uniqueCount="290">
  <si>
    <t>Altitude</t>
  </si>
  <si>
    <t>Gear</t>
  </si>
  <si>
    <t>Distance? Maybe lap distance</t>
  </si>
  <si>
    <t>Time(s)</t>
  </si>
  <si>
    <t>Velocity</t>
  </si>
  <si>
    <t>Acceleration</t>
  </si>
  <si>
    <t>Key</t>
  </si>
  <si>
    <t>Data</t>
  </si>
  <si>
    <t>Calculation</t>
  </si>
  <si>
    <t>mass</t>
  </si>
  <si>
    <t>Max Torque</t>
  </si>
  <si>
    <t>Max power</t>
  </si>
  <si>
    <t>Nm</t>
  </si>
  <si>
    <t>hp</t>
  </si>
  <si>
    <t>Rear Wheel Drive</t>
  </si>
  <si>
    <t>Fuel</t>
  </si>
  <si>
    <t xml:space="preserve">Wheelbase </t>
  </si>
  <si>
    <t>Centre of grav</t>
  </si>
  <si>
    <t>RR(rear)</t>
  </si>
  <si>
    <t>12 inches</t>
  </si>
  <si>
    <t>4ninch sidewall</t>
  </si>
  <si>
    <t>Max speed</t>
  </si>
  <si>
    <t>mph</t>
  </si>
  <si>
    <t>m/s</t>
  </si>
  <si>
    <t xml:space="preserve"> @4500rpm</t>
  </si>
  <si>
    <t xml:space="preserve"> @6500rpm</t>
  </si>
  <si>
    <t>Dry</t>
  </si>
  <si>
    <t>Surface</t>
  </si>
  <si>
    <t xml:space="preserve">Mu </t>
  </si>
  <si>
    <t>RR</t>
  </si>
  <si>
    <t>Tarmac</t>
  </si>
  <si>
    <t>Rolled gravel</t>
  </si>
  <si>
    <t>Unpaved</t>
  </si>
  <si>
    <t>Field</t>
  </si>
  <si>
    <t>0.1-0.35</t>
  </si>
  <si>
    <t>Max CP force</t>
  </si>
  <si>
    <t>Max Speed</t>
  </si>
  <si>
    <t>rpm</t>
  </si>
  <si>
    <t>rotations per sec</t>
  </si>
  <si>
    <t>mid speed</t>
  </si>
  <si>
    <t>1st speed</t>
  </si>
  <si>
    <t>Total Mass</t>
  </si>
  <si>
    <t>Scaled Velocity</t>
  </si>
  <si>
    <t>Scaled Accel</t>
  </si>
  <si>
    <t>Scaled Alt</t>
  </si>
  <si>
    <t>Change in  alt</t>
  </si>
  <si>
    <t>Surface  mu</t>
  </si>
  <si>
    <t>Surface Conditions</t>
  </si>
  <si>
    <t>Mass distribuution</t>
  </si>
  <si>
    <t>60% rear</t>
  </si>
  <si>
    <t>Driving Forces</t>
  </si>
  <si>
    <t>The Jump Data</t>
  </si>
  <si>
    <t>Lap Distance</t>
  </si>
  <si>
    <t>Time (s)</t>
  </si>
  <si>
    <t>Scaled Velo</t>
  </si>
  <si>
    <t>Elevation Mass trans</t>
  </si>
  <si>
    <t>Gradient Resistance</t>
  </si>
  <si>
    <t>Incline angle(Radians)</t>
  </si>
  <si>
    <t>Total Distance</t>
  </si>
  <si>
    <t>Max thrust (Grip)</t>
  </si>
  <si>
    <t>Max Thrust(Drive)</t>
  </si>
  <si>
    <t>T1 Radius</t>
  </si>
  <si>
    <t>T 2 Radius</t>
  </si>
  <si>
    <t>T3 Radius</t>
  </si>
  <si>
    <t>T4 Radius</t>
  </si>
  <si>
    <t>Straight</t>
  </si>
  <si>
    <t>Corner Radius selection Considering the max velocity that the buggy can go ensuring that high speed corners are easily flat shuch that amateur drivers wont crash and the low speed corners are very low speed and wid eto allow for big braking errors etc.  Another considerati</t>
  </si>
  <si>
    <t>Track</t>
  </si>
  <si>
    <t>Distance from Vmax to Turn Vmax</t>
  </si>
  <si>
    <t>Gravel</t>
  </si>
  <si>
    <t>Time to decel</t>
  </si>
  <si>
    <t>Distance to accelerate though gears</t>
  </si>
  <si>
    <t>1st</t>
  </si>
  <si>
    <t>Ratio (overall)</t>
  </si>
  <si>
    <t>Max speed asusmes that peak power is not at peak rpm as it typically instn in ice engines</t>
  </si>
  <si>
    <t>Torque at wheels</t>
  </si>
  <si>
    <t>S</t>
  </si>
  <si>
    <t>s</t>
  </si>
  <si>
    <t>Corrected Distance</t>
  </si>
  <si>
    <t>t1</t>
  </si>
  <si>
    <t>t2</t>
  </si>
  <si>
    <t>0 to Vmax:</t>
  </si>
  <si>
    <t>Velocity (max)</t>
  </si>
  <si>
    <t>Braking?</t>
  </si>
  <si>
    <t>a</t>
  </si>
  <si>
    <t>b</t>
  </si>
  <si>
    <t>velocity</t>
  </si>
  <si>
    <t>Accel</t>
  </si>
  <si>
    <t>Braking Decel</t>
  </si>
  <si>
    <t>Time Step</t>
  </si>
  <si>
    <t>ActualMaxVchange</t>
  </si>
  <si>
    <t>Cumulative Time (S)</t>
  </si>
  <si>
    <t>Aero Resistance</t>
  </si>
  <si>
    <t>Rolling Resistance</t>
  </si>
  <si>
    <t>Total Resistance</t>
  </si>
  <si>
    <t>CD</t>
  </si>
  <si>
    <t>Atom</t>
  </si>
  <si>
    <t>Frontal Area (Approximatley)</t>
  </si>
  <si>
    <t>Ro</t>
  </si>
  <si>
    <t>975</t>
  </si>
  <si>
    <t>900</t>
  </si>
  <si>
    <t>850</t>
  </si>
  <si>
    <t>800</t>
  </si>
  <si>
    <t>750</t>
  </si>
  <si>
    <t>700</t>
  </si>
  <si>
    <t>650</t>
  </si>
  <si>
    <t>550</t>
  </si>
  <si>
    <t>500</t>
  </si>
  <si>
    <t>475</t>
  </si>
  <si>
    <t>Linear Scale</t>
  </si>
  <si>
    <t>RPM</t>
  </si>
  <si>
    <t>Accel Res</t>
  </si>
  <si>
    <t>Total Force Required</t>
  </si>
  <si>
    <t>Instantaneous Torque</t>
  </si>
  <si>
    <t>BSFC</t>
  </si>
  <si>
    <t>Torque</t>
  </si>
  <si>
    <t>rps</t>
  </si>
  <si>
    <t>Rounded Torque</t>
  </si>
  <si>
    <t>Rounder RPM</t>
  </si>
  <si>
    <t>Equivalemnt Masses</t>
  </si>
  <si>
    <t>Engine</t>
  </si>
  <si>
    <t>I</t>
  </si>
  <si>
    <t>m</t>
  </si>
  <si>
    <t>k</t>
  </si>
  <si>
    <t>Assumoing vmax in top gear</t>
  </si>
  <si>
    <t>6.6kg</t>
  </si>
  <si>
    <t>Front</t>
  </si>
  <si>
    <t>Rear</t>
  </si>
  <si>
    <t>Wheel mass 15kg</t>
  </si>
  <si>
    <t>Interp in Torqu</t>
  </si>
  <si>
    <t>T1</t>
  </si>
  <si>
    <t>T2</t>
  </si>
  <si>
    <t>T</t>
  </si>
  <si>
    <t xml:space="preserve">BSFC </t>
  </si>
  <si>
    <t>B1</t>
  </si>
  <si>
    <t>B2</t>
  </si>
  <si>
    <t>Linear Interpolator</t>
  </si>
  <si>
    <t>Torque Index</t>
  </si>
  <si>
    <t>This has stopped working?</t>
  </si>
  <si>
    <t>RPM Index</t>
  </si>
  <si>
    <t>BSFC (G/KWH)</t>
  </si>
  <si>
    <t>KE (J)</t>
  </si>
  <si>
    <t>Power (KW)</t>
  </si>
  <si>
    <t>g/h</t>
  </si>
  <si>
    <t>g Cumulative</t>
  </si>
  <si>
    <t>g/step</t>
  </si>
  <si>
    <t>Fuel Uesed per lap (g)</t>
  </si>
  <si>
    <t>TOTAL TIME</t>
  </si>
  <si>
    <t>TOTAL DISTANCE (m)</t>
  </si>
  <si>
    <t>Hairpin (m)</t>
  </si>
  <si>
    <t>90 (m)</t>
  </si>
  <si>
    <t>V max (m/s)</t>
  </si>
  <si>
    <t>R</t>
  </si>
  <si>
    <t>Max Decel (m/s^2)</t>
  </si>
  <si>
    <t>Max Accel (m/s^2)</t>
  </si>
  <si>
    <t>Time to top of gear (s)</t>
  </si>
  <si>
    <t>Distance (m)</t>
  </si>
  <si>
    <t>circ (m)</t>
  </si>
  <si>
    <t>Max accel (m/s^2)</t>
  </si>
  <si>
    <t>Occupants</t>
  </si>
  <si>
    <t>Instantaneous Power</t>
  </si>
  <si>
    <t>Average power</t>
  </si>
  <si>
    <t>Torque at engine</t>
  </si>
  <si>
    <t>AVERAGE POWER</t>
  </si>
  <si>
    <t>Current Energy</t>
  </si>
  <si>
    <t>Total Energy (Avg Power)</t>
  </si>
  <si>
    <t>Total Energy</t>
  </si>
  <si>
    <t>Storage</t>
  </si>
  <si>
    <t>BSFC at this power with normal engine</t>
  </si>
  <si>
    <t>Cumulative Energy</t>
  </si>
  <si>
    <t>Energy By Average Power</t>
  </si>
  <si>
    <t>Cumulative energy</t>
  </si>
  <si>
    <t xml:space="preserve">Total energy </t>
  </si>
  <si>
    <t>No recovery</t>
  </si>
  <si>
    <t>Removing negatives</t>
  </si>
  <si>
    <t>Energy (InstPWR)</t>
  </si>
  <si>
    <t>Instantaneous Regen</t>
  </si>
  <si>
    <t>Without</t>
  </si>
  <si>
    <t>Delta, average vs insta</t>
  </si>
  <si>
    <t>BSFC @6.8KW@6500rpm</t>
  </si>
  <si>
    <t>Fuel Use(g)</t>
  </si>
  <si>
    <t>To calculate the current amount of energy in the storage we must take the  energy generated by the ICE the remove the energy used to drive the vehicle</t>
  </si>
  <si>
    <t>AVG PWR Energy Step</t>
  </si>
  <si>
    <t>Net Energy Change</t>
  </si>
  <si>
    <t>We start with a bucket of energy</t>
  </si>
  <si>
    <t>Then we use some to move forward</t>
  </si>
  <si>
    <t>At the same time our generator puts</t>
  </si>
  <si>
    <t xml:space="preserve">some in our bucket. </t>
  </si>
  <si>
    <t>Cumulative Time</t>
  </si>
  <si>
    <t>Net power</t>
  </si>
  <si>
    <t>Current Energy (J)</t>
  </si>
  <si>
    <t>Possible Storage Methodss</t>
  </si>
  <si>
    <t>Lithium Cells</t>
  </si>
  <si>
    <t>Other Battery</t>
  </si>
  <si>
    <t>Flywheel</t>
  </si>
  <si>
    <t>Hydogen</t>
  </si>
  <si>
    <t>KJ</t>
  </si>
  <si>
    <t>https://goldenmotor.bike/product/hpm-20-kw-liquid-cooled-bldc-motor/</t>
  </si>
  <si>
    <t>https://www.miromax.lt/en/m-6/c-39/c-45/product-510-bldc__pmsm_brushless_motor_hpm-20kw_-_nominal_power_20kw22kw__268hp295hp__1200cm3</t>
  </si>
  <si>
    <t>Storage Requirements</t>
  </si>
  <si>
    <t>Motor Requirements</t>
  </si>
  <si>
    <t>Controller Requirements</t>
  </si>
  <si>
    <t>Depth Of Discharge</t>
  </si>
  <si>
    <t>Power</t>
  </si>
  <si>
    <t>Max Power</t>
  </si>
  <si>
    <t>Continuous Discharge</t>
  </si>
  <si>
    <t>Volume</t>
  </si>
  <si>
    <t>N Cycles</t>
  </si>
  <si>
    <t>Specs</t>
  </si>
  <si>
    <t>Peak Power</t>
  </si>
  <si>
    <t>Continuous Power</t>
  </si>
  <si>
    <t>Inputs</t>
  </si>
  <si>
    <t>TRP</t>
  </si>
  <si>
    <t>Cut Off</t>
  </si>
  <si>
    <t>Compatibility</t>
  </si>
  <si>
    <t>Features</t>
  </si>
  <si>
    <t>Generator Requirements</t>
  </si>
  <si>
    <t xml:space="preserve">Capacity </t>
  </si>
  <si>
    <t>(KJ)</t>
  </si>
  <si>
    <t>(KW)</t>
  </si>
  <si>
    <t>(m^3)</t>
  </si>
  <si>
    <t>(Nm)</t>
  </si>
  <si>
    <t>Chargin Efficency</t>
  </si>
  <si>
    <t>Discharge Efficency</t>
  </si>
  <si>
    <t>Peka Discharge Rate</t>
  </si>
  <si>
    <t>Capacity</t>
  </si>
  <si>
    <t>Max DOD</t>
  </si>
  <si>
    <t>%</t>
  </si>
  <si>
    <t>Efficency</t>
  </si>
  <si>
    <t>Total Efficency ICE to Wheels</t>
  </si>
  <si>
    <t>Final Drive eff</t>
  </si>
  <si>
    <t>Wheels</t>
  </si>
  <si>
    <t>Motor</t>
  </si>
  <si>
    <t>Average Power out of Storage (W)</t>
  </si>
  <si>
    <t>From Other Sheet</t>
  </si>
  <si>
    <t>Average Power From ICE Required</t>
  </si>
  <si>
    <t>Out</t>
  </si>
  <si>
    <t>In</t>
  </si>
  <si>
    <t>Cum Time</t>
  </si>
  <si>
    <t>-</t>
  </si>
  <si>
    <t>Starting Energy REQUIRED</t>
  </si>
  <si>
    <t>Sotrage PWR</t>
  </si>
  <si>
    <t>AVG PWR at ICE</t>
  </si>
  <si>
    <t>select compatible</t>
  </si>
  <si>
    <t>(Wh)</t>
  </si>
  <si>
    <t>brushless possible</t>
  </si>
  <si>
    <t>Try working from average power at the wheels back throuh the system tog et average power required at ther ICE</t>
  </si>
  <si>
    <t>Average power at wheels</t>
  </si>
  <si>
    <t>AVG Wheels</t>
  </si>
  <si>
    <t>To get from average power at wheels to average power required from ice we chave two components to consider</t>
  </si>
  <si>
    <t>Average power out of controller</t>
  </si>
  <si>
    <t>AVG Control</t>
  </si>
  <si>
    <t>Select System Efficency</t>
  </si>
  <si>
    <t>Syst Effi</t>
  </si>
  <si>
    <t>PWR Gen Inst</t>
  </si>
  <si>
    <t>Diff between avg and inst</t>
  </si>
  <si>
    <t>INST PWR no storage</t>
  </si>
  <si>
    <t>IONST PWR storage</t>
  </si>
  <si>
    <t>Inst Pwr</t>
  </si>
  <si>
    <t>Eror here is that the main bit that’s less than avg pwr needs to be included in</t>
  </si>
  <si>
    <t>High Eff</t>
  </si>
  <si>
    <t>Low Eff</t>
  </si>
  <si>
    <t>Inst PWRR when using storage</t>
  </si>
  <si>
    <t>Average PWR ICE</t>
  </si>
  <si>
    <t>Inst Power needed from Imaginary Generator</t>
  </si>
  <si>
    <t>Average without bypass</t>
  </si>
  <si>
    <t>Difference</t>
  </si>
  <si>
    <t>Time</t>
  </si>
  <si>
    <t>many</t>
  </si>
  <si>
    <t>Ratio Dependant</t>
  </si>
  <si>
    <t>CofG</t>
  </si>
  <si>
    <t>mah/t</t>
  </si>
  <si>
    <t>Mass</t>
  </si>
  <si>
    <t>Load transfer front</t>
  </si>
  <si>
    <t>Load rear axle</t>
  </si>
  <si>
    <t>Energy into storage</t>
  </si>
  <si>
    <t>PWRR into storage</t>
  </si>
  <si>
    <t>PWR out of storage</t>
  </si>
  <si>
    <t>Enegy out of storage</t>
  </si>
  <si>
    <t>Stored Per step</t>
  </si>
  <si>
    <t>Cumulative</t>
  </si>
  <si>
    <t>Net Change</t>
  </si>
  <si>
    <t>Sum in</t>
  </si>
  <si>
    <t>Sum ou</t>
  </si>
  <si>
    <t>Max stored</t>
  </si>
  <si>
    <t>Max Negative</t>
  </si>
  <si>
    <t>Depth of discharge</t>
  </si>
  <si>
    <t>J</t>
  </si>
  <si>
    <t>Peak Power from storage</t>
  </si>
  <si>
    <t>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</si>
</sst>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5" formatCode="0.000"/>
    <numFmt numFmtId="166" formatCode="0.0"/>
    <numFmt numFmtId="167" formatCode="0.00000"/>
  </numFmts>
  <fonts count="5" x14ac:knownFonts="1">
    <font>
      <sz val="11"/>
      <name val="Calibri"/>
    </font>
    <font>
      <sz val="11"/>
      <name val="Calibri"/>
      <family val="2"/>
    </font>
    <font>
      <sz val="11"/>
      <color rgb="FF002060"/>
      <name val="Calibri"/>
      <family val="2"/>
    </font>
    <font>
      <sz val="8"/>
      <name val="Calibri"/>
      <family val="2"/>
    </font>
    <font>
      <sz val="11"/>
      <color rgb="FFFF0000"/>
      <name val="Calibri"/>
      <family val="2"/>
    </font>
  </fonts>
  <fills count="14">
    <fill>
      <patternFill patternType="none"/>
    </fill>
    <fill>
      <patternFill patternType="gray125"/>
    </fill>
    <fill>
      <patternFill patternType="solid">
        <fgColor rgb="FFB364CC"/>
        <bgColor indexed="64"/>
      </patternFill>
    </fill>
    <fill>
      <patternFill patternType="solid">
        <fgColor rgb="FFFFC000"/>
        <bgColor indexed="64"/>
      </patternFill>
    </fill>
    <fill>
      <patternFill patternType="solid">
        <fgColor rgb="FFAD6DA0"/>
        <bgColor indexed="64"/>
      </patternFill>
    </fill>
    <fill>
      <patternFill patternType="solid">
        <fgColor theme="5"/>
        <bgColor indexed="64"/>
      </patternFill>
    </fill>
    <fill>
      <patternFill patternType="solid">
        <fgColor rgb="FF00B0F0"/>
        <bgColor indexed="64"/>
      </patternFill>
    </fill>
    <fill>
      <patternFill patternType="solid">
        <fgColor rgb="FFFF0000"/>
        <bgColor indexed="64"/>
      </patternFill>
    </fill>
    <fill>
      <patternFill patternType="solid">
        <fgColor theme="3"/>
        <bgColor indexed="64"/>
      </patternFill>
    </fill>
    <fill>
      <patternFill patternType="solid">
        <fgColor rgb="FF0070C0"/>
        <bgColor indexed="64"/>
      </patternFill>
    </fill>
    <fill>
      <patternFill patternType="solid">
        <fgColor rgb="FFFFFF00"/>
        <bgColor indexed="64"/>
      </patternFill>
    </fill>
    <fill>
      <patternFill patternType="solid">
        <fgColor theme="3" tint="0.39997558519241921"/>
        <bgColor indexed="64"/>
      </patternFill>
    </fill>
    <fill>
      <patternFill patternType="solid">
        <fgColor rgb="FF00B050"/>
        <bgColor indexed="64"/>
      </patternFill>
    </fill>
    <fill>
      <patternFill patternType="solid">
        <fgColor theme="9" tint="-0.249977111117893"/>
        <bgColor indexed="64"/>
      </patternFill>
    </fill>
  </fills>
  <borders count="1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178">
    <xf numFmtId="0" fontId="0" fillId="0" borderId="0" xfId="0"/>
    <xf numFmtId="0" fontId="0" fillId="2" borderId="1" xfId="0" applyFill="1" applyBorder="1"/>
    <xf numFmtId="0" fontId="0" fillId="2" borderId="2" xfId="0" applyFill="1" applyBorder="1"/>
    <xf numFmtId="0" fontId="0" fillId="3" borderId="1" xfId="0" applyFill="1" applyBorder="1"/>
    <xf numFmtId="0" fontId="0" fillId="3" borderId="2" xfId="0" applyFill="1" applyBorder="1"/>
    <xf numFmtId="0" fontId="0" fillId="0" borderId="1" xfId="0" applyBorder="1"/>
    <xf numFmtId="0" fontId="0" fillId="0" borderId="2"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0" xfId="0" applyBorder="1"/>
    <xf numFmtId="0" fontId="0" fillId="0" borderId="12" xfId="0" applyBorder="1"/>
    <xf numFmtId="0" fontId="0" fillId="0" borderId="3" xfId="0" applyBorder="1"/>
    <xf numFmtId="0" fontId="0" fillId="0" borderId="13" xfId="0" applyBorder="1"/>
    <xf numFmtId="0" fontId="0" fillId="0" borderId="14" xfId="0" applyBorder="1"/>
    <xf numFmtId="0" fontId="0" fillId="0" borderId="15" xfId="0" applyBorder="1"/>
    <xf numFmtId="0" fontId="0" fillId="0" borderId="1" xfId="0" applyFill="1" applyBorder="1"/>
    <xf numFmtId="0" fontId="0" fillId="4" borderId="6" xfId="0" applyFill="1" applyBorder="1"/>
    <xf numFmtId="0" fontId="0" fillId="4" borderId="0" xfId="0" applyFill="1" applyBorder="1"/>
    <xf numFmtId="0" fontId="0" fillId="4" borderId="11" xfId="0" applyFill="1" applyBorder="1"/>
    <xf numFmtId="0" fontId="0" fillId="4" borderId="3" xfId="0" applyFill="1" applyBorder="1"/>
    <xf numFmtId="0" fontId="0" fillId="5" borderId="7" xfId="0" applyFill="1" applyBorder="1"/>
    <xf numFmtId="0" fontId="0" fillId="5" borderId="0" xfId="0" applyFill="1"/>
    <xf numFmtId="0" fontId="1" fillId="0" borderId="0" xfId="0" applyFont="1"/>
    <xf numFmtId="0" fontId="1" fillId="0" borderId="4" xfId="0" applyFont="1" applyBorder="1"/>
    <xf numFmtId="0" fontId="1" fillId="0" borderId="10" xfId="0" applyFont="1" applyBorder="1"/>
    <xf numFmtId="0" fontId="1" fillId="0" borderId="1" xfId="0" applyFont="1" applyBorder="1"/>
    <xf numFmtId="0" fontId="1" fillId="0" borderId="12" xfId="0" applyFont="1" applyBorder="1"/>
    <xf numFmtId="0" fontId="1" fillId="0" borderId="2" xfId="0" applyFont="1" applyBorder="1"/>
    <xf numFmtId="0" fontId="1" fillId="6" borderId="4" xfId="0" applyFont="1" applyFill="1" applyBorder="1"/>
    <xf numFmtId="0" fontId="0" fillId="6" borderId="10" xfId="0" applyFill="1" applyBorder="1"/>
    <xf numFmtId="0" fontId="0" fillId="6" borderId="5" xfId="0" applyFill="1" applyBorder="1"/>
    <xf numFmtId="0" fontId="0" fillId="6" borderId="3" xfId="0" applyFill="1" applyBorder="1"/>
    <xf numFmtId="0" fontId="0" fillId="6" borderId="12" xfId="0" applyFill="1" applyBorder="1"/>
    <xf numFmtId="0" fontId="0" fillId="6" borderId="2" xfId="0" applyFill="1" applyBorder="1"/>
    <xf numFmtId="0" fontId="1" fillId="6" borderId="1" xfId="0" applyFont="1" applyFill="1" applyBorder="1"/>
    <xf numFmtId="0" fontId="1" fillId="6" borderId="12" xfId="0" applyFont="1" applyFill="1" applyBorder="1"/>
    <xf numFmtId="0" fontId="1" fillId="6" borderId="2" xfId="0" applyFont="1" applyFill="1" applyBorder="1"/>
    <xf numFmtId="0" fontId="0" fillId="6" borderId="13" xfId="0" applyFill="1" applyBorder="1"/>
    <xf numFmtId="0" fontId="0" fillId="6" borderId="15" xfId="0" applyFill="1" applyBorder="1"/>
    <xf numFmtId="0" fontId="0" fillId="6" borderId="7" xfId="0" applyFill="1" applyBorder="1"/>
    <xf numFmtId="0" fontId="0" fillId="6" borderId="4" xfId="0" applyFill="1" applyBorder="1"/>
    <xf numFmtId="0" fontId="0" fillId="6" borderId="0" xfId="0" applyFill="1" applyBorder="1"/>
    <xf numFmtId="0" fontId="0" fillId="6" borderId="6" xfId="0" applyFill="1" applyBorder="1"/>
    <xf numFmtId="0" fontId="0" fillId="6" borderId="14" xfId="0" applyFill="1" applyBorder="1"/>
    <xf numFmtId="0" fontId="0" fillId="6" borderId="9" xfId="0" applyFill="1" applyBorder="1"/>
    <xf numFmtId="0" fontId="0" fillId="6" borderId="11" xfId="0" applyFill="1" applyBorder="1"/>
    <xf numFmtId="0" fontId="1" fillId="0" borderId="15" xfId="0" applyFont="1" applyBorder="1"/>
    <xf numFmtId="0" fontId="0" fillId="3" borderId="10" xfId="0" applyFill="1" applyBorder="1"/>
    <xf numFmtId="0" fontId="0" fillId="3" borderId="5" xfId="0" applyFill="1" applyBorder="1"/>
    <xf numFmtId="0" fontId="0" fillId="3" borderId="6" xfId="0" applyFill="1" applyBorder="1"/>
    <xf numFmtId="0" fontId="0" fillId="3" borderId="13" xfId="0" applyFill="1" applyBorder="1"/>
    <xf numFmtId="0" fontId="0" fillId="3" borderId="14" xfId="0" applyFill="1" applyBorder="1"/>
    <xf numFmtId="0" fontId="1" fillId="0" borderId="0" xfId="0" applyFont="1" applyFill="1" applyBorder="1"/>
    <xf numFmtId="0" fontId="1" fillId="4" borderId="1" xfId="0" applyFont="1" applyFill="1" applyBorder="1"/>
    <xf numFmtId="0" fontId="2" fillId="5" borderId="2" xfId="0" applyFont="1" applyFill="1" applyBorder="1" applyProtection="1">
      <protection hidden="1"/>
    </xf>
    <xf numFmtId="0" fontId="2" fillId="5" borderId="3" xfId="0" applyFont="1" applyFill="1" applyBorder="1"/>
    <xf numFmtId="0" fontId="2" fillId="3" borderId="2" xfId="0" applyFont="1" applyFill="1" applyBorder="1"/>
    <xf numFmtId="0" fontId="2" fillId="3" borderId="3" xfId="0" applyFont="1" applyFill="1" applyBorder="1"/>
    <xf numFmtId="0" fontId="2" fillId="5" borderId="7" xfId="0" applyFont="1" applyFill="1" applyBorder="1"/>
    <xf numFmtId="0" fontId="2" fillId="5" borderId="0" xfId="0" applyFont="1" applyFill="1"/>
    <xf numFmtId="0" fontId="2" fillId="5" borderId="9" xfId="0" applyFont="1" applyFill="1" applyBorder="1"/>
    <xf numFmtId="0" fontId="1" fillId="0" borderId="1" xfId="0" applyFont="1" applyFill="1" applyBorder="1"/>
    <xf numFmtId="0" fontId="1" fillId="0" borderId="12" xfId="0" applyFont="1" applyFill="1" applyBorder="1"/>
    <xf numFmtId="0" fontId="1" fillId="0" borderId="2" xfId="0" applyFont="1" applyFill="1" applyBorder="1"/>
    <xf numFmtId="0" fontId="1" fillId="0" borderId="6" xfId="0" applyFont="1" applyBorder="1"/>
    <xf numFmtId="0" fontId="1" fillId="0" borderId="8" xfId="0" applyFont="1" applyBorder="1"/>
    <xf numFmtId="0" fontId="1" fillId="3" borderId="3" xfId="0" applyFont="1" applyFill="1" applyBorder="1"/>
    <xf numFmtId="0" fontId="0" fillId="0" borderId="1" xfId="0" applyFont="1" applyFill="1" applyBorder="1"/>
    <xf numFmtId="0" fontId="1" fillId="3" borderId="12" xfId="0" applyFont="1" applyFill="1" applyBorder="1"/>
    <xf numFmtId="0" fontId="1" fillId="3" borderId="1" xfId="0" applyFont="1" applyFill="1" applyBorder="1"/>
    <xf numFmtId="0" fontId="0" fillId="7" borderId="4" xfId="0" applyFill="1" applyBorder="1"/>
    <xf numFmtId="0" fontId="0" fillId="7" borderId="5" xfId="0" applyFill="1" applyBorder="1"/>
    <xf numFmtId="0" fontId="0" fillId="7" borderId="6" xfId="0" applyFill="1" applyBorder="1"/>
    <xf numFmtId="0" fontId="0" fillId="7" borderId="7" xfId="0" applyFill="1" applyBorder="1"/>
    <xf numFmtId="0" fontId="0" fillId="7" borderId="8" xfId="0" applyFill="1" applyBorder="1"/>
    <xf numFmtId="0" fontId="0" fillId="7" borderId="15" xfId="0" applyFill="1" applyBorder="1"/>
    <xf numFmtId="0" fontId="0" fillId="7" borderId="10" xfId="0" applyFill="1" applyBorder="1"/>
    <xf numFmtId="0" fontId="0" fillId="7" borderId="14" xfId="0" applyFill="1" applyBorder="1"/>
    <xf numFmtId="0" fontId="0" fillId="7" borderId="11" xfId="0" applyFill="1" applyBorder="1"/>
    <xf numFmtId="0" fontId="0" fillId="8" borderId="1" xfId="0" applyFill="1" applyBorder="1"/>
    <xf numFmtId="0" fontId="1" fillId="8" borderId="12" xfId="0" applyFont="1" applyFill="1" applyBorder="1"/>
    <xf numFmtId="0" fontId="1" fillId="8" borderId="2" xfId="0" applyFont="1" applyFill="1" applyBorder="1"/>
    <xf numFmtId="0" fontId="1" fillId="8" borderId="1" xfId="0" applyFont="1" applyFill="1" applyBorder="1"/>
    <xf numFmtId="0" fontId="0" fillId="8" borderId="2" xfId="0" applyFill="1" applyBorder="1"/>
    <xf numFmtId="0" fontId="0" fillId="8" borderId="1" xfId="0" applyFont="1" applyFill="1" applyBorder="1"/>
    <xf numFmtId="0" fontId="0" fillId="8" borderId="12" xfId="0" applyFill="1" applyBorder="1"/>
    <xf numFmtId="0" fontId="1" fillId="8" borderId="15" xfId="0" applyFont="1" applyFill="1" applyBorder="1"/>
    <xf numFmtId="0" fontId="0" fillId="8" borderId="0" xfId="0" applyFill="1" applyBorder="1"/>
    <xf numFmtId="0" fontId="0" fillId="8" borderId="6" xfId="0" applyFill="1" applyBorder="1"/>
    <xf numFmtId="0" fontId="1" fillId="8" borderId="13" xfId="0" applyFont="1" applyFill="1" applyBorder="1"/>
    <xf numFmtId="0" fontId="1" fillId="8" borderId="14" xfId="0" applyFont="1" applyFill="1" applyBorder="1"/>
    <xf numFmtId="0" fontId="0" fillId="8" borderId="11" xfId="0" applyFill="1" applyBorder="1"/>
    <xf numFmtId="0" fontId="0" fillId="8" borderId="8" xfId="0" applyFill="1" applyBorder="1"/>
    <xf numFmtId="0" fontId="1" fillId="0" borderId="7" xfId="0" applyFont="1" applyBorder="1"/>
    <xf numFmtId="0" fontId="0" fillId="9" borderId="0" xfId="0" applyFill="1"/>
    <xf numFmtId="0" fontId="0" fillId="10" borderId="0" xfId="0" applyFill="1"/>
    <xf numFmtId="0" fontId="1" fillId="10" borderId="6" xfId="0" applyFont="1" applyFill="1" applyBorder="1"/>
    <xf numFmtId="0" fontId="1" fillId="10" borderId="7" xfId="0" applyFont="1" applyFill="1" applyBorder="1"/>
    <xf numFmtId="0" fontId="0" fillId="10" borderId="15" xfId="0" applyFill="1" applyBorder="1"/>
    <xf numFmtId="0" fontId="0" fillId="10" borderId="13" xfId="0" applyFill="1" applyBorder="1"/>
    <xf numFmtId="0" fontId="0" fillId="10" borderId="14" xfId="0" applyFill="1" applyBorder="1"/>
    <xf numFmtId="0" fontId="0" fillId="0" borderId="0" xfId="0" applyFill="1"/>
    <xf numFmtId="0" fontId="1" fillId="0" borderId="0" xfId="0" applyFont="1" applyBorder="1"/>
    <xf numFmtId="0" fontId="0" fillId="11" borderId="0" xfId="0" applyFill="1" applyBorder="1"/>
    <xf numFmtId="0" fontId="0" fillId="11" borderId="7" xfId="0" applyFill="1" applyBorder="1"/>
    <xf numFmtId="0" fontId="0" fillId="11" borderId="11" xfId="0" applyFill="1" applyBorder="1"/>
    <xf numFmtId="0" fontId="0" fillId="11" borderId="9" xfId="0" applyFill="1" applyBorder="1"/>
    <xf numFmtId="0" fontId="1" fillId="3" borderId="4" xfId="0" applyFont="1" applyFill="1" applyBorder="1"/>
    <xf numFmtId="0" fontId="1" fillId="3" borderId="10" xfId="0" applyFont="1" applyFill="1" applyBorder="1"/>
    <xf numFmtId="0" fontId="1" fillId="3" borderId="8" xfId="0" applyFont="1" applyFill="1" applyBorder="1"/>
    <xf numFmtId="0" fontId="0" fillId="3" borderId="11" xfId="0" applyFill="1" applyBorder="1"/>
    <xf numFmtId="0" fontId="0" fillId="3" borderId="9" xfId="0" applyFill="1" applyBorder="1"/>
    <xf numFmtId="166" fontId="0" fillId="8" borderId="15" xfId="0" applyNumberFormat="1" applyFill="1" applyBorder="1"/>
    <xf numFmtId="166" fontId="0" fillId="8" borderId="13" xfId="0" applyNumberFormat="1" applyFill="1" applyBorder="1"/>
    <xf numFmtId="166" fontId="0" fillId="8" borderId="14" xfId="0" applyNumberFormat="1" applyFill="1" applyBorder="1"/>
    <xf numFmtId="166" fontId="0" fillId="8" borderId="0" xfId="0" applyNumberFormat="1" applyFill="1" applyBorder="1"/>
    <xf numFmtId="166" fontId="0" fillId="8" borderId="7" xfId="0" applyNumberFormat="1" applyFill="1" applyBorder="1"/>
    <xf numFmtId="166" fontId="0" fillId="8" borderId="11" xfId="0" applyNumberFormat="1" applyFill="1" applyBorder="1"/>
    <xf numFmtId="166" fontId="0" fillId="8" borderId="9" xfId="0" applyNumberFormat="1" applyFill="1" applyBorder="1"/>
    <xf numFmtId="166" fontId="0" fillId="8" borderId="4" xfId="0" applyNumberFormat="1" applyFill="1" applyBorder="1"/>
    <xf numFmtId="166" fontId="0" fillId="8" borderId="5" xfId="0" applyNumberFormat="1" applyFill="1" applyBorder="1"/>
    <xf numFmtId="166" fontId="0" fillId="8" borderId="10" xfId="0" applyNumberFormat="1" applyFill="1" applyBorder="1"/>
    <xf numFmtId="166" fontId="0" fillId="8" borderId="6" xfId="0" applyNumberFormat="1" applyFill="1" applyBorder="1"/>
    <xf numFmtId="166" fontId="0" fillId="8" borderId="8" xfId="0" applyNumberFormat="1" applyFill="1" applyBorder="1"/>
    <xf numFmtId="166" fontId="0" fillId="6" borderId="6" xfId="0" applyNumberFormat="1" applyFill="1" applyBorder="1"/>
    <xf numFmtId="166" fontId="0" fillId="6" borderId="8" xfId="0" applyNumberFormat="1" applyFill="1" applyBorder="1"/>
    <xf numFmtId="166" fontId="0" fillId="6" borderId="7" xfId="0" applyNumberFormat="1" applyFill="1" applyBorder="1"/>
    <xf numFmtId="166" fontId="0" fillId="6" borderId="9" xfId="0" applyNumberFormat="1" applyFill="1" applyBorder="1"/>
    <xf numFmtId="164" fontId="0" fillId="3" borderId="0" xfId="0" applyNumberFormat="1" applyFill="1" applyBorder="1"/>
    <xf numFmtId="166" fontId="0" fillId="3" borderId="7" xfId="0" applyNumberFormat="1" applyFill="1" applyBorder="1"/>
    <xf numFmtId="166" fontId="0" fillId="3" borderId="13" xfId="0" applyNumberFormat="1" applyFill="1" applyBorder="1"/>
    <xf numFmtId="166" fontId="0" fillId="3" borderId="14" xfId="0" applyNumberFormat="1" applyFill="1" applyBorder="1"/>
    <xf numFmtId="166" fontId="1" fillId="3" borderId="2" xfId="0" applyNumberFormat="1" applyFont="1" applyFill="1" applyBorder="1"/>
    <xf numFmtId="166" fontId="0" fillId="3" borderId="3" xfId="0" applyNumberFormat="1" applyFill="1" applyBorder="1"/>
    <xf numFmtId="166" fontId="0" fillId="7" borderId="2" xfId="0" applyNumberFormat="1" applyFill="1" applyBorder="1"/>
    <xf numFmtId="165" fontId="0" fillId="7" borderId="7" xfId="0" applyNumberFormat="1" applyFill="1" applyBorder="1"/>
    <xf numFmtId="2" fontId="0" fillId="7" borderId="7" xfId="0" applyNumberFormat="1" applyFill="1" applyBorder="1"/>
    <xf numFmtId="165" fontId="0" fillId="7" borderId="9" xfId="0" applyNumberFormat="1" applyFill="1" applyBorder="1"/>
    <xf numFmtId="0" fontId="1" fillId="7" borderId="6" xfId="0" applyFont="1" applyFill="1" applyBorder="1"/>
    <xf numFmtId="0" fontId="1" fillId="7" borderId="1" xfId="0" applyFont="1" applyFill="1" applyBorder="1"/>
    <xf numFmtId="2" fontId="0" fillId="0" borderId="0" xfId="0" applyNumberFormat="1"/>
    <xf numFmtId="0" fontId="1" fillId="12" borderId="1" xfId="0" applyFont="1" applyFill="1" applyBorder="1"/>
    <xf numFmtId="0" fontId="0" fillId="12" borderId="0" xfId="0" applyFill="1"/>
    <xf numFmtId="0" fontId="1" fillId="12" borderId="12" xfId="0" applyFont="1" applyFill="1" applyBorder="1"/>
    <xf numFmtId="0" fontId="1" fillId="12" borderId="2" xfId="0" applyFont="1" applyFill="1" applyBorder="1"/>
    <xf numFmtId="0" fontId="1" fillId="12" borderId="0" xfId="0" applyFont="1" applyFill="1"/>
    <xf numFmtId="0" fontId="0" fillId="0" borderId="6" xfId="0" applyFill="1" applyBorder="1"/>
    <xf numFmtId="0" fontId="0" fillId="0" borderId="0" xfId="0" applyFill="1" applyBorder="1"/>
    <xf numFmtId="0" fontId="2" fillId="0" borderId="7" xfId="0" applyFont="1" applyFill="1" applyBorder="1"/>
    <xf numFmtId="0" fontId="2" fillId="0" borderId="0" xfId="0" applyFont="1" applyFill="1"/>
    <xf numFmtId="0" fontId="0" fillId="11" borderId="0" xfId="0" applyFill="1"/>
    <xf numFmtId="0" fontId="1" fillId="4" borderId="12" xfId="0" applyFont="1" applyFill="1" applyBorder="1"/>
    <xf numFmtId="0" fontId="0" fillId="4" borderId="0" xfId="0" applyFill="1"/>
    <xf numFmtId="0" fontId="1" fillId="0" borderId="11" xfId="0" applyFont="1" applyBorder="1"/>
    <xf numFmtId="0" fontId="0" fillId="12" borderId="8" xfId="0" applyFill="1" applyBorder="1"/>
    <xf numFmtId="0" fontId="0" fillId="12" borderId="9" xfId="0" applyFill="1" applyBorder="1"/>
    <xf numFmtId="0" fontId="0" fillId="7" borderId="0" xfId="0" applyFill="1"/>
    <xf numFmtId="0" fontId="0" fillId="12" borderId="1" xfId="0" applyFill="1" applyBorder="1"/>
    <xf numFmtId="1" fontId="0" fillId="12" borderId="0" xfId="0" applyNumberFormat="1" applyFill="1"/>
    <xf numFmtId="1" fontId="0" fillId="0" borderId="0" xfId="0" applyNumberFormat="1"/>
    <xf numFmtId="0" fontId="0" fillId="10" borderId="3" xfId="0" applyFill="1" applyBorder="1"/>
    <xf numFmtId="1" fontId="0" fillId="10" borderId="3" xfId="0" applyNumberFormat="1" applyFill="1" applyBorder="1"/>
    <xf numFmtId="1" fontId="0" fillId="0" borderId="1" xfId="0" applyNumberFormat="1" applyBorder="1"/>
    <xf numFmtId="1" fontId="0" fillId="0" borderId="2" xfId="0" applyNumberFormat="1" applyBorder="1"/>
    <xf numFmtId="167" fontId="0" fillId="0" borderId="0" xfId="0" applyNumberFormat="1"/>
    <xf numFmtId="1" fontId="0" fillId="0" borderId="0" xfId="0" applyNumberFormat="1" applyBorder="1"/>
    <xf numFmtId="2" fontId="0" fillId="0" borderId="0" xfId="0" applyNumberFormat="1" applyBorder="1"/>
    <xf numFmtId="1" fontId="0" fillId="13" borderId="0" xfId="0" applyNumberFormat="1" applyFill="1"/>
    <xf numFmtId="0" fontId="0" fillId="13" borderId="0" xfId="0" applyFill="1"/>
    <xf numFmtId="0" fontId="4" fillId="0" borderId="0" xfId="0" applyFont="1"/>
    <xf numFmtId="1" fontId="0" fillId="6" borderId="0" xfId="0" applyNumberFormat="1" applyFill="1"/>
    <xf numFmtId="1" fontId="0" fillId="10" borderId="0" xfId="0" applyNumberFormat="1" applyFill="1"/>
  </cellXfs>
  <cellStyles count="1">
    <cellStyle name="Normal" xfId="0" builtinId="0"/>
  </cellStyles>
  <dxfs count="0"/>
  <tableStyles count="0" defaultTableStyle="TableStyleMedium2" defaultPivotStyle="PivotStyleLight16"/>
  <colors>
    <mruColors>
      <color rgb="FFAD6D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2855244874576439E-2"/>
          <c:y val="9.6347820349271987E-2"/>
          <c:w val="0.89820006825772181"/>
          <c:h val="0.831597017551577"/>
        </c:manualLayout>
      </c:layout>
      <c:scatterChart>
        <c:scatterStyle val="smoothMarker"/>
        <c:varyColors val="0"/>
        <c:ser>
          <c:idx val="0"/>
          <c:order val="0"/>
          <c:tx>
            <c:v>Fuel Use</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5.2555152727264334</c:v>
                </c:pt>
                <c:pt idx="38">
                  <c:v>5.4524366435989888</c:v>
                </c:pt>
                <c:pt idx="39">
                  <c:v>5.6698718929611793</c:v>
                </c:pt>
                <c:pt idx="40">
                  <c:v>5.9157003663222598</c:v>
                </c:pt>
                <c:pt idx="41">
                  <c:v>6.203574541651764</c:v>
                </c:pt>
                <c:pt idx="42">
                  <c:v>6.6932526815888655</c:v>
                </c:pt>
                <c:pt idx="43">
                  <c:v>7.2085862720653608</c:v>
                </c:pt>
                <c:pt idx="44">
                  <c:v>7.7263715039514684</c:v>
                </c:pt>
                <c:pt idx="45">
                  <c:v>8.2472690784333622</c:v>
                </c:pt>
                <c:pt idx="46">
                  <c:v>8.7710073045670605</c:v>
                </c:pt>
                <c:pt idx="47">
                  <c:v>9.297657366745181</c:v>
                </c:pt>
                <c:pt idx="48">
                  <c:v>9.8265026239034938</c:v>
                </c:pt>
                <c:pt idx="49">
                  <c:v>10.358051382579831</c:v>
                </c:pt>
                <c:pt idx="50">
                  <c:v>10.890900157130085</c:v>
                </c:pt>
                <c:pt idx="51">
                  <c:v>11.355067327053314</c:v>
                </c:pt>
                <c:pt idx="52">
                  <c:v>11.771062917611582</c:v>
                </c:pt>
                <c:pt idx="53">
                  <c:v>12.150361996688224</c:v>
                </c:pt>
                <c:pt idx="54">
                  <c:v>12.501315831093812</c:v>
                </c:pt>
                <c:pt idx="55">
                  <c:v>12.829988257625953</c:v>
                </c:pt>
                <c:pt idx="56">
                  <c:v>13.140659342402618</c:v>
                </c:pt>
                <c:pt idx="57">
                  <c:v>13.436102461777297</c:v>
                </c:pt>
                <c:pt idx="58">
                  <c:v>13.718386489212309</c:v>
                </c:pt>
                <c:pt idx="59">
                  <c:v>13.989173340123255</c:v>
                </c:pt>
                <c:pt idx="60">
                  <c:v>14.249859956247716</c:v>
                </c:pt>
                <c:pt idx="61">
                  <c:v>14.501687131256073</c:v>
                </c:pt>
                <c:pt idx="62">
                  <c:v>14.74556150358489</c:v>
                </c:pt>
                <c:pt idx="63">
                  <c:v>14.982342175794422</c:v>
                </c:pt>
                <c:pt idx="64">
                  <c:v>15.21276411046073</c:v>
                </c:pt>
                <c:pt idx="65">
                  <c:v>15.437391058940023</c:v>
                </c:pt>
                <c:pt idx="66">
                  <c:v>15.65674301969395</c:v>
                </c:pt>
                <c:pt idx="67">
                  <c:v>15.871143272458182</c:v>
                </c:pt>
                <c:pt idx="68">
                  <c:v>16.081098050180746</c:v>
                </c:pt>
                <c:pt idx="69">
                  <c:v>16.313141515280506</c:v>
                </c:pt>
                <c:pt idx="70">
                  <c:v>16.575881108264305</c:v>
                </c:pt>
                <c:pt idx="71">
                  <c:v>16.885309274414016</c:v>
                </c:pt>
                <c:pt idx="72">
                  <c:v>17.390716406576789</c:v>
                </c:pt>
                <c:pt idx="73">
                  <c:v>17.952607198742456</c:v>
                </c:pt>
                <c:pt idx="74">
                  <c:v>18.439979605338024</c:v>
                </c:pt>
                <c:pt idx="75">
                  <c:v>18.876759367508736</c:v>
                </c:pt>
                <c:pt idx="76">
                  <c:v>19.27640184127868</c:v>
                </c:pt>
                <c:pt idx="77">
                  <c:v>19.64732243094009</c:v>
                </c:pt>
                <c:pt idx="78">
                  <c:v>19.995076500866311</c:v>
                </c:pt>
                <c:pt idx="79">
                  <c:v>20.323730548357045</c:v>
                </c:pt>
                <c:pt idx="80">
                  <c:v>20.636365697314822</c:v>
                </c:pt>
                <c:pt idx="81">
                  <c:v>20.935080789279034</c:v>
                </c:pt>
                <c:pt idx="82">
                  <c:v>21.221737974624485</c:v>
                </c:pt>
                <c:pt idx="83">
                  <c:v>21.497754512792579</c:v>
                </c:pt>
                <c:pt idx="84">
                  <c:v>21.764330810426298</c:v>
                </c:pt>
                <c:pt idx="85">
                  <c:v>22.022496263408886</c:v>
                </c:pt>
                <c:pt idx="86">
                  <c:v>22.273089192762136</c:v>
                </c:pt>
                <c:pt idx="87">
                  <c:v>22.516889329294582</c:v>
                </c:pt>
                <c:pt idx="88">
                  <c:v>22.754316202787425</c:v>
                </c:pt>
                <c:pt idx="89">
                  <c:v>22.985329477925639</c:v>
                </c:pt>
                <c:pt idx="90">
                  <c:v>23.2109875158453</c:v>
                </c:pt>
                <c:pt idx="91">
                  <c:v>23.431760207258062</c:v>
                </c:pt>
                <c:pt idx="92">
                  <c:v>23.648019056427138</c:v>
                </c:pt>
                <c:pt idx="93">
                  <c:v>23.865032870364512</c:v>
                </c:pt>
                <c:pt idx="94">
                  <c:v>24.080430744332283</c:v>
                </c:pt>
                <c:pt idx="95">
                  <c:v>24.294289198402961</c:v>
                </c:pt>
                <c:pt idx="96">
                  <c:v>24.50667535426026</c:v>
                </c:pt>
                <c:pt idx="97">
                  <c:v>24.717593495900424</c:v>
                </c:pt>
                <c:pt idx="98">
                  <c:v>24.9269760373077</c:v>
                </c:pt>
                <c:pt idx="99">
                  <c:v>25.134628941610149</c:v>
                </c:pt>
                <c:pt idx="100">
                  <c:v>25.340550074581945</c:v>
                </c:pt>
                <c:pt idx="101">
                  <c:v>25.544892134674129</c:v>
                </c:pt>
                <c:pt idx="102">
                  <c:v>25.747748176352339</c:v>
                </c:pt>
                <c:pt idx="103">
                  <c:v>25.949167394468596</c:v>
                </c:pt>
                <c:pt idx="104">
                  <c:v>26.149225008676023</c:v>
                </c:pt>
                <c:pt idx="105">
                  <c:v>26.348012533621169</c:v>
                </c:pt>
                <c:pt idx="106">
                  <c:v>26.545598497633751</c:v>
                </c:pt>
                <c:pt idx="107">
                  <c:v>26.742082261029395</c:v>
                </c:pt>
                <c:pt idx="108">
                  <c:v>26.937540805252674</c:v>
                </c:pt>
                <c:pt idx="109">
                  <c:v>27.132012705629219</c:v>
                </c:pt>
                <c:pt idx="110">
                  <c:v>27.325576731231045</c:v>
                </c:pt>
                <c:pt idx="111">
                  <c:v>27.518251288009573</c:v>
                </c:pt>
                <c:pt idx="112">
                  <c:v>27.710119740993889</c:v>
                </c:pt>
                <c:pt idx="113">
                  <c:v>27.901327051851059</c:v>
                </c:pt>
                <c:pt idx="114">
                  <c:v>28.106696119269035</c:v>
                </c:pt>
                <c:pt idx="115">
                  <c:v>28.329616615601481</c:v>
                </c:pt>
                <c:pt idx="116">
                  <c:v>28.575089814233088</c:v>
                </c:pt>
                <c:pt idx="117">
                  <c:v>28.81495295658388</c:v>
                </c:pt>
                <c:pt idx="118">
                  <c:v>29.049484860770871</c:v>
                </c:pt>
                <c:pt idx="119">
                  <c:v>29.284769462431235</c:v>
                </c:pt>
                <c:pt idx="120">
                  <c:v>29.518111525087317</c:v>
                </c:pt>
                <c:pt idx="121">
                  <c:v>29.749424415145654</c:v>
                </c:pt>
                <c:pt idx="122">
                  <c:v>29.978649076622322</c:v>
                </c:pt>
                <c:pt idx="123">
                  <c:v>30.205463654403662</c:v>
                </c:pt>
                <c:pt idx="124">
                  <c:v>30.430040933953492</c:v>
                </c:pt>
                <c:pt idx="125">
                  <c:v>30.652546501935134</c:v>
                </c:pt>
                <c:pt idx="126">
                  <c:v>30.872920829933346</c:v>
                </c:pt>
                <c:pt idx="127">
                  <c:v>31.091214946203035</c:v>
                </c:pt>
                <c:pt idx="128">
                  <c:v>31.307640202526109</c:v>
                </c:pt>
                <c:pt idx="129">
                  <c:v>31.52231888249079</c:v>
                </c:pt>
                <c:pt idx="130">
                  <c:v>31.735340378270468</c:v>
                </c:pt>
                <c:pt idx="131">
                  <c:v>31.946789099204821</c:v>
                </c:pt>
                <c:pt idx="132">
                  <c:v>32.156814431841902</c:v>
                </c:pt>
                <c:pt idx="133">
                  <c:v>32.365495731913285</c:v>
                </c:pt>
                <c:pt idx="134">
                  <c:v>32.572938332637172</c:v>
                </c:pt>
                <c:pt idx="135">
                  <c:v>32.779225690782184</c:v>
                </c:pt>
                <c:pt idx="136">
                  <c:v>32.984406853068855</c:v>
                </c:pt>
                <c:pt idx="137">
                  <c:v>33.188481512975969</c:v>
                </c:pt>
                <c:pt idx="138">
                  <c:v>33.408392062320949</c:v>
                </c:pt>
                <c:pt idx="139">
                  <c:v>33.648375391537868</c:v>
                </c:pt>
                <c:pt idx="140">
                  <c:v>33.914970710913408</c:v>
                </c:pt>
                <c:pt idx="141">
                  <c:v>34.218953776384112</c:v>
                </c:pt>
                <c:pt idx="142">
                  <c:v>34.58099821729482</c:v>
                </c:pt>
                <c:pt idx="143">
                  <c:v>34.925036559868687</c:v>
                </c:pt>
                <c:pt idx="144">
                  <c:v>35.253486860639839</c:v>
                </c:pt>
                <c:pt idx="145">
                  <c:v>35.568260176824182</c:v>
                </c:pt>
                <c:pt idx="146">
                  <c:v>35.870821737896954</c:v>
                </c:pt>
                <c:pt idx="147">
                  <c:v>36.162444570285075</c:v>
                </c:pt>
                <c:pt idx="148">
                  <c:v>36.444273113608865</c:v>
                </c:pt>
                <c:pt idx="149">
                  <c:v>36.717249378534405</c:v>
                </c:pt>
                <c:pt idx="150">
                  <c:v>36.982233162728406</c:v>
                </c:pt>
                <c:pt idx="151">
                  <c:v>37.239945802258895</c:v>
                </c:pt>
                <c:pt idx="152">
                  <c:v>37.490984167610506</c:v>
                </c:pt>
                <c:pt idx="153">
                  <c:v>37.742378377194896</c:v>
                </c:pt>
                <c:pt idx="154">
                  <c:v>37.990958858549696</c:v>
                </c:pt>
                <c:pt idx="155">
                  <c:v>38.236861211409817</c:v>
                </c:pt>
                <c:pt idx="156">
                  <c:v>38.48029215018525</c:v>
                </c:pt>
                <c:pt idx="157">
                  <c:v>38.72130194496804</c:v>
                </c:pt>
                <c:pt idx="158">
                  <c:v>38.959986832493371</c:v>
                </c:pt>
                <c:pt idx="159">
                  <c:v>39.221774664261453</c:v>
                </c:pt>
                <c:pt idx="160">
                  <c:v>39.489940680885709</c:v>
                </c:pt>
                <c:pt idx="161">
                  <c:v>39.76485686372137</c:v>
                </c:pt>
                <c:pt idx="162">
                  <c:v>40.043629326728627</c:v>
                </c:pt>
                <c:pt idx="163">
                  <c:v>40.326467154806942</c:v>
                </c:pt>
                <c:pt idx="164">
                  <c:v>40.610078590012868</c:v>
                </c:pt>
                <c:pt idx="165">
                  <c:v>40.894212030266409</c:v>
                </c:pt>
                <c:pt idx="166">
                  <c:v>41.178710712295384</c:v>
                </c:pt>
                <c:pt idx="167">
                  <c:v>41.463572113309795</c:v>
                </c:pt>
                <c:pt idx="168">
                  <c:v>41.748894641806807</c:v>
                </c:pt>
                <c:pt idx="169">
                  <c:v>42.034641266689363</c:v>
                </c:pt>
                <c:pt idx="170">
                  <c:v>42.320774956860504</c:v>
                </c:pt>
                <c:pt idx="171">
                  <c:v>42.607278458166562</c:v>
                </c:pt>
                <c:pt idx="172">
                  <c:v>42.894149747652826</c:v>
                </c:pt>
                <c:pt idx="173">
                  <c:v>43.181398463873379</c:v>
                </c:pt>
                <c:pt idx="174">
                  <c:v>43.469035768502224</c:v>
                </c:pt>
                <c:pt idx="175">
                  <c:v>43.757087530962558</c:v>
                </c:pt>
                <c:pt idx="176">
                  <c:v>44.045561866688395</c:v>
                </c:pt>
                <c:pt idx="177">
                  <c:v>44.334463345039488</c:v>
                </c:pt>
                <c:pt idx="178">
                  <c:v>44.623806673764769</c:v>
                </c:pt>
                <c:pt idx="179">
                  <c:v>44.913617222451954</c:v>
                </c:pt>
                <c:pt idx="180">
                  <c:v>45.203949776186811</c:v>
                </c:pt>
                <c:pt idx="181">
                  <c:v>45.494863689414146</c:v>
                </c:pt>
                <c:pt idx="182">
                  <c:v>45.786375193003032</c:v>
                </c:pt>
                <c:pt idx="183">
                  <c:v>46.073681516762527</c:v>
                </c:pt>
                <c:pt idx="184">
                  <c:v>46.352422549766104</c:v>
                </c:pt>
                <c:pt idx="185">
                  <c:v>46.623384852868391</c:v>
                </c:pt>
                <c:pt idx="186">
                  <c:v>46.887204202175859</c:v>
                </c:pt>
                <c:pt idx="187">
                  <c:v>47.151534654443182</c:v>
                </c:pt>
                <c:pt idx="188">
                  <c:v>47.412791752293586</c:v>
                </c:pt>
                <c:pt idx="189">
                  <c:v>47.670443345485161</c:v>
                </c:pt>
                <c:pt idx="190">
                  <c:v>47.922640273817535</c:v>
                </c:pt>
                <c:pt idx="191">
                  <c:v>48.168164998609988</c:v>
                </c:pt>
                <c:pt idx="192">
                  <c:v>48.406812641686109</c:v>
                </c:pt>
                <c:pt idx="193">
                  <c:v>48.638709078467656</c:v>
                </c:pt>
                <c:pt idx="194">
                  <c:v>48.864170074262326</c:v>
                </c:pt>
                <c:pt idx="195">
                  <c:v>49.079466193186008</c:v>
                </c:pt>
                <c:pt idx="196">
                  <c:v>49.288877308072955</c:v>
                </c:pt>
                <c:pt idx="197">
                  <c:v>49.492713722981222</c:v>
                </c:pt>
                <c:pt idx="198">
                  <c:v>49.691154753818132</c:v>
                </c:pt>
                <c:pt idx="199">
                  <c:v>49.884235272627876</c:v>
                </c:pt>
                <c:pt idx="200">
                  <c:v>50.071997312959049</c:v>
                </c:pt>
                <c:pt idx="201">
                  <c:v>50.254849351251032</c:v>
                </c:pt>
                <c:pt idx="202">
                  <c:v>50.432846482468001</c:v>
                </c:pt>
                <c:pt idx="203">
                  <c:v>50.605957810142037</c:v>
                </c:pt>
                <c:pt idx="204">
                  <c:v>50.783900085511952</c:v>
                </c:pt>
                <c:pt idx="205">
                  <c:v>50.961116474210392</c:v>
                </c:pt>
                <c:pt idx="206">
                  <c:v>51.139843053222172</c:v>
                </c:pt>
                <c:pt idx="207">
                  <c:v>51.324041437954939</c:v>
                </c:pt>
                <c:pt idx="208">
                  <c:v>51.514056210424428</c:v>
                </c:pt>
                <c:pt idx="209">
                  <c:v>51.710356691292958</c:v>
                </c:pt>
                <c:pt idx="210">
                  <c:v>51.990356691292959</c:v>
                </c:pt>
                <c:pt idx="211">
                  <c:v>52.27035669129296</c:v>
                </c:pt>
                <c:pt idx="212">
                  <c:v>52.554490131546501</c:v>
                </c:pt>
                <c:pt idx="213">
                  <c:v>52.838988813575476</c:v>
                </c:pt>
                <c:pt idx="214">
                  <c:v>53.123850214589886</c:v>
                </c:pt>
                <c:pt idx="215">
                  <c:v>53.409172743086899</c:v>
                </c:pt>
                <c:pt idx="216">
                  <c:v>53.694919367969455</c:v>
                </c:pt>
                <c:pt idx="217">
                  <c:v>53.981053058140596</c:v>
                </c:pt>
                <c:pt idx="218">
                  <c:v>54.267556559446653</c:v>
                </c:pt>
                <c:pt idx="219">
                  <c:v>54.554427848932917</c:v>
                </c:pt>
                <c:pt idx="220">
                  <c:v>54.834427848932918</c:v>
                </c:pt>
                <c:pt idx="221">
                  <c:v>55.118561289186459</c:v>
                </c:pt>
                <c:pt idx="222">
                  <c:v>55.403059971215434</c:v>
                </c:pt>
                <c:pt idx="223">
                  <c:v>55.687921372229845</c:v>
                </c:pt>
                <c:pt idx="224">
                  <c:v>55.973243900726857</c:v>
                </c:pt>
                <c:pt idx="225">
                  <c:v>56.258990525609413</c:v>
                </c:pt>
                <c:pt idx="226">
                  <c:v>56.545124215780554</c:v>
                </c:pt>
                <c:pt idx="227">
                  <c:v>56.831627717086612</c:v>
                </c:pt>
                <c:pt idx="228">
                  <c:v>57.118499006572875</c:v>
                </c:pt>
                <c:pt idx="229">
                  <c:v>57.405747722793429</c:v>
                </c:pt>
                <c:pt idx="230">
                  <c:v>57.693385027422273</c:v>
                </c:pt>
                <c:pt idx="231">
                  <c:v>57.981436789882608</c:v>
                </c:pt>
                <c:pt idx="232">
                  <c:v>58.269911125608445</c:v>
                </c:pt>
                <c:pt idx="233">
                  <c:v>58.558812603959538</c:v>
                </c:pt>
                <c:pt idx="234">
                  <c:v>58.848155932684818</c:v>
                </c:pt>
                <c:pt idx="235">
                  <c:v>59.137966481372004</c:v>
                </c:pt>
                <c:pt idx="236">
                  <c:v>59.428299035106861</c:v>
                </c:pt>
                <c:pt idx="237">
                  <c:v>59.719212948334196</c:v>
                </c:pt>
                <c:pt idx="238">
                  <c:v>60.010724451923082</c:v>
                </c:pt>
                <c:pt idx="239">
                  <c:v>60.298030775682577</c:v>
                </c:pt>
                <c:pt idx="240">
                  <c:v>60.576771808686154</c:v>
                </c:pt>
                <c:pt idx="241">
                  <c:v>60.847734111788441</c:v>
                </c:pt>
                <c:pt idx="242">
                  <c:v>61.111553461095909</c:v>
                </c:pt>
                <c:pt idx="243">
                  <c:v>61.375883913363232</c:v>
                </c:pt>
                <c:pt idx="244">
                  <c:v>61.637141011213636</c:v>
                </c:pt>
                <c:pt idx="245">
                  <c:v>61.894792604405211</c:v>
                </c:pt>
                <c:pt idx="246">
                  <c:v>62.146989532737585</c:v>
                </c:pt>
                <c:pt idx="247">
                  <c:v>62.392514257530038</c:v>
                </c:pt>
                <c:pt idx="248">
                  <c:v>62.631161900606159</c:v>
                </c:pt>
                <c:pt idx="249">
                  <c:v>62.863058337387706</c:v>
                </c:pt>
                <c:pt idx="250">
                  <c:v>63.088519333182376</c:v>
                </c:pt>
                <c:pt idx="251">
                  <c:v>63.303815452106058</c:v>
                </c:pt>
                <c:pt idx="252">
                  <c:v>63.513226566993005</c:v>
                </c:pt>
                <c:pt idx="253">
                  <c:v>63.717062981901272</c:v>
                </c:pt>
                <c:pt idx="254">
                  <c:v>63.915504012738182</c:v>
                </c:pt>
                <c:pt idx="255">
                  <c:v>64.108584531547933</c:v>
                </c:pt>
                <c:pt idx="256">
                  <c:v>64.296346571879113</c:v>
                </c:pt>
                <c:pt idx="257">
                  <c:v>64.479198610171096</c:v>
                </c:pt>
                <c:pt idx="258">
                  <c:v>64.657195741388065</c:v>
                </c:pt>
                <c:pt idx="259">
                  <c:v>64.830307069062101</c:v>
                </c:pt>
                <c:pt idx="260">
                  <c:v>64.998360048545138</c:v>
                </c:pt>
                <c:pt idx="261">
                  <c:v>65.161430698817469</c:v>
                </c:pt>
                <c:pt idx="262">
                  <c:v>65.320058852168501</c:v>
                </c:pt>
                <c:pt idx="263">
                  <c:v>65.474389461113404</c:v>
                </c:pt>
                <c:pt idx="264">
                  <c:v>65.624295689799055</c:v>
                </c:pt>
                <c:pt idx="265">
                  <c:v>65.769698437528731</c:v>
                </c:pt>
                <c:pt idx="266">
                  <c:v>69.546388903024848</c:v>
                </c:pt>
                <c:pt idx="267">
                  <c:v>72.784530783092507</c:v>
                </c:pt>
                <c:pt idx="268">
                  <c:v>72.881431570798057</c:v>
                </c:pt>
                <c:pt idx="269">
                  <c:v>73.004702771439298</c:v>
                </c:pt>
                <c:pt idx="270">
                  <c:v>73.134574147511202</c:v>
                </c:pt>
                <c:pt idx="271">
                  <c:v>73.288844527917917</c:v>
                </c:pt>
                <c:pt idx="272">
                  <c:v>73.454944256399585</c:v>
                </c:pt>
                <c:pt idx="273">
                  <c:v>73.734944256399586</c:v>
                </c:pt>
                <c:pt idx="274">
                  <c:v>73.996978429077856</c:v>
                </c:pt>
                <c:pt idx="275">
                  <c:v>74.281477111106824</c:v>
                </c:pt>
                <c:pt idx="276">
                  <c:v>74.566338512121234</c:v>
                </c:pt>
                <c:pt idx="277">
                  <c:v>74.851661040618254</c:v>
                </c:pt>
                <c:pt idx="278">
                  <c:v>75.137407665500803</c:v>
                </c:pt>
                <c:pt idx="279">
                  <c:v>75.423541355671944</c:v>
                </c:pt>
                <c:pt idx="280">
                  <c:v>75.710044856978001</c:v>
                </c:pt>
                <c:pt idx="281">
                  <c:v>75.996916146464258</c:v>
                </c:pt>
                <c:pt idx="282">
                  <c:v>76.284164862684804</c:v>
                </c:pt>
                <c:pt idx="283">
                  <c:v>76.571802167313649</c:v>
                </c:pt>
                <c:pt idx="284">
                  <c:v>76.859853929773976</c:v>
                </c:pt>
                <c:pt idx="285">
                  <c:v>77.148328265499813</c:v>
                </c:pt>
                <c:pt idx="286">
                  <c:v>77.437229743850907</c:v>
                </c:pt>
                <c:pt idx="287">
                  <c:v>77.726573072576187</c:v>
                </c:pt>
                <c:pt idx="288">
                  <c:v>78.016383621263373</c:v>
                </c:pt>
                <c:pt idx="289">
                  <c:v>78.306716174998229</c:v>
                </c:pt>
                <c:pt idx="290">
                  <c:v>78.597630088225557</c:v>
                </c:pt>
                <c:pt idx="291">
                  <c:v>78.88914159181445</c:v>
                </c:pt>
                <c:pt idx="292">
                  <c:v>79.176447915573945</c:v>
                </c:pt>
                <c:pt idx="293">
                  <c:v>79.455188948577529</c:v>
                </c:pt>
                <c:pt idx="294">
                  <c:v>79.726151251679809</c:v>
                </c:pt>
                <c:pt idx="295">
                  <c:v>79.989970600987277</c:v>
                </c:pt>
                <c:pt idx="296">
                  <c:v>80.254301053254594</c:v>
                </c:pt>
                <c:pt idx="297">
                  <c:v>80.515558151104997</c:v>
                </c:pt>
                <c:pt idx="298">
                  <c:v>80.773209744296565</c:v>
                </c:pt>
                <c:pt idx="299">
                  <c:v>81.025406672628947</c:v>
                </c:pt>
                <c:pt idx="300">
                  <c:v>81.270931397421407</c:v>
                </c:pt>
                <c:pt idx="301">
                  <c:v>81.509579040497528</c:v>
                </c:pt>
                <c:pt idx="302">
                  <c:v>81.741475477279067</c:v>
                </c:pt>
                <c:pt idx="303">
                  <c:v>81.96693647307373</c:v>
                </c:pt>
                <c:pt idx="304">
                  <c:v>82.182232591997419</c:v>
                </c:pt>
                <c:pt idx="305">
                  <c:v>82.391643706884366</c:v>
                </c:pt>
                <c:pt idx="306">
                  <c:v>82.595480121792633</c:v>
                </c:pt>
                <c:pt idx="307">
                  <c:v>82.793921152629537</c:v>
                </c:pt>
                <c:pt idx="308">
                  <c:v>82.987001671439288</c:v>
                </c:pt>
                <c:pt idx="309">
                  <c:v>83.174763711770467</c:v>
                </c:pt>
                <c:pt idx="310">
                  <c:v>83.35761575006245</c:v>
                </c:pt>
                <c:pt idx="311">
                  <c:v>83.53561288127942</c:v>
                </c:pt>
                <c:pt idx="312">
                  <c:v>83.708724208953456</c:v>
                </c:pt>
                <c:pt idx="313">
                  <c:v>83.876777188436492</c:v>
                </c:pt>
                <c:pt idx="314">
                  <c:v>84.039847838708823</c:v>
                </c:pt>
                <c:pt idx="315">
                  <c:v>84.198475992059855</c:v>
                </c:pt>
                <c:pt idx="316">
                  <c:v>84.352806601004758</c:v>
                </c:pt>
                <c:pt idx="317">
                  <c:v>84.504145800316749</c:v>
                </c:pt>
                <c:pt idx="318">
                  <c:v>84.655832535533335</c:v>
                </c:pt>
                <c:pt idx="319">
                  <c:v>89.632177619481155</c:v>
                </c:pt>
                <c:pt idx="320">
                  <c:v>110.47239193857871</c:v>
                </c:pt>
                <c:pt idx="321">
                  <c:v>110.61353595113357</c:v>
                </c:pt>
                <c:pt idx="322">
                  <c:v>110.75625104802587</c:v>
                </c:pt>
                <c:pt idx="323">
                  <c:v>110.90056462179834</c:v>
                </c:pt>
                <c:pt idx="324">
                  <c:v>111.05056462179834</c:v>
                </c:pt>
                <c:pt idx="325">
                  <c:v>111.1978631011384</c:v>
                </c:pt>
                <c:pt idx="326">
                  <c:v>111.38239310113839</c:v>
                </c:pt>
                <c:pt idx="327">
                  <c:v>111.66652654139193</c:v>
                </c:pt>
                <c:pt idx="328">
                  <c:v>111.9510252234209</c:v>
                </c:pt>
                <c:pt idx="329">
                  <c:v>112.23588662443531</c:v>
                </c:pt>
                <c:pt idx="330">
                  <c:v>112.52120915293233</c:v>
                </c:pt>
                <c:pt idx="331">
                  <c:v>112.80695577781488</c:v>
                </c:pt>
                <c:pt idx="332">
                  <c:v>113.09308946798602</c:v>
                </c:pt>
                <c:pt idx="333">
                  <c:v>113.37959296929208</c:v>
                </c:pt>
                <c:pt idx="334">
                  <c:v>113.66646425877833</c:v>
                </c:pt>
                <c:pt idx="335">
                  <c:v>113.95371297499888</c:v>
                </c:pt>
                <c:pt idx="336">
                  <c:v>114.24135027962772</c:v>
                </c:pt>
                <c:pt idx="337">
                  <c:v>114.52940204208805</c:v>
                </c:pt>
                <c:pt idx="338">
                  <c:v>114.81787637781389</c:v>
                </c:pt>
                <c:pt idx="339">
                  <c:v>115.10677785616498</c:v>
                </c:pt>
                <c:pt idx="340">
                  <c:v>115.39612118489026</c:v>
                </c:pt>
                <c:pt idx="341">
                  <c:v>115.68593173357745</c:v>
                </c:pt>
                <c:pt idx="342">
                  <c:v>115.9762642873123</c:v>
                </c:pt>
                <c:pt idx="343">
                  <c:v>116.26717820053963</c:v>
                </c:pt>
                <c:pt idx="344">
                  <c:v>116.55868970412853</c:v>
                </c:pt>
                <c:pt idx="345">
                  <c:v>116.84599602788802</c:v>
                </c:pt>
                <c:pt idx="346">
                  <c:v>117.1247370608916</c:v>
                </c:pt>
                <c:pt idx="347">
                  <c:v>117.39569936399388</c:v>
                </c:pt>
                <c:pt idx="348">
                  <c:v>117.65951871330135</c:v>
                </c:pt>
                <c:pt idx="349">
                  <c:v>117.92384916556867</c:v>
                </c:pt>
                <c:pt idx="350">
                  <c:v>118.18510626341907</c:v>
                </c:pt>
                <c:pt idx="351">
                  <c:v>118.44275785661064</c:v>
                </c:pt>
                <c:pt idx="352">
                  <c:v>118.69495478494302</c:v>
                </c:pt>
                <c:pt idx="353">
                  <c:v>118.94047950973548</c:v>
                </c:pt>
                <c:pt idx="354">
                  <c:v>119.1791271528116</c:v>
                </c:pt>
                <c:pt idx="355">
                  <c:v>119.41102358959314</c:v>
                </c:pt>
                <c:pt idx="356">
                  <c:v>119.63648458538781</c:v>
                </c:pt>
                <c:pt idx="357">
                  <c:v>119.85178070431149</c:v>
                </c:pt>
                <c:pt idx="358">
                  <c:v>120.06119181919844</c:v>
                </c:pt>
                <c:pt idx="359">
                  <c:v>120.26502823410671</c:v>
                </c:pt>
                <c:pt idx="360">
                  <c:v>120.46346926494361</c:v>
                </c:pt>
                <c:pt idx="361">
                  <c:v>120.65654978375336</c:v>
                </c:pt>
                <c:pt idx="362">
                  <c:v>120.84431182408454</c:v>
                </c:pt>
                <c:pt idx="363">
                  <c:v>121.02716386237653</c:v>
                </c:pt>
                <c:pt idx="364">
                  <c:v>121.20516099359349</c:v>
                </c:pt>
                <c:pt idx="365">
                  <c:v>121.37827232126753</c:v>
                </c:pt>
                <c:pt idx="366">
                  <c:v>121.54632530075057</c:v>
                </c:pt>
                <c:pt idx="367">
                  <c:v>121.7093959510229</c:v>
                </c:pt>
                <c:pt idx="368">
                  <c:v>121.86802410437393</c:v>
                </c:pt>
                <c:pt idx="369">
                  <c:v>122.02235471331883</c:v>
                </c:pt>
                <c:pt idx="370">
                  <c:v>122.17226094200448</c:v>
                </c:pt>
                <c:pt idx="371">
                  <c:v>122.31766368973416</c:v>
                </c:pt>
                <c:pt idx="372">
                  <c:v>121.88017991798355</c:v>
                </c:pt>
                <c:pt idx="373">
                  <c:v>122.03224776737423</c:v>
                </c:pt>
                <c:pt idx="374">
                  <c:v>122.18538858266099</c:v>
                </c:pt>
                <c:pt idx="375">
                  <c:v>122.34192030210112</c:v>
                </c:pt>
                <c:pt idx="376">
                  <c:v>122.50570242113908</c:v>
                </c:pt>
                <c:pt idx="377">
                  <c:v>122.67232803531887</c:v>
                </c:pt>
                <c:pt idx="378">
                  <c:v>122.84397397121103</c:v>
                </c:pt>
                <c:pt idx="379">
                  <c:v>123.02512187218032</c:v>
                </c:pt>
                <c:pt idx="380">
                  <c:v>123.2165743239746</c:v>
                </c:pt>
                <c:pt idx="381">
                  <c:v>123.41578202563397</c:v>
                </c:pt>
                <c:pt idx="382">
                  <c:v>123.61981100376462</c:v>
                </c:pt>
                <c:pt idx="383">
                  <c:v>123.77981100376462</c:v>
                </c:pt>
                <c:pt idx="384">
                  <c:v>124.01981100376462</c:v>
                </c:pt>
                <c:pt idx="385">
                  <c:v>124.30394444401816</c:v>
                </c:pt>
                <c:pt idx="386">
                  <c:v>124.58844312604712</c:v>
                </c:pt>
                <c:pt idx="387">
                  <c:v>124.87330452706153</c:v>
                </c:pt>
                <c:pt idx="388">
                  <c:v>125.15862705555855</c:v>
                </c:pt>
                <c:pt idx="389">
                  <c:v>125.4443736804411</c:v>
                </c:pt>
                <c:pt idx="390">
                  <c:v>125.73050737061224</c:v>
                </c:pt>
                <c:pt idx="391">
                  <c:v>126.0170108719183</c:v>
                </c:pt>
                <c:pt idx="392">
                  <c:v>126.30388216140456</c:v>
                </c:pt>
                <c:pt idx="393">
                  <c:v>126.5911308776251</c:v>
                </c:pt>
                <c:pt idx="394">
                  <c:v>126.87876818225395</c:v>
                </c:pt>
                <c:pt idx="395">
                  <c:v>127.16681994471428</c:v>
                </c:pt>
                <c:pt idx="396">
                  <c:v>127.45529428044011</c:v>
                </c:pt>
                <c:pt idx="397">
                  <c:v>127.74419575879121</c:v>
                </c:pt>
                <c:pt idx="398">
                  <c:v>128.03353908751649</c:v>
                </c:pt>
                <c:pt idx="399">
                  <c:v>128.32334963620369</c:v>
                </c:pt>
                <c:pt idx="400">
                  <c:v>128.61368218993854</c:v>
                </c:pt>
                <c:pt idx="401">
                  <c:v>128.90459610316589</c:v>
                </c:pt>
                <c:pt idx="402">
                  <c:v>129.19610760675477</c:v>
                </c:pt>
                <c:pt idx="403">
                  <c:v>129.48341393051427</c:v>
                </c:pt>
                <c:pt idx="404">
                  <c:v>129.76215496351784</c:v>
                </c:pt>
                <c:pt idx="405">
                  <c:v>130.03311726662014</c:v>
                </c:pt>
                <c:pt idx="406">
                  <c:v>130.29693661592759</c:v>
                </c:pt>
                <c:pt idx="407">
                  <c:v>130.56126706819492</c:v>
                </c:pt>
                <c:pt idx="408">
                  <c:v>130.82252416604533</c:v>
                </c:pt>
                <c:pt idx="409">
                  <c:v>131.08017575923691</c:v>
                </c:pt>
                <c:pt idx="410">
                  <c:v>131.33237268756929</c:v>
                </c:pt>
                <c:pt idx="411">
                  <c:v>131.57789741236175</c:v>
                </c:pt>
                <c:pt idx="412">
                  <c:v>131.81654505543787</c:v>
                </c:pt>
                <c:pt idx="413">
                  <c:v>132.04844149221941</c:v>
                </c:pt>
                <c:pt idx="414">
                  <c:v>132.27390248801407</c:v>
                </c:pt>
                <c:pt idx="415">
                  <c:v>132.48919860693775</c:v>
                </c:pt>
                <c:pt idx="416">
                  <c:v>132.69860972182468</c:v>
                </c:pt>
                <c:pt idx="417">
                  <c:v>132.90244613673295</c:v>
                </c:pt>
                <c:pt idx="418">
                  <c:v>133.10088716756985</c:v>
                </c:pt>
                <c:pt idx="419">
                  <c:v>133.2939676863796</c:v>
                </c:pt>
                <c:pt idx="420">
                  <c:v>133.48172972671077</c:v>
                </c:pt>
                <c:pt idx="421">
                  <c:v>133.66458176500277</c:v>
                </c:pt>
                <c:pt idx="422">
                  <c:v>133.84257889621975</c:v>
                </c:pt>
                <c:pt idx="423">
                  <c:v>134.01569022389378</c:v>
                </c:pt>
                <c:pt idx="424">
                  <c:v>134.18374320337682</c:v>
                </c:pt>
                <c:pt idx="425">
                  <c:v>134.34681385364914</c:v>
                </c:pt>
                <c:pt idx="426">
                  <c:v>134.50544200700017</c:v>
                </c:pt>
                <c:pt idx="427">
                  <c:v>134.65977261594509</c:v>
                </c:pt>
                <c:pt idx="428">
                  <c:v>134.81523924796559</c:v>
                </c:pt>
                <c:pt idx="429">
                  <c:v>134.96973499679731</c:v>
                </c:pt>
                <c:pt idx="430">
                  <c:v>143.90360562232001</c:v>
                </c:pt>
                <c:pt idx="431">
                  <c:v>144.06734959224778</c:v>
                </c:pt>
                <c:pt idx="432">
                  <c:v>144.23962577145826</c:v>
                </c:pt>
                <c:pt idx="433">
                  <c:v>144.42536928854011</c:v>
                </c:pt>
                <c:pt idx="434">
                  <c:v>144.6706692885401</c:v>
                </c:pt>
                <c:pt idx="435">
                  <c:v>144.85966928854009</c:v>
                </c:pt>
                <c:pt idx="436">
                  <c:v>145.14380272879362</c:v>
                </c:pt>
                <c:pt idx="437">
                  <c:v>145.4283014108226</c:v>
                </c:pt>
                <c:pt idx="438">
                  <c:v>145.71316281183701</c:v>
                </c:pt>
                <c:pt idx="439">
                  <c:v>145.99848534033401</c:v>
                </c:pt>
                <c:pt idx="440">
                  <c:v>146.28423196521658</c:v>
                </c:pt>
                <c:pt idx="441">
                  <c:v>146.57036565538772</c:v>
                </c:pt>
                <c:pt idx="442">
                  <c:v>146.85686915669379</c:v>
                </c:pt>
                <c:pt idx="443">
                  <c:v>147.14374044618006</c:v>
                </c:pt>
                <c:pt idx="444">
                  <c:v>147.43098916240061</c:v>
                </c:pt>
                <c:pt idx="445">
                  <c:v>147.71862646702945</c:v>
                </c:pt>
                <c:pt idx="446">
                  <c:v>148.00667822948978</c:v>
                </c:pt>
                <c:pt idx="447">
                  <c:v>148.2951525652156</c:v>
                </c:pt>
                <c:pt idx="448">
                  <c:v>148.58405404356671</c:v>
                </c:pt>
                <c:pt idx="449">
                  <c:v>148.873397372292</c:v>
                </c:pt>
                <c:pt idx="450">
                  <c:v>149.1632079209792</c:v>
                </c:pt>
                <c:pt idx="451">
                  <c:v>149.45354047471406</c:v>
                </c:pt>
                <c:pt idx="452">
                  <c:v>149.7444543879414</c:v>
                </c:pt>
                <c:pt idx="453">
                  <c:v>150.03596589153028</c:v>
                </c:pt>
                <c:pt idx="454">
                  <c:v>150.32327221528979</c:v>
                </c:pt>
                <c:pt idx="455">
                  <c:v>150.60201324829336</c:v>
                </c:pt>
                <c:pt idx="456">
                  <c:v>150.87297555139565</c:v>
                </c:pt>
                <c:pt idx="457">
                  <c:v>151.13679490070311</c:v>
                </c:pt>
                <c:pt idx="458">
                  <c:v>151.40112535297044</c:v>
                </c:pt>
                <c:pt idx="459">
                  <c:v>151.66238245082084</c:v>
                </c:pt>
                <c:pt idx="460">
                  <c:v>151.92003404401243</c:v>
                </c:pt>
                <c:pt idx="461">
                  <c:v>152.17223097234481</c:v>
                </c:pt>
                <c:pt idx="462">
                  <c:v>152.41775569713727</c:v>
                </c:pt>
                <c:pt idx="463">
                  <c:v>152.65640334021339</c:v>
                </c:pt>
                <c:pt idx="464">
                  <c:v>152.88829977699493</c:v>
                </c:pt>
                <c:pt idx="465">
                  <c:v>153.11376077278959</c:v>
                </c:pt>
                <c:pt idx="466">
                  <c:v>153.32905689171326</c:v>
                </c:pt>
                <c:pt idx="467">
                  <c:v>153.5384680066002</c:v>
                </c:pt>
                <c:pt idx="468">
                  <c:v>153.74230442150846</c:v>
                </c:pt>
                <c:pt idx="469">
                  <c:v>153.94074545234537</c:v>
                </c:pt>
                <c:pt idx="470">
                  <c:v>154.13382597115512</c:v>
                </c:pt>
                <c:pt idx="471">
                  <c:v>154.32158801148628</c:v>
                </c:pt>
                <c:pt idx="472">
                  <c:v>154.50444004977828</c:v>
                </c:pt>
                <c:pt idx="473">
                  <c:v>154.68243718099527</c:v>
                </c:pt>
                <c:pt idx="474">
                  <c:v>154.8555485086693</c:v>
                </c:pt>
                <c:pt idx="475">
                  <c:v>155.02360148815234</c:v>
                </c:pt>
                <c:pt idx="476">
                  <c:v>155.18667213842465</c:v>
                </c:pt>
                <c:pt idx="477">
                  <c:v>155.34530029177569</c:v>
                </c:pt>
                <c:pt idx="478">
                  <c:v>155.4996309007206</c:v>
                </c:pt>
                <c:pt idx="479">
                  <c:v>155.64953712940624</c:v>
                </c:pt>
                <c:pt idx="480">
                  <c:v>155.7949398771359</c:v>
                </c:pt>
                <c:pt idx="481">
                  <c:v>171.92592524853075</c:v>
                </c:pt>
                <c:pt idx="482">
                  <c:v>172.08570400010959</c:v>
                </c:pt>
                <c:pt idx="483">
                  <c:v>172.24853557684645</c:v>
                </c:pt>
                <c:pt idx="484">
                  <c:v>172.41617427931803</c:v>
                </c:pt>
                <c:pt idx="485">
                  <c:v>172.58895780836102</c:v>
                </c:pt>
                <c:pt idx="486">
                  <c:v>172.77538347633563</c:v>
                </c:pt>
                <c:pt idx="487">
                  <c:v>172.9669976707913</c:v>
                </c:pt>
                <c:pt idx="488">
                  <c:v>173.14699767079131</c:v>
                </c:pt>
                <c:pt idx="489">
                  <c:v>173.38699767079132</c:v>
                </c:pt>
                <c:pt idx="490">
                  <c:v>173.67113111104484</c:v>
                </c:pt>
                <c:pt idx="491">
                  <c:v>173.95562979307383</c:v>
                </c:pt>
                <c:pt idx="492">
                  <c:v>174.24049119408824</c:v>
                </c:pt>
                <c:pt idx="493">
                  <c:v>174.52581372258524</c:v>
                </c:pt>
                <c:pt idx="494">
                  <c:v>174.8115603474678</c:v>
                </c:pt>
                <c:pt idx="495">
                  <c:v>175.09769403763895</c:v>
                </c:pt>
                <c:pt idx="496">
                  <c:v>175.38419753894502</c:v>
                </c:pt>
                <c:pt idx="497">
                  <c:v>175.67106882843129</c:v>
                </c:pt>
                <c:pt idx="498">
                  <c:v>175.95831754465183</c:v>
                </c:pt>
                <c:pt idx="499">
                  <c:v>176.24595484928068</c:v>
                </c:pt>
                <c:pt idx="500">
                  <c:v>176.53400661174101</c:v>
                </c:pt>
                <c:pt idx="501">
                  <c:v>176.82248094746683</c:v>
                </c:pt>
                <c:pt idx="502">
                  <c:v>177.11138242581794</c:v>
                </c:pt>
                <c:pt idx="503">
                  <c:v>177.40072575454323</c:v>
                </c:pt>
                <c:pt idx="504">
                  <c:v>177.69053630323043</c:v>
                </c:pt>
                <c:pt idx="505">
                  <c:v>177.98086885696529</c:v>
                </c:pt>
                <c:pt idx="506">
                  <c:v>178.27178277019263</c:v>
                </c:pt>
                <c:pt idx="507">
                  <c:v>178.56329427378151</c:v>
                </c:pt>
                <c:pt idx="508">
                  <c:v>178.85060059754102</c:v>
                </c:pt>
                <c:pt idx="509">
                  <c:v>179.12934163054459</c:v>
                </c:pt>
                <c:pt idx="510">
                  <c:v>179.40030393364688</c:v>
                </c:pt>
                <c:pt idx="511">
                  <c:v>179.66412328295434</c:v>
                </c:pt>
                <c:pt idx="512">
                  <c:v>179.92845373522167</c:v>
                </c:pt>
                <c:pt idx="513">
                  <c:v>180.18971083307207</c:v>
                </c:pt>
                <c:pt idx="514">
                  <c:v>180.44736242626365</c:v>
                </c:pt>
                <c:pt idx="515">
                  <c:v>180.69955935459603</c:v>
                </c:pt>
                <c:pt idx="516">
                  <c:v>180.94508407938849</c:v>
                </c:pt>
                <c:pt idx="517">
                  <c:v>181.18373172246461</c:v>
                </c:pt>
                <c:pt idx="518">
                  <c:v>181.41562815924615</c:v>
                </c:pt>
                <c:pt idx="519">
                  <c:v>181.64108915504082</c:v>
                </c:pt>
                <c:pt idx="520">
                  <c:v>181.85638527396449</c:v>
                </c:pt>
                <c:pt idx="521">
                  <c:v>182.06579638885142</c:v>
                </c:pt>
                <c:pt idx="522">
                  <c:v>182.26963280375969</c:v>
                </c:pt>
                <c:pt idx="523">
                  <c:v>182.46807383459659</c:v>
                </c:pt>
                <c:pt idx="524">
                  <c:v>182.66115435340635</c:v>
                </c:pt>
                <c:pt idx="525">
                  <c:v>182.84891639373751</c:v>
                </c:pt>
                <c:pt idx="526">
                  <c:v>183.03176843202951</c:v>
                </c:pt>
                <c:pt idx="527">
                  <c:v>183.20976556324649</c:v>
                </c:pt>
                <c:pt idx="528">
                  <c:v>183.38287689092053</c:v>
                </c:pt>
                <c:pt idx="529">
                  <c:v>183.55092987040356</c:v>
                </c:pt>
                <c:pt idx="530">
                  <c:v>183.71400052067588</c:v>
                </c:pt>
                <c:pt idx="531">
                  <c:v>183.87262867402691</c:v>
                </c:pt>
              </c:numCache>
            </c:numRef>
          </c:xVal>
          <c:yVal>
            <c:numRef>
              <c:f>Data!$BG$2:$BG$533</c:f>
              <c:numCache>
                <c:formatCode>General</c:formatCode>
                <c:ptCount val="532"/>
                <c:pt idx="1">
                  <c:v>0</c:v>
                </c:pt>
                <c:pt idx="2">
                  <c:v>0.26069266817387793</c:v>
                </c:pt>
                <c:pt idx="3">
                  <c:v>0.5304587685694484</c:v>
                </c:pt>
                <c:pt idx="4">
                  <c:v>0.79564166121099333</c:v>
                </c:pt>
                <c:pt idx="5">
                  <c:v>0.97337023701184</c:v>
                </c:pt>
                <c:pt idx="6">
                  <c:v>1.1728611977137011</c:v>
                </c:pt>
                <c:pt idx="7">
                  <c:v>1.3897549458575844</c:v>
                </c:pt>
                <c:pt idx="8">
                  <c:v>1.6076367972226893</c:v>
                </c:pt>
                <c:pt idx="9">
                  <c:v>1.8261366768003742</c:v>
                </c:pt>
                <c:pt idx="10">
                  <c:v>2.045449104715698</c:v>
                </c:pt>
                <c:pt idx="11">
                  <c:v>2.26560370120316</c:v>
                </c:pt>
                <c:pt idx="12">
                  <c:v>2.4862954974287104</c:v>
                </c:pt>
                <c:pt idx="13">
                  <c:v>2.7081860801029967</c:v>
                </c:pt>
                <c:pt idx="14">
                  <c:v>2.9306083426518534</c:v>
                </c:pt>
                <c:pt idx="15">
                  <c:v>3.154519598014847</c:v>
                </c:pt>
                <c:pt idx="16">
                  <c:v>3.3791102860337392</c:v>
                </c:pt>
                <c:pt idx="17">
                  <c:v>3.6050780561727835</c:v>
                </c:pt>
                <c:pt idx="18">
                  <c:v>3.8318582420976428</c:v>
                </c:pt>
                <c:pt idx="19">
                  <c:v>4.0598715020099885</c:v>
                </c:pt>
                <c:pt idx="20">
                  <c:v>4.2888960128360125</c:v>
                </c:pt>
                <c:pt idx="21">
                  <c:v>4.5189936798332049</c:v>
                </c:pt>
                <c:pt idx="22">
                  <c:v>4.7305017573534416</c:v>
                </c:pt>
                <c:pt idx="23">
                  <c:v>4.9477600991452411</c:v>
                </c:pt>
                <c:pt idx="24">
                  <c:v>5.1681186491891342</c:v>
                </c:pt>
                <c:pt idx="25">
                  <c:v>5.3926417892146787</c:v>
                </c:pt>
                <c:pt idx="26">
                  <c:v>5.6181007718517169</c:v>
                </c:pt>
                <c:pt idx="27">
                  <c:v>5.8447955796283164</c:v>
                </c:pt>
                <c:pt idx="28">
                  <c:v>6.0725836063219827</c:v>
                </c:pt>
                <c:pt idx="29">
                  <c:v>6.3018437520858406</c:v>
                </c:pt>
                <c:pt idx="30">
                  <c:v>6.5325619024374761</c:v>
                </c:pt>
                <c:pt idx="31">
                  <c:v>6.6421576340184547</c:v>
                </c:pt>
                <c:pt idx="32">
                  <c:v>6.8852774691220144</c:v>
                </c:pt>
                <c:pt idx="33">
                  <c:v>7.1211370363317146</c:v>
                </c:pt>
                <c:pt idx="34">
                  <c:v>8.0992416905176228</c:v>
                </c:pt>
                <c:pt idx="35">
                  <c:v>8.0992416905176228</c:v>
                </c:pt>
                <c:pt idx="36">
                  <c:v>8.0992416905176228</c:v>
                </c:pt>
                <c:pt idx="37">
                  <c:v>8.0992416905176228</c:v>
                </c:pt>
                <c:pt idx="38">
                  <c:v>8.0992416905176228</c:v>
                </c:pt>
                <c:pt idx="39">
                  <c:v>8.0992416905176228</c:v>
                </c:pt>
                <c:pt idx="40">
                  <c:v>8.0992416905176228</c:v>
                </c:pt>
                <c:pt idx="41">
                  <c:v>8.0992416905176228</c:v>
                </c:pt>
                <c:pt idx="42">
                  <c:v>8.0992416905176228</c:v>
                </c:pt>
                <c:pt idx="43">
                  <c:v>8.766088260784473</c:v>
                </c:pt>
                <c:pt idx="44">
                  <c:v>8.766088260784473</c:v>
                </c:pt>
                <c:pt idx="45">
                  <c:v>10.742487772149619</c:v>
                </c:pt>
                <c:pt idx="46">
                  <c:v>10.742487772149619</c:v>
                </c:pt>
                <c:pt idx="47">
                  <c:v>10.742487772149619</c:v>
                </c:pt>
                <c:pt idx="48">
                  <c:v>10.742487772149619</c:v>
                </c:pt>
                <c:pt idx="49">
                  <c:v>10.742487772149619</c:v>
                </c:pt>
                <c:pt idx="50">
                  <c:v>10.742487772149619</c:v>
                </c:pt>
                <c:pt idx="51">
                  <c:v>11.536990252461306</c:v>
                </c:pt>
                <c:pt idx="52">
                  <c:v>12.250115781976305</c:v>
                </c:pt>
                <c:pt idx="53">
                  <c:v>12.932443666907991</c:v>
                </c:pt>
                <c:pt idx="54">
                  <c:v>13.605465698129477</c:v>
                </c:pt>
                <c:pt idx="55">
                  <c:v>14.229816323121149</c:v>
                </c:pt>
                <c:pt idx="56">
                  <c:v>14.76965883352992</c:v>
                </c:pt>
                <c:pt idx="57">
                  <c:v>15.12075137632835</c:v>
                </c:pt>
                <c:pt idx="58">
                  <c:v>15.572798516474192</c:v>
                </c:pt>
                <c:pt idx="59">
                  <c:v>16.024516119497154</c:v>
                </c:pt>
                <c:pt idx="60">
                  <c:v>16.476319020422647</c:v>
                </c:pt>
                <c:pt idx="61">
                  <c:v>16.917911176553005</c:v>
                </c:pt>
                <c:pt idx="62">
                  <c:v>17.360295300680974</c:v>
                </c:pt>
                <c:pt idx="63">
                  <c:v>17.775149713996743</c:v>
                </c:pt>
                <c:pt idx="64">
                  <c:v>18.191385228512583</c:v>
                </c:pt>
                <c:pt idx="65">
                  <c:v>18.609152295775324</c:v>
                </c:pt>
                <c:pt idx="66">
                  <c:v>18.973411815733527</c:v>
                </c:pt>
                <c:pt idx="67">
                  <c:v>18.973411815733527</c:v>
                </c:pt>
                <c:pt idx="68">
                  <c:v>18.973411815733527</c:v>
                </c:pt>
                <c:pt idx="69">
                  <c:v>18.973411815733527</c:v>
                </c:pt>
                <c:pt idx="70">
                  <c:v>18.973411815733527</c:v>
                </c:pt>
                <c:pt idx="71">
                  <c:v>18.973411815733527</c:v>
                </c:pt>
                <c:pt idx="72">
                  <c:v>18.973411815733527</c:v>
                </c:pt>
                <c:pt idx="73">
                  <c:v>18.973411815733527</c:v>
                </c:pt>
                <c:pt idx="74">
                  <c:v>18.973411815733527</c:v>
                </c:pt>
                <c:pt idx="75">
                  <c:v>18.973411815733527</c:v>
                </c:pt>
                <c:pt idx="76">
                  <c:v>18.973411815733527</c:v>
                </c:pt>
                <c:pt idx="77">
                  <c:v>19.107313047717899</c:v>
                </c:pt>
                <c:pt idx="78">
                  <c:v>19.855006938529662</c:v>
                </c:pt>
                <c:pt idx="79">
                  <c:v>20.246014014772705</c:v>
                </c:pt>
                <c:pt idx="80">
                  <c:v>20.742841772336476</c:v>
                </c:pt>
                <c:pt idx="81">
                  <c:v>21.235644560453434</c:v>
                </c:pt>
                <c:pt idx="82">
                  <c:v>21.728934655092338</c:v>
                </c:pt>
                <c:pt idx="83">
                  <c:v>22.211205684170611</c:v>
                </c:pt>
                <c:pt idx="84">
                  <c:v>22.694541073999957</c:v>
                </c:pt>
                <c:pt idx="85">
                  <c:v>23.147908608169594</c:v>
                </c:pt>
                <c:pt idx="86">
                  <c:v>23.602770835531945</c:v>
                </c:pt>
                <c:pt idx="87">
                  <c:v>24.059414668761878</c:v>
                </c:pt>
                <c:pt idx="88">
                  <c:v>24.457259180994132</c:v>
                </c:pt>
                <c:pt idx="89">
                  <c:v>24.855549012263367</c:v>
                </c:pt>
                <c:pt idx="90">
                  <c:v>25.255378438641404</c:v>
                </c:pt>
                <c:pt idx="91">
                  <c:v>25.255378438641404</c:v>
                </c:pt>
                <c:pt idx="92">
                  <c:v>25.255378438641404</c:v>
                </c:pt>
                <c:pt idx="93">
                  <c:v>25.572516363513902</c:v>
                </c:pt>
                <c:pt idx="94">
                  <c:v>25.894006728558718</c:v>
                </c:pt>
                <c:pt idx="95">
                  <c:v>26.217269125320882</c:v>
                </c:pt>
                <c:pt idx="96">
                  <c:v>26.217269125320882</c:v>
                </c:pt>
                <c:pt idx="97">
                  <c:v>26.217269125320882</c:v>
                </c:pt>
                <c:pt idx="98">
                  <c:v>26.545666828926084</c:v>
                </c:pt>
                <c:pt idx="99">
                  <c:v>26.875261284997944</c:v>
                </c:pt>
                <c:pt idx="100">
                  <c:v>27.205974634324182</c:v>
                </c:pt>
                <c:pt idx="101">
                  <c:v>27.537981916135266</c:v>
                </c:pt>
                <c:pt idx="102">
                  <c:v>27.871369401838606</c:v>
                </c:pt>
                <c:pt idx="103">
                  <c:v>28.20615717404814</c:v>
                </c:pt>
                <c:pt idx="104">
                  <c:v>28.50896894806607</c:v>
                </c:pt>
                <c:pt idx="105">
                  <c:v>28.81319448169279</c:v>
                </c:pt>
                <c:pt idx="106">
                  <c:v>29.117404783924311</c:v>
                </c:pt>
                <c:pt idx="107">
                  <c:v>29.423197864880112</c:v>
                </c:pt>
                <c:pt idx="108">
                  <c:v>29.730658096509103</c:v>
                </c:pt>
                <c:pt idx="109">
                  <c:v>30.039814043417792</c:v>
                </c:pt>
                <c:pt idx="110">
                  <c:v>30.350760719396419</c:v>
                </c:pt>
                <c:pt idx="111">
                  <c:v>30.663500680861681</c:v>
                </c:pt>
                <c:pt idx="112">
                  <c:v>30.743493422359187</c:v>
                </c:pt>
                <c:pt idx="113">
                  <c:v>30.822503529647836</c:v>
                </c:pt>
                <c:pt idx="114">
                  <c:v>30.901065830658762</c:v>
                </c:pt>
                <c:pt idx="115">
                  <c:v>31.022194753881287</c:v>
                </c:pt>
                <c:pt idx="116">
                  <c:v>31.149486606369965</c:v>
                </c:pt>
                <c:pt idx="117">
                  <c:v>31.235158952438194</c:v>
                </c:pt>
                <c:pt idx="118">
                  <c:v>31.325370836687231</c:v>
                </c:pt>
                <c:pt idx="119">
                  <c:v>31.416952635765227</c:v>
                </c:pt>
                <c:pt idx="120">
                  <c:v>31.508840351189079</c:v>
                </c:pt>
                <c:pt idx="121">
                  <c:v>31.600972163004467</c:v>
                </c:pt>
                <c:pt idx="122">
                  <c:v>31.693294986149752</c:v>
                </c:pt>
                <c:pt idx="123">
                  <c:v>31.785649021358495</c:v>
                </c:pt>
                <c:pt idx="124">
                  <c:v>31.878074836662037</c:v>
                </c:pt>
                <c:pt idx="125">
                  <c:v>31.970612294104619</c:v>
                </c:pt>
                <c:pt idx="126">
                  <c:v>32.063209309995756</c:v>
                </c:pt>
                <c:pt idx="127">
                  <c:v>32.155861138127804</c:v>
                </c:pt>
                <c:pt idx="128">
                  <c:v>32.248633165361923</c:v>
                </c:pt>
                <c:pt idx="129">
                  <c:v>32.337573094253919</c:v>
                </c:pt>
                <c:pt idx="130">
                  <c:v>32.683467503387774</c:v>
                </c:pt>
                <c:pt idx="131">
                  <c:v>33.030817436702335</c:v>
                </c:pt>
                <c:pt idx="132">
                  <c:v>33.360274720292331</c:v>
                </c:pt>
                <c:pt idx="133">
                  <c:v>33.691353908786944</c:v>
                </c:pt>
                <c:pt idx="134">
                  <c:v>34.024175536363074</c:v>
                </c:pt>
                <c:pt idx="135">
                  <c:v>34.358830885735784</c:v>
                </c:pt>
                <c:pt idx="136">
                  <c:v>34.4443726419087</c:v>
                </c:pt>
                <c:pt idx="137">
                  <c:v>34.528302923359931</c:v>
                </c:pt>
                <c:pt idx="138">
                  <c:v>34.611507680482788</c:v>
                </c:pt>
                <c:pt idx="139">
                  <c:v>34.739330613549235</c:v>
                </c:pt>
                <c:pt idx="140">
                  <c:v>34.855479531313989</c:v>
                </c:pt>
                <c:pt idx="141">
                  <c:v>34.967089731988679</c:v>
                </c:pt>
                <c:pt idx="142">
                  <c:v>35.118172718894563</c:v>
                </c:pt>
                <c:pt idx="143">
                  <c:v>35.268917657528135</c:v>
                </c:pt>
                <c:pt idx="144">
                  <c:v>35.412935866123121</c:v>
                </c:pt>
                <c:pt idx="145">
                  <c:v>35.556723740712457</c:v>
                </c:pt>
                <c:pt idx="146">
                  <c:v>35.695982998525999</c:v>
                </c:pt>
                <c:pt idx="147">
                  <c:v>35.835022001953163</c:v>
                </c:pt>
                <c:pt idx="148">
                  <c:v>35.973892896045122</c:v>
                </c:pt>
                <c:pt idx="149">
                  <c:v>36.112630191875731</c:v>
                </c:pt>
                <c:pt idx="150">
                  <c:v>36.25129385023299</c:v>
                </c:pt>
                <c:pt idx="151">
                  <c:v>36.344328718360877</c:v>
                </c:pt>
                <c:pt idx="152">
                  <c:v>36.479166312813689</c:v>
                </c:pt>
                <c:pt idx="153">
                  <c:v>36.855089138970719</c:v>
                </c:pt>
                <c:pt idx="154">
                  <c:v>37.235383839716008</c:v>
                </c:pt>
                <c:pt idx="155">
                  <c:v>37.617000332670649</c:v>
                </c:pt>
                <c:pt idx="156">
                  <c:v>38.000124528145683</c:v>
                </c:pt>
                <c:pt idx="157">
                  <c:v>38.384708802775805</c:v>
                </c:pt>
                <c:pt idx="158">
                  <c:v>38.951145066154034</c:v>
                </c:pt>
                <c:pt idx="159">
                  <c:v>39.12459735952649</c:v>
                </c:pt>
                <c:pt idx="160">
                  <c:v>39.12459735952649</c:v>
                </c:pt>
                <c:pt idx="161">
                  <c:v>39.12459735952649</c:v>
                </c:pt>
                <c:pt idx="162">
                  <c:v>39.12459735952649</c:v>
                </c:pt>
                <c:pt idx="163">
                  <c:v>39.647971784172199</c:v>
                </c:pt>
                <c:pt idx="164">
                  <c:v>40.172777722374867</c:v>
                </c:pt>
                <c:pt idx="165">
                  <c:v>40.698549599586869</c:v>
                </c:pt>
                <c:pt idx="166">
                  <c:v>41.224997334782124</c:v>
                </c:pt>
                <c:pt idx="167">
                  <c:v>41.752116259689181</c:v>
                </c:pt>
                <c:pt idx="168">
                  <c:v>42.280088473325449</c:v>
                </c:pt>
                <c:pt idx="169">
                  <c:v>42.808845451868464</c:v>
                </c:pt>
                <c:pt idx="170">
                  <c:v>43.338318671495962</c:v>
                </c:pt>
                <c:pt idx="171">
                  <c:v>43.868476204432184</c:v>
                </c:pt>
                <c:pt idx="172">
                  <c:v>44.399314307320857</c:v>
                </c:pt>
                <c:pt idx="173">
                  <c:v>44.930850815727787</c:v>
                </c:pt>
                <c:pt idx="174">
                  <c:v>45.463106383660808</c:v>
                </c:pt>
                <c:pt idx="175">
                  <c:v>45.996128880934812</c:v>
                </c:pt>
                <c:pt idx="176">
                  <c:v>46.529933324673344</c:v>
                </c:pt>
                <c:pt idx="177">
                  <c:v>47.064528170202394</c:v>
                </c:pt>
                <c:pt idx="178">
                  <c:v>47.599940633328565</c:v>
                </c:pt>
                <c:pt idx="179">
                  <c:v>48.136217658951225</c:v>
                </c:pt>
                <c:pt idx="180">
                  <c:v>48.673460623583324</c:v>
                </c:pt>
                <c:pt idx="181">
                  <c:v>49.211779359062469</c:v>
                </c:pt>
                <c:pt idx="182">
                  <c:v>49.340971040616331</c:v>
                </c:pt>
                <c:pt idx="183">
                  <c:v>49.903434007184273</c:v>
                </c:pt>
                <c:pt idx="184">
                  <c:v>50.240990057431667</c:v>
                </c:pt>
                <c:pt idx="185">
                  <c:v>50.240990057431667</c:v>
                </c:pt>
                <c:pt idx="186">
                  <c:v>50.240990057431667</c:v>
                </c:pt>
                <c:pt idx="187">
                  <c:v>50.281607301649309</c:v>
                </c:pt>
                <c:pt idx="188">
                  <c:v>50.281607301649309</c:v>
                </c:pt>
                <c:pt idx="189">
                  <c:v>50.281607301649309</c:v>
                </c:pt>
                <c:pt idx="190">
                  <c:v>50.281607301649309</c:v>
                </c:pt>
                <c:pt idx="191">
                  <c:v>50.281607301649309</c:v>
                </c:pt>
                <c:pt idx="192">
                  <c:v>50.281607301649309</c:v>
                </c:pt>
                <c:pt idx="193">
                  <c:v>50.281607301649309</c:v>
                </c:pt>
                <c:pt idx="194">
                  <c:v>50.281607301649309</c:v>
                </c:pt>
                <c:pt idx="195">
                  <c:v>50.415063361979314</c:v>
                </c:pt>
                <c:pt idx="196">
                  <c:v>50.760226822093202</c:v>
                </c:pt>
                <c:pt idx="197">
                  <c:v>51.083730720024654</c:v>
                </c:pt>
                <c:pt idx="198">
                  <c:v>51.194374906623096</c:v>
                </c:pt>
                <c:pt idx="199">
                  <c:v>51.489577161022531</c:v>
                </c:pt>
                <c:pt idx="200">
                  <c:v>51.590011780991475</c:v>
                </c:pt>
                <c:pt idx="201">
                  <c:v>51.676514674489738</c:v>
                </c:pt>
                <c:pt idx="202">
                  <c:v>51.76910958459522</c:v>
                </c:pt>
                <c:pt idx="203">
                  <c:v>52.736856242743478</c:v>
                </c:pt>
                <c:pt idx="204">
                  <c:v>52.736856242743478</c:v>
                </c:pt>
                <c:pt idx="205">
                  <c:v>52.736856242743478</c:v>
                </c:pt>
                <c:pt idx="206">
                  <c:v>52.736856242743478</c:v>
                </c:pt>
                <c:pt idx="207">
                  <c:v>52.736856242743478</c:v>
                </c:pt>
                <c:pt idx="208">
                  <c:v>52.736856242743478</c:v>
                </c:pt>
                <c:pt idx="209">
                  <c:v>53.214130282566927</c:v>
                </c:pt>
                <c:pt idx="210">
                  <c:v>53.732253476683027</c:v>
                </c:pt>
                <c:pt idx="211">
                  <c:v>54.250376670799128</c:v>
                </c:pt>
                <c:pt idx="212">
                  <c:v>54.776148548011129</c:v>
                </c:pt>
                <c:pt idx="213">
                  <c:v>55.302596283206384</c:v>
                </c:pt>
                <c:pt idx="214">
                  <c:v>55.829715208113441</c:v>
                </c:pt>
                <c:pt idx="215">
                  <c:v>56.357687421749709</c:v>
                </c:pt>
                <c:pt idx="216">
                  <c:v>56.886444400292724</c:v>
                </c:pt>
                <c:pt idx="217">
                  <c:v>57.415917619920222</c:v>
                </c:pt>
                <c:pt idx="218">
                  <c:v>57.946075152856444</c:v>
                </c:pt>
                <c:pt idx="219">
                  <c:v>58.476913255745117</c:v>
                </c:pt>
                <c:pt idx="220">
                  <c:v>58.995036449861217</c:v>
                </c:pt>
                <c:pt idx="221">
                  <c:v>59.520808327073219</c:v>
                </c:pt>
                <c:pt idx="222">
                  <c:v>60.047256062268474</c:v>
                </c:pt>
                <c:pt idx="223">
                  <c:v>60.574374987175531</c:v>
                </c:pt>
                <c:pt idx="224">
                  <c:v>61.102347200811799</c:v>
                </c:pt>
                <c:pt idx="225">
                  <c:v>61.631104179354814</c:v>
                </c:pt>
                <c:pt idx="226">
                  <c:v>62.160577398982312</c:v>
                </c:pt>
                <c:pt idx="227">
                  <c:v>62.690734931918534</c:v>
                </c:pt>
                <c:pt idx="228">
                  <c:v>63.221573034807207</c:v>
                </c:pt>
                <c:pt idx="229">
                  <c:v>63.753109543214137</c:v>
                </c:pt>
                <c:pt idx="230">
                  <c:v>64.285365111147158</c:v>
                </c:pt>
                <c:pt idx="231">
                  <c:v>64.818387608421162</c:v>
                </c:pt>
                <c:pt idx="232">
                  <c:v>65.352192052159694</c:v>
                </c:pt>
                <c:pt idx="233">
                  <c:v>65.886786897688737</c:v>
                </c:pt>
                <c:pt idx="234">
                  <c:v>66.422199360814915</c:v>
                </c:pt>
                <c:pt idx="235">
                  <c:v>66.958476386437582</c:v>
                </c:pt>
                <c:pt idx="236">
                  <c:v>67.495719351069681</c:v>
                </c:pt>
                <c:pt idx="237">
                  <c:v>68.034038086548819</c:v>
                </c:pt>
                <c:pt idx="238">
                  <c:v>68.163229768102681</c:v>
                </c:pt>
                <c:pt idx="239">
                  <c:v>68.725692734670631</c:v>
                </c:pt>
                <c:pt idx="240">
                  <c:v>69.063248784918017</c:v>
                </c:pt>
                <c:pt idx="241">
                  <c:v>69.063248784918017</c:v>
                </c:pt>
                <c:pt idx="242">
                  <c:v>69.063248784918017</c:v>
                </c:pt>
                <c:pt idx="243">
                  <c:v>69.103866029135659</c:v>
                </c:pt>
                <c:pt idx="244">
                  <c:v>69.103866029135659</c:v>
                </c:pt>
                <c:pt idx="245">
                  <c:v>69.103866029135659</c:v>
                </c:pt>
                <c:pt idx="246">
                  <c:v>69.103866029135659</c:v>
                </c:pt>
                <c:pt idx="247">
                  <c:v>69.103866029135659</c:v>
                </c:pt>
                <c:pt idx="248">
                  <c:v>69.103866029135659</c:v>
                </c:pt>
                <c:pt idx="249">
                  <c:v>69.103866029135659</c:v>
                </c:pt>
                <c:pt idx="250">
                  <c:v>69.103866029135659</c:v>
                </c:pt>
                <c:pt idx="251">
                  <c:v>69.237322089465664</c:v>
                </c:pt>
                <c:pt idx="252">
                  <c:v>69.582485549579559</c:v>
                </c:pt>
                <c:pt idx="253">
                  <c:v>69.905989447511018</c:v>
                </c:pt>
                <c:pt idx="254">
                  <c:v>70.016633634109468</c:v>
                </c:pt>
                <c:pt idx="255">
                  <c:v>70.311835888508909</c:v>
                </c:pt>
                <c:pt idx="256">
                  <c:v>70.41227050847786</c:v>
                </c:pt>
                <c:pt idx="257">
                  <c:v>70.498773401976123</c:v>
                </c:pt>
                <c:pt idx="258">
                  <c:v>70.498773401976123</c:v>
                </c:pt>
                <c:pt idx="259">
                  <c:v>70.743517896182965</c:v>
                </c:pt>
                <c:pt idx="260">
                  <c:v>70.818026817976019</c:v>
                </c:pt>
                <c:pt idx="261">
                  <c:v>71.058832824850938</c:v>
                </c:pt>
                <c:pt idx="262">
                  <c:v>71.281032654290755</c:v>
                </c:pt>
                <c:pt idx="263">
                  <c:v>71.506153362753963</c:v>
                </c:pt>
                <c:pt idx="264">
                  <c:v>71.705802311943614</c:v>
                </c:pt>
                <c:pt idx="265">
                  <c:v>71.890000114482618</c:v>
                </c:pt>
                <c:pt idx="266">
                  <c:v>76.674353199114535</c:v>
                </c:pt>
                <c:pt idx="267">
                  <c:v>80.703214971012272</c:v>
                </c:pt>
                <c:pt idx="268">
                  <c:v>80.839873724652648</c:v>
                </c:pt>
                <c:pt idx="269">
                  <c:v>81.007283709799651</c:v>
                </c:pt>
                <c:pt idx="270">
                  <c:v>81.175177653084063</c:v>
                </c:pt>
                <c:pt idx="271">
                  <c:v>81.426683116576697</c:v>
                </c:pt>
                <c:pt idx="272">
                  <c:v>81.78123553081501</c:v>
                </c:pt>
                <c:pt idx="273">
                  <c:v>82.272011037235075</c:v>
                </c:pt>
                <c:pt idx="274">
                  <c:v>82.838535755636101</c:v>
                </c:pt>
                <c:pt idx="275">
                  <c:v>83.364983490831364</c:v>
                </c:pt>
                <c:pt idx="276">
                  <c:v>83.892102415738421</c:v>
                </c:pt>
                <c:pt idx="277">
                  <c:v>84.420074629374696</c:v>
                </c:pt>
                <c:pt idx="278">
                  <c:v>84.948831607917711</c:v>
                </c:pt>
                <c:pt idx="279">
                  <c:v>85.478304827545216</c:v>
                </c:pt>
                <c:pt idx="280">
                  <c:v>86.008462360481431</c:v>
                </c:pt>
                <c:pt idx="281">
                  <c:v>86.539300463370097</c:v>
                </c:pt>
                <c:pt idx="282">
                  <c:v>87.070836971777027</c:v>
                </c:pt>
                <c:pt idx="283">
                  <c:v>87.603092539710048</c:v>
                </c:pt>
                <c:pt idx="284">
                  <c:v>88.136115036984052</c:v>
                </c:pt>
                <c:pt idx="285">
                  <c:v>88.669919480722584</c:v>
                </c:pt>
                <c:pt idx="286">
                  <c:v>89.204514326251626</c:v>
                </c:pt>
                <c:pt idx="287">
                  <c:v>89.739926789377805</c:v>
                </c:pt>
                <c:pt idx="288">
                  <c:v>90.276203815000471</c:v>
                </c:pt>
                <c:pt idx="289">
                  <c:v>90.813446779632571</c:v>
                </c:pt>
                <c:pt idx="290">
                  <c:v>91.351765515111708</c:v>
                </c:pt>
                <c:pt idx="291">
                  <c:v>91.480957196665571</c:v>
                </c:pt>
                <c:pt idx="292">
                  <c:v>92.04342016323352</c:v>
                </c:pt>
                <c:pt idx="293">
                  <c:v>92.380976213480906</c:v>
                </c:pt>
                <c:pt idx="294">
                  <c:v>92.380976213480906</c:v>
                </c:pt>
                <c:pt idx="295">
                  <c:v>92.380976213480906</c:v>
                </c:pt>
                <c:pt idx="296">
                  <c:v>92.421593457698549</c:v>
                </c:pt>
                <c:pt idx="297">
                  <c:v>92.421593457698549</c:v>
                </c:pt>
                <c:pt idx="298">
                  <c:v>92.421593457698549</c:v>
                </c:pt>
                <c:pt idx="299">
                  <c:v>92.421593457698549</c:v>
                </c:pt>
                <c:pt idx="300">
                  <c:v>92.421593457698549</c:v>
                </c:pt>
                <c:pt idx="301">
                  <c:v>92.421593457698549</c:v>
                </c:pt>
                <c:pt idx="302">
                  <c:v>92.421593457698549</c:v>
                </c:pt>
                <c:pt idx="303">
                  <c:v>92.421593457698549</c:v>
                </c:pt>
                <c:pt idx="304">
                  <c:v>92.555049518028554</c:v>
                </c:pt>
                <c:pt idx="305">
                  <c:v>92.900212978142449</c:v>
                </c:pt>
                <c:pt idx="306">
                  <c:v>93.223716876073908</c:v>
                </c:pt>
                <c:pt idx="307">
                  <c:v>93.334361062672357</c:v>
                </c:pt>
                <c:pt idx="308">
                  <c:v>93.629563317071799</c:v>
                </c:pt>
                <c:pt idx="309">
                  <c:v>93.72999793704075</c:v>
                </c:pt>
                <c:pt idx="310">
                  <c:v>93.816500830539013</c:v>
                </c:pt>
                <c:pt idx="311">
                  <c:v>93.816500830539013</c:v>
                </c:pt>
                <c:pt idx="312">
                  <c:v>94.061245324745855</c:v>
                </c:pt>
                <c:pt idx="313">
                  <c:v>94.135754246538909</c:v>
                </c:pt>
                <c:pt idx="314">
                  <c:v>94.376560253413828</c:v>
                </c:pt>
                <c:pt idx="315">
                  <c:v>94.598760082853644</c:v>
                </c:pt>
                <c:pt idx="316">
                  <c:v>94.599659844114768</c:v>
                </c:pt>
                <c:pt idx="317">
                  <c:v>94.599659844114768</c:v>
                </c:pt>
                <c:pt idx="318">
                  <c:v>94.599659844114768</c:v>
                </c:pt>
                <c:pt idx="319">
                  <c:v>102.12171131314062</c:v>
                </c:pt>
                <c:pt idx="320">
                  <c:v>133.62297621525633</c:v>
                </c:pt>
                <c:pt idx="321">
                  <c:v>133.83632406575151</c:v>
                </c:pt>
                <c:pt idx="322">
                  <c:v>134.05204670679055</c:v>
                </c:pt>
                <c:pt idx="323">
                  <c:v>134.2701855438855</c:v>
                </c:pt>
                <c:pt idx="324">
                  <c:v>134.62680763322558</c:v>
                </c:pt>
                <c:pt idx="325">
                  <c:v>134.89937462824025</c:v>
                </c:pt>
                <c:pt idx="326">
                  <c:v>135.24083631756255</c:v>
                </c:pt>
                <c:pt idx="327">
                  <c:v>135.76660819477456</c:v>
                </c:pt>
                <c:pt idx="328">
                  <c:v>136.29305592996982</c:v>
                </c:pt>
                <c:pt idx="329">
                  <c:v>136.82017485487688</c:v>
                </c:pt>
                <c:pt idx="330">
                  <c:v>137.34814706851316</c:v>
                </c:pt>
                <c:pt idx="331">
                  <c:v>137.87690404705617</c:v>
                </c:pt>
                <c:pt idx="332">
                  <c:v>138.40637726668368</c:v>
                </c:pt>
                <c:pt idx="333">
                  <c:v>138.93653479961989</c:v>
                </c:pt>
                <c:pt idx="334">
                  <c:v>139.46737290250857</c:v>
                </c:pt>
                <c:pt idx="335">
                  <c:v>139.9989094109155</c:v>
                </c:pt>
                <c:pt idx="336">
                  <c:v>140.53116497884852</c:v>
                </c:pt>
                <c:pt idx="337">
                  <c:v>141.06418747612253</c:v>
                </c:pt>
                <c:pt idx="338">
                  <c:v>141.59799191986107</c:v>
                </c:pt>
                <c:pt idx="339">
                  <c:v>142.13258676539013</c:v>
                </c:pt>
                <c:pt idx="340">
                  <c:v>142.66799922851629</c:v>
                </c:pt>
                <c:pt idx="341">
                  <c:v>143.20427625413896</c:v>
                </c:pt>
                <c:pt idx="342">
                  <c:v>143.74151921877106</c:v>
                </c:pt>
                <c:pt idx="343">
                  <c:v>144.27983795425021</c:v>
                </c:pt>
                <c:pt idx="344">
                  <c:v>144.40902963580407</c:v>
                </c:pt>
                <c:pt idx="345">
                  <c:v>144.97149260237202</c:v>
                </c:pt>
                <c:pt idx="346">
                  <c:v>145.30904865261942</c:v>
                </c:pt>
                <c:pt idx="347">
                  <c:v>145.30904865261942</c:v>
                </c:pt>
                <c:pt idx="348">
                  <c:v>145.30904865261942</c:v>
                </c:pt>
                <c:pt idx="349">
                  <c:v>145.33204865261942</c:v>
                </c:pt>
                <c:pt idx="350">
                  <c:v>145.35504865261942</c:v>
                </c:pt>
                <c:pt idx="351">
                  <c:v>145.37804865261941</c:v>
                </c:pt>
                <c:pt idx="352">
                  <c:v>145.40104865261941</c:v>
                </c:pt>
                <c:pt idx="353">
                  <c:v>145.4240486526194</c:v>
                </c:pt>
                <c:pt idx="354">
                  <c:v>145.4470486526194</c:v>
                </c:pt>
                <c:pt idx="355">
                  <c:v>145.4700486526194</c:v>
                </c:pt>
                <c:pt idx="356">
                  <c:v>145.49304865261939</c:v>
                </c:pt>
                <c:pt idx="357">
                  <c:v>145.62650471294941</c:v>
                </c:pt>
                <c:pt idx="358">
                  <c:v>145.97166817306331</c:v>
                </c:pt>
                <c:pt idx="359">
                  <c:v>146.29517207099477</c:v>
                </c:pt>
                <c:pt idx="360">
                  <c:v>146.40581625759322</c:v>
                </c:pt>
                <c:pt idx="361">
                  <c:v>146.70101851199266</c:v>
                </c:pt>
                <c:pt idx="362">
                  <c:v>146.80145313196161</c:v>
                </c:pt>
                <c:pt idx="363">
                  <c:v>146.80145313196161</c:v>
                </c:pt>
                <c:pt idx="364">
                  <c:v>146.80145313196161</c:v>
                </c:pt>
                <c:pt idx="365">
                  <c:v>147.04619762616846</c:v>
                </c:pt>
                <c:pt idx="366">
                  <c:v>147.1207065479615</c:v>
                </c:pt>
                <c:pt idx="367">
                  <c:v>147.36151255483642</c:v>
                </c:pt>
                <c:pt idx="368">
                  <c:v>147.58371238427623</c:v>
                </c:pt>
                <c:pt idx="369">
                  <c:v>147.80883309273943</c:v>
                </c:pt>
                <c:pt idx="370">
                  <c:v>148.02490766630339</c:v>
                </c:pt>
                <c:pt idx="371">
                  <c:v>148.14640901510592</c:v>
                </c:pt>
                <c:pt idx="372">
                  <c:v>147.95667773192929</c:v>
                </c:pt>
                <c:pt idx="373">
                  <c:v>148.09186092633703</c:v>
                </c:pt>
                <c:pt idx="374">
                  <c:v>148.09186092633703</c:v>
                </c:pt>
                <c:pt idx="375">
                  <c:v>148.09186092633703</c:v>
                </c:pt>
                <c:pt idx="376">
                  <c:v>148.09186092633703</c:v>
                </c:pt>
                <c:pt idx="377">
                  <c:v>148.09186092633703</c:v>
                </c:pt>
                <c:pt idx="378">
                  <c:v>148.09186092633703</c:v>
                </c:pt>
                <c:pt idx="379">
                  <c:v>148.09186092633703</c:v>
                </c:pt>
                <c:pt idx="380">
                  <c:v>148.09186092633703</c:v>
                </c:pt>
                <c:pt idx="381">
                  <c:v>148.36876703249541</c:v>
                </c:pt>
                <c:pt idx="382">
                  <c:v>148.86483170947744</c:v>
                </c:pt>
                <c:pt idx="383">
                  <c:v>149.1609021061152</c:v>
                </c:pt>
                <c:pt idx="384">
                  <c:v>149.60500770107186</c:v>
                </c:pt>
                <c:pt idx="385">
                  <c:v>150.13077957828386</c:v>
                </c:pt>
                <c:pt idx="386">
                  <c:v>150.65722731347913</c:v>
                </c:pt>
                <c:pt idx="387">
                  <c:v>151.18434623838618</c:v>
                </c:pt>
                <c:pt idx="388">
                  <c:v>151.71231845202246</c:v>
                </c:pt>
                <c:pt idx="389">
                  <c:v>152.24107543056547</c:v>
                </c:pt>
                <c:pt idx="390">
                  <c:v>152.77054865019298</c:v>
                </c:pt>
                <c:pt idx="391">
                  <c:v>153.30070618312919</c:v>
                </c:pt>
                <c:pt idx="392">
                  <c:v>153.83154428601787</c:v>
                </c:pt>
                <c:pt idx="393">
                  <c:v>154.3630807944248</c:v>
                </c:pt>
                <c:pt idx="394">
                  <c:v>154.89533636235782</c:v>
                </c:pt>
                <c:pt idx="395">
                  <c:v>155.42835885963183</c:v>
                </c:pt>
                <c:pt idx="396">
                  <c:v>155.96216330337037</c:v>
                </c:pt>
                <c:pt idx="397">
                  <c:v>156.49675814889943</c:v>
                </c:pt>
                <c:pt idx="398">
                  <c:v>157.0321706120256</c:v>
                </c:pt>
                <c:pt idx="399">
                  <c:v>157.56844763764826</c:v>
                </c:pt>
                <c:pt idx="400">
                  <c:v>158.10569060228036</c:v>
                </c:pt>
                <c:pt idx="401">
                  <c:v>158.64400933775951</c:v>
                </c:pt>
                <c:pt idx="402">
                  <c:v>158.77320101931338</c:v>
                </c:pt>
                <c:pt idx="403">
                  <c:v>159.33566398588133</c:v>
                </c:pt>
                <c:pt idx="404">
                  <c:v>159.67322003612873</c:v>
                </c:pt>
                <c:pt idx="405">
                  <c:v>159.67322003612873</c:v>
                </c:pt>
                <c:pt idx="406">
                  <c:v>159.67322003612873</c:v>
                </c:pt>
                <c:pt idx="407">
                  <c:v>159.71383728034638</c:v>
                </c:pt>
                <c:pt idx="408">
                  <c:v>159.71383728034638</c:v>
                </c:pt>
                <c:pt idx="409">
                  <c:v>159.71383728034638</c:v>
                </c:pt>
                <c:pt idx="410">
                  <c:v>159.71383728034638</c:v>
                </c:pt>
                <c:pt idx="411">
                  <c:v>159.71383728034638</c:v>
                </c:pt>
                <c:pt idx="412">
                  <c:v>159.71383728034638</c:v>
                </c:pt>
                <c:pt idx="413">
                  <c:v>159.71383728034638</c:v>
                </c:pt>
                <c:pt idx="414">
                  <c:v>159.71383728034638</c:v>
                </c:pt>
                <c:pt idx="415">
                  <c:v>159.71383728034638</c:v>
                </c:pt>
                <c:pt idx="416">
                  <c:v>159.71383728034638</c:v>
                </c:pt>
                <c:pt idx="417">
                  <c:v>159.71383728034638</c:v>
                </c:pt>
                <c:pt idx="418">
                  <c:v>159.82448146694483</c:v>
                </c:pt>
                <c:pt idx="419">
                  <c:v>160.11968372134427</c:v>
                </c:pt>
                <c:pt idx="420">
                  <c:v>160.22011834131322</c:v>
                </c:pt>
                <c:pt idx="421">
                  <c:v>160.3066212348115</c:v>
                </c:pt>
                <c:pt idx="422">
                  <c:v>160.3066212348115</c:v>
                </c:pt>
                <c:pt idx="423">
                  <c:v>160.55136572901836</c:v>
                </c:pt>
                <c:pt idx="424">
                  <c:v>160.6258746508114</c:v>
                </c:pt>
                <c:pt idx="425">
                  <c:v>160.86668065768632</c:v>
                </c:pt>
                <c:pt idx="426">
                  <c:v>161.08888048712612</c:v>
                </c:pt>
                <c:pt idx="427">
                  <c:v>161.66692400498354</c:v>
                </c:pt>
                <c:pt idx="428">
                  <c:v>161.66692400498354</c:v>
                </c:pt>
                <c:pt idx="429">
                  <c:v>161.66692400498354</c:v>
                </c:pt>
                <c:pt idx="430">
                  <c:v>161.66692400498354</c:v>
                </c:pt>
                <c:pt idx="431">
                  <c:v>161.66692400498354</c:v>
                </c:pt>
                <c:pt idx="432">
                  <c:v>161.66692400498354</c:v>
                </c:pt>
                <c:pt idx="433">
                  <c:v>161.66692400498354</c:v>
                </c:pt>
                <c:pt idx="434">
                  <c:v>162.12083693182882</c:v>
                </c:pt>
                <c:pt idx="435">
                  <c:v>162.4705700878572</c:v>
                </c:pt>
                <c:pt idx="436">
                  <c:v>162.99634196506921</c:v>
                </c:pt>
                <c:pt idx="437">
                  <c:v>163.52278970026447</c:v>
                </c:pt>
                <c:pt idx="438">
                  <c:v>164.04990862517153</c:v>
                </c:pt>
                <c:pt idx="439">
                  <c:v>164.5778808388078</c:v>
                </c:pt>
                <c:pt idx="440">
                  <c:v>165.10663781735082</c:v>
                </c:pt>
                <c:pt idx="441">
                  <c:v>165.63611103697832</c:v>
                </c:pt>
                <c:pt idx="442">
                  <c:v>166.16626856991454</c:v>
                </c:pt>
                <c:pt idx="443">
                  <c:v>166.69710667280322</c:v>
                </c:pt>
                <c:pt idx="444">
                  <c:v>167.22864318121015</c:v>
                </c:pt>
                <c:pt idx="445">
                  <c:v>167.76089874914317</c:v>
                </c:pt>
                <c:pt idx="446">
                  <c:v>168.29392124641717</c:v>
                </c:pt>
                <c:pt idx="447">
                  <c:v>168.82772569015572</c:v>
                </c:pt>
                <c:pt idx="448">
                  <c:v>169.36232053568477</c:v>
                </c:pt>
                <c:pt idx="449">
                  <c:v>169.89773299881094</c:v>
                </c:pt>
                <c:pt idx="450">
                  <c:v>170.4340100244336</c:v>
                </c:pt>
                <c:pt idx="451">
                  <c:v>170.9712529890657</c:v>
                </c:pt>
                <c:pt idx="452">
                  <c:v>171.50957172454486</c:v>
                </c:pt>
                <c:pt idx="453">
                  <c:v>171.63876340609872</c:v>
                </c:pt>
                <c:pt idx="454">
                  <c:v>172.20122637266667</c:v>
                </c:pt>
                <c:pt idx="455">
                  <c:v>172.53878242291407</c:v>
                </c:pt>
                <c:pt idx="456">
                  <c:v>172.53878242291407</c:v>
                </c:pt>
                <c:pt idx="457">
                  <c:v>172.53878242291407</c:v>
                </c:pt>
                <c:pt idx="458">
                  <c:v>172.57939966713172</c:v>
                </c:pt>
                <c:pt idx="459">
                  <c:v>172.57939966713172</c:v>
                </c:pt>
                <c:pt idx="460">
                  <c:v>172.57939966713172</c:v>
                </c:pt>
                <c:pt idx="461">
                  <c:v>172.57939966713172</c:v>
                </c:pt>
                <c:pt idx="462">
                  <c:v>172.57939966713172</c:v>
                </c:pt>
                <c:pt idx="463">
                  <c:v>172.57939966713172</c:v>
                </c:pt>
                <c:pt idx="464">
                  <c:v>172.57939966713172</c:v>
                </c:pt>
                <c:pt idx="465">
                  <c:v>172.57939966713172</c:v>
                </c:pt>
                <c:pt idx="466">
                  <c:v>172.71285572746174</c:v>
                </c:pt>
                <c:pt idx="467">
                  <c:v>173.05801918757564</c:v>
                </c:pt>
                <c:pt idx="468">
                  <c:v>173.3815230855071</c:v>
                </c:pt>
                <c:pt idx="469">
                  <c:v>173.49216727210555</c:v>
                </c:pt>
                <c:pt idx="470">
                  <c:v>173.78736952650499</c:v>
                </c:pt>
                <c:pt idx="471">
                  <c:v>173.88780414647394</c:v>
                </c:pt>
                <c:pt idx="472">
                  <c:v>173.97430703997222</c:v>
                </c:pt>
                <c:pt idx="473">
                  <c:v>173.97430703997222</c:v>
                </c:pt>
                <c:pt idx="474">
                  <c:v>174.21905153417907</c:v>
                </c:pt>
                <c:pt idx="475">
                  <c:v>174.29356045597211</c:v>
                </c:pt>
                <c:pt idx="476">
                  <c:v>174.53436646284703</c:v>
                </c:pt>
                <c:pt idx="477">
                  <c:v>174.75656629228683</c:v>
                </c:pt>
                <c:pt idx="478">
                  <c:v>174.98168700075004</c:v>
                </c:pt>
                <c:pt idx="479">
                  <c:v>175.19924980730741</c:v>
                </c:pt>
                <c:pt idx="480">
                  <c:v>175.27614044657849</c:v>
                </c:pt>
                <c:pt idx="481">
                  <c:v>232.19817645749114</c:v>
                </c:pt>
                <c:pt idx="482">
                  <c:v>232.19817645749114</c:v>
                </c:pt>
                <c:pt idx="483">
                  <c:v>232.19817645749114</c:v>
                </c:pt>
                <c:pt idx="484">
                  <c:v>232.19817645749114</c:v>
                </c:pt>
                <c:pt idx="485">
                  <c:v>232.19817645749114</c:v>
                </c:pt>
                <c:pt idx="486">
                  <c:v>232.19817645749114</c:v>
                </c:pt>
                <c:pt idx="487">
                  <c:v>232.19817645749114</c:v>
                </c:pt>
                <c:pt idx="488">
                  <c:v>232.53125565370863</c:v>
                </c:pt>
                <c:pt idx="489">
                  <c:v>232.97536124866528</c:v>
                </c:pt>
                <c:pt idx="490">
                  <c:v>233.50113312587729</c:v>
                </c:pt>
                <c:pt idx="491">
                  <c:v>234.02758086107255</c:v>
                </c:pt>
                <c:pt idx="492">
                  <c:v>234.55469978597961</c:v>
                </c:pt>
                <c:pt idx="493">
                  <c:v>235.08267199961588</c:v>
                </c:pt>
                <c:pt idx="494">
                  <c:v>235.6114289781589</c:v>
                </c:pt>
                <c:pt idx="495">
                  <c:v>236.1409021977864</c:v>
                </c:pt>
                <c:pt idx="496">
                  <c:v>236.67105973072262</c:v>
                </c:pt>
                <c:pt idx="497">
                  <c:v>237.2018978336113</c:v>
                </c:pt>
                <c:pt idx="498">
                  <c:v>237.73343434201823</c:v>
                </c:pt>
                <c:pt idx="499">
                  <c:v>238.26568990995125</c:v>
                </c:pt>
                <c:pt idx="500">
                  <c:v>238.79871240722525</c:v>
                </c:pt>
                <c:pt idx="501">
                  <c:v>239.3325168509638</c:v>
                </c:pt>
                <c:pt idx="502">
                  <c:v>239.86711169649286</c:v>
                </c:pt>
                <c:pt idx="503">
                  <c:v>240.40252415961902</c:v>
                </c:pt>
                <c:pt idx="504">
                  <c:v>240.93880118524169</c:v>
                </c:pt>
                <c:pt idx="505">
                  <c:v>241.47604414987379</c:v>
                </c:pt>
                <c:pt idx="506">
                  <c:v>242.01436288535294</c:v>
                </c:pt>
                <c:pt idx="507">
                  <c:v>242.1435545669068</c:v>
                </c:pt>
                <c:pt idx="508">
                  <c:v>242.70601753347475</c:v>
                </c:pt>
                <c:pt idx="509">
                  <c:v>243.04357358372215</c:v>
                </c:pt>
                <c:pt idx="510">
                  <c:v>243.04357358372215</c:v>
                </c:pt>
                <c:pt idx="511">
                  <c:v>243.04357358372215</c:v>
                </c:pt>
                <c:pt idx="512">
                  <c:v>243.08419082793981</c:v>
                </c:pt>
                <c:pt idx="513">
                  <c:v>243.08419082793981</c:v>
                </c:pt>
                <c:pt idx="514">
                  <c:v>243.08419082793981</c:v>
                </c:pt>
                <c:pt idx="515">
                  <c:v>243.08419082793981</c:v>
                </c:pt>
                <c:pt idx="516">
                  <c:v>243.08419082793981</c:v>
                </c:pt>
                <c:pt idx="517">
                  <c:v>243.08419082793981</c:v>
                </c:pt>
                <c:pt idx="518">
                  <c:v>243.08419082793981</c:v>
                </c:pt>
                <c:pt idx="519">
                  <c:v>243.08419082793981</c:v>
                </c:pt>
                <c:pt idx="520">
                  <c:v>243.43512530994929</c:v>
                </c:pt>
                <c:pt idx="521">
                  <c:v>243.7639142986873</c:v>
                </c:pt>
                <c:pt idx="522">
                  <c:v>244.08741819661876</c:v>
                </c:pt>
                <c:pt idx="523">
                  <c:v>244.40565987897614</c:v>
                </c:pt>
                <c:pt idx="524">
                  <c:v>244.71844284140548</c:v>
                </c:pt>
                <c:pt idx="525">
                  <c:v>245.02559721343738</c:v>
                </c:pt>
                <c:pt idx="526">
                  <c:v>245.32756425536272</c:v>
                </c:pt>
                <c:pt idx="527">
                  <c:v>245.62421873431066</c:v>
                </c:pt>
                <c:pt idx="528">
                  <c:v>245.89141016443472</c:v>
                </c:pt>
                <c:pt idx="529">
                  <c:v>246.1295275379774</c:v>
                </c:pt>
                <c:pt idx="530">
                  <c:v>246.35608585611223</c:v>
                </c:pt>
                <c:pt idx="531">
                  <c:v>246.35608585611223</c:v>
                </c:pt>
              </c:numCache>
            </c:numRef>
          </c:yVal>
          <c:smooth val="1"/>
          <c:extLst>
            <c:ext xmlns:c16="http://schemas.microsoft.com/office/drawing/2014/chart" uri="{C3380CC4-5D6E-409C-BE32-E72D297353CC}">
              <c16:uniqueId val="{00000000-8F30-3244-BE87-D783AA9C6714}"/>
            </c:ext>
          </c:extLst>
        </c:ser>
        <c:dLbls>
          <c:showLegendKey val="0"/>
          <c:showVal val="0"/>
          <c:showCatName val="0"/>
          <c:showSerName val="0"/>
          <c:showPercent val="0"/>
          <c:showBubbleSize val="0"/>
        </c:dLbls>
        <c:axId val="2045292895"/>
        <c:axId val="2114338607"/>
      </c:scatterChart>
      <c:valAx>
        <c:axId val="2045292895"/>
        <c:scaling>
          <c:orientation val="minMax"/>
          <c:max val="2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4338607"/>
        <c:crosses val="autoZero"/>
        <c:crossBetween val="midCat"/>
      </c:valAx>
      <c:valAx>
        <c:axId val="21143386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Fuel Used (g)</a:t>
                </a:r>
              </a:p>
            </c:rich>
          </c:tx>
          <c:layout>
            <c:manualLayout>
              <c:xMode val="edge"/>
              <c:yMode val="edge"/>
              <c:x val="0"/>
              <c:y val="0.4557636475608146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5292895"/>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Instantaneous and average power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AveragePower</c:v>
          </c:tx>
          <c:spPr>
            <a:ln w="19050" cap="rnd">
              <a:solidFill>
                <a:schemeClr val="accent1"/>
              </a:solidFill>
              <a:round/>
            </a:ln>
            <a:effectLst/>
          </c:spPr>
          <c:marker>
            <c:symbol val="none"/>
          </c:marker>
          <c:xVal>
            <c:numRef>
              <c:f>Data!$AH$3:$AH$533</c:f>
              <c:numCache>
                <c:formatCode>General</c:formatCode>
                <c:ptCount val="531"/>
                <c:pt idx="0">
                  <c:v>0</c:v>
                </c:pt>
                <c:pt idx="1">
                  <c:v>0.15641098600795228</c:v>
                </c:pt>
                <c:pt idx="2">
                  <c:v>0.31011721128964198</c:v>
                </c:pt>
                <c:pt idx="3">
                  <c:v>0.46180560964539652</c:v>
                </c:pt>
                <c:pt idx="4">
                  <c:v>0.61085341539037064</c:v>
                </c:pt>
                <c:pt idx="5">
                  <c:v>0.75812013067534068</c:v>
                </c:pt>
                <c:pt idx="6">
                  <c:v>0.90428845961264925</c:v>
                </c:pt>
                <c:pt idx="7">
                  <c:v>1.0498557554662378</c:v>
                </c:pt>
                <c:pt idx="8">
                  <c:v>1.1945884124248933</c:v>
                </c:pt>
                <c:pt idx="9">
                  <c:v>1.3386295439727209</c:v>
                </c:pt>
                <c:pt idx="10">
                  <c:v>1.4820133633295696</c:v>
                </c:pt>
                <c:pt idx="11">
                  <c:v>1.6245520331718959</c:v>
                </c:pt>
                <c:pt idx="12">
                  <c:v>1.7666868989190292</c:v>
                </c:pt>
                <c:pt idx="13">
                  <c:v>1.9079969911795174</c:v>
                </c:pt>
                <c:pt idx="14">
                  <c:v>2.0491018046701348</c:v>
                </c:pt>
                <c:pt idx="15">
                  <c:v>2.1894957898665437</c:v>
                </c:pt>
                <c:pt idx="16">
                  <c:v>2.3296245964423603</c:v>
                </c:pt>
                <c:pt idx="17">
                  <c:v>2.469143318199774</c:v>
                </c:pt>
                <c:pt idx="18">
                  <c:v>2.6083184509115669</c:v>
                </c:pt>
                <c:pt idx="19">
                  <c:v>2.7470206830901547</c:v>
                </c:pt>
                <c:pt idx="20">
                  <c:v>2.88527286606777</c:v>
                </c:pt>
                <c:pt idx="21">
                  <c:v>3.0252596938704808</c:v>
                </c:pt>
                <c:pt idx="22">
                  <c:v>3.1679008148345251</c:v>
                </c:pt>
                <c:pt idx="23">
                  <c:v>3.3114029561535792</c:v>
                </c:pt>
                <c:pt idx="24">
                  <c:v>3.4571564762910394</c:v>
                </c:pt>
                <c:pt idx="25">
                  <c:v>3.6023522168795901</c:v>
                </c:pt>
                <c:pt idx="26">
                  <c:v>3.7471900731090124</c:v>
                </c:pt>
                <c:pt idx="27">
                  <c:v>3.8915821281322547</c:v>
                </c:pt>
                <c:pt idx="28">
                  <c:v>4.0357710977717174</c:v>
                </c:pt>
                <c:pt idx="29">
                  <c:v>4.1797474640645671</c:v>
                </c:pt>
                <c:pt idx="30">
                  <c:v>4.3236457351030042</c:v>
                </c:pt>
                <c:pt idx="31">
                  <c:v>4.4682096945045799</c:v>
                </c:pt>
                <c:pt idx="32">
                  <c:v>4.6128666091341</c:v>
                </c:pt>
                <c:pt idx="33">
                  <c:v>4.757765170011254</c:v>
                </c:pt>
                <c:pt idx="34">
                  <c:v>4.9116636330257215</c:v>
                </c:pt>
                <c:pt idx="35">
                  <c:v>5.074699137729799</c:v>
                </c:pt>
                <c:pt idx="36">
                  <c:v>5.2555152727264334</c:v>
                </c:pt>
                <c:pt idx="37">
                  <c:v>5.4524366435989888</c:v>
                </c:pt>
                <c:pt idx="38">
                  <c:v>5.6698718929611793</c:v>
                </c:pt>
                <c:pt idx="39">
                  <c:v>5.9157003663222598</c:v>
                </c:pt>
                <c:pt idx="40">
                  <c:v>6.203574541651764</c:v>
                </c:pt>
                <c:pt idx="41">
                  <c:v>6.6932526815888655</c:v>
                </c:pt>
                <c:pt idx="42">
                  <c:v>7.2085862720653608</c:v>
                </c:pt>
                <c:pt idx="43">
                  <c:v>7.7263715039514684</c:v>
                </c:pt>
                <c:pt idx="44">
                  <c:v>8.2472690784333622</c:v>
                </c:pt>
                <c:pt idx="45">
                  <c:v>8.7710073045670605</c:v>
                </c:pt>
                <c:pt idx="46">
                  <c:v>9.297657366745181</c:v>
                </c:pt>
                <c:pt idx="47">
                  <c:v>9.8265026239034938</c:v>
                </c:pt>
                <c:pt idx="48">
                  <c:v>10.358051382579831</c:v>
                </c:pt>
                <c:pt idx="49">
                  <c:v>10.890900157130085</c:v>
                </c:pt>
                <c:pt idx="50">
                  <c:v>11.355067327053314</c:v>
                </c:pt>
                <c:pt idx="51">
                  <c:v>11.771062917611582</c:v>
                </c:pt>
                <c:pt idx="52">
                  <c:v>12.150361996688224</c:v>
                </c:pt>
                <c:pt idx="53">
                  <c:v>12.501315831093812</c:v>
                </c:pt>
                <c:pt idx="54">
                  <c:v>12.829988257625953</c:v>
                </c:pt>
                <c:pt idx="55">
                  <c:v>13.140659342402618</c:v>
                </c:pt>
                <c:pt idx="56">
                  <c:v>13.436102461777297</c:v>
                </c:pt>
                <c:pt idx="57">
                  <c:v>13.718386489212309</c:v>
                </c:pt>
                <c:pt idx="58">
                  <c:v>13.989173340123255</c:v>
                </c:pt>
                <c:pt idx="59">
                  <c:v>14.249859956247716</c:v>
                </c:pt>
                <c:pt idx="60">
                  <c:v>14.501687131256073</c:v>
                </c:pt>
                <c:pt idx="61">
                  <c:v>14.74556150358489</c:v>
                </c:pt>
                <c:pt idx="62">
                  <c:v>14.982342175794422</c:v>
                </c:pt>
                <c:pt idx="63">
                  <c:v>15.21276411046073</c:v>
                </c:pt>
                <c:pt idx="64">
                  <c:v>15.437391058940023</c:v>
                </c:pt>
                <c:pt idx="65">
                  <c:v>15.65674301969395</c:v>
                </c:pt>
                <c:pt idx="66">
                  <c:v>15.871143272458182</c:v>
                </c:pt>
                <c:pt idx="67">
                  <c:v>16.081098050180746</c:v>
                </c:pt>
                <c:pt idx="68">
                  <c:v>16.313141515280506</c:v>
                </c:pt>
                <c:pt idx="69">
                  <c:v>16.575881108264305</c:v>
                </c:pt>
                <c:pt idx="70">
                  <c:v>16.885309274414016</c:v>
                </c:pt>
                <c:pt idx="71">
                  <c:v>17.390716406576789</c:v>
                </c:pt>
                <c:pt idx="72">
                  <c:v>17.952607198742456</c:v>
                </c:pt>
                <c:pt idx="73">
                  <c:v>18.439979605338024</c:v>
                </c:pt>
                <c:pt idx="74">
                  <c:v>18.876759367508736</c:v>
                </c:pt>
                <c:pt idx="75">
                  <c:v>19.27640184127868</c:v>
                </c:pt>
                <c:pt idx="76">
                  <c:v>19.64732243094009</c:v>
                </c:pt>
                <c:pt idx="77">
                  <c:v>19.995076500866311</c:v>
                </c:pt>
                <c:pt idx="78">
                  <c:v>20.323730548357045</c:v>
                </c:pt>
                <c:pt idx="79">
                  <c:v>20.636365697314822</c:v>
                </c:pt>
                <c:pt idx="80">
                  <c:v>20.935080789279034</c:v>
                </c:pt>
                <c:pt idx="81">
                  <c:v>21.221737974624485</c:v>
                </c:pt>
                <c:pt idx="82">
                  <c:v>21.497754512792579</c:v>
                </c:pt>
                <c:pt idx="83">
                  <c:v>21.764330810426298</c:v>
                </c:pt>
                <c:pt idx="84">
                  <c:v>22.022496263408886</c:v>
                </c:pt>
                <c:pt idx="85">
                  <c:v>22.273089192762136</c:v>
                </c:pt>
                <c:pt idx="86">
                  <c:v>22.516889329294582</c:v>
                </c:pt>
                <c:pt idx="87">
                  <c:v>22.754316202787425</c:v>
                </c:pt>
                <c:pt idx="88">
                  <c:v>22.985329477925639</c:v>
                </c:pt>
                <c:pt idx="89">
                  <c:v>23.2109875158453</c:v>
                </c:pt>
                <c:pt idx="90">
                  <c:v>23.431760207258062</c:v>
                </c:pt>
                <c:pt idx="91">
                  <c:v>23.648019056427138</c:v>
                </c:pt>
                <c:pt idx="92">
                  <c:v>23.865032870364512</c:v>
                </c:pt>
                <c:pt idx="93">
                  <c:v>24.080430744332283</c:v>
                </c:pt>
                <c:pt idx="94">
                  <c:v>24.294289198402961</c:v>
                </c:pt>
                <c:pt idx="95">
                  <c:v>24.50667535426026</c:v>
                </c:pt>
                <c:pt idx="96">
                  <c:v>24.717593495900424</c:v>
                </c:pt>
                <c:pt idx="97">
                  <c:v>24.9269760373077</c:v>
                </c:pt>
                <c:pt idx="98">
                  <c:v>25.134628941610149</c:v>
                </c:pt>
                <c:pt idx="99">
                  <c:v>25.340550074581945</c:v>
                </c:pt>
                <c:pt idx="100">
                  <c:v>25.544892134674129</c:v>
                </c:pt>
                <c:pt idx="101">
                  <c:v>25.747748176352339</c:v>
                </c:pt>
                <c:pt idx="102">
                  <c:v>25.949167394468596</c:v>
                </c:pt>
                <c:pt idx="103">
                  <c:v>26.149225008676023</c:v>
                </c:pt>
                <c:pt idx="104">
                  <c:v>26.348012533621169</c:v>
                </c:pt>
                <c:pt idx="105">
                  <c:v>26.545598497633751</c:v>
                </c:pt>
                <c:pt idx="106">
                  <c:v>26.742082261029395</c:v>
                </c:pt>
                <c:pt idx="107">
                  <c:v>26.937540805252674</c:v>
                </c:pt>
                <c:pt idx="108">
                  <c:v>27.132012705629219</c:v>
                </c:pt>
                <c:pt idx="109">
                  <c:v>27.325576731231045</c:v>
                </c:pt>
                <c:pt idx="110">
                  <c:v>27.518251288009573</c:v>
                </c:pt>
                <c:pt idx="111">
                  <c:v>27.710119740993889</c:v>
                </c:pt>
                <c:pt idx="112">
                  <c:v>27.901327051851059</c:v>
                </c:pt>
                <c:pt idx="113">
                  <c:v>28.106696119269035</c:v>
                </c:pt>
                <c:pt idx="114">
                  <c:v>28.329616615601481</c:v>
                </c:pt>
                <c:pt idx="115">
                  <c:v>28.575089814233088</c:v>
                </c:pt>
                <c:pt idx="116">
                  <c:v>28.81495295658388</c:v>
                </c:pt>
                <c:pt idx="117">
                  <c:v>29.049484860770871</c:v>
                </c:pt>
                <c:pt idx="118">
                  <c:v>29.284769462431235</c:v>
                </c:pt>
                <c:pt idx="119">
                  <c:v>29.518111525087317</c:v>
                </c:pt>
                <c:pt idx="120">
                  <c:v>29.749424415145654</c:v>
                </c:pt>
                <c:pt idx="121">
                  <c:v>29.978649076622322</c:v>
                </c:pt>
                <c:pt idx="122">
                  <c:v>30.205463654403662</c:v>
                </c:pt>
                <c:pt idx="123">
                  <c:v>30.430040933953492</c:v>
                </c:pt>
                <c:pt idx="124">
                  <c:v>30.652546501935134</c:v>
                </c:pt>
                <c:pt idx="125">
                  <c:v>30.872920829933346</c:v>
                </c:pt>
                <c:pt idx="126">
                  <c:v>31.091214946203035</c:v>
                </c:pt>
                <c:pt idx="127">
                  <c:v>31.307640202526109</c:v>
                </c:pt>
                <c:pt idx="128">
                  <c:v>31.52231888249079</c:v>
                </c:pt>
                <c:pt idx="129">
                  <c:v>31.735340378270468</c:v>
                </c:pt>
                <c:pt idx="130">
                  <c:v>31.946789099204821</c:v>
                </c:pt>
                <c:pt idx="131">
                  <c:v>32.156814431841902</c:v>
                </c:pt>
                <c:pt idx="132">
                  <c:v>32.365495731913285</c:v>
                </c:pt>
                <c:pt idx="133">
                  <c:v>32.572938332637172</c:v>
                </c:pt>
                <c:pt idx="134">
                  <c:v>32.779225690782184</c:v>
                </c:pt>
                <c:pt idx="135">
                  <c:v>32.984406853068855</c:v>
                </c:pt>
                <c:pt idx="136">
                  <c:v>33.188481512975969</c:v>
                </c:pt>
                <c:pt idx="137">
                  <c:v>33.408392062320949</c:v>
                </c:pt>
                <c:pt idx="138">
                  <c:v>33.648375391537868</c:v>
                </c:pt>
                <c:pt idx="139">
                  <c:v>33.914970710913408</c:v>
                </c:pt>
                <c:pt idx="140">
                  <c:v>34.218953776384112</c:v>
                </c:pt>
                <c:pt idx="141">
                  <c:v>34.58099821729482</c:v>
                </c:pt>
                <c:pt idx="142">
                  <c:v>34.925036559868687</c:v>
                </c:pt>
                <c:pt idx="143">
                  <c:v>35.253486860639839</c:v>
                </c:pt>
                <c:pt idx="144">
                  <c:v>35.568260176824182</c:v>
                </c:pt>
                <c:pt idx="145">
                  <c:v>35.870821737896954</c:v>
                </c:pt>
                <c:pt idx="146">
                  <c:v>36.162444570285075</c:v>
                </c:pt>
                <c:pt idx="147">
                  <c:v>36.444273113608865</c:v>
                </c:pt>
                <c:pt idx="148">
                  <c:v>36.717249378534405</c:v>
                </c:pt>
                <c:pt idx="149">
                  <c:v>36.982233162728406</c:v>
                </c:pt>
                <c:pt idx="150">
                  <c:v>37.239945802258895</c:v>
                </c:pt>
                <c:pt idx="151">
                  <c:v>37.490984167610506</c:v>
                </c:pt>
                <c:pt idx="152">
                  <c:v>37.742378377194896</c:v>
                </c:pt>
                <c:pt idx="153">
                  <c:v>37.990958858549696</c:v>
                </c:pt>
                <c:pt idx="154">
                  <c:v>38.236861211409817</c:v>
                </c:pt>
                <c:pt idx="155">
                  <c:v>38.48029215018525</c:v>
                </c:pt>
                <c:pt idx="156">
                  <c:v>38.72130194496804</c:v>
                </c:pt>
                <c:pt idx="157">
                  <c:v>38.959986832493371</c:v>
                </c:pt>
                <c:pt idx="158">
                  <c:v>39.221774664261453</c:v>
                </c:pt>
                <c:pt idx="159">
                  <c:v>39.489940680885709</c:v>
                </c:pt>
                <c:pt idx="160">
                  <c:v>39.76485686372137</c:v>
                </c:pt>
                <c:pt idx="161">
                  <c:v>40.043629326728627</c:v>
                </c:pt>
                <c:pt idx="162">
                  <c:v>40.326467154806942</c:v>
                </c:pt>
                <c:pt idx="163">
                  <c:v>40.610078590012868</c:v>
                </c:pt>
                <c:pt idx="164">
                  <c:v>40.894212030266409</c:v>
                </c:pt>
                <c:pt idx="165">
                  <c:v>41.178710712295384</c:v>
                </c:pt>
                <c:pt idx="166">
                  <c:v>41.463572113309795</c:v>
                </c:pt>
                <c:pt idx="167">
                  <c:v>41.748894641806807</c:v>
                </c:pt>
                <c:pt idx="168">
                  <c:v>42.034641266689363</c:v>
                </c:pt>
                <c:pt idx="169">
                  <c:v>42.320774956860504</c:v>
                </c:pt>
                <c:pt idx="170">
                  <c:v>42.607278458166562</c:v>
                </c:pt>
                <c:pt idx="171">
                  <c:v>42.894149747652826</c:v>
                </c:pt>
                <c:pt idx="172">
                  <c:v>43.181398463873379</c:v>
                </c:pt>
                <c:pt idx="173">
                  <c:v>43.469035768502224</c:v>
                </c:pt>
                <c:pt idx="174">
                  <c:v>43.757087530962558</c:v>
                </c:pt>
                <c:pt idx="175">
                  <c:v>44.045561866688395</c:v>
                </c:pt>
                <c:pt idx="176">
                  <c:v>44.334463345039488</c:v>
                </c:pt>
                <c:pt idx="177">
                  <c:v>44.623806673764769</c:v>
                </c:pt>
                <c:pt idx="178">
                  <c:v>44.913617222451954</c:v>
                </c:pt>
                <c:pt idx="179">
                  <c:v>45.203949776186811</c:v>
                </c:pt>
                <c:pt idx="180">
                  <c:v>45.494863689414146</c:v>
                </c:pt>
                <c:pt idx="181">
                  <c:v>45.786375193003032</c:v>
                </c:pt>
                <c:pt idx="182">
                  <c:v>46.073681516762527</c:v>
                </c:pt>
                <c:pt idx="183">
                  <c:v>46.352422549766104</c:v>
                </c:pt>
                <c:pt idx="184">
                  <c:v>46.623384852868391</c:v>
                </c:pt>
                <c:pt idx="185">
                  <c:v>46.887204202175859</c:v>
                </c:pt>
                <c:pt idx="186">
                  <c:v>47.151534654443182</c:v>
                </c:pt>
                <c:pt idx="187">
                  <c:v>47.412791752293586</c:v>
                </c:pt>
                <c:pt idx="188">
                  <c:v>47.670443345485161</c:v>
                </c:pt>
                <c:pt idx="189">
                  <c:v>47.922640273817535</c:v>
                </c:pt>
                <c:pt idx="190">
                  <c:v>48.168164998609988</c:v>
                </c:pt>
                <c:pt idx="191">
                  <c:v>48.406812641686109</c:v>
                </c:pt>
                <c:pt idx="192">
                  <c:v>48.638709078467656</c:v>
                </c:pt>
                <c:pt idx="193">
                  <c:v>48.864170074262326</c:v>
                </c:pt>
                <c:pt idx="194">
                  <c:v>49.079466193186008</c:v>
                </c:pt>
                <c:pt idx="195">
                  <c:v>49.288877308072955</c:v>
                </c:pt>
                <c:pt idx="196">
                  <c:v>49.492713722981222</c:v>
                </c:pt>
                <c:pt idx="197">
                  <c:v>49.691154753818132</c:v>
                </c:pt>
                <c:pt idx="198">
                  <c:v>49.884235272627876</c:v>
                </c:pt>
                <c:pt idx="199">
                  <c:v>50.071997312959049</c:v>
                </c:pt>
                <c:pt idx="200">
                  <c:v>50.254849351251032</c:v>
                </c:pt>
                <c:pt idx="201">
                  <c:v>50.432846482468001</c:v>
                </c:pt>
                <c:pt idx="202">
                  <c:v>50.605957810142037</c:v>
                </c:pt>
                <c:pt idx="203">
                  <c:v>50.783900085511952</c:v>
                </c:pt>
                <c:pt idx="204">
                  <c:v>50.961116474210392</c:v>
                </c:pt>
                <c:pt idx="205">
                  <c:v>51.139843053222172</c:v>
                </c:pt>
                <c:pt idx="206">
                  <c:v>51.324041437954939</c:v>
                </c:pt>
                <c:pt idx="207">
                  <c:v>51.514056210424428</c:v>
                </c:pt>
                <c:pt idx="208">
                  <c:v>51.710356691292958</c:v>
                </c:pt>
                <c:pt idx="209">
                  <c:v>51.990356691292959</c:v>
                </c:pt>
                <c:pt idx="210">
                  <c:v>52.27035669129296</c:v>
                </c:pt>
                <c:pt idx="211">
                  <c:v>52.554490131546501</c:v>
                </c:pt>
                <c:pt idx="212">
                  <c:v>52.838988813575476</c:v>
                </c:pt>
                <c:pt idx="213">
                  <c:v>53.123850214589886</c:v>
                </c:pt>
                <c:pt idx="214">
                  <c:v>53.409172743086899</c:v>
                </c:pt>
                <c:pt idx="215">
                  <c:v>53.694919367969455</c:v>
                </c:pt>
                <c:pt idx="216">
                  <c:v>53.981053058140596</c:v>
                </c:pt>
                <c:pt idx="217">
                  <c:v>54.267556559446653</c:v>
                </c:pt>
                <c:pt idx="218">
                  <c:v>54.554427848932917</c:v>
                </c:pt>
                <c:pt idx="219">
                  <c:v>54.834427848932918</c:v>
                </c:pt>
                <c:pt idx="220">
                  <c:v>55.118561289186459</c:v>
                </c:pt>
                <c:pt idx="221">
                  <c:v>55.403059971215434</c:v>
                </c:pt>
                <c:pt idx="222">
                  <c:v>55.687921372229845</c:v>
                </c:pt>
                <c:pt idx="223">
                  <c:v>55.973243900726857</c:v>
                </c:pt>
                <c:pt idx="224">
                  <c:v>56.258990525609413</c:v>
                </c:pt>
                <c:pt idx="225">
                  <c:v>56.545124215780554</c:v>
                </c:pt>
                <c:pt idx="226">
                  <c:v>56.831627717086612</c:v>
                </c:pt>
                <c:pt idx="227">
                  <c:v>57.118499006572875</c:v>
                </c:pt>
                <c:pt idx="228">
                  <c:v>57.405747722793429</c:v>
                </c:pt>
                <c:pt idx="229">
                  <c:v>57.693385027422273</c:v>
                </c:pt>
                <c:pt idx="230">
                  <c:v>57.981436789882608</c:v>
                </c:pt>
                <c:pt idx="231">
                  <c:v>58.269911125608445</c:v>
                </c:pt>
                <c:pt idx="232">
                  <c:v>58.558812603959538</c:v>
                </c:pt>
                <c:pt idx="233">
                  <c:v>58.848155932684818</c:v>
                </c:pt>
                <c:pt idx="234">
                  <c:v>59.137966481372004</c:v>
                </c:pt>
                <c:pt idx="235">
                  <c:v>59.428299035106861</c:v>
                </c:pt>
                <c:pt idx="236">
                  <c:v>59.719212948334196</c:v>
                </c:pt>
                <c:pt idx="237">
                  <c:v>60.010724451923082</c:v>
                </c:pt>
                <c:pt idx="238">
                  <c:v>60.298030775682577</c:v>
                </c:pt>
                <c:pt idx="239">
                  <c:v>60.576771808686154</c:v>
                </c:pt>
                <c:pt idx="240">
                  <c:v>60.847734111788441</c:v>
                </c:pt>
                <c:pt idx="241">
                  <c:v>61.111553461095909</c:v>
                </c:pt>
                <c:pt idx="242">
                  <c:v>61.375883913363232</c:v>
                </c:pt>
                <c:pt idx="243">
                  <c:v>61.637141011213636</c:v>
                </c:pt>
                <c:pt idx="244">
                  <c:v>61.894792604405211</c:v>
                </c:pt>
                <c:pt idx="245">
                  <c:v>62.146989532737585</c:v>
                </c:pt>
                <c:pt idx="246">
                  <c:v>62.392514257530038</c:v>
                </c:pt>
                <c:pt idx="247">
                  <c:v>62.631161900606159</c:v>
                </c:pt>
                <c:pt idx="248">
                  <c:v>62.863058337387706</c:v>
                </c:pt>
                <c:pt idx="249">
                  <c:v>63.088519333182376</c:v>
                </c:pt>
                <c:pt idx="250">
                  <c:v>63.303815452106058</c:v>
                </c:pt>
                <c:pt idx="251">
                  <c:v>63.513226566993005</c:v>
                </c:pt>
                <c:pt idx="252">
                  <c:v>63.717062981901272</c:v>
                </c:pt>
                <c:pt idx="253">
                  <c:v>63.915504012738182</c:v>
                </c:pt>
                <c:pt idx="254">
                  <c:v>64.108584531547933</c:v>
                </c:pt>
                <c:pt idx="255">
                  <c:v>64.296346571879113</c:v>
                </c:pt>
                <c:pt idx="256">
                  <c:v>64.479198610171096</c:v>
                </c:pt>
                <c:pt idx="257">
                  <c:v>64.657195741388065</c:v>
                </c:pt>
                <c:pt idx="258">
                  <c:v>64.830307069062101</c:v>
                </c:pt>
                <c:pt idx="259">
                  <c:v>64.998360048545138</c:v>
                </c:pt>
                <c:pt idx="260">
                  <c:v>65.161430698817469</c:v>
                </c:pt>
                <c:pt idx="261">
                  <c:v>65.320058852168501</c:v>
                </c:pt>
                <c:pt idx="262">
                  <c:v>65.474389461113404</c:v>
                </c:pt>
                <c:pt idx="263">
                  <c:v>65.624295689799055</c:v>
                </c:pt>
                <c:pt idx="264">
                  <c:v>65.769698437528731</c:v>
                </c:pt>
                <c:pt idx="265">
                  <c:v>69.546388903024848</c:v>
                </c:pt>
                <c:pt idx="266">
                  <c:v>72.784530783092507</c:v>
                </c:pt>
                <c:pt idx="267">
                  <c:v>72.881431570798057</c:v>
                </c:pt>
                <c:pt idx="268">
                  <c:v>73.004702771439298</c:v>
                </c:pt>
                <c:pt idx="269">
                  <c:v>73.134574147511202</c:v>
                </c:pt>
                <c:pt idx="270">
                  <c:v>73.288844527917917</c:v>
                </c:pt>
                <c:pt idx="271">
                  <c:v>73.454944256399585</c:v>
                </c:pt>
                <c:pt idx="272">
                  <c:v>73.734944256399586</c:v>
                </c:pt>
                <c:pt idx="273">
                  <c:v>73.996978429077856</c:v>
                </c:pt>
                <c:pt idx="274">
                  <c:v>74.281477111106824</c:v>
                </c:pt>
                <c:pt idx="275">
                  <c:v>74.566338512121234</c:v>
                </c:pt>
                <c:pt idx="276">
                  <c:v>74.851661040618254</c:v>
                </c:pt>
                <c:pt idx="277">
                  <c:v>75.137407665500803</c:v>
                </c:pt>
                <c:pt idx="278">
                  <c:v>75.423541355671944</c:v>
                </c:pt>
                <c:pt idx="279">
                  <c:v>75.710044856978001</c:v>
                </c:pt>
                <c:pt idx="280">
                  <c:v>75.996916146464258</c:v>
                </c:pt>
                <c:pt idx="281">
                  <c:v>76.284164862684804</c:v>
                </c:pt>
                <c:pt idx="282">
                  <c:v>76.571802167313649</c:v>
                </c:pt>
                <c:pt idx="283">
                  <c:v>76.859853929773976</c:v>
                </c:pt>
                <c:pt idx="284">
                  <c:v>77.148328265499813</c:v>
                </c:pt>
                <c:pt idx="285">
                  <c:v>77.437229743850907</c:v>
                </c:pt>
                <c:pt idx="286">
                  <c:v>77.726573072576187</c:v>
                </c:pt>
                <c:pt idx="287">
                  <c:v>78.016383621263373</c:v>
                </c:pt>
                <c:pt idx="288">
                  <c:v>78.306716174998229</c:v>
                </c:pt>
                <c:pt idx="289">
                  <c:v>78.597630088225557</c:v>
                </c:pt>
                <c:pt idx="290">
                  <c:v>78.88914159181445</c:v>
                </c:pt>
                <c:pt idx="291">
                  <c:v>79.176447915573945</c:v>
                </c:pt>
                <c:pt idx="292">
                  <c:v>79.455188948577529</c:v>
                </c:pt>
                <c:pt idx="293">
                  <c:v>79.726151251679809</c:v>
                </c:pt>
                <c:pt idx="294">
                  <c:v>79.989970600987277</c:v>
                </c:pt>
                <c:pt idx="295">
                  <c:v>80.254301053254594</c:v>
                </c:pt>
                <c:pt idx="296">
                  <c:v>80.515558151104997</c:v>
                </c:pt>
                <c:pt idx="297">
                  <c:v>80.773209744296565</c:v>
                </c:pt>
                <c:pt idx="298">
                  <c:v>81.025406672628947</c:v>
                </c:pt>
                <c:pt idx="299">
                  <c:v>81.270931397421407</c:v>
                </c:pt>
                <c:pt idx="300">
                  <c:v>81.509579040497528</c:v>
                </c:pt>
                <c:pt idx="301">
                  <c:v>81.741475477279067</c:v>
                </c:pt>
                <c:pt idx="302">
                  <c:v>81.96693647307373</c:v>
                </c:pt>
                <c:pt idx="303">
                  <c:v>82.182232591997419</c:v>
                </c:pt>
                <c:pt idx="304">
                  <c:v>82.391643706884366</c:v>
                </c:pt>
                <c:pt idx="305">
                  <c:v>82.595480121792633</c:v>
                </c:pt>
                <c:pt idx="306">
                  <c:v>82.793921152629537</c:v>
                </c:pt>
                <c:pt idx="307">
                  <c:v>82.987001671439288</c:v>
                </c:pt>
                <c:pt idx="308">
                  <c:v>83.174763711770467</c:v>
                </c:pt>
                <c:pt idx="309">
                  <c:v>83.35761575006245</c:v>
                </c:pt>
                <c:pt idx="310">
                  <c:v>83.53561288127942</c:v>
                </c:pt>
                <c:pt idx="311">
                  <c:v>83.708724208953456</c:v>
                </c:pt>
                <c:pt idx="312">
                  <c:v>83.876777188436492</c:v>
                </c:pt>
                <c:pt idx="313">
                  <c:v>84.039847838708823</c:v>
                </c:pt>
                <c:pt idx="314">
                  <c:v>84.198475992059855</c:v>
                </c:pt>
                <c:pt idx="315">
                  <c:v>84.352806601004758</c:v>
                </c:pt>
                <c:pt idx="316">
                  <c:v>84.504145800316749</c:v>
                </c:pt>
                <c:pt idx="317">
                  <c:v>84.655832535533335</c:v>
                </c:pt>
                <c:pt idx="318">
                  <c:v>89.632177619481155</c:v>
                </c:pt>
                <c:pt idx="319">
                  <c:v>110.47239193857871</c:v>
                </c:pt>
                <c:pt idx="320">
                  <c:v>110.61353595113357</c:v>
                </c:pt>
                <c:pt idx="321">
                  <c:v>110.75625104802587</c:v>
                </c:pt>
                <c:pt idx="322">
                  <c:v>110.90056462179834</c:v>
                </c:pt>
                <c:pt idx="323">
                  <c:v>111.05056462179834</c:v>
                </c:pt>
                <c:pt idx="324">
                  <c:v>111.1978631011384</c:v>
                </c:pt>
                <c:pt idx="325">
                  <c:v>111.38239310113839</c:v>
                </c:pt>
                <c:pt idx="326">
                  <c:v>111.66652654139193</c:v>
                </c:pt>
                <c:pt idx="327">
                  <c:v>111.9510252234209</c:v>
                </c:pt>
                <c:pt idx="328">
                  <c:v>112.23588662443531</c:v>
                </c:pt>
                <c:pt idx="329">
                  <c:v>112.52120915293233</c:v>
                </c:pt>
                <c:pt idx="330">
                  <c:v>112.80695577781488</c:v>
                </c:pt>
                <c:pt idx="331">
                  <c:v>113.09308946798602</c:v>
                </c:pt>
                <c:pt idx="332">
                  <c:v>113.37959296929208</c:v>
                </c:pt>
                <c:pt idx="333">
                  <c:v>113.66646425877833</c:v>
                </c:pt>
                <c:pt idx="334">
                  <c:v>113.95371297499888</c:v>
                </c:pt>
                <c:pt idx="335">
                  <c:v>114.24135027962772</c:v>
                </c:pt>
                <c:pt idx="336">
                  <c:v>114.52940204208805</c:v>
                </c:pt>
                <c:pt idx="337">
                  <c:v>114.81787637781389</c:v>
                </c:pt>
                <c:pt idx="338">
                  <c:v>115.10677785616498</c:v>
                </c:pt>
                <c:pt idx="339">
                  <c:v>115.39612118489026</c:v>
                </c:pt>
                <c:pt idx="340">
                  <c:v>115.68593173357745</c:v>
                </c:pt>
                <c:pt idx="341">
                  <c:v>115.9762642873123</c:v>
                </c:pt>
                <c:pt idx="342">
                  <c:v>116.26717820053963</c:v>
                </c:pt>
                <c:pt idx="343">
                  <c:v>116.55868970412853</c:v>
                </c:pt>
                <c:pt idx="344">
                  <c:v>116.84599602788802</c:v>
                </c:pt>
                <c:pt idx="345">
                  <c:v>117.1247370608916</c:v>
                </c:pt>
                <c:pt idx="346">
                  <c:v>117.39569936399388</c:v>
                </c:pt>
                <c:pt idx="347">
                  <c:v>117.65951871330135</c:v>
                </c:pt>
                <c:pt idx="348">
                  <c:v>117.92384916556867</c:v>
                </c:pt>
                <c:pt idx="349">
                  <c:v>118.18510626341907</c:v>
                </c:pt>
                <c:pt idx="350">
                  <c:v>118.44275785661064</c:v>
                </c:pt>
                <c:pt idx="351">
                  <c:v>118.69495478494302</c:v>
                </c:pt>
                <c:pt idx="352">
                  <c:v>118.94047950973548</c:v>
                </c:pt>
                <c:pt idx="353">
                  <c:v>119.1791271528116</c:v>
                </c:pt>
                <c:pt idx="354">
                  <c:v>119.41102358959314</c:v>
                </c:pt>
                <c:pt idx="355">
                  <c:v>119.63648458538781</c:v>
                </c:pt>
                <c:pt idx="356">
                  <c:v>119.85178070431149</c:v>
                </c:pt>
                <c:pt idx="357">
                  <c:v>120.06119181919844</c:v>
                </c:pt>
                <c:pt idx="358">
                  <c:v>120.26502823410671</c:v>
                </c:pt>
                <c:pt idx="359">
                  <c:v>120.46346926494361</c:v>
                </c:pt>
                <c:pt idx="360">
                  <c:v>120.65654978375336</c:v>
                </c:pt>
                <c:pt idx="361">
                  <c:v>120.84431182408454</c:v>
                </c:pt>
                <c:pt idx="362">
                  <c:v>121.02716386237653</c:v>
                </c:pt>
                <c:pt idx="363">
                  <c:v>121.20516099359349</c:v>
                </c:pt>
                <c:pt idx="364">
                  <c:v>121.37827232126753</c:v>
                </c:pt>
                <c:pt idx="365">
                  <c:v>121.54632530075057</c:v>
                </c:pt>
                <c:pt idx="366">
                  <c:v>121.7093959510229</c:v>
                </c:pt>
                <c:pt idx="367">
                  <c:v>121.86802410437393</c:v>
                </c:pt>
                <c:pt idx="368">
                  <c:v>122.02235471331883</c:v>
                </c:pt>
                <c:pt idx="369">
                  <c:v>122.17226094200448</c:v>
                </c:pt>
                <c:pt idx="370">
                  <c:v>122.31766368973416</c:v>
                </c:pt>
                <c:pt idx="371">
                  <c:v>121.88017991798355</c:v>
                </c:pt>
                <c:pt idx="372">
                  <c:v>122.03224776737423</c:v>
                </c:pt>
                <c:pt idx="373">
                  <c:v>122.18538858266099</c:v>
                </c:pt>
                <c:pt idx="374">
                  <c:v>122.34192030210112</c:v>
                </c:pt>
                <c:pt idx="375">
                  <c:v>122.50570242113908</c:v>
                </c:pt>
                <c:pt idx="376">
                  <c:v>122.67232803531887</c:v>
                </c:pt>
                <c:pt idx="377">
                  <c:v>122.84397397121103</c:v>
                </c:pt>
                <c:pt idx="378">
                  <c:v>123.02512187218032</c:v>
                </c:pt>
                <c:pt idx="379">
                  <c:v>123.2165743239746</c:v>
                </c:pt>
                <c:pt idx="380">
                  <c:v>123.41578202563397</c:v>
                </c:pt>
                <c:pt idx="381">
                  <c:v>123.61981100376462</c:v>
                </c:pt>
                <c:pt idx="382">
                  <c:v>123.77981100376462</c:v>
                </c:pt>
                <c:pt idx="383">
                  <c:v>124.01981100376462</c:v>
                </c:pt>
                <c:pt idx="384">
                  <c:v>124.30394444401816</c:v>
                </c:pt>
                <c:pt idx="385">
                  <c:v>124.58844312604712</c:v>
                </c:pt>
                <c:pt idx="386">
                  <c:v>124.87330452706153</c:v>
                </c:pt>
                <c:pt idx="387">
                  <c:v>125.15862705555855</c:v>
                </c:pt>
                <c:pt idx="388">
                  <c:v>125.4443736804411</c:v>
                </c:pt>
                <c:pt idx="389">
                  <c:v>125.73050737061224</c:v>
                </c:pt>
                <c:pt idx="390">
                  <c:v>126.0170108719183</c:v>
                </c:pt>
                <c:pt idx="391">
                  <c:v>126.30388216140456</c:v>
                </c:pt>
                <c:pt idx="392">
                  <c:v>126.5911308776251</c:v>
                </c:pt>
                <c:pt idx="393">
                  <c:v>126.87876818225395</c:v>
                </c:pt>
                <c:pt idx="394">
                  <c:v>127.16681994471428</c:v>
                </c:pt>
                <c:pt idx="395">
                  <c:v>127.45529428044011</c:v>
                </c:pt>
                <c:pt idx="396">
                  <c:v>127.74419575879121</c:v>
                </c:pt>
                <c:pt idx="397">
                  <c:v>128.03353908751649</c:v>
                </c:pt>
                <c:pt idx="398">
                  <c:v>128.32334963620369</c:v>
                </c:pt>
                <c:pt idx="399">
                  <c:v>128.61368218993854</c:v>
                </c:pt>
                <c:pt idx="400">
                  <c:v>128.90459610316589</c:v>
                </c:pt>
                <c:pt idx="401">
                  <c:v>129.19610760675477</c:v>
                </c:pt>
                <c:pt idx="402">
                  <c:v>129.48341393051427</c:v>
                </c:pt>
                <c:pt idx="403">
                  <c:v>129.76215496351784</c:v>
                </c:pt>
                <c:pt idx="404">
                  <c:v>130.03311726662014</c:v>
                </c:pt>
                <c:pt idx="405">
                  <c:v>130.29693661592759</c:v>
                </c:pt>
                <c:pt idx="406">
                  <c:v>130.56126706819492</c:v>
                </c:pt>
                <c:pt idx="407">
                  <c:v>130.82252416604533</c:v>
                </c:pt>
                <c:pt idx="408">
                  <c:v>131.08017575923691</c:v>
                </c:pt>
                <c:pt idx="409">
                  <c:v>131.33237268756929</c:v>
                </c:pt>
                <c:pt idx="410">
                  <c:v>131.57789741236175</c:v>
                </c:pt>
                <c:pt idx="411">
                  <c:v>131.81654505543787</c:v>
                </c:pt>
                <c:pt idx="412">
                  <c:v>132.04844149221941</c:v>
                </c:pt>
                <c:pt idx="413">
                  <c:v>132.27390248801407</c:v>
                </c:pt>
                <c:pt idx="414">
                  <c:v>132.48919860693775</c:v>
                </c:pt>
                <c:pt idx="415">
                  <c:v>132.69860972182468</c:v>
                </c:pt>
                <c:pt idx="416">
                  <c:v>132.90244613673295</c:v>
                </c:pt>
                <c:pt idx="417">
                  <c:v>133.10088716756985</c:v>
                </c:pt>
                <c:pt idx="418">
                  <c:v>133.2939676863796</c:v>
                </c:pt>
                <c:pt idx="419">
                  <c:v>133.48172972671077</c:v>
                </c:pt>
                <c:pt idx="420">
                  <c:v>133.66458176500277</c:v>
                </c:pt>
                <c:pt idx="421">
                  <c:v>133.84257889621975</c:v>
                </c:pt>
                <c:pt idx="422">
                  <c:v>134.01569022389378</c:v>
                </c:pt>
                <c:pt idx="423">
                  <c:v>134.18374320337682</c:v>
                </c:pt>
                <c:pt idx="424">
                  <c:v>134.34681385364914</c:v>
                </c:pt>
                <c:pt idx="425">
                  <c:v>134.50544200700017</c:v>
                </c:pt>
                <c:pt idx="426">
                  <c:v>134.65977261594509</c:v>
                </c:pt>
                <c:pt idx="427">
                  <c:v>134.81523924796559</c:v>
                </c:pt>
                <c:pt idx="428">
                  <c:v>134.96973499679731</c:v>
                </c:pt>
                <c:pt idx="429">
                  <c:v>143.90360562232001</c:v>
                </c:pt>
                <c:pt idx="430">
                  <c:v>144.06734959224778</c:v>
                </c:pt>
                <c:pt idx="431">
                  <c:v>144.23962577145826</c:v>
                </c:pt>
                <c:pt idx="432">
                  <c:v>144.42536928854011</c:v>
                </c:pt>
                <c:pt idx="433">
                  <c:v>144.6706692885401</c:v>
                </c:pt>
                <c:pt idx="434">
                  <c:v>144.85966928854009</c:v>
                </c:pt>
                <c:pt idx="435">
                  <c:v>145.14380272879362</c:v>
                </c:pt>
                <c:pt idx="436">
                  <c:v>145.4283014108226</c:v>
                </c:pt>
                <c:pt idx="437">
                  <c:v>145.71316281183701</c:v>
                </c:pt>
                <c:pt idx="438">
                  <c:v>145.99848534033401</c:v>
                </c:pt>
                <c:pt idx="439">
                  <c:v>146.28423196521658</c:v>
                </c:pt>
                <c:pt idx="440">
                  <c:v>146.57036565538772</c:v>
                </c:pt>
                <c:pt idx="441">
                  <c:v>146.85686915669379</c:v>
                </c:pt>
                <c:pt idx="442">
                  <c:v>147.14374044618006</c:v>
                </c:pt>
                <c:pt idx="443">
                  <c:v>147.43098916240061</c:v>
                </c:pt>
                <c:pt idx="444">
                  <c:v>147.71862646702945</c:v>
                </c:pt>
                <c:pt idx="445">
                  <c:v>148.00667822948978</c:v>
                </c:pt>
                <c:pt idx="446">
                  <c:v>148.2951525652156</c:v>
                </c:pt>
                <c:pt idx="447">
                  <c:v>148.58405404356671</c:v>
                </c:pt>
                <c:pt idx="448">
                  <c:v>148.873397372292</c:v>
                </c:pt>
                <c:pt idx="449">
                  <c:v>149.1632079209792</c:v>
                </c:pt>
                <c:pt idx="450">
                  <c:v>149.45354047471406</c:v>
                </c:pt>
                <c:pt idx="451">
                  <c:v>149.7444543879414</c:v>
                </c:pt>
                <c:pt idx="452">
                  <c:v>150.03596589153028</c:v>
                </c:pt>
                <c:pt idx="453">
                  <c:v>150.32327221528979</c:v>
                </c:pt>
                <c:pt idx="454">
                  <c:v>150.60201324829336</c:v>
                </c:pt>
                <c:pt idx="455">
                  <c:v>150.87297555139565</c:v>
                </c:pt>
                <c:pt idx="456">
                  <c:v>151.13679490070311</c:v>
                </c:pt>
                <c:pt idx="457">
                  <c:v>151.40112535297044</c:v>
                </c:pt>
                <c:pt idx="458">
                  <c:v>151.66238245082084</c:v>
                </c:pt>
                <c:pt idx="459">
                  <c:v>151.92003404401243</c:v>
                </c:pt>
                <c:pt idx="460">
                  <c:v>152.17223097234481</c:v>
                </c:pt>
                <c:pt idx="461">
                  <c:v>152.41775569713727</c:v>
                </c:pt>
                <c:pt idx="462">
                  <c:v>152.65640334021339</c:v>
                </c:pt>
                <c:pt idx="463">
                  <c:v>152.88829977699493</c:v>
                </c:pt>
                <c:pt idx="464">
                  <c:v>153.11376077278959</c:v>
                </c:pt>
                <c:pt idx="465">
                  <c:v>153.32905689171326</c:v>
                </c:pt>
                <c:pt idx="466">
                  <c:v>153.5384680066002</c:v>
                </c:pt>
                <c:pt idx="467">
                  <c:v>153.74230442150846</c:v>
                </c:pt>
                <c:pt idx="468">
                  <c:v>153.94074545234537</c:v>
                </c:pt>
                <c:pt idx="469">
                  <c:v>154.13382597115512</c:v>
                </c:pt>
                <c:pt idx="470">
                  <c:v>154.32158801148628</c:v>
                </c:pt>
                <c:pt idx="471">
                  <c:v>154.50444004977828</c:v>
                </c:pt>
                <c:pt idx="472">
                  <c:v>154.68243718099527</c:v>
                </c:pt>
                <c:pt idx="473">
                  <c:v>154.8555485086693</c:v>
                </c:pt>
                <c:pt idx="474">
                  <c:v>155.02360148815234</c:v>
                </c:pt>
                <c:pt idx="475">
                  <c:v>155.18667213842465</c:v>
                </c:pt>
                <c:pt idx="476">
                  <c:v>155.34530029177569</c:v>
                </c:pt>
                <c:pt idx="477">
                  <c:v>155.4996309007206</c:v>
                </c:pt>
                <c:pt idx="478">
                  <c:v>155.64953712940624</c:v>
                </c:pt>
                <c:pt idx="479">
                  <c:v>155.7949398771359</c:v>
                </c:pt>
                <c:pt idx="480">
                  <c:v>171.92592524853075</c:v>
                </c:pt>
                <c:pt idx="481">
                  <c:v>172.08570400010959</c:v>
                </c:pt>
                <c:pt idx="482">
                  <c:v>172.24853557684645</c:v>
                </c:pt>
                <c:pt idx="483">
                  <c:v>172.41617427931803</c:v>
                </c:pt>
                <c:pt idx="484">
                  <c:v>172.58895780836102</c:v>
                </c:pt>
                <c:pt idx="485">
                  <c:v>172.77538347633563</c:v>
                </c:pt>
                <c:pt idx="486">
                  <c:v>172.9669976707913</c:v>
                </c:pt>
                <c:pt idx="487">
                  <c:v>173.14699767079131</c:v>
                </c:pt>
                <c:pt idx="488">
                  <c:v>173.38699767079132</c:v>
                </c:pt>
                <c:pt idx="489">
                  <c:v>173.67113111104484</c:v>
                </c:pt>
                <c:pt idx="490">
                  <c:v>173.95562979307383</c:v>
                </c:pt>
                <c:pt idx="491">
                  <c:v>174.24049119408824</c:v>
                </c:pt>
                <c:pt idx="492">
                  <c:v>174.52581372258524</c:v>
                </c:pt>
                <c:pt idx="493">
                  <c:v>174.8115603474678</c:v>
                </c:pt>
                <c:pt idx="494">
                  <c:v>175.09769403763895</c:v>
                </c:pt>
                <c:pt idx="495">
                  <c:v>175.38419753894502</c:v>
                </c:pt>
                <c:pt idx="496">
                  <c:v>175.67106882843129</c:v>
                </c:pt>
                <c:pt idx="497">
                  <c:v>175.95831754465183</c:v>
                </c:pt>
                <c:pt idx="498">
                  <c:v>176.24595484928068</c:v>
                </c:pt>
                <c:pt idx="499">
                  <c:v>176.53400661174101</c:v>
                </c:pt>
                <c:pt idx="500">
                  <c:v>176.82248094746683</c:v>
                </c:pt>
                <c:pt idx="501">
                  <c:v>177.11138242581794</c:v>
                </c:pt>
                <c:pt idx="502">
                  <c:v>177.40072575454323</c:v>
                </c:pt>
                <c:pt idx="503">
                  <c:v>177.69053630323043</c:v>
                </c:pt>
                <c:pt idx="504">
                  <c:v>177.98086885696529</c:v>
                </c:pt>
                <c:pt idx="505">
                  <c:v>178.27178277019263</c:v>
                </c:pt>
                <c:pt idx="506">
                  <c:v>178.56329427378151</c:v>
                </c:pt>
                <c:pt idx="507">
                  <c:v>178.85060059754102</c:v>
                </c:pt>
                <c:pt idx="508">
                  <c:v>179.12934163054459</c:v>
                </c:pt>
                <c:pt idx="509">
                  <c:v>179.40030393364688</c:v>
                </c:pt>
                <c:pt idx="510">
                  <c:v>179.66412328295434</c:v>
                </c:pt>
                <c:pt idx="511">
                  <c:v>179.92845373522167</c:v>
                </c:pt>
                <c:pt idx="512">
                  <c:v>180.18971083307207</c:v>
                </c:pt>
                <c:pt idx="513">
                  <c:v>180.44736242626365</c:v>
                </c:pt>
                <c:pt idx="514">
                  <c:v>180.69955935459603</c:v>
                </c:pt>
                <c:pt idx="515">
                  <c:v>180.94508407938849</c:v>
                </c:pt>
                <c:pt idx="516">
                  <c:v>181.18373172246461</c:v>
                </c:pt>
                <c:pt idx="517">
                  <c:v>181.41562815924615</c:v>
                </c:pt>
                <c:pt idx="518">
                  <c:v>181.64108915504082</c:v>
                </c:pt>
                <c:pt idx="519">
                  <c:v>181.85638527396449</c:v>
                </c:pt>
                <c:pt idx="520">
                  <c:v>182.06579638885142</c:v>
                </c:pt>
                <c:pt idx="521">
                  <c:v>182.26963280375969</c:v>
                </c:pt>
                <c:pt idx="522">
                  <c:v>182.46807383459659</c:v>
                </c:pt>
                <c:pt idx="523">
                  <c:v>182.66115435340635</c:v>
                </c:pt>
                <c:pt idx="524">
                  <c:v>182.84891639373751</c:v>
                </c:pt>
                <c:pt idx="525">
                  <c:v>183.03176843202951</c:v>
                </c:pt>
                <c:pt idx="526">
                  <c:v>183.20976556324649</c:v>
                </c:pt>
                <c:pt idx="527">
                  <c:v>183.38287689092053</c:v>
                </c:pt>
                <c:pt idx="528">
                  <c:v>183.55092987040356</c:v>
                </c:pt>
                <c:pt idx="529">
                  <c:v>183.71400052067588</c:v>
                </c:pt>
                <c:pt idx="530">
                  <c:v>183.87262867402691</c:v>
                </c:pt>
              </c:numCache>
            </c:numRef>
          </c:xVal>
          <c:yVal>
            <c:numRef>
              <c:f>Data!$BI$3:$BI$533</c:f>
              <c:numCache>
                <c:formatCode>General</c:formatCode>
                <c:ptCount val="531"/>
                <c:pt idx="0">
                  <c:v>6871.6622130335309</c:v>
                </c:pt>
                <c:pt idx="1">
                  <c:v>6871.6622130335309</c:v>
                </c:pt>
                <c:pt idx="2">
                  <c:v>6871.6622130335309</c:v>
                </c:pt>
                <c:pt idx="3">
                  <c:v>6871.6622130335309</c:v>
                </c:pt>
                <c:pt idx="4">
                  <c:v>6871.6622130335309</c:v>
                </c:pt>
                <c:pt idx="5">
                  <c:v>6871.6622130335309</c:v>
                </c:pt>
                <c:pt idx="6">
                  <c:v>6871.6622130335309</c:v>
                </c:pt>
                <c:pt idx="7">
                  <c:v>6871.6622130335309</c:v>
                </c:pt>
                <c:pt idx="8">
                  <c:v>6871.6622130335309</c:v>
                </c:pt>
                <c:pt idx="9">
                  <c:v>6871.6622130335309</c:v>
                </c:pt>
                <c:pt idx="10">
                  <c:v>6871.6622130335309</c:v>
                </c:pt>
                <c:pt idx="11">
                  <c:v>6871.6622130335309</c:v>
                </c:pt>
                <c:pt idx="12">
                  <c:v>6871.6622130335309</c:v>
                </c:pt>
                <c:pt idx="13">
                  <c:v>6871.6622130335309</c:v>
                </c:pt>
                <c:pt idx="14">
                  <c:v>6871.6622130335309</c:v>
                </c:pt>
                <c:pt idx="15">
                  <c:v>6871.6622130335309</c:v>
                </c:pt>
                <c:pt idx="16">
                  <c:v>6871.6622130335309</c:v>
                </c:pt>
                <c:pt idx="17">
                  <c:v>6871.6622130335309</c:v>
                </c:pt>
                <c:pt idx="18">
                  <c:v>6871.6622130335309</c:v>
                </c:pt>
                <c:pt idx="19">
                  <c:v>6871.6622130335309</c:v>
                </c:pt>
                <c:pt idx="20">
                  <c:v>6871.6622130335309</c:v>
                </c:pt>
                <c:pt idx="21">
                  <c:v>6871.6622130335309</c:v>
                </c:pt>
                <c:pt idx="22">
                  <c:v>6871.6622130335309</c:v>
                </c:pt>
                <c:pt idx="23">
                  <c:v>6871.6622130335309</c:v>
                </c:pt>
                <c:pt idx="24">
                  <c:v>6871.6622130335309</c:v>
                </c:pt>
                <c:pt idx="25">
                  <c:v>6871.6622130335309</c:v>
                </c:pt>
                <c:pt idx="26">
                  <c:v>6871.6622130335309</c:v>
                </c:pt>
                <c:pt idx="27">
                  <c:v>6871.6622130335309</c:v>
                </c:pt>
                <c:pt idx="28">
                  <c:v>6871.6622130335309</c:v>
                </c:pt>
                <c:pt idx="29">
                  <c:v>6871.6622130335309</c:v>
                </c:pt>
                <c:pt idx="30">
                  <c:v>6871.6622130335309</c:v>
                </c:pt>
                <c:pt idx="31">
                  <c:v>6871.6622130335309</c:v>
                </c:pt>
                <c:pt idx="32">
                  <c:v>6871.6622130335309</c:v>
                </c:pt>
                <c:pt idx="33">
                  <c:v>6871.6622130335309</c:v>
                </c:pt>
                <c:pt idx="34">
                  <c:v>6871.6622130335309</c:v>
                </c:pt>
                <c:pt idx="35">
                  <c:v>6871.6622130335309</c:v>
                </c:pt>
                <c:pt idx="36">
                  <c:v>6871.6622130335309</c:v>
                </c:pt>
                <c:pt idx="37">
                  <c:v>6871.6622130335309</c:v>
                </c:pt>
                <c:pt idx="38">
                  <c:v>6871.6622130335309</c:v>
                </c:pt>
                <c:pt idx="39">
                  <c:v>6871.6622130335309</c:v>
                </c:pt>
                <c:pt idx="40">
                  <c:v>6871.6622130335309</c:v>
                </c:pt>
                <c:pt idx="41">
                  <c:v>6871.6622130335309</c:v>
                </c:pt>
                <c:pt idx="42">
                  <c:v>6871.6622130335309</c:v>
                </c:pt>
                <c:pt idx="43">
                  <c:v>6871.6622130335309</c:v>
                </c:pt>
                <c:pt idx="44">
                  <c:v>6871.6622130335309</c:v>
                </c:pt>
                <c:pt idx="45">
                  <c:v>6871.6622130335309</c:v>
                </c:pt>
                <c:pt idx="46">
                  <c:v>6871.6622130335309</c:v>
                </c:pt>
                <c:pt idx="47">
                  <c:v>6871.6622130335309</c:v>
                </c:pt>
                <c:pt idx="48">
                  <c:v>6871.6622130335309</c:v>
                </c:pt>
                <c:pt idx="49">
                  <c:v>6871.6622130335309</c:v>
                </c:pt>
                <c:pt idx="50">
                  <c:v>6871.6622130335309</c:v>
                </c:pt>
                <c:pt idx="51">
                  <c:v>6871.6622130335309</c:v>
                </c:pt>
                <c:pt idx="52">
                  <c:v>6871.6622130335309</c:v>
                </c:pt>
                <c:pt idx="53">
                  <c:v>6871.6622130335309</c:v>
                </c:pt>
                <c:pt idx="54">
                  <c:v>6871.6622130335309</c:v>
                </c:pt>
                <c:pt idx="55">
                  <c:v>6871.6622130335309</c:v>
                </c:pt>
                <c:pt idx="56">
                  <c:v>6871.6622130335309</c:v>
                </c:pt>
                <c:pt idx="57">
                  <c:v>6871.6622130335309</c:v>
                </c:pt>
                <c:pt idx="58">
                  <c:v>6871.6622130335309</c:v>
                </c:pt>
                <c:pt idx="59">
                  <c:v>6871.6622130335309</c:v>
                </c:pt>
                <c:pt idx="60">
                  <c:v>6871.6622130335309</c:v>
                </c:pt>
                <c:pt idx="61">
                  <c:v>6871.6622130335309</c:v>
                </c:pt>
                <c:pt idx="62">
                  <c:v>6871.6622130335309</c:v>
                </c:pt>
                <c:pt idx="63">
                  <c:v>6871.6622130335309</c:v>
                </c:pt>
                <c:pt idx="64">
                  <c:v>6871.6622130335309</c:v>
                </c:pt>
                <c:pt idx="65">
                  <c:v>6871.6622130335309</c:v>
                </c:pt>
                <c:pt idx="66">
                  <c:v>6871.6622130335309</c:v>
                </c:pt>
                <c:pt idx="67">
                  <c:v>6871.6622130335309</c:v>
                </c:pt>
                <c:pt idx="68">
                  <c:v>6871.6622130335309</c:v>
                </c:pt>
                <c:pt idx="69">
                  <c:v>6871.6622130335309</c:v>
                </c:pt>
                <c:pt idx="70">
                  <c:v>6871.6622130335309</c:v>
                </c:pt>
                <c:pt idx="71">
                  <c:v>6871.6622130335309</c:v>
                </c:pt>
                <c:pt idx="72">
                  <c:v>6871.6622130335309</c:v>
                </c:pt>
                <c:pt idx="73">
                  <c:v>6871.6622130335309</c:v>
                </c:pt>
                <c:pt idx="74">
                  <c:v>6871.6622130335309</c:v>
                </c:pt>
                <c:pt idx="75">
                  <c:v>6871.6622130335309</c:v>
                </c:pt>
                <c:pt idx="76">
                  <c:v>6871.6622130335309</c:v>
                </c:pt>
                <c:pt idx="77">
                  <c:v>6871.6622130335309</c:v>
                </c:pt>
                <c:pt idx="78">
                  <c:v>6871.6622130335309</c:v>
                </c:pt>
                <c:pt idx="79">
                  <c:v>6871.6622130335309</c:v>
                </c:pt>
                <c:pt idx="80">
                  <c:v>6871.6622130335309</c:v>
                </c:pt>
                <c:pt idx="81">
                  <c:v>6871.6622130335309</c:v>
                </c:pt>
                <c:pt idx="82">
                  <c:v>6871.6622130335309</c:v>
                </c:pt>
                <c:pt idx="83">
                  <c:v>6871.6622130335309</c:v>
                </c:pt>
                <c:pt idx="84">
                  <c:v>6871.6622130335309</c:v>
                </c:pt>
                <c:pt idx="85">
                  <c:v>6871.6622130335309</c:v>
                </c:pt>
                <c:pt idx="86">
                  <c:v>6871.6622130335309</c:v>
                </c:pt>
                <c:pt idx="87">
                  <c:v>6871.6622130335309</c:v>
                </c:pt>
                <c:pt idx="88">
                  <c:v>6871.6622130335309</c:v>
                </c:pt>
                <c:pt idx="89">
                  <c:v>6871.6622130335309</c:v>
                </c:pt>
                <c:pt idx="90">
                  <c:v>6871.6622130335309</c:v>
                </c:pt>
                <c:pt idx="91">
                  <c:v>6871.6622130335309</c:v>
                </c:pt>
                <c:pt idx="92">
                  <c:v>6871.6622130335309</c:v>
                </c:pt>
                <c:pt idx="93">
                  <c:v>6871.6622130335309</c:v>
                </c:pt>
                <c:pt idx="94">
                  <c:v>6871.6622130335309</c:v>
                </c:pt>
                <c:pt idx="95">
                  <c:v>6871.6622130335309</c:v>
                </c:pt>
                <c:pt idx="96">
                  <c:v>6871.6622130335309</c:v>
                </c:pt>
                <c:pt idx="97">
                  <c:v>6871.6622130335309</c:v>
                </c:pt>
                <c:pt idx="98">
                  <c:v>6871.6622130335309</c:v>
                </c:pt>
                <c:pt idx="99">
                  <c:v>6871.6622130335309</c:v>
                </c:pt>
                <c:pt idx="100">
                  <c:v>6871.6622130335309</c:v>
                </c:pt>
                <c:pt idx="101">
                  <c:v>6871.6622130335309</c:v>
                </c:pt>
                <c:pt idx="102">
                  <c:v>6871.6622130335309</c:v>
                </c:pt>
                <c:pt idx="103">
                  <c:v>6871.6622130335309</c:v>
                </c:pt>
                <c:pt idx="104">
                  <c:v>6871.6622130335309</c:v>
                </c:pt>
                <c:pt idx="105">
                  <c:v>6871.6622130335309</c:v>
                </c:pt>
                <c:pt idx="106">
                  <c:v>6871.6622130335309</c:v>
                </c:pt>
                <c:pt idx="107">
                  <c:v>6871.6622130335309</c:v>
                </c:pt>
                <c:pt idx="108">
                  <c:v>6871.6622130335309</c:v>
                </c:pt>
                <c:pt idx="109">
                  <c:v>6871.6622130335309</c:v>
                </c:pt>
                <c:pt idx="110">
                  <c:v>6871.6622130335309</c:v>
                </c:pt>
                <c:pt idx="111">
                  <c:v>6871.6622130335309</c:v>
                </c:pt>
                <c:pt idx="112">
                  <c:v>6871.6622130335309</c:v>
                </c:pt>
                <c:pt idx="113">
                  <c:v>6871.6622130335309</c:v>
                </c:pt>
                <c:pt idx="114">
                  <c:v>6871.6622130335309</c:v>
                </c:pt>
                <c:pt idx="115">
                  <c:v>6871.6622130335309</c:v>
                </c:pt>
                <c:pt idx="116">
                  <c:v>6871.6622130335309</c:v>
                </c:pt>
                <c:pt idx="117">
                  <c:v>6871.6622130335309</c:v>
                </c:pt>
                <c:pt idx="118">
                  <c:v>6871.6622130335309</c:v>
                </c:pt>
                <c:pt idx="119">
                  <c:v>6871.6622130335309</c:v>
                </c:pt>
                <c:pt idx="120">
                  <c:v>6871.6622130335309</c:v>
                </c:pt>
                <c:pt idx="121">
                  <c:v>6871.6622130335309</c:v>
                </c:pt>
                <c:pt idx="122">
                  <c:v>6871.6622130335309</c:v>
                </c:pt>
                <c:pt idx="123">
                  <c:v>6871.6622130335309</c:v>
                </c:pt>
                <c:pt idx="124">
                  <c:v>6871.6622130335309</c:v>
                </c:pt>
                <c:pt idx="125">
                  <c:v>6871.6622130335309</c:v>
                </c:pt>
                <c:pt idx="126">
                  <c:v>6871.6622130335309</c:v>
                </c:pt>
                <c:pt idx="127">
                  <c:v>6871.6622130335309</c:v>
                </c:pt>
                <c:pt idx="128">
                  <c:v>6871.6622130335309</c:v>
                </c:pt>
                <c:pt idx="129">
                  <c:v>6871.6622130335309</c:v>
                </c:pt>
                <c:pt idx="130">
                  <c:v>6871.6622130335309</c:v>
                </c:pt>
                <c:pt idx="131">
                  <c:v>6871.6622130335309</c:v>
                </c:pt>
                <c:pt idx="132">
                  <c:v>6871.6622130335309</c:v>
                </c:pt>
                <c:pt idx="133">
                  <c:v>6871.6622130335309</c:v>
                </c:pt>
                <c:pt idx="134">
                  <c:v>6871.6622130335309</c:v>
                </c:pt>
                <c:pt idx="135">
                  <c:v>6871.6622130335309</c:v>
                </c:pt>
                <c:pt idx="136">
                  <c:v>6871.6622130335309</c:v>
                </c:pt>
                <c:pt idx="137">
                  <c:v>6871.6622130335309</c:v>
                </c:pt>
                <c:pt idx="138">
                  <c:v>6871.6622130335309</c:v>
                </c:pt>
                <c:pt idx="139">
                  <c:v>6871.6622130335309</c:v>
                </c:pt>
                <c:pt idx="140">
                  <c:v>6871.6622130335309</c:v>
                </c:pt>
                <c:pt idx="141">
                  <c:v>6871.6622130335309</c:v>
                </c:pt>
                <c:pt idx="142">
                  <c:v>6871.6622130335309</c:v>
                </c:pt>
                <c:pt idx="143">
                  <c:v>6871.6622130335309</c:v>
                </c:pt>
                <c:pt idx="144">
                  <c:v>6871.6622130335309</c:v>
                </c:pt>
                <c:pt idx="145">
                  <c:v>6871.6622130335309</c:v>
                </c:pt>
                <c:pt idx="146">
                  <c:v>6871.6622130335309</c:v>
                </c:pt>
                <c:pt idx="147">
                  <c:v>6871.6622130335309</c:v>
                </c:pt>
                <c:pt idx="148">
                  <c:v>6871.6622130335309</c:v>
                </c:pt>
                <c:pt idx="149">
                  <c:v>6871.6622130335309</c:v>
                </c:pt>
                <c:pt idx="150">
                  <c:v>6871.6622130335309</c:v>
                </c:pt>
                <c:pt idx="151">
                  <c:v>6871.6622130335309</c:v>
                </c:pt>
                <c:pt idx="152">
                  <c:v>6871.6622130335309</c:v>
                </c:pt>
                <c:pt idx="153">
                  <c:v>6871.6622130335309</c:v>
                </c:pt>
                <c:pt idx="154">
                  <c:v>6871.6622130335309</c:v>
                </c:pt>
                <c:pt idx="155">
                  <c:v>6871.6622130335309</c:v>
                </c:pt>
                <c:pt idx="156">
                  <c:v>6871.6622130335309</c:v>
                </c:pt>
                <c:pt idx="157">
                  <c:v>6871.6622130335309</c:v>
                </c:pt>
                <c:pt idx="158">
                  <c:v>6871.6622130335309</c:v>
                </c:pt>
                <c:pt idx="159">
                  <c:v>6871.6622130335309</c:v>
                </c:pt>
                <c:pt idx="160">
                  <c:v>6871.6622130335309</c:v>
                </c:pt>
                <c:pt idx="161">
                  <c:v>6871.6622130335309</c:v>
                </c:pt>
                <c:pt idx="162">
                  <c:v>6871.6622130335309</c:v>
                </c:pt>
                <c:pt idx="163">
                  <c:v>6871.6622130335309</c:v>
                </c:pt>
                <c:pt idx="164">
                  <c:v>6871.6622130335309</c:v>
                </c:pt>
                <c:pt idx="165">
                  <c:v>6871.6622130335309</c:v>
                </c:pt>
                <c:pt idx="166">
                  <c:v>6871.6622130335309</c:v>
                </c:pt>
                <c:pt idx="167">
                  <c:v>6871.6622130335309</c:v>
                </c:pt>
                <c:pt idx="168">
                  <c:v>6871.6622130335309</c:v>
                </c:pt>
                <c:pt idx="169">
                  <c:v>6871.6622130335309</c:v>
                </c:pt>
                <c:pt idx="170">
                  <c:v>6871.6622130335309</c:v>
                </c:pt>
                <c:pt idx="171">
                  <c:v>6871.6622130335309</c:v>
                </c:pt>
                <c:pt idx="172">
                  <c:v>6871.6622130335309</c:v>
                </c:pt>
                <c:pt idx="173">
                  <c:v>6871.6622130335309</c:v>
                </c:pt>
                <c:pt idx="174">
                  <c:v>6871.6622130335309</c:v>
                </c:pt>
                <c:pt idx="175">
                  <c:v>6871.6622130335309</c:v>
                </c:pt>
                <c:pt idx="176">
                  <c:v>6871.6622130335309</c:v>
                </c:pt>
                <c:pt idx="177">
                  <c:v>6871.6622130335309</c:v>
                </c:pt>
                <c:pt idx="178">
                  <c:v>6871.6622130335309</c:v>
                </c:pt>
                <c:pt idx="179">
                  <c:v>6871.6622130335309</c:v>
                </c:pt>
                <c:pt idx="180">
                  <c:v>6871.6622130335309</c:v>
                </c:pt>
                <c:pt idx="181">
                  <c:v>6871.6622130335309</c:v>
                </c:pt>
                <c:pt idx="182">
                  <c:v>6871.6622130335309</c:v>
                </c:pt>
                <c:pt idx="183">
                  <c:v>6871.6622130335309</c:v>
                </c:pt>
                <c:pt idx="184">
                  <c:v>6871.6622130335309</c:v>
                </c:pt>
                <c:pt idx="185">
                  <c:v>6871.6622130335309</c:v>
                </c:pt>
                <c:pt idx="186">
                  <c:v>6871.6622130335309</c:v>
                </c:pt>
                <c:pt idx="187">
                  <c:v>6871.6622130335309</c:v>
                </c:pt>
                <c:pt idx="188">
                  <c:v>6871.6622130335309</c:v>
                </c:pt>
                <c:pt idx="189">
                  <c:v>6871.6622130335309</c:v>
                </c:pt>
                <c:pt idx="190">
                  <c:v>6871.6622130335309</c:v>
                </c:pt>
                <c:pt idx="191">
                  <c:v>6871.6622130335309</c:v>
                </c:pt>
                <c:pt idx="192">
                  <c:v>6871.6622130335309</c:v>
                </c:pt>
                <c:pt idx="193">
                  <c:v>6871.6622130335309</c:v>
                </c:pt>
                <c:pt idx="194">
                  <c:v>6871.6622130335309</c:v>
                </c:pt>
                <c:pt idx="195">
                  <c:v>6871.6622130335309</c:v>
                </c:pt>
                <c:pt idx="196">
                  <c:v>6871.6622130335309</c:v>
                </c:pt>
                <c:pt idx="197">
                  <c:v>6871.6622130335309</c:v>
                </c:pt>
                <c:pt idx="198">
                  <c:v>6871.6622130335309</c:v>
                </c:pt>
                <c:pt idx="199">
                  <c:v>6871.6622130335309</c:v>
                </c:pt>
                <c:pt idx="200">
                  <c:v>6871.6622130335309</c:v>
                </c:pt>
                <c:pt idx="201">
                  <c:v>6871.6622130335309</c:v>
                </c:pt>
                <c:pt idx="202">
                  <c:v>6871.6622130335309</c:v>
                </c:pt>
                <c:pt idx="203">
                  <c:v>6871.6622130335309</c:v>
                </c:pt>
                <c:pt idx="204">
                  <c:v>6871.6622130335309</c:v>
                </c:pt>
                <c:pt idx="205">
                  <c:v>6871.6622130335309</c:v>
                </c:pt>
                <c:pt idx="206">
                  <c:v>6871.6622130335309</c:v>
                </c:pt>
                <c:pt idx="207">
                  <c:v>6871.6622130335309</c:v>
                </c:pt>
                <c:pt idx="208">
                  <c:v>6871.6622130335309</c:v>
                </c:pt>
                <c:pt idx="209">
                  <c:v>6871.6622130335309</c:v>
                </c:pt>
                <c:pt idx="210">
                  <c:v>6871.6622130335309</c:v>
                </c:pt>
                <c:pt idx="211">
                  <c:v>6871.6622130335309</c:v>
                </c:pt>
                <c:pt idx="212">
                  <c:v>6871.6622130335309</c:v>
                </c:pt>
                <c:pt idx="213">
                  <c:v>6871.6622130335309</c:v>
                </c:pt>
                <c:pt idx="214">
                  <c:v>6871.6622130335309</c:v>
                </c:pt>
                <c:pt idx="215">
                  <c:v>6871.6622130335309</c:v>
                </c:pt>
                <c:pt idx="216">
                  <c:v>6871.6622130335309</c:v>
                </c:pt>
                <c:pt idx="217">
                  <c:v>6871.6622130335309</c:v>
                </c:pt>
                <c:pt idx="218">
                  <c:v>6871.6622130335309</c:v>
                </c:pt>
                <c:pt idx="219">
                  <c:v>6871.6622130335309</c:v>
                </c:pt>
                <c:pt idx="220">
                  <c:v>6871.6622130335309</c:v>
                </c:pt>
                <c:pt idx="221">
                  <c:v>6871.6622130335309</c:v>
                </c:pt>
                <c:pt idx="222">
                  <c:v>6871.6622130335309</c:v>
                </c:pt>
                <c:pt idx="223">
                  <c:v>6871.6622130335309</c:v>
                </c:pt>
                <c:pt idx="224">
                  <c:v>6871.6622130335309</c:v>
                </c:pt>
                <c:pt idx="225">
                  <c:v>6871.6622130335309</c:v>
                </c:pt>
                <c:pt idx="226">
                  <c:v>6871.6622130335309</c:v>
                </c:pt>
                <c:pt idx="227">
                  <c:v>6871.6622130335309</c:v>
                </c:pt>
                <c:pt idx="228">
                  <c:v>6871.6622130335309</c:v>
                </c:pt>
                <c:pt idx="229">
                  <c:v>6871.6622130335309</c:v>
                </c:pt>
                <c:pt idx="230">
                  <c:v>6871.6622130335309</c:v>
                </c:pt>
                <c:pt idx="231">
                  <c:v>6871.6622130335309</c:v>
                </c:pt>
                <c:pt idx="232">
                  <c:v>6871.6622130335309</c:v>
                </c:pt>
                <c:pt idx="233">
                  <c:v>6871.6622130335309</c:v>
                </c:pt>
                <c:pt idx="234">
                  <c:v>6871.6622130335309</c:v>
                </c:pt>
                <c:pt idx="235">
                  <c:v>6871.6622130335309</c:v>
                </c:pt>
                <c:pt idx="236">
                  <c:v>6871.6622130335309</c:v>
                </c:pt>
                <c:pt idx="237">
                  <c:v>6871.6622130335309</c:v>
                </c:pt>
                <c:pt idx="238">
                  <c:v>6871.6622130335309</c:v>
                </c:pt>
                <c:pt idx="239">
                  <c:v>6871.6622130335309</c:v>
                </c:pt>
                <c:pt idx="240">
                  <c:v>6871.6622130335309</c:v>
                </c:pt>
                <c:pt idx="241">
                  <c:v>6871.6622130335309</c:v>
                </c:pt>
                <c:pt idx="242">
                  <c:v>6871.6622130335309</c:v>
                </c:pt>
                <c:pt idx="243">
                  <c:v>6871.6622130335309</c:v>
                </c:pt>
                <c:pt idx="244">
                  <c:v>6871.6622130335309</c:v>
                </c:pt>
                <c:pt idx="245">
                  <c:v>6871.6622130335309</c:v>
                </c:pt>
                <c:pt idx="246">
                  <c:v>6871.6622130335309</c:v>
                </c:pt>
                <c:pt idx="247">
                  <c:v>6871.6622130335309</c:v>
                </c:pt>
                <c:pt idx="248">
                  <c:v>6871.6622130335309</c:v>
                </c:pt>
                <c:pt idx="249">
                  <c:v>6871.6622130335309</c:v>
                </c:pt>
                <c:pt idx="250">
                  <c:v>6871.6622130335309</c:v>
                </c:pt>
                <c:pt idx="251">
                  <c:v>6871.6622130335309</c:v>
                </c:pt>
                <c:pt idx="252">
                  <c:v>6871.6622130335309</c:v>
                </c:pt>
                <c:pt idx="253">
                  <c:v>6871.6622130335309</c:v>
                </c:pt>
                <c:pt idx="254">
                  <c:v>6871.6622130335309</c:v>
                </c:pt>
                <c:pt idx="255">
                  <c:v>6871.6622130335309</c:v>
                </c:pt>
                <c:pt idx="256">
                  <c:v>6871.6622130335309</c:v>
                </c:pt>
                <c:pt idx="257">
                  <c:v>6871.6622130335309</c:v>
                </c:pt>
                <c:pt idx="258">
                  <c:v>6871.6622130335309</c:v>
                </c:pt>
                <c:pt idx="259">
                  <c:v>6871.6622130335309</c:v>
                </c:pt>
                <c:pt idx="260">
                  <c:v>6871.6622130335309</c:v>
                </c:pt>
                <c:pt idx="261">
                  <c:v>6871.6622130335309</c:v>
                </c:pt>
                <c:pt idx="262">
                  <c:v>6871.6622130335309</c:v>
                </c:pt>
                <c:pt idx="263">
                  <c:v>6871.6622130335309</c:v>
                </c:pt>
                <c:pt idx="264">
                  <c:v>6871.6622130335309</c:v>
                </c:pt>
                <c:pt idx="265">
                  <c:v>6871.6622130335309</c:v>
                </c:pt>
                <c:pt idx="266">
                  <c:v>6871.6622130335309</c:v>
                </c:pt>
                <c:pt idx="267">
                  <c:v>6871.6622130335309</c:v>
                </c:pt>
                <c:pt idx="268">
                  <c:v>6871.6622130335309</c:v>
                </c:pt>
                <c:pt idx="269">
                  <c:v>6871.6622130335309</c:v>
                </c:pt>
                <c:pt idx="270">
                  <c:v>6871.6622130335309</c:v>
                </c:pt>
                <c:pt idx="271">
                  <c:v>6871.6622130335309</c:v>
                </c:pt>
                <c:pt idx="272">
                  <c:v>6871.6622130335309</c:v>
                </c:pt>
                <c:pt idx="273">
                  <c:v>6871.6622130335309</c:v>
                </c:pt>
                <c:pt idx="274">
                  <c:v>6871.6622130335309</c:v>
                </c:pt>
                <c:pt idx="275">
                  <c:v>6871.6622130335309</c:v>
                </c:pt>
                <c:pt idx="276">
                  <c:v>6871.6622130335309</c:v>
                </c:pt>
                <c:pt idx="277">
                  <c:v>6871.6622130335309</c:v>
                </c:pt>
                <c:pt idx="278">
                  <c:v>6871.6622130335309</c:v>
                </c:pt>
                <c:pt idx="279">
                  <c:v>6871.6622130335309</c:v>
                </c:pt>
                <c:pt idx="280">
                  <c:v>6871.6622130335309</c:v>
                </c:pt>
                <c:pt idx="281">
                  <c:v>6871.6622130335309</c:v>
                </c:pt>
                <c:pt idx="282">
                  <c:v>6871.6622130335309</c:v>
                </c:pt>
                <c:pt idx="283">
                  <c:v>6871.6622130335309</c:v>
                </c:pt>
                <c:pt idx="284">
                  <c:v>6871.6622130335309</c:v>
                </c:pt>
                <c:pt idx="285">
                  <c:v>6871.6622130335309</c:v>
                </c:pt>
                <c:pt idx="286">
                  <c:v>6871.6622130335309</c:v>
                </c:pt>
                <c:pt idx="287">
                  <c:v>6871.6622130335309</c:v>
                </c:pt>
                <c:pt idx="288">
                  <c:v>6871.6622130335309</c:v>
                </c:pt>
                <c:pt idx="289">
                  <c:v>6871.6622130335309</c:v>
                </c:pt>
                <c:pt idx="290">
                  <c:v>6871.6622130335309</c:v>
                </c:pt>
                <c:pt idx="291">
                  <c:v>6871.6622130335309</c:v>
                </c:pt>
                <c:pt idx="292">
                  <c:v>6871.6622130335309</c:v>
                </c:pt>
                <c:pt idx="293">
                  <c:v>6871.6622130335309</c:v>
                </c:pt>
                <c:pt idx="294">
                  <c:v>6871.6622130335309</c:v>
                </c:pt>
                <c:pt idx="295">
                  <c:v>6871.6622130335309</c:v>
                </c:pt>
                <c:pt idx="296">
                  <c:v>6871.6622130335309</c:v>
                </c:pt>
                <c:pt idx="297">
                  <c:v>6871.6622130335309</c:v>
                </c:pt>
                <c:pt idx="298">
                  <c:v>6871.6622130335309</c:v>
                </c:pt>
                <c:pt idx="299">
                  <c:v>6871.6622130335309</c:v>
                </c:pt>
                <c:pt idx="300">
                  <c:v>6871.6622130335309</c:v>
                </c:pt>
                <c:pt idx="301">
                  <c:v>6871.6622130335309</c:v>
                </c:pt>
                <c:pt idx="302">
                  <c:v>6871.6622130335309</c:v>
                </c:pt>
                <c:pt idx="303">
                  <c:v>6871.6622130335309</c:v>
                </c:pt>
                <c:pt idx="304">
                  <c:v>6871.6622130335309</c:v>
                </c:pt>
                <c:pt idx="305">
                  <c:v>6871.6622130335309</c:v>
                </c:pt>
                <c:pt idx="306">
                  <c:v>6871.6622130335309</c:v>
                </c:pt>
                <c:pt idx="307">
                  <c:v>6871.6622130335309</c:v>
                </c:pt>
                <c:pt idx="308">
                  <c:v>6871.6622130335309</c:v>
                </c:pt>
                <c:pt idx="309">
                  <c:v>6871.6622130335309</c:v>
                </c:pt>
                <c:pt idx="310">
                  <c:v>6871.6622130335309</c:v>
                </c:pt>
                <c:pt idx="311">
                  <c:v>6871.6622130335309</c:v>
                </c:pt>
                <c:pt idx="312">
                  <c:v>6871.6622130335309</c:v>
                </c:pt>
                <c:pt idx="313">
                  <c:v>6871.6622130335309</c:v>
                </c:pt>
                <c:pt idx="314">
                  <c:v>6871.6622130335309</c:v>
                </c:pt>
                <c:pt idx="315">
                  <c:v>6871.6622130335309</c:v>
                </c:pt>
                <c:pt idx="316">
                  <c:v>6871.6622130335309</c:v>
                </c:pt>
                <c:pt idx="317">
                  <c:v>6871.6622130335309</c:v>
                </c:pt>
                <c:pt idx="318">
                  <c:v>6871.6622130335309</c:v>
                </c:pt>
                <c:pt idx="319">
                  <c:v>6871.6622130335309</c:v>
                </c:pt>
                <c:pt idx="320">
                  <c:v>6871.6622130335309</c:v>
                </c:pt>
                <c:pt idx="321">
                  <c:v>6871.6622130335309</c:v>
                </c:pt>
                <c:pt idx="322">
                  <c:v>6871.6622130335309</c:v>
                </c:pt>
                <c:pt idx="323">
                  <c:v>6871.6622130335309</c:v>
                </c:pt>
                <c:pt idx="324">
                  <c:v>6871.6622130335309</c:v>
                </c:pt>
                <c:pt idx="325">
                  <c:v>6871.6622130335309</c:v>
                </c:pt>
                <c:pt idx="326">
                  <c:v>6871.6622130335309</c:v>
                </c:pt>
                <c:pt idx="327">
                  <c:v>6871.6622130335309</c:v>
                </c:pt>
                <c:pt idx="328">
                  <c:v>6871.6622130335309</c:v>
                </c:pt>
                <c:pt idx="329">
                  <c:v>6871.6622130335309</c:v>
                </c:pt>
                <c:pt idx="330">
                  <c:v>6871.6622130335309</c:v>
                </c:pt>
                <c:pt idx="331">
                  <c:v>6871.6622130335309</c:v>
                </c:pt>
                <c:pt idx="332">
                  <c:v>6871.6622130335309</c:v>
                </c:pt>
                <c:pt idx="333">
                  <c:v>6871.6622130335309</c:v>
                </c:pt>
                <c:pt idx="334">
                  <c:v>6871.6622130335309</c:v>
                </c:pt>
                <c:pt idx="335">
                  <c:v>6871.6622130335309</c:v>
                </c:pt>
                <c:pt idx="336">
                  <c:v>6871.6622130335309</c:v>
                </c:pt>
                <c:pt idx="337">
                  <c:v>6871.6622130335309</c:v>
                </c:pt>
                <c:pt idx="338">
                  <c:v>6871.6622130335309</c:v>
                </c:pt>
                <c:pt idx="339">
                  <c:v>6871.6622130335309</c:v>
                </c:pt>
                <c:pt idx="340">
                  <c:v>6871.6622130335309</c:v>
                </c:pt>
                <c:pt idx="341">
                  <c:v>6871.6622130335309</c:v>
                </c:pt>
                <c:pt idx="342">
                  <c:v>6871.6622130335309</c:v>
                </c:pt>
                <c:pt idx="343">
                  <c:v>6871.6622130335309</c:v>
                </c:pt>
                <c:pt idx="344">
                  <c:v>6871.6622130335309</c:v>
                </c:pt>
                <c:pt idx="345">
                  <c:v>6871.6622130335309</c:v>
                </c:pt>
                <c:pt idx="346">
                  <c:v>6871.6622130335309</c:v>
                </c:pt>
                <c:pt idx="347">
                  <c:v>6871.6622130335309</c:v>
                </c:pt>
                <c:pt idx="348">
                  <c:v>6871.6622130335309</c:v>
                </c:pt>
                <c:pt idx="349">
                  <c:v>6871.6622130335309</c:v>
                </c:pt>
                <c:pt idx="350">
                  <c:v>6871.6622130335309</c:v>
                </c:pt>
                <c:pt idx="351">
                  <c:v>6871.6622130335309</c:v>
                </c:pt>
                <c:pt idx="352">
                  <c:v>6871.6622130335309</c:v>
                </c:pt>
                <c:pt idx="353">
                  <c:v>6871.6622130335309</c:v>
                </c:pt>
                <c:pt idx="354">
                  <c:v>6871.6622130335309</c:v>
                </c:pt>
                <c:pt idx="355">
                  <c:v>6871.6622130335309</c:v>
                </c:pt>
                <c:pt idx="356">
                  <c:v>6871.6622130335309</c:v>
                </c:pt>
                <c:pt idx="357">
                  <c:v>6871.6622130335309</c:v>
                </c:pt>
                <c:pt idx="358">
                  <c:v>6871.6622130335309</c:v>
                </c:pt>
                <c:pt idx="359">
                  <c:v>6871.6622130335309</c:v>
                </c:pt>
                <c:pt idx="360">
                  <c:v>6871.6622130335309</c:v>
                </c:pt>
                <c:pt idx="361">
                  <c:v>6871.6622130335309</c:v>
                </c:pt>
                <c:pt idx="362">
                  <c:v>6871.6622130335309</c:v>
                </c:pt>
                <c:pt idx="363">
                  <c:v>6871.6622130335309</c:v>
                </c:pt>
                <c:pt idx="364">
                  <c:v>6871.6622130335309</c:v>
                </c:pt>
                <c:pt idx="365">
                  <c:v>6871.6622130335309</c:v>
                </c:pt>
                <c:pt idx="366">
                  <c:v>6871.6622130335309</c:v>
                </c:pt>
                <c:pt idx="367">
                  <c:v>6871.6622130335309</c:v>
                </c:pt>
                <c:pt idx="368">
                  <c:v>6871.6622130335309</c:v>
                </c:pt>
                <c:pt idx="369">
                  <c:v>6871.6622130335309</c:v>
                </c:pt>
                <c:pt idx="370">
                  <c:v>6871.6622130335309</c:v>
                </c:pt>
                <c:pt idx="371">
                  <c:v>6871.6622130335309</c:v>
                </c:pt>
                <c:pt idx="372">
                  <c:v>6871.6622130335309</c:v>
                </c:pt>
                <c:pt idx="373">
                  <c:v>6871.6622130335309</c:v>
                </c:pt>
                <c:pt idx="374">
                  <c:v>6871.6622130335309</c:v>
                </c:pt>
                <c:pt idx="375">
                  <c:v>6871.6622130335309</c:v>
                </c:pt>
                <c:pt idx="376">
                  <c:v>6871.6622130335309</c:v>
                </c:pt>
                <c:pt idx="377">
                  <c:v>6871.6622130335309</c:v>
                </c:pt>
                <c:pt idx="378">
                  <c:v>6871.6622130335309</c:v>
                </c:pt>
                <c:pt idx="379">
                  <c:v>6871.6622130335309</c:v>
                </c:pt>
                <c:pt idx="380">
                  <c:v>6871.6622130335309</c:v>
                </c:pt>
                <c:pt idx="381">
                  <c:v>6871.6622130335309</c:v>
                </c:pt>
                <c:pt idx="382">
                  <c:v>6871.6622130335309</c:v>
                </c:pt>
                <c:pt idx="383">
                  <c:v>6871.6622130335309</c:v>
                </c:pt>
                <c:pt idx="384">
                  <c:v>6871.6622130335309</c:v>
                </c:pt>
                <c:pt idx="385">
                  <c:v>6871.6622130335309</c:v>
                </c:pt>
                <c:pt idx="386">
                  <c:v>6871.6622130335309</c:v>
                </c:pt>
                <c:pt idx="387">
                  <c:v>6871.6622130335309</c:v>
                </c:pt>
                <c:pt idx="388">
                  <c:v>6871.6622130335309</c:v>
                </c:pt>
                <c:pt idx="389">
                  <c:v>6871.6622130335309</c:v>
                </c:pt>
                <c:pt idx="390">
                  <c:v>6871.6622130335309</c:v>
                </c:pt>
                <c:pt idx="391">
                  <c:v>6871.6622130335309</c:v>
                </c:pt>
                <c:pt idx="392">
                  <c:v>6871.6622130335309</c:v>
                </c:pt>
                <c:pt idx="393">
                  <c:v>6871.6622130335309</c:v>
                </c:pt>
                <c:pt idx="394">
                  <c:v>6871.6622130335309</c:v>
                </c:pt>
                <c:pt idx="395">
                  <c:v>6871.6622130335309</c:v>
                </c:pt>
                <c:pt idx="396">
                  <c:v>6871.6622130335309</c:v>
                </c:pt>
                <c:pt idx="397">
                  <c:v>6871.6622130335309</c:v>
                </c:pt>
                <c:pt idx="398">
                  <c:v>6871.6622130335309</c:v>
                </c:pt>
                <c:pt idx="399">
                  <c:v>6871.6622130335309</c:v>
                </c:pt>
                <c:pt idx="400">
                  <c:v>6871.6622130335309</c:v>
                </c:pt>
                <c:pt idx="401">
                  <c:v>6871.6622130335309</c:v>
                </c:pt>
                <c:pt idx="402">
                  <c:v>6871.6622130335309</c:v>
                </c:pt>
                <c:pt idx="403">
                  <c:v>6871.6622130335309</c:v>
                </c:pt>
                <c:pt idx="404">
                  <c:v>6871.6622130335309</c:v>
                </c:pt>
                <c:pt idx="405">
                  <c:v>6871.6622130335309</c:v>
                </c:pt>
                <c:pt idx="406">
                  <c:v>6871.6622130335309</c:v>
                </c:pt>
                <c:pt idx="407">
                  <c:v>6871.6622130335309</c:v>
                </c:pt>
                <c:pt idx="408">
                  <c:v>6871.6622130335309</c:v>
                </c:pt>
                <c:pt idx="409">
                  <c:v>6871.6622130335309</c:v>
                </c:pt>
                <c:pt idx="410">
                  <c:v>6871.6622130335309</c:v>
                </c:pt>
                <c:pt idx="411">
                  <c:v>6871.6622130335309</c:v>
                </c:pt>
                <c:pt idx="412">
                  <c:v>6871.6622130335309</c:v>
                </c:pt>
                <c:pt idx="413">
                  <c:v>6871.6622130335309</c:v>
                </c:pt>
                <c:pt idx="414">
                  <c:v>6871.6622130335309</c:v>
                </c:pt>
                <c:pt idx="415">
                  <c:v>6871.6622130335309</c:v>
                </c:pt>
                <c:pt idx="416">
                  <c:v>6871.6622130335309</c:v>
                </c:pt>
                <c:pt idx="417">
                  <c:v>6871.6622130335309</c:v>
                </c:pt>
                <c:pt idx="418">
                  <c:v>6871.6622130335309</c:v>
                </c:pt>
                <c:pt idx="419">
                  <c:v>6871.6622130335309</c:v>
                </c:pt>
                <c:pt idx="420">
                  <c:v>6871.6622130335309</c:v>
                </c:pt>
                <c:pt idx="421">
                  <c:v>6871.6622130335309</c:v>
                </c:pt>
                <c:pt idx="422">
                  <c:v>6871.6622130335309</c:v>
                </c:pt>
                <c:pt idx="423">
                  <c:v>6871.6622130335309</c:v>
                </c:pt>
                <c:pt idx="424">
                  <c:v>6871.6622130335309</c:v>
                </c:pt>
                <c:pt idx="425">
                  <c:v>6871.6622130335309</c:v>
                </c:pt>
                <c:pt idx="426">
                  <c:v>6871.6622130335309</c:v>
                </c:pt>
                <c:pt idx="427">
                  <c:v>6871.6622130335309</c:v>
                </c:pt>
                <c:pt idx="428">
                  <c:v>6871.6622130335309</c:v>
                </c:pt>
                <c:pt idx="429">
                  <c:v>6871.6622130335309</c:v>
                </c:pt>
                <c:pt idx="430">
                  <c:v>6871.6622130335309</c:v>
                </c:pt>
                <c:pt idx="431">
                  <c:v>6871.6622130335309</c:v>
                </c:pt>
                <c:pt idx="432">
                  <c:v>6871.6622130335309</c:v>
                </c:pt>
                <c:pt idx="433">
                  <c:v>6871.6622130335309</c:v>
                </c:pt>
                <c:pt idx="434">
                  <c:v>6871.6622130335309</c:v>
                </c:pt>
                <c:pt idx="435">
                  <c:v>6871.6622130335309</c:v>
                </c:pt>
                <c:pt idx="436">
                  <c:v>6871.6622130335309</c:v>
                </c:pt>
                <c:pt idx="437">
                  <c:v>6871.6622130335309</c:v>
                </c:pt>
                <c:pt idx="438">
                  <c:v>6871.6622130335309</c:v>
                </c:pt>
                <c:pt idx="439">
                  <c:v>6871.6622130335309</c:v>
                </c:pt>
                <c:pt idx="440">
                  <c:v>6871.6622130335309</c:v>
                </c:pt>
                <c:pt idx="441">
                  <c:v>6871.6622130335309</c:v>
                </c:pt>
                <c:pt idx="442">
                  <c:v>6871.6622130335309</c:v>
                </c:pt>
                <c:pt idx="443">
                  <c:v>6871.6622130335309</c:v>
                </c:pt>
                <c:pt idx="444">
                  <c:v>6871.6622130335309</c:v>
                </c:pt>
                <c:pt idx="445">
                  <c:v>6871.6622130335309</c:v>
                </c:pt>
                <c:pt idx="446">
                  <c:v>6871.6622130335309</c:v>
                </c:pt>
                <c:pt idx="447">
                  <c:v>6871.6622130335309</c:v>
                </c:pt>
                <c:pt idx="448">
                  <c:v>6871.6622130335309</c:v>
                </c:pt>
                <c:pt idx="449">
                  <c:v>6871.6622130335309</c:v>
                </c:pt>
                <c:pt idx="450">
                  <c:v>6871.6622130335309</c:v>
                </c:pt>
                <c:pt idx="451">
                  <c:v>6871.6622130335309</c:v>
                </c:pt>
                <c:pt idx="452">
                  <c:v>6871.6622130335309</c:v>
                </c:pt>
                <c:pt idx="453">
                  <c:v>6871.6622130335309</c:v>
                </c:pt>
                <c:pt idx="454">
                  <c:v>6871.6622130335309</c:v>
                </c:pt>
                <c:pt idx="455">
                  <c:v>6871.6622130335309</c:v>
                </c:pt>
                <c:pt idx="456">
                  <c:v>6871.6622130335309</c:v>
                </c:pt>
                <c:pt idx="457">
                  <c:v>6871.6622130335309</c:v>
                </c:pt>
                <c:pt idx="458">
                  <c:v>6871.6622130335309</c:v>
                </c:pt>
                <c:pt idx="459">
                  <c:v>6871.6622130335309</c:v>
                </c:pt>
                <c:pt idx="460">
                  <c:v>6871.6622130335309</c:v>
                </c:pt>
                <c:pt idx="461">
                  <c:v>6871.6622130335309</c:v>
                </c:pt>
                <c:pt idx="462">
                  <c:v>6871.6622130335309</c:v>
                </c:pt>
                <c:pt idx="463">
                  <c:v>6871.6622130335309</c:v>
                </c:pt>
                <c:pt idx="464">
                  <c:v>6871.6622130335309</c:v>
                </c:pt>
                <c:pt idx="465">
                  <c:v>6871.6622130335309</c:v>
                </c:pt>
                <c:pt idx="466">
                  <c:v>6871.6622130335309</c:v>
                </c:pt>
                <c:pt idx="467">
                  <c:v>6871.6622130335309</c:v>
                </c:pt>
                <c:pt idx="468">
                  <c:v>6871.6622130335309</c:v>
                </c:pt>
                <c:pt idx="469">
                  <c:v>6871.6622130335309</c:v>
                </c:pt>
                <c:pt idx="470">
                  <c:v>6871.6622130335309</c:v>
                </c:pt>
                <c:pt idx="471">
                  <c:v>6871.6622130335309</c:v>
                </c:pt>
                <c:pt idx="472">
                  <c:v>6871.6622130335309</c:v>
                </c:pt>
                <c:pt idx="473">
                  <c:v>6871.6622130335309</c:v>
                </c:pt>
                <c:pt idx="474">
                  <c:v>6871.6622130335309</c:v>
                </c:pt>
                <c:pt idx="475">
                  <c:v>6871.6622130335309</c:v>
                </c:pt>
                <c:pt idx="476">
                  <c:v>6871.6622130335309</c:v>
                </c:pt>
                <c:pt idx="477">
                  <c:v>6871.6622130335309</c:v>
                </c:pt>
                <c:pt idx="478">
                  <c:v>6871.6622130335309</c:v>
                </c:pt>
                <c:pt idx="479">
                  <c:v>6871.6622130335309</c:v>
                </c:pt>
                <c:pt idx="480">
                  <c:v>6871.6622130335309</c:v>
                </c:pt>
                <c:pt idx="481">
                  <c:v>6871.6622130335309</c:v>
                </c:pt>
                <c:pt idx="482">
                  <c:v>6871.6622130335309</c:v>
                </c:pt>
                <c:pt idx="483">
                  <c:v>6871.6622130335309</c:v>
                </c:pt>
                <c:pt idx="484">
                  <c:v>6871.6622130335309</c:v>
                </c:pt>
                <c:pt idx="485">
                  <c:v>6871.6622130335309</c:v>
                </c:pt>
                <c:pt idx="486">
                  <c:v>6871.6622130335309</c:v>
                </c:pt>
                <c:pt idx="487">
                  <c:v>6871.6622130335309</c:v>
                </c:pt>
                <c:pt idx="488">
                  <c:v>6871.6622130335309</c:v>
                </c:pt>
                <c:pt idx="489">
                  <c:v>6871.6622130335309</c:v>
                </c:pt>
                <c:pt idx="490">
                  <c:v>6871.6622130335309</c:v>
                </c:pt>
                <c:pt idx="491">
                  <c:v>6871.6622130335309</c:v>
                </c:pt>
                <c:pt idx="492">
                  <c:v>6871.6622130335309</c:v>
                </c:pt>
                <c:pt idx="493">
                  <c:v>6871.6622130335309</c:v>
                </c:pt>
                <c:pt idx="494">
                  <c:v>6871.6622130335309</c:v>
                </c:pt>
                <c:pt idx="495">
                  <c:v>6871.6622130335309</c:v>
                </c:pt>
                <c:pt idx="496">
                  <c:v>6871.6622130335309</c:v>
                </c:pt>
                <c:pt idx="497">
                  <c:v>6871.6622130335309</c:v>
                </c:pt>
                <c:pt idx="498">
                  <c:v>6871.6622130335309</c:v>
                </c:pt>
                <c:pt idx="499">
                  <c:v>6871.6622130335309</c:v>
                </c:pt>
                <c:pt idx="500">
                  <c:v>6871.6622130335309</c:v>
                </c:pt>
                <c:pt idx="501">
                  <c:v>6871.6622130335309</c:v>
                </c:pt>
                <c:pt idx="502">
                  <c:v>6871.6622130335309</c:v>
                </c:pt>
                <c:pt idx="503">
                  <c:v>6871.6622130335309</c:v>
                </c:pt>
                <c:pt idx="504">
                  <c:v>6871.6622130335309</c:v>
                </c:pt>
                <c:pt idx="505">
                  <c:v>6871.6622130335309</c:v>
                </c:pt>
                <c:pt idx="506">
                  <c:v>6871.6622130335309</c:v>
                </c:pt>
                <c:pt idx="507">
                  <c:v>6871.6622130335309</c:v>
                </c:pt>
                <c:pt idx="508">
                  <c:v>6871.6622130335309</c:v>
                </c:pt>
                <c:pt idx="509">
                  <c:v>6871.6622130335309</c:v>
                </c:pt>
                <c:pt idx="510">
                  <c:v>6871.6622130335309</c:v>
                </c:pt>
                <c:pt idx="511">
                  <c:v>6871.6622130335309</c:v>
                </c:pt>
                <c:pt idx="512">
                  <c:v>6871.6622130335309</c:v>
                </c:pt>
                <c:pt idx="513">
                  <c:v>6871.6622130335309</c:v>
                </c:pt>
                <c:pt idx="514">
                  <c:v>6871.6622130335309</c:v>
                </c:pt>
                <c:pt idx="515">
                  <c:v>6871.6622130335309</c:v>
                </c:pt>
                <c:pt idx="516">
                  <c:v>6871.6622130335309</c:v>
                </c:pt>
                <c:pt idx="517">
                  <c:v>6871.6622130335309</c:v>
                </c:pt>
                <c:pt idx="518">
                  <c:v>6871.6622130335309</c:v>
                </c:pt>
                <c:pt idx="519">
                  <c:v>6871.6622130335309</c:v>
                </c:pt>
                <c:pt idx="520">
                  <c:v>6871.6622130335309</c:v>
                </c:pt>
                <c:pt idx="521">
                  <c:v>6871.6622130335309</c:v>
                </c:pt>
                <c:pt idx="522">
                  <c:v>6871.6622130335309</c:v>
                </c:pt>
                <c:pt idx="523">
                  <c:v>6871.6622130335309</c:v>
                </c:pt>
                <c:pt idx="524">
                  <c:v>6871.6622130335309</c:v>
                </c:pt>
                <c:pt idx="525">
                  <c:v>6871.6622130335309</c:v>
                </c:pt>
                <c:pt idx="526">
                  <c:v>6871.6622130335309</c:v>
                </c:pt>
                <c:pt idx="527">
                  <c:v>6871.6622130335309</c:v>
                </c:pt>
                <c:pt idx="528">
                  <c:v>6871.6622130335309</c:v>
                </c:pt>
                <c:pt idx="529">
                  <c:v>6871.6622130335309</c:v>
                </c:pt>
                <c:pt idx="530">
                  <c:v>6871.6622130335309</c:v>
                </c:pt>
              </c:numCache>
            </c:numRef>
          </c:yVal>
          <c:smooth val="1"/>
          <c:extLst>
            <c:ext xmlns:c16="http://schemas.microsoft.com/office/drawing/2014/chart" uri="{C3380CC4-5D6E-409C-BE32-E72D297353CC}">
              <c16:uniqueId val="{00000002-7493-B844-972F-5FE25CFD1EF6}"/>
            </c:ext>
          </c:extLst>
        </c:ser>
        <c:ser>
          <c:idx val="1"/>
          <c:order val="1"/>
          <c:tx>
            <c:v>Instantaneous Powerr</c:v>
          </c:tx>
          <c:spPr>
            <a:ln w="19050" cap="rnd">
              <a:solidFill>
                <a:schemeClr val="accent2"/>
              </a:solidFill>
              <a:round/>
            </a:ln>
            <a:effectLst/>
          </c:spPr>
          <c:marker>
            <c:symbol val="none"/>
          </c:marker>
          <c:xVal>
            <c:numRef>
              <c:f>Data!$AH$3:$AH$533</c:f>
              <c:numCache>
                <c:formatCode>General</c:formatCode>
                <c:ptCount val="531"/>
                <c:pt idx="0">
                  <c:v>0</c:v>
                </c:pt>
                <c:pt idx="1">
                  <c:v>0.15641098600795228</c:v>
                </c:pt>
                <c:pt idx="2">
                  <c:v>0.31011721128964198</c:v>
                </c:pt>
                <c:pt idx="3">
                  <c:v>0.46180560964539652</c:v>
                </c:pt>
                <c:pt idx="4">
                  <c:v>0.61085341539037064</c:v>
                </c:pt>
                <c:pt idx="5">
                  <c:v>0.75812013067534068</c:v>
                </c:pt>
                <c:pt idx="6">
                  <c:v>0.90428845961264925</c:v>
                </c:pt>
                <c:pt idx="7">
                  <c:v>1.0498557554662378</c:v>
                </c:pt>
                <c:pt idx="8">
                  <c:v>1.1945884124248933</c:v>
                </c:pt>
                <c:pt idx="9">
                  <c:v>1.3386295439727209</c:v>
                </c:pt>
                <c:pt idx="10">
                  <c:v>1.4820133633295696</c:v>
                </c:pt>
                <c:pt idx="11">
                  <c:v>1.6245520331718959</c:v>
                </c:pt>
                <c:pt idx="12">
                  <c:v>1.7666868989190292</c:v>
                </c:pt>
                <c:pt idx="13">
                  <c:v>1.9079969911795174</c:v>
                </c:pt>
                <c:pt idx="14">
                  <c:v>2.0491018046701348</c:v>
                </c:pt>
                <c:pt idx="15">
                  <c:v>2.1894957898665437</c:v>
                </c:pt>
                <c:pt idx="16">
                  <c:v>2.3296245964423603</c:v>
                </c:pt>
                <c:pt idx="17">
                  <c:v>2.469143318199774</c:v>
                </c:pt>
                <c:pt idx="18">
                  <c:v>2.6083184509115669</c:v>
                </c:pt>
                <c:pt idx="19">
                  <c:v>2.7470206830901547</c:v>
                </c:pt>
                <c:pt idx="20">
                  <c:v>2.88527286606777</c:v>
                </c:pt>
                <c:pt idx="21">
                  <c:v>3.0252596938704808</c:v>
                </c:pt>
                <c:pt idx="22">
                  <c:v>3.1679008148345251</c:v>
                </c:pt>
                <c:pt idx="23">
                  <c:v>3.3114029561535792</c:v>
                </c:pt>
                <c:pt idx="24">
                  <c:v>3.4571564762910394</c:v>
                </c:pt>
                <c:pt idx="25">
                  <c:v>3.6023522168795901</c:v>
                </c:pt>
                <c:pt idx="26">
                  <c:v>3.7471900731090124</c:v>
                </c:pt>
                <c:pt idx="27">
                  <c:v>3.8915821281322547</c:v>
                </c:pt>
                <c:pt idx="28">
                  <c:v>4.0357710977717174</c:v>
                </c:pt>
                <c:pt idx="29">
                  <c:v>4.1797474640645671</c:v>
                </c:pt>
                <c:pt idx="30">
                  <c:v>4.3236457351030042</c:v>
                </c:pt>
                <c:pt idx="31">
                  <c:v>4.4682096945045799</c:v>
                </c:pt>
                <c:pt idx="32">
                  <c:v>4.6128666091341</c:v>
                </c:pt>
                <c:pt idx="33">
                  <c:v>4.757765170011254</c:v>
                </c:pt>
                <c:pt idx="34">
                  <c:v>4.9116636330257215</c:v>
                </c:pt>
                <c:pt idx="35">
                  <c:v>5.074699137729799</c:v>
                </c:pt>
                <c:pt idx="36">
                  <c:v>5.2555152727264334</c:v>
                </c:pt>
                <c:pt idx="37">
                  <c:v>5.4524366435989888</c:v>
                </c:pt>
                <c:pt idx="38">
                  <c:v>5.6698718929611793</c:v>
                </c:pt>
                <c:pt idx="39">
                  <c:v>5.9157003663222598</c:v>
                </c:pt>
                <c:pt idx="40">
                  <c:v>6.203574541651764</c:v>
                </c:pt>
                <c:pt idx="41">
                  <c:v>6.6932526815888655</c:v>
                </c:pt>
                <c:pt idx="42">
                  <c:v>7.2085862720653608</c:v>
                </c:pt>
                <c:pt idx="43">
                  <c:v>7.7263715039514684</c:v>
                </c:pt>
                <c:pt idx="44">
                  <c:v>8.2472690784333622</c:v>
                </c:pt>
                <c:pt idx="45">
                  <c:v>8.7710073045670605</c:v>
                </c:pt>
                <c:pt idx="46">
                  <c:v>9.297657366745181</c:v>
                </c:pt>
                <c:pt idx="47">
                  <c:v>9.8265026239034938</c:v>
                </c:pt>
                <c:pt idx="48">
                  <c:v>10.358051382579831</c:v>
                </c:pt>
                <c:pt idx="49">
                  <c:v>10.890900157130085</c:v>
                </c:pt>
                <c:pt idx="50">
                  <c:v>11.355067327053314</c:v>
                </c:pt>
                <c:pt idx="51">
                  <c:v>11.771062917611582</c:v>
                </c:pt>
                <c:pt idx="52">
                  <c:v>12.150361996688224</c:v>
                </c:pt>
                <c:pt idx="53">
                  <c:v>12.501315831093812</c:v>
                </c:pt>
                <c:pt idx="54">
                  <c:v>12.829988257625953</c:v>
                </c:pt>
                <c:pt idx="55">
                  <c:v>13.140659342402618</c:v>
                </c:pt>
                <c:pt idx="56">
                  <c:v>13.436102461777297</c:v>
                </c:pt>
                <c:pt idx="57">
                  <c:v>13.718386489212309</c:v>
                </c:pt>
                <c:pt idx="58">
                  <c:v>13.989173340123255</c:v>
                </c:pt>
                <c:pt idx="59">
                  <c:v>14.249859956247716</c:v>
                </c:pt>
                <c:pt idx="60">
                  <c:v>14.501687131256073</c:v>
                </c:pt>
                <c:pt idx="61">
                  <c:v>14.74556150358489</c:v>
                </c:pt>
                <c:pt idx="62">
                  <c:v>14.982342175794422</c:v>
                </c:pt>
                <c:pt idx="63">
                  <c:v>15.21276411046073</c:v>
                </c:pt>
                <c:pt idx="64">
                  <c:v>15.437391058940023</c:v>
                </c:pt>
                <c:pt idx="65">
                  <c:v>15.65674301969395</c:v>
                </c:pt>
                <c:pt idx="66">
                  <c:v>15.871143272458182</c:v>
                </c:pt>
                <c:pt idx="67">
                  <c:v>16.081098050180746</c:v>
                </c:pt>
                <c:pt idx="68">
                  <c:v>16.313141515280506</c:v>
                </c:pt>
                <c:pt idx="69">
                  <c:v>16.575881108264305</c:v>
                </c:pt>
                <c:pt idx="70">
                  <c:v>16.885309274414016</c:v>
                </c:pt>
                <c:pt idx="71">
                  <c:v>17.390716406576789</c:v>
                </c:pt>
                <c:pt idx="72">
                  <c:v>17.952607198742456</c:v>
                </c:pt>
                <c:pt idx="73">
                  <c:v>18.439979605338024</c:v>
                </c:pt>
                <c:pt idx="74">
                  <c:v>18.876759367508736</c:v>
                </c:pt>
                <c:pt idx="75">
                  <c:v>19.27640184127868</c:v>
                </c:pt>
                <c:pt idx="76">
                  <c:v>19.64732243094009</c:v>
                </c:pt>
                <c:pt idx="77">
                  <c:v>19.995076500866311</c:v>
                </c:pt>
                <c:pt idx="78">
                  <c:v>20.323730548357045</c:v>
                </c:pt>
                <c:pt idx="79">
                  <c:v>20.636365697314822</c:v>
                </c:pt>
                <c:pt idx="80">
                  <c:v>20.935080789279034</c:v>
                </c:pt>
                <c:pt idx="81">
                  <c:v>21.221737974624485</c:v>
                </c:pt>
                <c:pt idx="82">
                  <c:v>21.497754512792579</c:v>
                </c:pt>
                <c:pt idx="83">
                  <c:v>21.764330810426298</c:v>
                </c:pt>
                <c:pt idx="84">
                  <c:v>22.022496263408886</c:v>
                </c:pt>
                <c:pt idx="85">
                  <c:v>22.273089192762136</c:v>
                </c:pt>
                <c:pt idx="86">
                  <c:v>22.516889329294582</c:v>
                </c:pt>
                <c:pt idx="87">
                  <c:v>22.754316202787425</c:v>
                </c:pt>
                <c:pt idx="88">
                  <c:v>22.985329477925639</c:v>
                </c:pt>
                <c:pt idx="89">
                  <c:v>23.2109875158453</c:v>
                </c:pt>
                <c:pt idx="90">
                  <c:v>23.431760207258062</c:v>
                </c:pt>
                <c:pt idx="91">
                  <c:v>23.648019056427138</c:v>
                </c:pt>
                <c:pt idx="92">
                  <c:v>23.865032870364512</c:v>
                </c:pt>
                <c:pt idx="93">
                  <c:v>24.080430744332283</c:v>
                </c:pt>
                <c:pt idx="94">
                  <c:v>24.294289198402961</c:v>
                </c:pt>
                <c:pt idx="95">
                  <c:v>24.50667535426026</c:v>
                </c:pt>
                <c:pt idx="96">
                  <c:v>24.717593495900424</c:v>
                </c:pt>
                <c:pt idx="97">
                  <c:v>24.9269760373077</c:v>
                </c:pt>
                <c:pt idx="98">
                  <c:v>25.134628941610149</c:v>
                </c:pt>
                <c:pt idx="99">
                  <c:v>25.340550074581945</c:v>
                </c:pt>
                <c:pt idx="100">
                  <c:v>25.544892134674129</c:v>
                </c:pt>
                <c:pt idx="101">
                  <c:v>25.747748176352339</c:v>
                </c:pt>
                <c:pt idx="102">
                  <c:v>25.949167394468596</c:v>
                </c:pt>
                <c:pt idx="103">
                  <c:v>26.149225008676023</c:v>
                </c:pt>
                <c:pt idx="104">
                  <c:v>26.348012533621169</c:v>
                </c:pt>
                <c:pt idx="105">
                  <c:v>26.545598497633751</c:v>
                </c:pt>
                <c:pt idx="106">
                  <c:v>26.742082261029395</c:v>
                </c:pt>
                <c:pt idx="107">
                  <c:v>26.937540805252674</c:v>
                </c:pt>
                <c:pt idx="108">
                  <c:v>27.132012705629219</c:v>
                </c:pt>
                <c:pt idx="109">
                  <c:v>27.325576731231045</c:v>
                </c:pt>
                <c:pt idx="110">
                  <c:v>27.518251288009573</c:v>
                </c:pt>
                <c:pt idx="111">
                  <c:v>27.710119740993889</c:v>
                </c:pt>
                <c:pt idx="112">
                  <c:v>27.901327051851059</c:v>
                </c:pt>
                <c:pt idx="113">
                  <c:v>28.106696119269035</c:v>
                </c:pt>
                <c:pt idx="114">
                  <c:v>28.329616615601481</c:v>
                </c:pt>
                <c:pt idx="115">
                  <c:v>28.575089814233088</c:v>
                </c:pt>
                <c:pt idx="116">
                  <c:v>28.81495295658388</c:v>
                </c:pt>
                <c:pt idx="117">
                  <c:v>29.049484860770871</c:v>
                </c:pt>
                <c:pt idx="118">
                  <c:v>29.284769462431235</c:v>
                </c:pt>
                <c:pt idx="119">
                  <c:v>29.518111525087317</c:v>
                </c:pt>
                <c:pt idx="120">
                  <c:v>29.749424415145654</c:v>
                </c:pt>
                <c:pt idx="121">
                  <c:v>29.978649076622322</c:v>
                </c:pt>
                <c:pt idx="122">
                  <c:v>30.205463654403662</c:v>
                </c:pt>
                <c:pt idx="123">
                  <c:v>30.430040933953492</c:v>
                </c:pt>
                <c:pt idx="124">
                  <c:v>30.652546501935134</c:v>
                </c:pt>
                <c:pt idx="125">
                  <c:v>30.872920829933346</c:v>
                </c:pt>
                <c:pt idx="126">
                  <c:v>31.091214946203035</c:v>
                </c:pt>
                <c:pt idx="127">
                  <c:v>31.307640202526109</c:v>
                </c:pt>
                <c:pt idx="128">
                  <c:v>31.52231888249079</c:v>
                </c:pt>
                <c:pt idx="129">
                  <c:v>31.735340378270468</c:v>
                </c:pt>
                <c:pt idx="130">
                  <c:v>31.946789099204821</c:v>
                </c:pt>
                <c:pt idx="131">
                  <c:v>32.156814431841902</c:v>
                </c:pt>
                <c:pt idx="132">
                  <c:v>32.365495731913285</c:v>
                </c:pt>
                <c:pt idx="133">
                  <c:v>32.572938332637172</c:v>
                </c:pt>
                <c:pt idx="134">
                  <c:v>32.779225690782184</c:v>
                </c:pt>
                <c:pt idx="135">
                  <c:v>32.984406853068855</c:v>
                </c:pt>
                <c:pt idx="136">
                  <c:v>33.188481512975969</c:v>
                </c:pt>
                <c:pt idx="137">
                  <c:v>33.408392062320949</c:v>
                </c:pt>
                <c:pt idx="138">
                  <c:v>33.648375391537868</c:v>
                </c:pt>
                <c:pt idx="139">
                  <c:v>33.914970710913408</c:v>
                </c:pt>
                <c:pt idx="140">
                  <c:v>34.218953776384112</c:v>
                </c:pt>
                <c:pt idx="141">
                  <c:v>34.58099821729482</c:v>
                </c:pt>
                <c:pt idx="142">
                  <c:v>34.925036559868687</c:v>
                </c:pt>
                <c:pt idx="143">
                  <c:v>35.253486860639839</c:v>
                </c:pt>
                <c:pt idx="144">
                  <c:v>35.568260176824182</c:v>
                </c:pt>
                <c:pt idx="145">
                  <c:v>35.870821737896954</c:v>
                </c:pt>
                <c:pt idx="146">
                  <c:v>36.162444570285075</c:v>
                </c:pt>
                <c:pt idx="147">
                  <c:v>36.444273113608865</c:v>
                </c:pt>
                <c:pt idx="148">
                  <c:v>36.717249378534405</c:v>
                </c:pt>
                <c:pt idx="149">
                  <c:v>36.982233162728406</c:v>
                </c:pt>
                <c:pt idx="150">
                  <c:v>37.239945802258895</c:v>
                </c:pt>
                <c:pt idx="151">
                  <c:v>37.490984167610506</c:v>
                </c:pt>
                <c:pt idx="152">
                  <c:v>37.742378377194896</c:v>
                </c:pt>
                <c:pt idx="153">
                  <c:v>37.990958858549696</c:v>
                </c:pt>
                <c:pt idx="154">
                  <c:v>38.236861211409817</c:v>
                </c:pt>
                <c:pt idx="155">
                  <c:v>38.48029215018525</c:v>
                </c:pt>
                <c:pt idx="156">
                  <c:v>38.72130194496804</c:v>
                </c:pt>
                <c:pt idx="157">
                  <c:v>38.959986832493371</c:v>
                </c:pt>
                <c:pt idx="158">
                  <c:v>39.221774664261453</c:v>
                </c:pt>
                <c:pt idx="159">
                  <c:v>39.489940680885709</c:v>
                </c:pt>
                <c:pt idx="160">
                  <c:v>39.76485686372137</c:v>
                </c:pt>
                <c:pt idx="161">
                  <c:v>40.043629326728627</c:v>
                </c:pt>
                <c:pt idx="162">
                  <c:v>40.326467154806942</c:v>
                </c:pt>
                <c:pt idx="163">
                  <c:v>40.610078590012868</c:v>
                </c:pt>
                <c:pt idx="164">
                  <c:v>40.894212030266409</c:v>
                </c:pt>
                <c:pt idx="165">
                  <c:v>41.178710712295384</c:v>
                </c:pt>
                <c:pt idx="166">
                  <c:v>41.463572113309795</c:v>
                </c:pt>
                <c:pt idx="167">
                  <c:v>41.748894641806807</c:v>
                </c:pt>
                <c:pt idx="168">
                  <c:v>42.034641266689363</c:v>
                </c:pt>
                <c:pt idx="169">
                  <c:v>42.320774956860504</c:v>
                </c:pt>
                <c:pt idx="170">
                  <c:v>42.607278458166562</c:v>
                </c:pt>
                <c:pt idx="171">
                  <c:v>42.894149747652826</c:v>
                </c:pt>
                <c:pt idx="172">
                  <c:v>43.181398463873379</c:v>
                </c:pt>
                <c:pt idx="173">
                  <c:v>43.469035768502224</c:v>
                </c:pt>
                <c:pt idx="174">
                  <c:v>43.757087530962558</c:v>
                </c:pt>
                <c:pt idx="175">
                  <c:v>44.045561866688395</c:v>
                </c:pt>
                <c:pt idx="176">
                  <c:v>44.334463345039488</c:v>
                </c:pt>
                <c:pt idx="177">
                  <c:v>44.623806673764769</c:v>
                </c:pt>
                <c:pt idx="178">
                  <c:v>44.913617222451954</c:v>
                </c:pt>
                <c:pt idx="179">
                  <c:v>45.203949776186811</c:v>
                </c:pt>
                <c:pt idx="180">
                  <c:v>45.494863689414146</c:v>
                </c:pt>
                <c:pt idx="181">
                  <c:v>45.786375193003032</c:v>
                </c:pt>
                <c:pt idx="182">
                  <c:v>46.073681516762527</c:v>
                </c:pt>
                <c:pt idx="183">
                  <c:v>46.352422549766104</c:v>
                </c:pt>
                <c:pt idx="184">
                  <c:v>46.623384852868391</c:v>
                </c:pt>
                <c:pt idx="185">
                  <c:v>46.887204202175859</c:v>
                </c:pt>
                <c:pt idx="186">
                  <c:v>47.151534654443182</c:v>
                </c:pt>
                <c:pt idx="187">
                  <c:v>47.412791752293586</c:v>
                </c:pt>
                <c:pt idx="188">
                  <c:v>47.670443345485161</c:v>
                </c:pt>
                <c:pt idx="189">
                  <c:v>47.922640273817535</c:v>
                </c:pt>
                <c:pt idx="190">
                  <c:v>48.168164998609988</c:v>
                </c:pt>
                <c:pt idx="191">
                  <c:v>48.406812641686109</c:v>
                </c:pt>
                <c:pt idx="192">
                  <c:v>48.638709078467656</c:v>
                </c:pt>
                <c:pt idx="193">
                  <c:v>48.864170074262326</c:v>
                </c:pt>
                <c:pt idx="194">
                  <c:v>49.079466193186008</c:v>
                </c:pt>
                <c:pt idx="195">
                  <c:v>49.288877308072955</c:v>
                </c:pt>
                <c:pt idx="196">
                  <c:v>49.492713722981222</c:v>
                </c:pt>
                <c:pt idx="197">
                  <c:v>49.691154753818132</c:v>
                </c:pt>
                <c:pt idx="198">
                  <c:v>49.884235272627876</c:v>
                </c:pt>
                <c:pt idx="199">
                  <c:v>50.071997312959049</c:v>
                </c:pt>
                <c:pt idx="200">
                  <c:v>50.254849351251032</c:v>
                </c:pt>
                <c:pt idx="201">
                  <c:v>50.432846482468001</c:v>
                </c:pt>
                <c:pt idx="202">
                  <c:v>50.605957810142037</c:v>
                </c:pt>
                <c:pt idx="203">
                  <c:v>50.783900085511952</c:v>
                </c:pt>
                <c:pt idx="204">
                  <c:v>50.961116474210392</c:v>
                </c:pt>
                <c:pt idx="205">
                  <c:v>51.139843053222172</c:v>
                </c:pt>
                <c:pt idx="206">
                  <c:v>51.324041437954939</c:v>
                </c:pt>
                <c:pt idx="207">
                  <c:v>51.514056210424428</c:v>
                </c:pt>
                <c:pt idx="208">
                  <c:v>51.710356691292958</c:v>
                </c:pt>
                <c:pt idx="209">
                  <c:v>51.990356691292959</c:v>
                </c:pt>
                <c:pt idx="210">
                  <c:v>52.27035669129296</c:v>
                </c:pt>
                <c:pt idx="211">
                  <c:v>52.554490131546501</c:v>
                </c:pt>
                <c:pt idx="212">
                  <c:v>52.838988813575476</c:v>
                </c:pt>
                <c:pt idx="213">
                  <c:v>53.123850214589886</c:v>
                </c:pt>
                <c:pt idx="214">
                  <c:v>53.409172743086899</c:v>
                </c:pt>
                <c:pt idx="215">
                  <c:v>53.694919367969455</c:v>
                </c:pt>
                <c:pt idx="216">
                  <c:v>53.981053058140596</c:v>
                </c:pt>
                <c:pt idx="217">
                  <c:v>54.267556559446653</c:v>
                </c:pt>
                <c:pt idx="218">
                  <c:v>54.554427848932917</c:v>
                </c:pt>
                <c:pt idx="219">
                  <c:v>54.834427848932918</c:v>
                </c:pt>
                <c:pt idx="220">
                  <c:v>55.118561289186459</c:v>
                </c:pt>
                <c:pt idx="221">
                  <c:v>55.403059971215434</c:v>
                </c:pt>
                <c:pt idx="222">
                  <c:v>55.687921372229845</c:v>
                </c:pt>
                <c:pt idx="223">
                  <c:v>55.973243900726857</c:v>
                </c:pt>
                <c:pt idx="224">
                  <c:v>56.258990525609413</c:v>
                </c:pt>
                <c:pt idx="225">
                  <c:v>56.545124215780554</c:v>
                </c:pt>
                <c:pt idx="226">
                  <c:v>56.831627717086612</c:v>
                </c:pt>
                <c:pt idx="227">
                  <c:v>57.118499006572875</c:v>
                </c:pt>
                <c:pt idx="228">
                  <c:v>57.405747722793429</c:v>
                </c:pt>
                <c:pt idx="229">
                  <c:v>57.693385027422273</c:v>
                </c:pt>
                <c:pt idx="230">
                  <c:v>57.981436789882608</c:v>
                </c:pt>
                <c:pt idx="231">
                  <c:v>58.269911125608445</c:v>
                </c:pt>
                <c:pt idx="232">
                  <c:v>58.558812603959538</c:v>
                </c:pt>
                <c:pt idx="233">
                  <c:v>58.848155932684818</c:v>
                </c:pt>
                <c:pt idx="234">
                  <c:v>59.137966481372004</c:v>
                </c:pt>
                <c:pt idx="235">
                  <c:v>59.428299035106861</c:v>
                </c:pt>
                <c:pt idx="236">
                  <c:v>59.719212948334196</c:v>
                </c:pt>
                <c:pt idx="237">
                  <c:v>60.010724451923082</c:v>
                </c:pt>
                <c:pt idx="238">
                  <c:v>60.298030775682577</c:v>
                </c:pt>
                <c:pt idx="239">
                  <c:v>60.576771808686154</c:v>
                </c:pt>
                <c:pt idx="240">
                  <c:v>60.847734111788441</c:v>
                </c:pt>
                <c:pt idx="241">
                  <c:v>61.111553461095909</c:v>
                </c:pt>
                <c:pt idx="242">
                  <c:v>61.375883913363232</c:v>
                </c:pt>
                <c:pt idx="243">
                  <c:v>61.637141011213636</c:v>
                </c:pt>
                <c:pt idx="244">
                  <c:v>61.894792604405211</c:v>
                </c:pt>
                <c:pt idx="245">
                  <c:v>62.146989532737585</c:v>
                </c:pt>
                <c:pt idx="246">
                  <c:v>62.392514257530038</c:v>
                </c:pt>
                <c:pt idx="247">
                  <c:v>62.631161900606159</c:v>
                </c:pt>
                <c:pt idx="248">
                  <c:v>62.863058337387706</c:v>
                </c:pt>
                <c:pt idx="249">
                  <c:v>63.088519333182376</c:v>
                </c:pt>
                <c:pt idx="250">
                  <c:v>63.303815452106058</c:v>
                </c:pt>
                <c:pt idx="251">
                  <c:v>63.513226566993005</c:v>
                </c:pt>
                <c:pt idx="252">
                  <c:v>63.717062981901272</c:v>
                </c:pt>
                <c:pt idx="253">
                  <c:v>63.915504012738182</c:v>
                </c:pt>
                <c:pt idx="254">
                  <c:v>64.108584531547933</c:v>
                </c:pt>
                <c:pt idx="255">
                  <c:v>64.296346571879113</c:v>
                </c:pt>
                <c:pt idx="256">
                  <c:v>64.479198610171096</c:v>
                </c:pt>
                <c:pt idx="257">
                  <c:v>64.657195741388065</c:v>
                </c:pt>
                <c:pt idx="258">
                  <c:v>64.830307069062101</c:v>
                </c:pt>
                <c:pt idx="259">
                  <c:v>64.998360048545138</c:v>
                </c:pt>
                <c:pt idx="260">
                  <c:v>65.161430698817469</c:v>
                </c:pt>
                <c:pt idx="261">
                  <c:v>65.320058852168501</c:v>
                </c:pt>
                <c:pt idx="262">
                  <c:v>65.474389461113404</c:v>
                </c:pt>
                <c:pt idx="263">
                  <c:v>65.624295689799055</c:v>
                </c:pt>
                <c:pt idx="264">
                  <c:v>65.769698437528731</c:v>
                </c:pt>
                <c:pt idx="265">
                  <c:v>69.546388903024848</c:v>
                </c:pt>
                <c:pt idx="266">
                  <c:v>72.784530783092507</c:v>
                </c:pt>
                <c:pt idx="267">
                  <c:v>72.881431570798057</c:v>
                </c:pt>
                <c:pt idx="268">
                  <c:v>73.004702771439298</c:v>
                </c:pt>
                <c:pt idx="269">
                  <c:v>73.134574147511202</c:v>
                </c:pt>
                <c:pt idx="270">
                  <c:v>73.288844527917917</c:v>
                </c:pt>
                <c:pt idx="271">
                  <c:v>73.454944256399585</c:v>
                </c:pt>
                <c:pt idx="272">
                  <c:v>73.734944256399586</c:v>
                </c:pt>
                <c:pt idx="273">
                  <c:v>73.996978429077856</c:v>
                </c:pt>
                <c:pt idx="274">
                  <c:v>74.281477111106824</c:v>
                </c:pt>
                <c:pt idx="275">
                  <c:v>74.566338512121234</c:v>
                </c:pt>
                <c:pt idx="276">
                  <c:v>74.851661040618254</c:v>
                </c:pt>
                <c:pt idx="277">
                  <c:v>75.137407665500803</c:v>
                </c:pt>
                <c:pt idx="278">
                  <c:v>75.423541355671944</c:v>
                </c:pt>
                <c:pt idx="279">
                  <c:v>75.710044856978001</c:v>
                </c:pt>
                <c:pt idx="280">
                  <c:v>75.996916146464258</c:v>
                </c:pt>
                <c:pt idx="281">
                  <c:v>76.284164862684804</c:v>
                </c:pt>
                <c:pt idx="282">
                  <c:v>76.571802167313649</c:v>
                </c:pt>
                <c:pt idx="283">
                  <c:v>76.859853929773976</c:v>
                </c:pt>
                <c:pt idx="284">
                  <c:v>77.148328265499813</c:v>
                </c:pt>
                <c:pt idx="285">
                  <c:v>77.437229743850907</c:v>
                </c:pt>
                <c:pt idx="286">
                  <c:v>77.726573072576187</c:v>
                </c:pt>
                <c:pt idx="287">
                  <c:v>78.016383621263373</c:v>
                </c:pt>
                <c:pt idx="288">
                  <c:v>78.306716174998229</c:v>
                </c:pt>
                <c:pt idx="289">
                  <c:v>78.597630088225557</c:v>
                </c:pt>
                <c:pt idx="290">
                  <c:v>78.88914159181445</c:v>
                </c:pt>
                <c:pt idx="291">
                  <c:v>79.176447915573945</c:v>
                </c:pt>
                <c:pt idx="292">
                  <c:v>79.455188948577529</c:v>
                </c:pt>
                <c:pt idx="293">
                  <c:v>79.726151251679809</c:v>
                </c:pt>
                <c:pt idx="294">
                  <c:v>79.989970600987277</c:v>
                </c:pt>
                <c:pt idx="295">
                  <c:v>80.254301053254594</c:v>
                </c:pt>
                <c:pt idx="296">
                  <c:v>80.515558151104997</c:v>
                </c:pt>
                <c:pt idx="297">
                  <c:v>80.773209744296565</c:v>
                </c:pt>
                <c:pt idx="298">
                  <c:v>81.025406672628947</c:v>
                </c:pt>
                <c:pt idx="299">
                  <c:v>81.270931397421407</c:v>
                </c:pt>
                <c:pt idx="300">
                  <c:v>81.509579040497528</c:v>
                </c:pt>
                <c:pt idx="301">
                  <c:v>81.741475477279067</c:v>
                </c:pt>
                <c:pt idx="302">
                  <c:v>81.96693647307373</c:v>
                </c:pt>
                <c:pt idx="303">
                  <c:v>82.182232591997419</c:v>
                </c:pt>
                <c:pt idx="304">
                  <c:v>82.391643706884366</c:v>
                </c:pt>
                <c:pt idx="305">
                  <c:v>82.595480121792633</c:v>
                </c:pt>
                <c:pt idx="306">
                  <c:v>82.793921152629537</c:v>
                </c:pt>
                <c:pt idx="307">
                  <c:v>82.987001671439288</c:v>
                </c:pt>
                <c:pt idx="308">
                  <c:v>83.174763711770467</c:v>
                </c:pt>
                <c:pt idx="309">
                  <c:v>83.35761575006245</c:v>
                </c:pt>
                <c:pt idx="310">
                  <c:v>83.53561288127942</c:v>
                </c:pt>
                <c:pt idx="311">
                  <c:v>83.708724208953456</c:v>
                </c:pt>
                <c:pt idx="312">
                  <c:v>83.876777188436492</c:v>
                </c:pt>
                <c:pt idx="313">
                  <c:v>84.039847838708823</c:v>
                </c:pt>
                <c:pt idx="314">
                  <c:v>84.198475992059855</c:v>
                </c:pt>
                <c:pt idx="315">
                  <c:v>84.352806601004758</c:v>
                </c:pt>
                <c:pt idx="316">
                  <c:v>84.504145800316749</c:v>
                </c:pt>
                <c:pt idx="317">
                  <c:v>84.655832535533335</c:v>
                </c:pt>
                <c:pt idx="318">
                  <c:v>89.632177619481155</c:v>
                </c:pt>
                <c:pt idx="319">
                  <c:v>110.47239193857871</c:v>
                </c:pt>
                <c:pt idx="320">
                  <c:v>110.61353595113357</c:v>
                </c:pt>
                <c:pt idx="321">
                  <c:v>110.75625104802587</c:v>
                </c:pt>
                <c:pt idx="322">
                  <c:v>110.90056462179834</c:v>
                </c:pt>
                <c:pt idx="323">
                  <c:v>111.05056462179834</c:v>
                </c:pt>
                <c:pt idx="324">
                  <c:v>111.1978631011384</c:v>
                </c:pt>
                <c:pt idx="325">
                  <c:v>111.38239310113839</c:v>
                </c:pt>
                <c:pt idx="326">
                  <c:v>111.66652654139193</c:v>
                </c:pt>
                <c:pt idx="327">
                  <c:v>111.9510252234209</c:v>
                </c:pt>
                <c:pt idx="328">
                  <c:v>112.23588662443531</c:v>
                </c:pt>
                <c:pt idx="329">
                  <c:v>112.52120915293233</c:v>
                </c:pt>
                <c:pt idx="330">
                  <c:v>112.80695577781488</c:v>
                </c:pt>
                <c:pt idx="331">
                  <c:v>113.09308946798602</c:v>
                </c:pt>
                <c:pt idx="332">
                  <c:v>113.37959296929208</c:v>
                </c:pt>
                <c:pt idx="333">
                  <c:v>113.66646425877833</c:v>
                </c:pt>
                <c:pt idx="334">
                  <c:v>113.95371297499888</c:v>
                </c:pt>
                <c:pt idx="335">
                  <c:v>114.24135027962772</c:v>
                </c:pt>
                <c:pt idx="336">
                  <c:v>114.52940204208805</c:v>
                </c:pt>
                <c:pt idx="337">
                  <c:v>114.81787637781389</c:v>
                </c:pt>
                <c:pt idx="338">
                  <c:v>115.10677785616498</c:v>
                </c:pt>
                <c:pt idx="339">
                  <c:v>115.39612118489026</c:v>
                </c:pt>
                <c:pt idx="340">
                  <c:v>115.68593173357745</c:v>
                </c:pt>
                <c:pt idx="341">
                  <c:v>115.9762642873123</c:v>
                </c:pt>
                <c:pt idx="342">
                  <c:v>116.26717820053963</c:v>
                </c:pt>
                <c:pt idx="343">
                  <c:v>116.55868970412853</c:v>
                </c:pt>
                <c:pt idx="344">
                  <c:v>116.84599602788802</c:v>
                </c:pt>
                <c:pt idx="345">
                  <c:v>117.1247370608916</c:v>
                </c:pt>
                <c:pt idx="346">
                  <c:v>117.39569936399388</c:v>
                </c:pt>
                <c:pt idx="347">
                  <c:v>117.65951871330135</c:v>
                </c:pt>
                <c:pt idx="348">
                  <c:v>117.92384916556867</c:v>
                </c:pt>
                <c:pt idx="349">
                  <c:v>118.18510626341907</c:v>
                </c:pt>
                <c:pt idx="350">
                  <c:v>118.44275785661064</c:v>
                </c:pt>
                <c:pt idx="351">
                  <c:v>118.69495478494302</c:v>
                </c:pt>
                <c:pt idx="352">
                  <c:v>118.94047950973548</c:v>
                </c:pt>
                <c:pt idx="353">
                  <c:v>119.1791271528116</c:v>
                </c:pt>
                <c:pt idx="354">
                  <c:v>119.41102358959314</c:v>
                </c:pt>
                <c:pt idx="355">
                  <c:v>119.63648458538781</c:v>
                </c:pt>
                <c:pt idx="356">
                  <c:v>119.85178070431149</c:v>
                </c:pt>
                <c:pt idx="357">
                  <c:v>120.06119181919844</c:v>
                </c:pt>
                <c:pt idx="358">
                  <c:v>120.26502823410671</c:v>
                </c:pt>
                <c:pt idx="359">
                  <c:v>120.46346926494361</c:v>
                </c:pt>
                <c:pt idx="360">
                  <c:v>120.65654978375336</c:v>
                </c:pt>
                <c:pt idx="361">
                  <c:v>120.84431182408454</c:v>
                </c:pt>
                <c:pt idx="362">
                  <c:v>121.02716386237653</c:v>
                </c:pt>
                <c:pt idx="363">
                  <c:v>121.20516099359349</c:v>
                </c:pt>
                <c:pt idx="364">
                  <c:v>121.37827232126753</c:v>
                </c:pt>
                <c:pt idx="365">
                  <c:v>121.54632530075057</c:v>
                </c:pt>
                <c:pt idx="366">
                  <c:v>121.7093959510229</c:v>
                </c:pt>
                <c:pt idx="367">
                  <c:v>121.86802410437393</c:v>
                </c:pt>
                <c:pt idx="368">
                  <c:v>122.02235471331883</c:v>
                </c:pt>
                <c:pt idx="369">
                  <c:v>122.17226094200448</c:v>
                </c:pt>
                <c:pt idx="370">
                  <c:v>122.31766368973416</c:v>
                </c:pt>
                <c:pt idx="371">
                  <c:v>121.88017991798355</c:v>
                </c:pt>
                <c:pt idx="372">
                  <c:v>122.03224776737423</c:v>
                </c:pt>
                <c:pt idx="373">
                  <c:v>122.18538858266099</c:v>
                </c:pt>
                <c:pt idx="374">
                  <c:v>122.34192030210112</c:v>
                </c:pt>
                <c:pt idx="375">
                  <c:v>122.50570242113908</c:v>
                </c:pt>
                <c:pt idx="376">
                  <c:v>122.67232803531887</c:v>
                </c:pt>
                <c:pt idx="377">
                  <c:v>122.84397397121103</c:v>
                </c:pt>
                <c:pt idx="378">
                  <c:v>123.02512187218032</c:v>
                </c:pt>
                <c:pt idx="379">
                  <c:v>123.2165743239746</c:v>
                </c:pt>
                <c:pt idx="380">
                  <c:v>123.41578202563397</c:v>
                </c:pt>
                <c:pt idx="381">
                  <c:v>123.61981100376462</c:v>
                </c:pt>
                <c:pt idx="382">
                  <c:v>123.77981100376462</c:v>
                </c:pt>
                <c:pt idx="383">
                  <c:v>124.01981100376462</c:v>
                </c:pt>
                <c:pt idx="384">
                  <c:v>124.30394444401816</c:v>
                </c:pt>
                <c:pt idx="385">
                  <c:v>124.58844312604712</c:v>
                </c:pt>
                <c:pt idx="386">
                  <c:v>124.87330452706153</c:v>
                </c:pt>
                <c:pt idx="387">
                  <c:v>125.15862705555855</c:v>
                </c:pt>
                <c:pt idx="388">
                  <c:v>125.4443736804411</c:v>
                </c:pt>
                <c:pt idx="389">
                  <c:v>125.73050737061224</c:v>
                </c:pt>
                <c:pt idx="390">
                  <c:v>126.0170108719183</c:v>
                </c:pt>
                <c:pt idx="391">
                  <c:v>126.30388216140456</c:v>
                </c:pt>
                <c:pt idx="392">
                  <c:v>126.5911308776251</c:v>
                </c:pt>
                <c:pt idx="393">
                  <c:v>126.87876818225395</c:v>
                </c:pt>
                <c:pt idx="394">
                  <c:v>127.16681994471428</c:v>
                </c:pt>
                <c:pt idx="395">
                  <c:v>127.45529428044011</c:v>
                </c:pt>
                <c:pt idx="396">
                  <c:v>127.74419575879121</c:v>
                </c:pt>
                <c:pt idx="397">
                  <c:v>128.03353908751649</c:v>
                </c:pt>
                <c:pt idx="398">
                  <c:v>128.32334963620369</c:v>
                </c:pt>
                <c:pt idx="399">
                  <c:v>128.61368218993854</c:v>
                </c:pt>
                <c:pt idx="400">
                  <c:v>128.90459610316589</c:v>
                </c:pt>
                <c:pt idx="401">
                  <c:v>129.19610760675477</c:v>
                </c:pt>
                <c:pt idx="402">
                  <c:v>129.48341393051427</c:v>
                </c:pt>
                <c:pt idx="403">
                  <c:v>129.76215496351784</c:v>
                </c:pt>
                <c:pt idx="404">
                  <c:v>130.03311726662014</c:v>
                </c:pt>
                <c:pt idx="405">
                  <c:v>130.29693661592759</c:v>
                </c:pt>
                <c:pt idx="406">
                  <c:v>130.56126706819492</c:v>
                </c:pt>
                <c:pt idx="407">
                  <c:v>130.82252416604533</c:v>
                </c:pt>
                <c:pt idx="408">
                  <c:v>131.08017575923691</c:v>
                </c:pt>
                <c:pt idx="409">
                  <c:v>131.33237268756929</c:v>
                </c:pt>
                <c:pt idx="410">
                  <c:v>131.57789741236175</c:v>
                </c:pt>
                <c:pt idx="411">
                  <c:v>131.81654505543787</c:v>
                </c:pt>
                <c:pt idx="412">
                  <c:v>132.04844149221941</c:v>
                </c:pt>
                <c:pt idx="413">
                  <c:v>132.27390248801407</c:v>
                </c:pt>
                <c:pt idx="414">
                  <c:v>132.48919860693775</c:v>
                </c:pt>
                <c:pt idx="415">
                  <c:v>132.69860972182468</c:v>
                </c:pt>
                <c:pt idx="416">
                  <c:v>132.90244613673295</c:v>
                </c:pt>
                <c:pt idx="417">
                  <c:v>133.10088716756985</c:v>
                </c:pt>
                <c:pt idx="418">
                  <c:v>133.2939676863796</c:v>
                </c:pt>
                <c:pt idx="419">
                  <c:v>133.48172972671077</c:v>
                </c:pt>
                <c:pt idx="420">
                  <c:v>133.66458176500277</c:v>
                </c:pt>
                <c:pt idx="421">
                  <c:v>133.84257889621975</c:v>
                </c:pt>
                <c:pt idx="422">
                  <c:v>134.01569022389378</c:v>
                </c:pt>
                <c:pt idx="423">
                  <c:v>134.18374320337682</c:v>
                </c:pt>
                <c:pt idx="424">
                  <c:v>134.34681385364914</c:v>
                </c:pt>
                <c:pt idx="425">
                  <c:v>134.50544200700017</c:v>
                </c:pt>
                <c:pt idx="426">
                  <c:v>134.65977261594509</c:v>
                </c:pt>
                <c:pt idx="427">
                  <c:v>134.81523924796559</c:v>
                </c:pt>
                <c:pt idx="428">
                  <c:v>134.96973499679731</c:v>
                </c:pt>
                <c:pt idx="429">
                  <c:v>143.90360562232001</c:v>
                </c:pt>
                <c:pt idx="430">
                  <c:v>144.06734959224778</c:v>
                </c:pt>
                <c:pt idx="431">
                  <c:v>144.23962577145826</c:v>
                </c:pt>
                <c:pt idx="432">
                  <c:v>144.42536928854011</c:v>
                </c:pt>
                <c:pt idx="433">
                  <c:v>144.6706692885401</c:v>
                </c:pt>
                <c:pt idx="434">
                  <c:v>144.85966928854009</c:v>
                </c:pt>
                <c:pt idx="435">
                  <c:v>145.14380272879362</c:v>
                </c:pt>
                <c:pt idx="436">
                  <c:v>145.4283014108226</c:v>
                </c:pt>
                <c:pt idx="437">
                  <c:v>145.71316281183701</c:v>
                </c:pt>
                <c:pt idx="438">
                  <c:v>145.99848534033401</c:v>
                </c:pt>
                <c:pt idx="439">
                  <c:v>146.28423196521658</c:v>
                </c:pt>
                <c:pt idx="440">
                  <c:v>146.57036565538772</c:v>
                </c:pt>
                <c:pt idx="441">
                  <c:v>146.85686915669379</c:v>
                </c:pt>
                <c:pt idx="442">
                  <c:v>147.14374044618006</c:v>
                </c:pt>
                <c:pt idx="443">
                  <c:v>147.43098916240061</c:v>
                </c:pt>
                <c:pt idx="444">
                  <c:v>147.71862646702945</c:v>
                </c:pt>
                <c:pt idx="445">
                  <c:v>148.00667822948978</c:v>
                </c:pt>
                <c:pt idx="446">
                  <c:v>148.2951525652156</c:v>
                </c:pt>
                <c:pt idx="447">
                  <c:v>148.58405404356671</c:v>
                </c:pt>
                <c:pt idx="448">
                  <c:v>148.873397372292</c:v>
                </c:pt>
                <c:pt idx="449">
                  <c:v>149.1632079209792</c:v>
                </c:pt>
                <c:pt idx="450">
                  <c:v>149.45354047471406</c:v>
                </c:pt>
                <c:pt idx="451">
                  <c:v>149.7444543879414</c:v>
                </c:pt>
                <c:pt idx="452">
                  <c:v>150.03596589153028</c:v>
                </c:pt>
                <c:pt idx="453">
                  <c:v>150.32327221528979</c:v>
                </c:pt>
                <c:pt idx="454">
                  <c:v>150.60201324829336</c:v>
                </c:pt>
                <c:pt idx="455">
                  <c:v>150.87297555139565</c:v>
                </c:pt>
                <c:pt idx="456">
                  <c:v>151.13679490070311</c:v>
                </c:pt>
                <c:pt idx="457">
                  <c:v>151.40112535297044</c:v>
                </c:pt>
                <c:pt idx="458">
                  <c:v>151.66238245082084</c:v>
                </c:pt>
                <c:pt idx="459">
                  <c:v>151.92003404401243</c:v>
                </c:pt>
                <c:pt idx="460">
                  <c:v>152.17223097234481</c:v>
                </c:pt>
                <c:pt idx="461">
                  <c:v>152.41775569713727</c:v>
                </c:pt>
                <c:pt idx="462">
                  <c:v>152.65640334021339</c:v>
                </c:pt>
                <c:pt idx="463">
                  <c:v>152.88829977699493</c:v>
                </c:pt>
                <c:pt idx="464">
                  <c:v>153.11376077278959</c:v>
                </c:pt>
                <c:pt idx="465">
                  <c:v>153.32905689171326</c:v>
                </c:pt>
                <c:pt idx="466">
                  <c:v>153.5384680066002</c:v>
                </c:pt>
                <c:pt idx="467">
                  <c:v>153.74230442150846</c:v>
                </c:pt>
                <c:pt idx="468">
                  <c:v>153.94074545234537</c:v>
                </c:pt>
                <c:pt idx="469">
                  <c:v>154.13382597115512</c:v>
                </c:pt>
                <c:pt idx="470">
                  <c:v>154.32158801148628</c:v>
                </c:pt>
                <c:pt idx="471">
                  <c:v>154.50444004977828</c:v>
                </c:pt>
                <c:pt idx="472">
                  <c:v>154.68243718099527</c:v>
                </c:pt>
                <c:pt idx="473">
                  <c:v>154.8555485086693</c:v>
                </c:pt>
                <c:pt idx="474">
                  <c:v>155.02360148815234</c:v>
                </c:pt>
                <c:pt idx="475">
                  <c:v>155.18667213842465</c:v>
                </c:pt>
                <c:pt idx="476">
                  <c:v>155.34530029177569</c:v>
                </c:pt>
                <c:pt idx="477">
                  <c:v>155.4996309007206</c:v>
                </c:pt>
                <c:pt idx="478">
                  <c:v>155.64953712940624</c:v>
                </c:pt>
                <c:pt idx="479">
                  <c:v>155.7949398771359</c:v>
                </c:pt>
                <c:pt idx="480">
                  <c:v>171.92592524853075</c:v>
                </c:pt>
                <c:pt idx="481">
                  <c:v>172.08570400010959</c:v>
                </c:pt>
                <c:pt idx="482">
                  <c:v>172.24853557684645</c:v>
                </c:pt>
                <c:pt idx="483">
                  <c:v>172.41617427931803</c:v>
                </c:pt>
                <c:pt idx="484">
                  <c:v>172.58895780836102</c:v>
                </c:pt>
                <c:pt idx="485">
                  <c:v>172.77538347633563</c:v>
                </c:pt>
                <c:pt idx="486">
                  <c:v>172.9669976707913</c:v>
                </c:pt>
                <c:pt idx="487">
                  <c:v>173.14699767079131</c:v>
                </c:pt>
                <c:pt idx="488">
                  <c:v>173.38699767079132</c:v>
                </c:pt>
                <c:pt idx="489">
                  <c:v>173.67113111104484</c:v>
                </c:pt>
                <c:pt idx="490">
                  <c:v>173.95562979307383</c:v>
                </c:pt>
                <c:pt idx="491">
                  <c:v>174.24049119408824</c:v>
                </c:pt>
                <c:pt idx="492">
                  <c:v>174.52581372258524</c:v>
                </c:pt>
                <c:pt idx="493">
                  <c:v>174.8115603474678</c:v>
                </c:pt>
                <c:pt idx="494">
                  <c:v>175.09769403763895</c:v>
                </c:pt>
                <c:pt idx="495">
                  <c:v>175.38419753894502</c:v>
                </c:pt>
                <c:pt idx="496">
                  <c:v>175.67106882843129</c:v>
                </c:pt>
                <c:pt idx="497">
                  <c:v>175.95831754465183</c:v>
                </c:pt>
                <c:pt idx="498">
                  <c:v>176.24595484928068</c:v>
                </c:pt>
                <c:pt idx="499">
                  <c:v>176.53400661174101</c:v>
                </c:pt>
                <c:pt idx="500">
                  <c:v>176.82248094746683</c:v>
                </c:pt>
                <c:pt idx="501">
                  <c:v>177.11138242581794</c:v>
                </c:pt>
                <c:pt idx="502">
                  <c:v>177.40072575454323</c:v>
                </c:pt>
                <c:pt idx="503">
                  <c:v>177.69053630323043</c:v>
                </c:pt>
                <c:pt idx="504">
                  <c:v>177.98086885696529</c:v>
                </c:pt>
                <c:pt idx="505">
                  <c:v>178.27178277019263</c:v>
                </c:pt>
                <c:pt idx="506">
                  <c:v>178.56329427378151</c:v>
                </c:pt>
                <c:pt idx="507">
                  <c:v>178.85060059754102</c:v>
                </c:pt>
                <c:pt idx="508">
                  <c:v>179.12934163054459</c:v>
                </c:pt>
                <c:pt idx="509">
                  <c:v>179.40030393364688</c:v>
                </c:pt>
                <c:pt idx="510">
                  <c:v>179.66412328295434</c:v>
                </c:pt>
                <c:pt idx="511">
                  <c:v>179.92845373522167</c:v>
                </c:pt>
                <c:pt idx="512">
                  <c:v>180.18971083307207</c:v>
                </c:pt>
                <c:pt idx="513">
                  <c:v>180.44736242626365</c:v>
                </c:pt>
                <c:pt idx="514">
                  <c:v>180.69955935459603</c:v>
                </c:pt>
                <c:pt idx="515">
                  <c:v>180.94508407938849</c:v>
                </c:pt>
                <c:pt idx="516">
                  <c:v>181.18373172246461</c:v>
                </c:pt>
                <c:pt idx="517">
                  <c:v>181.41562815924615</c:v>
                </c:pt>
                <c:pt idx="518">
                  <c:v>181.64108915504082</c:v>
                </c:pt>
                <c:pt idx="519">
                  <c:v>181.85638527396449</c:v>
                </c:pt>
                <c:pt idx="520">
                  <c:v>182.06579638885142</c:v>
                </c:pt>
                <c:pt idx="521">
                  <c:v>182.26963280375969</c:v>
                </c:pt>
                <c:pt idx="522">
                  <c:v>182.46807383459659</c:v>
                </c:pt>
                <c:pt idx="523">
                  <c:v>182.66115435340635</c:v>
                </c:pt>
                <c:pt idx="524">
                  <c:v>182.84891639373751</c:v>
                </c:pt>
                <c:pt idx="525">
                  <c:v>183.03176843202951</c:v>
                </c:pt>
                <c:pt idx="526">
                  <c:v>183.20976556324649</c:v>
                </c:pt>
                <c:pt idx="527">
                  <c:v>183.38287689092053</c:v>
                </c:pt>
                <c:pt idx="528">
                  <c:v>183.55092987040356</c:v>
                </c:pt>
                <c:pt idx="529">
                  <c:v>183.71400052067588</c:v>
                </c:pt>
                <c:pt idx="530">
                  <c:v>183.87262867402691</c:v>
                </c:pt>
              </c:numCache>
            </c:numRef>
          </c:xVal>
          <c:yVal>
            <c:numRef>
              <c:f>Data!$BH$3:$BH$533</c:f>
              <c:numCache>
                <c:formatCode>General</c:formatCode>
                <c:ptCount val="531"/>
                <c:pt idx="0">
                  <c:v>2192.0645856092228</c:v>
                </c:pt>
                <c:pt idx="1">
                  <c:v>1938.2015147243258</c:v>
                </c:pt>
                <c:pt idx="2">
                  <c:v>1975.0784358419901</c:v>
                </c:pt>
                <c:pt idx="3">
                  <c:v>2011.4183567426471</c:v>
                </c:pt>
                <c:pt idx="4">
                  <c:v>1371.958407246243</c:v>
                </c:pt>
                <c:pt idx="5">
                  <c:v>1198.9043631115458</c:v>
                </c:pt>
                <c:pt idx="6">
                  <c:v>1209.4596211661421</c:v>
                </c:pt>
                <c:pt idx="7">
                  <c:v>1219.9860485535228</c:v>
                </c:pt>
                <c:pt idx="8">
                  <c:v>1230.5019006194364</c:v>
                </c:pt>
                <c:pt idx="9">
                  <c:v>1241.0073113116575</c:v>
                </c:pt>
                <c:pt idx="10">
                  <c:v>1251.4838062749754</c:v>
                </c:pt>
                <c:pt idx="11">
                  <c:v>1261.9760401295209</c:v>
                </c:pt>
                <c:pt idx="12">
                  <c:v>1272.4357683624849</c:v>
                </c:pt>
                <c:pt idx="13">
                  <c:v>1282.9292177985046</c:v>
                </c:pt>
                <c:pt idx="14">
                  <c:v>1293.396607607777</c:v>
                </c:pt>
                <c:pt idx="15">
                  <c:v>1303.8897319167565</c:v>
                </c:pt>
                <c:pt idx="16">
                  <c:v>1314.3671565969157</c:v>
                </c:pt>
                <c:pt idx="17">
                  <c:v>1324.8607685010868</c:v>
                </c:pt>
                <c:pt idx="18">
                  <c:v>1335.3529844055124</c:v>
                </c:pt>
                <c:pt idx="19">
                  <c:v>1345.8483783661875</c:v>
                </c:pt>
                <c:pt idx="20">
                  <c:v>8422.0799647446038</c:v>
                </c:pt>
                <c:pt idx="21">
                  <c:v>8489.0885662329656</c:v>
                </c:pt>
                <c:pt idx="22">
                  <c:v>8557.7264057105458</c:v>
                </c:pt>
                <c:pt idx="23">
                  <c:v>8626.8119168732737</c:v>
                </c:pt>
                <c:pt idx="24">
                  <c:v>8697.4138708739829</c:v>
                </c:pt>
                <c:pt idx="25">
                  <c:v>8767.6665793996981</c:v>
                </c:pt>
                <c:pt idx="26">
                  <c:v>8838.0333827933118</c:v>
                </c:pt>
                <c:pt idx="27">
                  <c:v>8908.4358289284937</c:v>
                </c:pt>
                <c:pt idx="28">
                  <c:v>8979.032961951094</c:v>
                </c:pt>
                <c:pt idx="29">
                  <c:v>9049.7898992570445</c:v>
                </c:pt>
                <c:pt idx="30">
                  <c:v>9120.7914116434567</c:v>
                </c:pt>
                <c:pt idx="31">
                  <c:v>4743.6509664132855</c:v>
                </c:pt>
                <c:pt idx="32">
                  <c:v>9208.0379747051611</c:v>
                </c:pt>
                <c:pt idx="33">
                  <c:v>9280.1772310742526</c:v>
                </c:pt>
                <c:pt idx="34">
                  <c:v>-38420.518740328444</c:v>
                </c:pt>
                <c:pt idx="35">
                  <c:v>-30835.68730496394</c:v>
                </c:pt>
                <c:pt idx="36">
                  <c:v>0</c:v>
                </c:pt>
                <c:pt idx="37">
                  <c:v>0</c:v>
                </c:pt>
                <c:pt idx="38">
                  <c:v>0</c:v>
                </c:pt>
                <c:pt idx="39">
                  <c:v>0</c:v>
                </c:pt>
                <c:pt idx="40">
                  <c:v>0</c:v>
                </c:pt>
                <c:pt idx="41">
                  <c:v>0</c:v>
                </c:pt>
                <c:pt idx="42">
                  <c:v>0</c:v>
                </c:pt>
                <c:pt idx="43">
                  <c:v>6211.2456793690735</c:v>
                </c:pt>
                <c:pt idx="44">
                  <c:v>0</c:v>
                </c:pt>
                <c:pt idx="45">
                  <c:v>-18212.251542903767</c:v>
                </c:pt>
                <c:pt idx="46">
                  <c:v>-15362.616799352776</c:v>
                </c:pt>
                <c:pt idx="47">
                  <c:v>-25959.812076970724</c:v>
                </c:pt>
                <c:pt idx="48">
                  <c:v>-17293.458038797304</c:v>
                </c:pt>
                <c:pt idx="49">
                  <c:v>-17200.108512375224</c:v>
                </c:pt>
                <c:pt idx="50">
                  <c:v>7970.8397222377944</c:v>
                </c:pt>
                <c:pt idx="51">
                  <c:v>8802.8904684587615</c:v>
                </c:pt>
                <c:pt idx="52">
                  <c:v>9570.9429818575609</c:v>
                </c:pt>
                <c:pt idx="53">
                  <c:v>10289.329949739194</c:v>
                </c:pt>
                <c:pt idx="54">
                  <c:v>10968.697297398066</c:v>
                </c:pt>
                <c:pt idx="55">
                  <c:v>11616.458483151024</c:v>
                </c:pt>
                <c:pt idx="56">
                  <c:v>12237.082902366214</c:v>
                </c:pt>
                <c:pt idx="57">
                  <c:v>8556.1860892176264</c:v>
                </c:pt>
                <c:pt idx="58">
                  <c:v>8940.7693850955457</c:v>
                </c:pt>
                <c:pt idx="59">
                  <c:v>9313.5857019940322</c:v>
                </c:pt>
                <c:pt idx="60">
                  <c:v>9676.2649706273605</c:v>
                </c:pt>
                <c:pt idx="61">
                  <c:v>10029.851872881636</c:v>
                </c:pt>
                <c:pt idx="62">
                  <c:v>10375.50228952287</c:v>
                </c:pt>
                <c:pt idx="63">
                  <c:v>10714.155133457705</c:v>
                </c:pt>
                <c:pt idx="64">
                  <c:v>11046.476654276556</c:v>
                </c:pt>
                <c:pt idx="65">
                  <c:v>11373.151098409191</c:v>
                </c:pt>
                <c:pt idx="66">
                  <c:v>11694.483505927245</c:v>
                </c:pt>
                <c:pt idx="67">
                  <c:v>0</c:v>
                </c:pt>
                <c:pt idx="68">
                  <c:v>0</c:v>
                </c:pt>
                <c:pt idx="69">
                  <c:v>0</c:v>
                </c:pt>
                <c:pt idx="70">
                  <c:v>0</c:v>
                </c:pt>
                <c:pt idx="71">
                  <c:v>0</c:v>
                </c:pt>
                <c:pt idx="72">
                  <c:v>0</c:v>
                </c:pt>
                <c:pt idx="73">
                  <c:v>0</c:v>
                </c:pt>
                <c:pt idx="74">
                  <c:v>0</c:v>
                </c:pt>
                <c:pt idx="75">
                  <c:v>0</c:v>
                </c:pt>
                <c:pt idx="76">
                  <c:v>0</c:v>
                </c:pt>
                <c:pt idx="77">
                  <c:v>1999.368177363827</c:v>
                </c:pt>
                <c:pt idx="78">
                  <c:v>11908.052888301743</c:v>
                </c:pt>
                <c:pt idx="79">
                  <c:v>8378.3266339833608</c:v>
                </c:pt>
                <c:pt idx="80">
                  <c:v>8801.5101170810576</c:v>
                </c:pt>
                <c:pt idx="81">
                  <c:v>9210.7175187768444</c:v>
                </c:pt>
                <c:pt idx="82">
                  <c:v>9607.6469227169309</c:v>
                </c:pt>
                <c:pt idx="83">
                  <c:v>9993.827096120589</c:v>
                </c:pt>
                <c:pt idx="84">
                  <c:v>10370.574736228946</c:v>
                </c:pt>
                <c:pt idx="85">
                  <c:v>10738.923686345066</c:v>
                </c:pt>
                <c:pt idx="86">
                  <c:v>11099.911744161562</c:v>
                </c:pt>
                <c:pt idx="87">
                  <c:v>11453.866516442013</c:v>
                </c:pt>
                <c:pt idx="88">
                  <c:v>11800.357204354083</c:v>
                </c:pt>
                <c:pt idx="89">
                  <c:v>12141.54452815164</c:v>
                </c:pt>
                <c:pt idx="90">
                  <c:v>12477.730515246572</c:v>
                </c:pt>
                <c:pt idx="91">
                  <c:v>0</c:v>
                </c:pt>
                <c:pt idx="92">
                  <c:v>2690.1995849333694</c:v>
                </c:pt>
                <c:pt idx="93">
                  <c:v>7515.6277501859604</c:v>
                </c:pt>
                <c:pt idx="94">
                  <c:v>7612.8521633436676</c:v>
                </c:pt>
                <c:pt idx="95">
                  <c:v>7709.9153934340666</c:v>
                </c:pt>
                <c:pt idx="96">
                  <c:v>0</c:v>
                </c:pt>
                <c:pt idx="97">
                  <c:v>7903.4806713782946</c:v>
                </c:pt>
                <c:pt idx="98">
                  <c:v>7999.8250883819592</c:v>
                </c:pt>
                <c:pt idx="99">
                  <c:v>8095.8552599932673</c:v>
                </c:pt>
                <c:pt idx="100">
                  <c:v>8191.6550021964167</c:v>
                </c:pt>
                <c:pt idx="101">
                  <c:v>8287.2547328473865</c:v>
                </c:pt>
                <c:pt idx="102">
                  <c:v>8382.6666029687713</c:v>
                </c:pt>
                <c:pt idx="103">
                  <c:v>8477.924183232677</c:v>
                </c:pt>
                <c:pt idx="104">
                  <c:v>8573.068315101802</c:v>
                </c:pt>
                <c:pt idx="105">
                  <c:v>8668.1246373153408</c:v>
                </c:pt>
                <c:pt idx="106">
                  <c:v>8763.1409732104275</c:v>
                </c:pt>
                <c:pt idx="107">
                  <c:v>8858.1485204181117</c:v>
                </c:pt>
                <c:pt idx="108">
                  <c:v>8953.1582555833829</c:v>
                </c:pt>
                <c:pt idx="109">
                  <c:v>9048.210962185849</c:v>
                </c:pt>
                <c:pt idx="110">
                  <c:v>9143.3057731725839</c:v>
                </c:pt>
                <c:pt idx="111">
                  <c:v>9238.4897353377983</c:v>
                </c:pt>
                <c:pt idx="112">
                  <c:v>2372.952135080252</c:v>
                </c:pt>
                <c:pt idx="113">
                  <c:v>2220.2703330576473</c:v>
                </c:pt>
                <c:pt idx="114">
                  <c:v>2055.4497412090664</c:v>
                </c:pt>
                <c:pt idx="115">
                  <c:v>2794.4884308553883</c:v>
                </c:pt>
                <c:pt idx="116">
                  <c:v>2872.0081585203379</c:v>
                </c:pt>
                <c:pt idx="117">
                  <c:v>1978.182179047456</c:v>
                </c:pt>
                <c:pt idx="118">
                  <c:v>1978.182179047456</c:v>
                </c:pt>
                <c:pt idx="119">
                  <c:v>2001.7974241419406</c:v>
                </c:pt>
                <c:pt idx="120">
                  <c:v>2025.2044926203205</c:v>
                </c:pt>
                <c:pt idx="121">
                  <c:v>2048.3975033110037</c:v>
                </c:pt>
                <c:pt idx="122">
                  <c:v>2071.3438397193931</c:v>
                </c:pt>
                <c:pt idx="123">
                  <c:v>2094.0612119863395</c:v>
                </c:pt>
                <c:pt idx="124">
                  <c:v>2116.5665795357104</c:v>
                </c:pt>
                <c:pt idx="125">
                  <c:v>2138.8539995083329</c:v>
                </c:pt>
                <c:pt idx="126">
                  <c:v>2160.9287656539364</c:v>
                </c:pt>
                <c:pt idx="127">
                  <c:v>2182.8124561955642</c:v>
                </c:pt>
                <c:pt idx="128">
                  <c:v>2204.5175827635094</c:v>
                </c:pt>
                <c:pt idx="129">
                  <c:v>2226.0533051998686</c:v>
                </c:pt>
                <c:pt idx="130">
                  <c:v>8724.6459184876949</c:v>
                </c:pt>
                <c:pt idx="131">
                  <c:v>8826.5270293351787</c:v>
                </c:pt>
                <c:pt idx="132">
                  <c:v>8928.3129194188714</c:v>
                </c:pt>
                <c:pt idx="133">
                  <c:v>9030.0534146991595</c:v>
                </c:pt>
                <c:pt idx="134">
                  <c:v>9131.7825726954215</c:v>
                </c:pt>
                <c:pt idx="135">
                  <c:v>9233.516473708587</c:v>
                </c:pt>
                <c:pt idx="136">
                  <c:v>2372.9175445362966</c:v>
                </c:pt>
                <c:pt idx="137">
                  <c:v>2209.8220164112181</c:v>
                </c:pt>
                <c:pt idx="138">
                  <c:v>2032.9644853835862</c:v>
                </c:pt>
                <c:pt idx="139">
                  <c:v>2739.2531243181511</c:v>
                </c:pt>
                <c:pt idx="140">
                  <c:v>2412.9692722319169</c:v>
                </c:pt>
                <c:pt idx="141">
                  <c:v>2033.4975001964565</c:v>
                </c:pt>
                <c:pt idx="142">
                  <c:v>2146.1404473401699</c:v>
                </c:pt>
                <c:pt idx="143">
                  <c:v>2253.4107059150665</c:v>
                </c:pt>
                <c:pt idx="144">
                  <c:v>2356.0008278072455</c:v>
                </c:pt>
                <c:pt idx="145">
                  <c:v>2454.437924799031</c:v>
                </c:pt>
                <c:pt idx="146">
                  <c:v>2549.1739285727554</c:v>
                </c:pt>
                <c:pt idx="147">
                  <c:v>2640.6100184998704</c:v>
                </c:pt>
                <c:pt idx="148">
                  <c:v>2729.074552453832</c:v>
                </c:pt>
                <c:pt idx="149">
                  <c:v>2814.8644246326103</c:v>
                </c:pt>
                <c:pt idx="150">
                  <c:v>2898.2276818561431</c:v>
                </c:pt>
                <c:pt idx="151">
                  <c:v>1999.3976228751881</c:v>
                </c:pt>
                <c:pt idx="152">
                  <c:v>2762.3287173100171</c:v>
                </c:pt>
                <c:pt idx="153">
                  <c:v>7690.3815519892696</c:v>
                </c:pt>
                <c:pt idx="154">
                  <c:v>7803.2243922692078</c:v>
                </c:pt>
                <c:pt idx="155">
                  <c:v>7915.6265880987157</c:v>
                </c:pt>
                <c:pt idx="156">
                  <c:v>8027.5801927544426</c:v>
                </c:pt>
                <c:pt idx="157">
                  <c:v>8139.1242074811471</c:v>
                </c:pt>
                <c:pt idx="158">
                  <c:v>12104.503314328093</c:v>
                </c:pt>
                <c:pt idx="159">
                  <c:v>-4770.4910646423132</c:v>
                </c:pt>
                <c:pt idx="160">
                  <c:v>-4512.8988985244041</c:v>
                </c:pt>
                <c:pt idx="161">
                  <c:v>-979.91643923965728</c:v>
                </c:pt>
                <c:pt idx="162">
                  <c:v>13465.906457145509</c:v>
                </c:pt>
                <c:pt idx="163">
                  <c:v>13465.906457145509</c:v>
                </c:pt>
                <c:pt idx="164">
                  <c:v>13465.906457145509</c:v>
                </c:pt>
                <c:pt idx="165">
                  <c:v>13465.906457145509</c:v>
                </c:pt>
                <c:pt idx="166">
                  <c:v>13465.906457145509</c:v>
                </c:pt>
                <c:pt idx="167">
                  <c:v>13465.906457145509</c:v>
                </c:pt>
                <c:pt idx="168">
                  <c:v>13465.906457145509</c:v>
                </c:pt>
                <c:pt idx="169">
                  <c:v>13465.906457145509</c:v>
                </c:pt>
                <c:pt idx="170">
                  <c:v>13465.906457145509</c:v>
                </c:pt>
                <c:pt idx="171">
                  <c:v>13465.906457145509</c:v>
                </c:pt>
                <c:pt idx="172">
                  <c:v>13465.906457145509</c:v>
                </c:pt>
                <c:pt idx="173">
                  <c:v>13465.906457145509</c:v>
                </c:pt>
                <c:pt idx="174">
                  <c:v>13465.906457145509</c:v>
                </c:pt>
                <c:pt idx="175">
                  <c:v>13465.906457145509</c:v>
                </c:pt>
                <c:pt idx="176">
                  <c:v>13465.906457145509</c:v>
                </c:pt>
                <c:pt idx="177">
                  <c:v>13465.906457145509</c:v>
                </c:pt>
                <c:pt idx="178">
                  <c:v>13465.906457145509</c:v>
                </c:pt>
                <c:pt idx="179">
                  <c:v>13465.906457145509</c:v>
                </c:pt>
                <c:pt idx="180">
                  <c:v>13465.906457145509</c:v>
                </c:pt>
                <c:pt idx="181">
                  <c:v>13465.906457145509</c:v>
                </c:pt>
                <c:pt idx="182">
                  <c:v>3225.0722167563076</c:v>
                </c:pt>
                <c:pt idx="183">
                  <c:v>11746.270514507263</c:v>
                </c:pt>
                <c:pt idx="184">
                  <c:v>8719.2170294856278</c:v>
                </c:pt>
                <c:pt idx="185">
                  <c:v>0</c:v>
                </c:pt>
                <c:pt idx="186">
                  <c:v>-2051.6947603002372</c:v>
                </c:pt>
                <c:pt idx="187">
                  <c:v>-790.25584360831783</c:v>
                </c:pt>
                <c:pt idx="188">
                  <c:v>-912.07595569832267</c:v>
                </c:pt>
                <c:pt idx="189">
                  <c:v>-1057.6097977591014</c:v>
                </c:pt>
                <c:pt idx="190">
                  <c:v>-5881.1097829197033</c:v>
                </c:pt>
                <c:pt idx="191">
                  <c:v>-1378.9025558719818</c:v>
                </c:pt>
                <c:pt idx="192">
                  <c:v>-6497.9271417635164</c:v>
                </c:pt>
                <c:pt idx="193">
                  <c:v>0</c:v>
                </c:pt>
                <c:pt idx="194">
                  <c:v>3586.4720281922669</c:v>
                </c:pt>
                <c:pt idx="195">
                  <c:v>3360.752424212963</c:v>
                </c:pt>
                <c:pt idx="196">
                  <c:v>8936.3363461116351</c:v>
                </c:pt>
                <c:pt idx="197">
                  <c:v>9033.1602859967606</c:v>
                </c:pt>
                <c:pt idx="198">
                  <c:v>3173.5043426934617</c:v>
                </c:pt>
                <c:pt idx="199">
                  <c:v>8253.2119062426591</c:v>
                </c:pt>
                <c:pt idx="200">
                  <c:v>3014.721736766166</c:v>
                </c:pt>
                <c:pt idx="201">
                  <c:v>-2553.7160864344542</c:v>
                </c:pt>
                <c:pt idx="202">
                  <c:v>2795.128700768385</c:v>
                </c:pt>
                <c:pt idx="203">
                  <c:v>-33541.883289250189</c:v>
                </c:pt>
                <c:pt idx="204">
                  <c:v>-16078.150358879053</c:v>
                </c:pt>
                <c:pt idx="205">
                  <c:v>-16546.564019812555</c:v>
                </c:pt>
                <c:pt idx="206">
                  <c:v>-26904.565468135908</c:v>
                </c:pt>
                <c:pt idx="207">
                  <c:v>0</c:v>
                </c:pt>
                <c:pt idx="208">
                  <c:v>-22415.947554998042</c:v>
                </c:pt>
                <c:pt idx="209">
                  <c:v>13465.906457145509</c:v>
                </c:pt>
                <c:pt idx="210">
                  <c:v>13465.906457145509</c:v>
                </c:pt>
                <c:pt idx="211">
                  <c:v>13465.906457145509</c:v>
                </c:pt>
                <c:pt idx="212">
                  <c:v>13465.906457145509</c:v>
                </c:pt>
                <c:pt idx="213">
                  <c:v>13465.906457145509</c:v>
                </c:pt>
                <c:pt idx="214">
                  <c:v>13465.906457145509</c:v>
                </c:pt>
                <c:pt idx="215">
                  <c:v>13465.906457145509</c:v>
                </c:pt>
                <c:pt idx="216">
                  <c:v>13465.906457145509</c:v>
                </c:pt>
                <c:pt idx="217">
                  <c:v>13465.906457145509</c:v>
                </c:pt>
                <c:pt idx="218">
                  <c:v>13465.906457145509</c:v>
                </c:pt>
                <c:pt idx="219">
                  <c:v>13465.906457145509</c:v>
                </c:pt>
                <c:pt idx="220">
                  <c:v>13465.906457145509</c:v>
                </c:pt>
                <c:pt idx="221">
                  <c:v>13465.906457145509</c:v>
                </c:pt>
                <c:pt idx="222">
                  <c:v>13465.906457145509</c:v>
                </c:pt>
                <c:pt idx="223">
                  <c:v>13465.906457145509</c:v>
                </c:pt>
                <c:pt idx="224">
                  <c:v>13465.906457145509</c:v>
                </c:pt>
                <c:pt idx="225">
                  <c:v>13465.906457145509</c:v>
                </c:pt>
                <c:pt idx="226">
                  <c:v>13465.906457145509</c:v>
                </c:pt>
                <c:pt idx="227">
                  <c:v>13465.906457145509</c:v>
                </c:pt>
                <c:pt idx="228">
                  <c:v>13465.906457145509</c:v>
                </c:pt>
                <c:pt idx="229">
                  <c:v>13465.906457145509</c:v>
                </c:pt>
                <c:pt idx="230">
                  <c:v>13465.906457145509</c:v>
                </c:pt>
                <c:pt idx="231">
                  <c:v>13465.906457145509</c:v>
                </c:pt>
                <c:pt idx="232">
                  <c:v>13465.906457145509</c:v>
                </c:pt>
                <c:pt idx="233">
                  <c:v>13465.906457145509</c:v>
                </c:pt>
                <c:pt idx="234">
                  <c:v>13465.906457145509</c:v>
                </c:pt>
                <c:pt idx="235">
                  <c:v>13465.906457145509</c:v>
                </c:pt>
                <c:pt idx="236">
                  <c:v>13465.906457145509</c:v>
                </c:pt>
                <c:pt idx="237">
                  <c:v>13465.906457145509</c:v>
                </c:pt>
                <c:pt idx="238">
                  <c:v>3225.0722167563076</c:v>
                </c:pt>
                <c:pt idx="239">
                  <c:v>11746.270514507263</c:v>
                </c:pt>
                <c:pt idx="240">
                  <c:v>8719.2170294856278</c:v>
                </c:pt>
                <c:pt idx="241">
                  <c:v>0</c:v>
                </c:pt>
                <c:pt idx="242">
                  <c:v>-2051.6947603002372</c:v>
                </c:pt>
                <c:pt idx="243">
                  <c:v>-790.25584360831783</c:v>
                </c:pt>
                <c:pt idx="244">
                  <c:v>-912.07595569832267</c:v>
                </c:pt>
                <c:pt idx="245">
                  <c:v>-1057.6097977591014</c:v>
                </c:pt>
                <c:pt idx="246">
                  <c:v>-5881.1097829197033</c:v>
                </c:pt>
                <c:pt idx="247">
                  <c:v>-1378.9025558719818</c:v>
                </c:pt>
                <c:pt idx="248">
                  <c:v>-6497.9271417635164</c:v>
                </c:pt>
                <c:pt idx="249">
                  <c:v>0</c:v>
                </c:pt>
                <c:pt idx="250">
                  <c:v>3586.4720281922669</c:v>
                </c:pt>
                <c:pt idx="251">
                  <c:v>3360.752424212963</c:v>
                </c:pt>
                <c:pt idx="252">
                  <c:v>8936.3363461116351</c:v>
                </c:pt>
                <c:pt idx="253">
                  <c:v>9033.1602859967606</c:v>
                </c:pt>
                <c:pt idx="254">
                  <c:v>3173.5043426934617</c:v>
                </c:pt>
                <c:pt idx="255">
                  <c:v>8253.2119062426591</c:v>
                </c:pt>
                <c:pt idx="256">
                  <c:v>3014.721736766166</c:v>
                </c:pt>
                <c:pt idx="257">
                  <c:v>-2553.7160864344542</c:v>
                </c:pt>
                <c:pt idx="258">
                  <c:v>2795.128700768385</c:v>
                </c:pt>
                <c:pt idx="259">
                  <c:v>8482.7895723044257</c:v>
                </c:pt>
                <c:pt idx="260">
                  <c:v>2827.4869989526278</c:v>
                </c:pt>
                <c:pt idx="261">
                  <c:v>8860.1844589240736</c:v>
                </c:pt>
                <c:pt idx="262">
                  <c:v>8933.0961251709105</c:v>
                </c:pt>
                <c:pt idx="263">
                  <c:v>9302.548255787071</c:v>
                </c:pt>
                <c:pt idx="264">
                  <c:v>8373.3357830649948</c:v>
                </c:pt>
                <c:pt idx="265">
                  <c:v>8202.3734830392768</c:v>
                </c:pt>
                <c:pt idx="266">
                  <c:v>8202.3734830392768</c:v>
                </c:pt>
                <c:pt idx="267">
                  <c:v>8055.9025279850021</c:v>
                </c:pt>
                <c:pt idx="268">
                  <c:v>7909.4315729307309</c:v>
                </c:pt>
                <c:pt idx="269">
                  <c:v>7616.4896628221868</c:v>
                </c:pt>
                <c:pt idx="270">
                  <c:v>7250.3122751865039</c:v>
                </c:pt>
                <c:pt idx="271">
                  <c:v>7909.7629610920612</c:v>
                </c:pt>
                <c:pt idx="272">
                  <c:v>10887.60537086693</c:v>
                </c:pt>
                <c:pt idx="273">
                  <c:v>11472.674176053402</c:v>
                </c:pt>
                <c:pt idx="274">
                  <c:v>13465.906457145509</c:v>
                </c:pt>
                <c:pt idx="275">
                  <c:v>13465.906457145509</c:v>
                </c:pt>
                <c:pt idx="276">
                  <c:v>13465.906457145509</c:v>
                </c:pt>
                <c:pt idx="277">
                  <c:v>13465.906457145509</c:v>
                </c:pt>
                <c:pt idx="278">
                  <c:v>13465.906457145509</c:v>
                </c:pt>
                <c:pt idx="279">
                  <c:v>13465.906457145509</c:v>
                </c:pt>
                <c:pt idx="280">
                  <c:v>13465.906457145509</c:v>
                </c:pt>
                <c:pt idx="281">
                  <c:v>13465.906457145509</c:v>
                </c:pt>
                <c:pt idx="282">
                  <c:v>13465.906457145509</c:v>
                </c:pt>
                <c:pt idx="283">
                  <c:v>13465.906457145509</c:v>
                </c:pt>
                <c:pt idx="284">
                  <c:v>13465.906457145509</c:v>
                </c:pt>
                <c:pt idx="285">
                  <c:v>13465.906457145509</c:v>
                </c:pt>
                <c:pt idx="286">
                  <c:v>13465.906457145509</c:v>
                </c:pt>
                <c:pt idx="287">
                  <c:v>13465.906457145509</c:v>
                </c:pt>
                <c:pt idx="288">
                  <c:v>13465.906457145509</c:v>
                </c:pt>
                <c:pt idx="289">
                  <c:v>13465.906457145509</c:v>
                </c:pt>
                <c:pt idx="290">
                  <c:v>13465.906457145509</c:v>
                </c:pt>
                <c:pt idx="291">
                  <c:v>3225.0722167563076</c:v>
                </c:pt>
                <c:pt idx="292">
                  <c:v>11746.270514507263</c:v>
                </c:pt>
                <c:pt idx="293">
                  <c:v>8719.2170294856278</c:v>
                </c:pt>
                <c:pt idx="294">
                  <c:v>0</c:v>
                </c:pt>
                <c:pt idx="295">
                  <c:v>-2051.6947603002372</c:v>
                </c:pt>
                <c:pt idx="296">
                  <c:v>-790.25584360831783</c:v>
                </c:pt>
                <c:pt idx="297">
                  <c:v>-912.07595569832267</c:v>
                </c:pt>
                <c:pt idx="298">
                  <c:v>-1057.6097977591014</c:v>
                </c:pt>
                <c:pt idx="299">
                  <c:v>-5881.1097829197033</c:v>
                </c:pt>
                <c:pt idx="300">
                  <c:v>-1378.9025558719818</c:v>
                </c:pt>
                <c:pt idx="301">
                  <c:v>-6497.9271417635164</c:v>
                </c:pt>
                <c:pt idx="302">
                  <c:v>0</c:v>
                </c:pt>
                <c:pt idx="303">
                  <c:v>3586.4720281922669</c:v>
                </c:pt>
                <c:pt idx="304">
                  <c:v>3360.752424212963</c:v>
                </c:pt>
                <c:pt idx="305">
                  <c:v>8936.3363461116351</c:v>
                </c:pt>
                <c:pt idx="306">
                  <c:v>9033.1602859967606</c:v>
                </c:pt>
                <c:pt idx="307">
                  <c:v>3173.5043426934617</c:v>
                </c:pt>
                <c:pt idx="308">
                  <c:v>8253.2119062426591</c:v>
                </c:pt>
                <c:pt idx="309">
                  <c:v>3014.721736766166</c:v>
                </c:pt>
                <c:pt idx="310">
                  <c:v>-2553.7160864344542</c:v>
                </c:pt>
                <c:pt idx="311">
                  <c:v>2795.128700768385</c:v>
                </c:pt>
                <c:pt idx="312">
                  <c:v>8482.7895723044257</c:v>
                </c:pt>
                <c:pt idx="313">
                  <c:v>2827.4869989526278</c:v>
                </c:pt>
                <c:pt idx="314">
                  <c:v>8860.1844589240736</c:v>
                </c:pt>
                <c:pt idx="315">
                  <c:v>8933.0961251709105</c:v>
                </c:pt>
                <c:pt idx="316">
                  <c:v>37.180375841092733</c:v>
                </c:pt>
                <c:pt idx="317">
                  <c:v>-21694.832675334004</c:v>
                </c:pt>
                <c:pt idx="318">
                  <c:v>10574.468085106384</c:v>
                </c:pt>
                <c:pt idx="319">
                  <c:v>10325.657071339176</c:v>
                </c:pt>
                <c:pt idx="320">
                  <c:v>10325.657071339176</c:v>
                </c:pt>
                <c:pt idx="321">
                  <c:v>10325.657071339176</c:v>
                </c:pt>
                <c:pt idx="322">
                  <c:v>10325.657071339176</c:v>
                </c:pt>
                <c:pt idx="323">
                  <c:v>10325.657071339176</c:v>
                </c:pt>
                <c:pt idx="324">
                  <c:v>13465.906457145509</c:v>
                </c:pt>
                <c:pt idx="325">
                  <c:v>13465.906457145509</c:v>
                </c:pt>
                <c:pt idx="326">
                  <c:v>13465.906457145509</c:v>
                </c:pt>
                <c:pt idx="327">
                  <c:v>13465.906457145509</c:v>
                </c:pt>
                <c:pt idx="328">
                  <c:v>13465.906457145509</c:v>
                </c:pt>
                <c:pt idx="329">
                  <c:v>13465.906457145509</c:v>
                </c:pt>
                <c:pt idx="330">
                  <c:v>13465.906457145509</c:v>
                </c:pt>
                <c:pt idx="331">
                  <c:v>13465.906457145509</c:v>
                </c:pt>
                <c:pt idx="332">
                  <c:v>13465.906457145509</c:v>
                </c:pt>
                <c:pt idx="333">
                  <c:v>13465.906457145509</c:v>
                </c:pt>
                <c:pt idx="334">
                  <c:v>13465.906457145509</c:v>
                </c:pt>
                <c:pt idx="335">
                  <c:v>13465.906457145509</c:v>
                </c:pt>
                <c:pt idx="336">
                  <c:v>13465.906457145509</c:v>
                </c:pt>
                <c:pt idx="337">
                  <c:v>13465.906457145509</c:v>
                </c:pt>
                <c:pt idx="338">
                  <c:v>13465.906457145509</c:v>
                </c:pt>
                <c:pt idx="339">
                  <c:v>13465.906457145509</c:v>
                </c:pt>
                <c:pt idx="340">
                  <c:v>13465.906457145509</c:v>
                </c:pt>
                <c:pt idx="341">
                  <c:v>13465.906457145509</c:v>
                </c:pt>
                <c:pt idx="342">
                  <c:v>13465.906457145509</c:v>
                </c:pt>
                <c:pt idx="343">
                  <c:v>13465.906457145509</c:v>
                </c:pt>
                <c:pt idx="344">
                  <c:v>3225.0722167563076</c:v>
                </c:pt>
                <c:pt idx="345">
                  <c:v>11746.270514507263</c:v>
                </c:pt>
                <c:pt idx="346">
                  <c:v>8719.2170294856278</c:v>
                </c:pt>
                <c:pt idx="347">
                  <c:v>0</c:v>
                </c:pt>
                <c:pt idx="348">
                  <c:v>-2051.6947603002372</c:v>
                </c:pt>
                <c:pt idx="349">
                  <c:v>-790.25584360831783</c:v>
                </c:pt>
                <c:pt idx="350">
                  <c:v>-912.07595569832267</c:v>
                </c:pt>
                <c:pt idx="351">
                  <c:v>-1057.6097977591014</c:v>
                </c:pt>
                <c:pt idx="352">
                  <c:v>-5881.1097829197033</c:v>
                </c:pt>
                <c:pt idx="353">
                  <c:v>-1378.9025558719818</c:v>
                </c:pt>
                <c:pt idx="354">
                  <c:v>-6497.9271417635164</c:v>
                </c:pt>
                <c:pt idx="355">
                  <c:v>0</c:v>
                </c:pt>
                <c:pt idx="356">
                  <c:v>3586.4720281922669</c:v>
                </c:pt>
                <c:pt idx="357">
                  <c:v>3360.752424212963</c:v>
                </c:pt>
                <c:pt idx="358">
                  <c:v>8936.3363461116351</c:v>
                </c:pt>
                <c:pt idx="359">
                  <c:v>9033.1602859967606</c:v>
                </c:pt>
                <c:pt idx="360">
                  <c:v>3173.5043426934617</c:v>
                </c:pt>
                <c:pt idx="361">
                  <c:v>8253.2119062426591</c:v>
                </c:pt>
                <c:pt idx="362">
                  <c:v>3014.721736766166</c:v>
                </c:pt>
                <c:pt idx="363">
                  <c:v>-2553.7160864344542</c:v>
                </c:pt>
                <c:pt idx="364">
                  <c:v>2795.128700768385</c:v>
                </c:pt>
                <c:pt idx="365">
                  <c:v>8482.7895723044257</c:v>
                </c:pt>
                <c:pt idx="366">
                  <c:v>2827.4869989526278</c:v>
                </c:pt>
                <c:pt idx="367">
                  <c:v>8860.1844589240736</c:v>
                </c:pt>
                <c:pt idx="368">
                  <c:v>8933.0961251709105</c:v>
                </c:pt>
                <c:pt idx="369">
                  <c:v>9302.548255787071</c:v>
                </c:pt>
                <c:pt idx="370">
                  <c:v>9062.2313113949367</c:v>
                </c:pt>
                <c:pt idx="371">
                  <c:v>5253.6319273318131</c:v>
                </c:pt>
                <c:pt idx="372">
                  <c:v>3038.0917074529143</c:v>
                </c:pt>
                <c:pt idx="373">
                  <c:v>-5333.7978389014661</c:v>
                </c:pt>
                <c:pt idx="374">
                  <c:v>-20935.476271447198</c:v>
                </c:pt>
                <c:pt idx="375">
                  <c:v>-33544.949317904175</c:v>
                </c:pt>
                <c:pt idx="376">
                  <c:v>-11428.824764748497</c:v>
                </c:pt>
                <c:pt idx="377">
                  <c:v>-17327.401417140227</c:v>
                </c:pt>
                <c:pt idx="378">
                  <c:v>-27394.268188332324</c:v>
                </c:pt>
                <c:pt idx="379">
                  <c:v>0</c:v>
                </c:pt>
                <c:pt idx="380">
                  <c:v>-8054.2420747805636</c:v>
                </c:pt>
                <c:pt idx="381">
                  <c:v>-7698.6673002517537</c:v>
                </c:pt>
                <c:pt idx="382">
                  <c:v>13465.906457145509</c:v>
                </c:pt>
                <c:pt idx="383">
                  <c:v>13465.906457145509</c:v>
                </c:pt>
                <c:pt idx="384">
                  <c:v>13465.906457145509</c:v>
                </c:pt>
                <c:pt idx="385">
                  <c:v>13465.906457145509</c:v>
                </c:pt>
                <c:pt idx="386">
                  <c:v>13465.906457145509</c:v>
                </c:pt>
                <c:pt idx="387">
                  <c:v>13465.906457145509</c:v>
                </c:pt>
                <c:pt idx="388">
                  <c:v>13465.906457145509</c:v>
                </c:pt>
                <c:pt idx="389">
                  <c:v>13465.906457145509</c:v>
                </c:pt>
                <c:pt idx="390">
                  <c:v>13465.906457145509</c:v>
                </c:pt>
                <c:pt idx="391">
                  <c:v>13465.906457145509</c:v>
                </c:pt>
                <c:pt idx="392">
                  <c:v>13465.906457145509</c:v>
                </c:pt>
                <c:pt idx="393">
                  <c:v>13465.906457145509</c:v>
                </c:pt>
                <c:pt idx="394">
                  <c:v>13465.906457145509</c:v>
                </c:pt>
                <c:pt idx="395">
                  <c:v>13465.906457145509</c:v>
                </c:pt>
                <c:pt idx="396">
                  <c:v>13465.906457145509</c:v>
                </c:pt>
                <c:pt idx="397">
                  <c:v>13465.906457145509</c:v>
                </c:pt>
                <c:pt idx="398">
                  <c:v>13465.906457145509</c:v>
                </c:pt>
                <c:pt idx="399">
                  <c:v>13465.906457145509</c:v>
                </c:pt>
                <c:pt idx="400">
                  <c:v>13465.906457145509</c:v>
                </c:pt>
                <c:pt idx="401">
                  <c:v>13465.906457145509</c:v>
                </c:pt>
                <c:pt idx="402">
                  <c:v>3225.0722167563076</c:v>
                </c:pt>
                <c:pt idx="403">
                  <c:v>11746.270514507263</c:v>
                </c:pt>
                <c:pt idx="404">
                  <c:v>8719.2170294856278</c:v>
                </c:pt>
                <c:pt idx="405">
                  <c:v>0</c:v>
                </c:pt>
                <c:pt idx="406">
                  <c:v>-2051.6947603002372</c:v>
                </c:pt>
                <c:pt idx="407">
                  <c:v>-790.25584360831783</c:v>
                </c:pt>
                <c:pt idx="408">
                  <c:v>-912.07595569832267</c:v>
                </c:pt>
                <c:pt idx="409">
                  <c:v>-1057.6097977591014</c:v>
                </c:pt>
                <c:pt idx="410">
                  <c:v>-5881.1097829197033</c:v>
                </c:pt>
                <c:pt idx="411">
                  <c:v>-1378.9025558719818</c:v>
                </c:pt>
                <c:pt idx="412">
                  <c:v>-6497.9271417635164</c:v>
                </c:pt>
                <c:pt idx="413">
                  <c:v>0</c:v>
                </c:pt>
                <c:pt idx="414">
                  <c:v>3586.4720281922669</c:v>
                </c:pt>
                <c:pt idx="415">
                  <c:v>3360.752424212963</c:v>
                </c:pt>
                <c:pt idx="416">
                  <c:v>8936.3363461116351</c:v>
                </c:pt>
                <c:pt idx="417">
                  <c:v>9033.1602859967606</c:v>
                </c:pt>
                <c:pt idx="418">
                  <c:v>3173.5043426934617</c:v>
                </c:pt>
                <c:pt idx="419">
                  <c:v>8253.2119062426591</c:v>
                </c:pt>
                <c:pt idx="420">
                  <c:v>3014.721736766166</c:v>
                </c:pt>
                <c:pt idx="421">
                  <c:v>-2553.7160864344542</c:v>
                </c:pt>
                <c:pt idx="422">
                  <c:v>2795.128700768385</c:v>
                </c:pt>
                <c:pt idx="423">
                  <c:v>8482.7895723044257</c:v>
                </c:pt>
                <c:pt idx="424">
                  <c:v>2827.4869989526278</c:v>
                </c:pt>
                <c:pt idx="425">
                  <c:v>8860.1844589240736</c:v>
                </c:pt>
                <c:pt idx="426">
                  <c:v>8933.0961251709105</c:v>
                </c:pt>
                <c:pt idx="427">
                  <c:v>-23886.197567171199</c:v>
                </c:pt>
                <c:pt idx="428">
                  <c:v>-12989.186108979826</c:v>
                </c:pt>
                <c:pt idx="429">
                  <c:v>0</c:v>
                </c:pt>
                <c:pt idx="430">
                  <c:v>0</c:v>
                </c:pt>
                <c:pt idx="431">
                  <c:v>0</c:v>
                </c:pt>
                <c:pt idx="432">
                  <c:v>0</c:v>
                </c:pt>
                <c:pt idx="433">
                  <c:v>13465.906457145509</c:v>
                </c:pt>
                <c:pt idx="434">
                  <c:v>13465.906457145509</c:v>
                </c:pt>
                <c:pt idx="435">
                  <c:v>13465.906457145509</c:v>
                </c:pt>
                <c:pt idx="436">
                  <c:v>13465.906457145509</c:v>
                </c:pt>
                <c:pt idx="437">
                  <c:v>13465.906457145509</c:v>
                </c:pt>
                <c:pt idx="438">
                  <c:v>13465.906457145509</c:v>
                </c:pt>
                <c:pt idx="439">
                  <c:v>13465.906457145509</c:v>
                </c:pt>
                <c:pt idx="440">
                  <c:v>13465.906457145509</c:v>
                </c:pt>
                <c:pt idx="441">
                  <c:v>13465.906457145509</c:v>
                </c:pt>
                <c:pt idx="442">
                  <c:v>13465.906457145509</c:v>
                </c:pt>
                <c:pt idx="443">
                  <c:v>13465.906457145509</c:v>
                </c:pt>
                <c:pt idx="444">
                  <c:v>13465.906457145509</c:v>
                </c:pt>
                <c:pt idx="445">
                  <c:v>13465.906457145509</c:v>
                </c:pt>
                <c:pt idx="446">
                  <c:v>13465.906457145509</c:v>
                </c:pt>
                <c:pt idx="447">
                  <c:v>13465.906457145509</c:v>
                </c:pt>
                <c:pt idx="448">
                  <c:v>13465.906457145509</c:v>
                </c:pt>
                <c:pt idx="449">
                  <c:v>13465.906457145509</c:v>
                </c:pt>
                <c:pt idx="450">
                  <c:v>13465.906457145509</c:v>
                </c:pt>
                <c:pt idx="451">
                  <c:v>13465.906457145509</c:v>
                </c:pt>
                <c:pt idx="452">
                  <c:v>13465.906457145509</c:v>
                </c:pt>
                <c:pt idx="453">
                  <c:v>3225.0722167563076</c:v>
                </c:pt>
                <c:pt idx="454">
                  <c:v>11746.270514507263</c:v>
                </c:pt>
                <c:pt idx="455">
                  <c:v>8719.2170294856278</c:v>
                </c:pt>
                <c:pt idx="456">
                  <c:v>0</c:v>
                </c:pt>
                <c:pt idx="457">
                  <c:v>-2051.6947603002372</c:v>
                </c:pt>
                <c:pt idx="458">
                  <c:v>-790.25584360831783</c:v>
                </c:pt>
                <c:pt idx="459">
                  <c:v>-912.07595569832267</c:v>
                </c:pt>
                <c:pt idx="460">
                  <c:v>-1057.6097977591014</c:v>
                </c:pt>
                <c:pt idx="461">
                  <c:v>-5881.1097829197033</c:v>
                </c:pt>
                <c:pt idx="462">
                  <c:v>-1378.9025558719818</c:v>
                </c:pt>
                <c:pt idx="463">
                  <c:v>-6497.9271417635164</c:v>
                </c:pt>
                <c:pt idx="464">
                  <c:v>0</c:v>
                </c:pt>
                <c:pt idx="465">
                  <c:v>3586.4720281922669</c:v>
                </c:pt>
                <c:pt idx="466">
                  <c:v>3360.752424212963</c:v>
                </c:pt>
                <c:pt idx="467">
                  <c:v>8936.3363461116351</c:v>
                </c:pt>
                <c:pt idx="468">
                  <c:v>9033.1602859967606</c:v>
                </c:pt>
                <c:pt idx="469">
                  <c:v>3173.5043426934617</c:v>
                </c:pt>
                <c:pt idx="470">
                  <c:v>8253.2119062426591</c:v>
                </c:pt>
                <c:pt idx="471">
                  <c:v>3014.721736766166</c:v>
                </c:pt>
                <c:pt idx="472">
                  <c:v>-2553.7160864344542</c:v>
                </c:pt>
                <c:pt idx="473">
                  <c:v>2795.128700768385</c:v>
                </c:pt>
                <c:pt idx="474">
                  <c:v>8482.7895723044257</c:v>
                </c:pt>
                <c:pt idx="475">
                  <c:v>2827.4869989526278</c:v>
                </c:pt>
                <c:pt idx="476">
                  <c:v>8860.1844589240736</c:v>
                </c:pt>
                <c:pt idx="477">
                  <c:v>8933.0961251709105</c:v>
                </c:pt>
                <c:pt idx="478">
                  <c:v>9302.548255787071</c:v>
                </c:pt>
                <c:pt idx="479">
                  <c:v>9124.6482418516316</c:v>
                </c:pt>
                <c:pt idx="480">
                  <c:v>3324.6965681346223</c:v>
                </c:pt>
                <c:pt idx="481">
                  <c:v>-19131.717074097774</c:v>
                </c:pt>
                <c:pt idx="482">
                  <c:v>-11127.559495439917</c:v>
                </c:pt>
                <c:pt idx="483">
                  <c:v>-17325.736464781163</c:v>
                </c:pt>
                <c:pt idx="484">
                  <c:v>-16277.616878260589</c:v>
                </c:pt>
                <c:pt idx="485">
                  <c:v>-36184.939571335373</c:v>
                </c:pt>
                <c:pt idx="486">
                  <c:v>0</c:v>
                </c:pt>
                <c:pt idx="487">
                  <c:v>13790.386130811665</c:v>
                </c:pt>
                <c:pt idx="488">
                  <c:v>13465.906457145509</c:v>
                </c:pt>
                <c:pt idx="489">
                  <c:v>13465.906457145509</c:v>
                </c:pt>
                <c:pt idx="490">
                  <c:v>13465.906457145509</c:v>
                </c:pt>
                <c:pt idx="491">
                  <c:v>13465.906457145509</c:v>
                </c:pt>
                <c:pt idx="492">
                  <c:v>13465.906457145509</c:v>
                </c:pt>
                <c:pt idx="493">
                  <c:v>13465.906457145509</c:v>
                </c:pt>
                <c:pt idx="494">
                  <c:v>13465.906457145509</c:v>
                </c:pt>
                <c:pt idx="495">
                  <c:v>13465.906457145509</c:v>
                </c:pt>
                <c:pt idx="496">
                  <c:v>13465.906457145509</c:v>
                </c:pt>
                <c:pt idx="497">
                  <c:v>13465.906457145509</c:v>
                </c:pt>
                <c:pt idx="498">
                  <c:v>13465.906457145509</c:v>
                </c:pt>
                <c:pt idx="499">
                  <c:v>13465.906457145509</c:v>
                </c:pt>
                <c:pt idx="500">
                  <c:v>13465.906457145509</c:v>
                </c:pt>
                <c:pt idx="501">
                  <c:v>13465.906457145509</c:v>
                </c:pt>
                <c:pt idx="502">
                  <c:v>13465.906457145509</c:v>
                </c:pt>
                <c:pt idx="503">
                  <c:v>13465.906457145509</c:v>
                </c:pt>
                <c:pt idx="504">
                  <c:v>13465.906457145509</c:v>
                </c:pt>
                <c:pt idx="505">
                  <c:v>13465.906457145509</c:v>
                </c:pt>
                <c:pt idx="506">
                  <c:v>13465.906457145509</c:v>
                </c:pt>
                <c:pt idx="507">
                  <c:v>3225.0722167563076</c:v>
                </c:pt>
                <c:pt idx="508">
                  <c:v>11746.270514507263</c:v>
                </c:pt>
                <c:pt idx="509">
                  <c:v>8719.2170294856278</c:v>
                </c:pt>
                <c:pt idx="510">
                  <c:v>0</c:v>
                </c:pt>
                <c:pt idx="511">
                  <c:v>-2051.6947603002372</c:v>
                </c:pt>
                <c:pt idx="512">
                  <c:v>-790.25584360831783</c:v>
                </c:pt>
                <c:pt idx="513">
                  <c:v>-912.07595569832267</c:v>
                </c:pt>
                <c:pt idx="514">
                  <c:v>-1057.6097977591014</c:v>
                </c:pt>
                <c:pt idx="515">
                  <c:v>-5881.1097829197033</c:v>
                </c:pt>
                <c:pt idx="516">
                  <c:v>-1378.9025558719818</c:v>
                </c:pt>
                <c:pt idx="517">
                  <c:v>-6497.9271417635164</c:v>
                </c:pt>
                <c:pt idx="518">
                  <c:v>0</c:v>
                </c:pt>
                <c:pt idx="519">
                  <c:v>3586.4720281922669</c:v>
                </c:pt>
                <c:pt idx="520">
                  <c:v>8837.3949316118214</c:v>
                </c:pt>
                <c:pt idx="521">
                  <c:v>8936.3363461116351</c:v>
                </c:pt>
                <c:pt idx="522">
                  <c:v>9033.1602859967606</c:v>
                </c:pt>
                <c:pt idx="523">
                  <c:v>9127.8303183932057</c:v>
                </c:pt>
                <c:pt idx="524">
                  <c:v>9220.3329191571211</c:v>
                </c:pt>
                <c:pt idx="525">
                  <c:v>9310.8831519173564</c:v>
                </c:pt>
                <c:pt idx="526">
                  <c:v>9399.4341502905827</c:v>
                </c:pt>
                <c:pt idx="527">
                  <c:v>9485.9291777858452</c:v>
                </c:pt>
                <c:pt idx="528">
                  <c:v>9570.2328940374791</c:v>
                </c:pt>
                <c:pt idx="529">
                  <c:v>8785.5779464729112</c:v>
                </c:pt>
                <c:pt idx="530">
                  <c:v>8860.1844589240736</c:v>
                </c:pt>
              </c:numCache>
            </c:numRef>
          </c:yVal>
          <c:smooth val="1"/>
          <c:extLst>
            <c:ext xmlns:c16="http://schemas.microsoft.com/office/drawing/2014/chart" uri="{C3380CC4-5D6E-409C-BE32-E72D297353CC}">
              <c16:uniqueId val="{00000003-7493-B844-972F-5FE25CFD1EF6}"/>
            </c:ext>
          </c:extLst>
        </c:ser>
        <c:dLbls>
          <c:showLegendKey val="0"/>
          <c:showVal val="0"/>
          <c:showCatName val="0"/>
          <c:showSerName val="0"/>
          <c:showPercent val="0"/>
          <c:showBubbleSize val="0"/>
        </c:dLbls>
        <c:axId val="1372354783"/>
        <c:axId val="1372356543"/>
      </c:scatterChart>
      <c:valAx>
        <c:axId val="13723547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2356543"/>
        <c:crosses val="autoZero"/>
        <c:crossBetween val="midCat"/>
      </c:valAx>
      <c:valAx>
        <c:axId val="13723565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2354783"/>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tx>
            <c:v>No Recorvery</c:v>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1"/>
            <c:trendlineLbl>
              <c:layout>
                <c:manualLayout>
                  <c:x val="-0.22262467191601049"/>
                  <c:y val="1.6088783699725377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Data!$AH$3:$AH$533</c:f>
              <c:numCache>
                <c:formatCode>General</c:formatCode>
                <c:ptCount val="531"/>
                <c:pt idx="0">
                  <c:v>0</c:v>
                </c:pt>
                <c:pt idx="1">
                  <c:v>0.15641098600795228</c:v>
                </c:pt>
                <c:pt idx="2">
                  <c:v>0.31011721128964198</c:v>
                </c:pt>
                <c:pt idx="3">
                  <c:v>0.46180560964539652</c:v>
                </c:pt>
                <c:pt idx="4">
                  <c:v>0.61085341539037064</c:v>
                </c:pt>
                <c:pt idx="5">
                  <c:v>0.75812013067534068</c:v>
                </c:pt>
                <c:pt idx="6">
                  <c:v>0.90428845961264925</c:v>
                </c:pt>
                <c:pt idx="7">
                  <c:v>1.0498557554662378</c:v>
                </c:pt>
                <c:pt idx="8">
                  <c:v>1.1945884124248933</c:v>
                </c:pt>
                <c:pt idx="9">
                  <c:v>1.3386295439727209</c:v>
                </c:pt>
                <c:pt idx="10">
                  <c:v>1.4820133633295696</c:v>
                </c:pt>
                <c:pt idx="11">
                  <c:v>1.6245520331718959</c:v>
                </c:pt>
                <c:pt idx="12">
                  <c:v>1.7666868989190292</c:v>
                </c:pt>
                <c:pt idx="13">
                  <c:v>1.9079969911795174</c:v>
                </c:pt>
                <c:pt idx="14">
                  <c:v>2.0491018046701348</c:v>
                </c:pt>
                <c:pt idx="15">
                  <c:v>2.1894957898665437</c:v>
                </c:pt>
                <c:pt idx="16">
                  <c:v>2.3296245964423603</c:v>
                </c:pt>
                <c:pt idx="17">
                  <c:v>2.469143318199774</c:v>
                </c:pt>
                <c:pt idx="18">
                  <c:v>2.6083184509115669</c:v>
                </c:pt>
                <c:pt idx="19">
                  <c:v>2.7470206830901547</c:v>
                </c:pt>
                <c:pt idx="20">
                  <c:v>2.88527286606777</c:v>
                </c:pt>
                <c:pt idx="21">
                  <c:v>3.0252596938704808</c:v>
                </c:pt>
                <c:pt idx="22">
                  <c:v>3.1679008148345251</c:v>
                </c:pt>
                <c:pt idx="23">
                  <c:v>3.3114029561535792</c:v>
                </c:pt>
                <c:pt idx="24">
                  <c:v>3.4571564762910394</c:v>
                </c:pt>
                <c:pt idx="25">
                  <c:v>3.6023522168795901</c:v>
                </c:pt>
                <c:pt idx="26">
                  <c:v>3.7471900731090124</c:v>
                </c:pt>
                <c:pt idx="27">
                  <c:v>3.8915821281322547</c:v>
                </c:pt>
                <c:pt idx="28">
                  <c:v>4.0357710977717174</c:v>
                </c:pt>
                <c:pt idx="29">
                  <c:v>4.1797474640645671</c:v>
                </c:pt>
                <c:pt idx="30">
                  <c:v>4.3236457351030042</c:v>
                </c:pt>
                <c:pt idx="31">
                  <c:v>4.4682096945045799</c:v>
                </c:pt>
                <c:pt idx="32">
                  <c:v>4.6128666091341</c:v>
                </c:pt>
                <c:pt idx="33">
                  <c:v>4.757765170011254</c:v>
                </c:pt>
                <c:pt idx="34">
                  <c:v>4.9116636330257215</c:v>
                </c:pt>
                <c:pt idx="35">
                  <c:v>5.074699137729799</c:v>
                </c:pt>
                <c:pt idx="36">
                  <c:v>5.2555152727264334</c:v>
                </c:pt>
                <c:pt idx="37">
                  <c:v>5.4524366435989888</c:v>
                </c:pt>
                <c:pt idx="38">
                  <c:v>5.6698718929611793</c:v>
                </c:pt>
                <c:pt idx="39">
                  <c:v>5.9157003663222598</c:v>
                </c:pt>
                <c:pt idx="40">
                  <c:v>6.203574541651764</c:v>
                </c:pt>
                <c:pt idx="41">
                  <c:v>6.6932526815888655</c:v>
                </c:pt>
                <c:pt idx="42">
                  <c:v>7.2085862720653608</c:v>
                </c:pt>
                <c:pt idx="43">
                  <c:v>7.7263715039514684</c:v>
                </c:pt>
                <c:pt idx="44">
                  <c:v>8.2472690784333622</c:v>
                </c:pt>
                <c:pt idx="45">
                  <c:v>8.7710073045670605</c:v>
                </c:pt>
                <c:pt idx="46">
                  <c:v>9.297657366745181</c:v>
                </c:pt>
                <c:pt idx="47">
                  <c:v>9.8265026239034938</c:v>
                </c:pt>
                <c:pt idx="48">
                  <c:v>10.358051382579831</c:v>
                </c:pt>
                <c:pt idx="49">
                  <c:v>10.890900157130085</c:v>
                </c:pt>
                <c:pt idx="50">
                  <c:v>11.355067327053314</c:v>
                </c:pt>
                <c:pt idx="51">
                  <c:v>11.771062917611582</c:v>
                </c:pt>
                <c:pt idx="52">
                  <c:v>12.150361996688224</c:v>
                </c:pt>
                <c:pt idx="53">
                  <c:v>12.501315831093812</c:v>
                </c:pt>
                <c:pt idx="54">
                  <c:v>12.829988257625953</c:v>
                </c:pt>
                <c:pt idx="55">
                  <c:v>13.140659342402618</c:v>
                </c:pt>
                <c:pt idx="56">
                  <c:v>13.436102461777297</c:v>
                </c:pt>
                <c:pt idx="57">
                  <c:v>13.718386489212309</c:v>
                </c:pt>
                <c:pt idx="58">
                  <c:v>13.989173340123255</c:v>
                </c:pt>
                <c:pt idx="59">
                  <c:v>14.249859956247716</c:v>
                </c:pt>
                <c:pt idx="60">
                  <c:v>14.501687131256073</c:v>
                </c:pt>
                <c:pt idx="61">
                  <c:v>14.74556150358489</c:v>
                </c:pt>
                <c:pt idx="62">
                  <c:v>14.982342175794422</c:v>
                </c:pt>
                <c:pt idx="63">
                  <c:v>15.21276411046073</c:v>
                </c:pt>
                <c:pt idx="64">
                  <c:v>15.437391058940023</c:v>
                </c:pt>
                <c:pt idx="65">
                  <c:v>15.65674301969395</c:v>
                </c:pt>
                <c:pt idx="66">
                  <c:v>15.871143272458182</c:v>
                </c:pt>
                <c:pt idx="67">
                  <c:v>16.081098050180746</c:v>
                </c:pt>
                <c:pt idx="68">
                  <c:v>16.313141515280506</c:v>
                </c:pt>
                <c:pt idx="69">
                  <c:v>16.575881108264305</c:v>
                </c:pt>
                <c:pt idx="70">
                  <c:v>16.885309274414016</c:v>
                </c:pt>
                <c:pt idx="71">
                  <c:v>17.390716406576789</c:v>
                </c:pt>
                <c:pt idx="72">
                  <c:v>17.952607198742456</c:v>
                </c:pt>
                <c:pt idx="73">
                  <c:v>18.439979605338024</c:v>
                </c:pt>
                <c:pt idx="74">
                  <c:v>18.876759367508736</c:v>
                </c:pt>
                <c:pt idx="75">
                  <c:v>19.27640184127868</c:v>
                </c:pt>
                <c:pt idx="76">
                  <c:v>19.64732243094009</c:v>
                </c:pt>
                <c:pt idx="77">
                  <c:v>19.995076500866311</c:v>
                </c:pt>
                <c:pt idx="78">
                  <c:v>20.323730548357045</c:v>
                </c:pt>
                <c:pt idx="79">
                  <c:v>20.636365697314822</c:v>
                </c:pt>
                <c:pt idx="80">
                  <c:v>20.935080789279034</c:v>
                </c:pt>
                <c:pt idx="81">
                  <c:v>21.221737974624485</c:v>
                </c:pt>
                <c:pt idx="82">
                  <c:v>21.497754512792579</c:v>
                </c:pt>
                <c:pt idx="83">
                  <c:v>21.764330810426298</c:v>
                </c:pt>
                <c:pt idx="84">
                  <c:v>22.022496263408886</c:v>
                </c:pt>
                <c:pt idx="85">
                  <c:v>22.273089192762136</c:v>
                </c:pt>
                <c:pt idx="86">
                  <c:v>22.516889329294582</c:v>
                </c:pt>
                <c:pt idx="87">
                  <c:v>22.754316202787425</c:v>
                </c:pt>
                <c:pt idx="88">
                  <c:v>22.985329477925639</c:v>
                </c:pt>
                <c:pt idx="89">
                  <c:v>23.2109875158453</c:v>
                </c:pt>
                <c:pt idx="90">
                  <c:v>23.431760207258062</c:v>
                </c:pt>
                <c:pt idx="91">
                  <c:v>23.648019056427138</c:v>
                </c:pt>
                <c:pt idx="92">
                  <c:v>23.865032870364512</c:v>
                </c:pt>
                <c:pt idx="93">
                  <c:v>24.080430744332283</c:v>
                </c:pt>
                <c:pt idx="94">
                  <c:v>24.294289198402961</c:v>
                </c:pt>
                <c:pt idx="95">
                  <c:v>24.50667535426026</c:v>
                </c:pt>
                <c:pt idx="96">
                  <c:v>24.717593495900424</c:v>
                </c:pt>
                <c:pt idx="97">
                  <c:v>24.9269760373077</c:v>
                </c:pt>
                <c:pt idx="98">
                  <c:v>25.134628941610149</c:v>
                </c:pt>
                <c:pt idx="99">
                  <c:v>25.340550074581945</c:v>
                </c:pt>
                <c:pt idx="100">
                  <c:v>25.544892134674129</c:v>
                </c:pt>
                <c:pt idx="101">
                  <c:v>25.747748176352339</c:v>
                </c:pt>
                <c:pt idx="102">
                  <c:v>25.949167394468596</c:v>
                </c:pt>
                <c:pt idx="103">
                  <c:v>26.149225008676023</c:v>
                </c:pt>
                <c:pt idx="104">
                  <c:v>26.348012533621169</c:v>
                </c:pt>
                <c:pt idx="105">
                  <c:v>26.545598497633751</c:v>
                </c:pt>
                <c:pt idx="106">
                  <c:v>26.742082261029395</c:v>
                </c:pt>
                <c:pt idx="107">
                  <c:v>26.937540805252674</c:v>
                </c:pt>
                <c:pt idx="108">
                  <c:v>27.132012705629219</c:v>
                </c:pt>
                <c:pt idx="109">
                  <c:v>27.325576731231045</c:v>
                </c:pt>
                <c:pt idx="110">
                  <c:v>27.518251288009573</c:v>
                </c:pt>
                <c:pt idx="111">
                  <c:v>27.710119740993889</c:v>
                </c:pt>
                <c:pt idx="112">
                  <c:v>27.901327051851059</c:v>
                </c:pt>
                <c:pt idx="113">
                  <c:v>28.106696119269035</c:v>
                </c:pt>
                <c:pt idx="114">
                  <c:v>28.329616615601481</c:v>
                </c:pt>
                <c:pt idx="115">
                  <c:v>28.575089814233088</c:v>
                </c:pt>
                <c:pt idx="116">
                  <c:v>28.81495295658388</c:v>
                </c:pt>
                <c:pt idx="117">
                  <c:v>29.049484860770871</c:v>
                </c:pt>
                <c:pt idx="118">
                  <c:v>29.284769462431235</c:v>
                </c:pt>
                <c:pt idx="119">
                  <c:v>29.518111525087317</c:v>
                </c:pt>
                <c:pt idx="120">
                  <c:v>29.749424415145654</c:v>
                </c:pt>
                <c:pt idx="121">
                  <c:v>29.978649076622322</c:v>
                </c:pt>
                <c:pt idx="122">
                  <c:v>30.205463654403662</c:v>
                </c:pt>
                <c:pt idx="123">
                  <c:v>30.430040933953492</c:v>
                </c:pt>
                <c:pt idx="124">
                  <c:v>30.652546501935134</c:v>
                </c:pt>
                <c:pt idx="125">
                  <c:v>30.872920829933346</c:v>
                </c:pt>
                <c:pt idx="126">
                  <c:v>31.091214946203035</c:v>
                </c:pt>
                <c:pt idx="127">
                  <c:v>31.307640202526109</c:v>
                </c:pt>
                <c:pt idx="128">
                  <c:v>31.52231888249079</c:v>
                </c:pt>
                <c:pt idx="129">
                  <c:v>31.735340378270468</c:v>
                </c:pt>
                <c:pt idx="130">
                  <c:v>31.946789099204821</c:v>
                </c:pt>
                <c:pt idx="131">
                  <c:v>32.156814431841902</c:v>
                </c:pt>
                <c:pt idx="132">
                  <c:v>32.365495731913285</c:v>
                </c:pt>
                <c:pt idx="133">
                  <c:v>32.572938332637172</c:v>
                </c:pt>
                <c:pt idx="134">
                  <c:v>32.779225690782184</c:v>
                </c:pt>
                <c:pt idx="135">
                  <c:v>32.984406853068855</c:v>
                </c:pt>
                <c:pt idx="136">
                  <c:v>33.188481512975969</c:v>
                </c:pt>
                <c:pt idx="137">
                  <c:v>33.408392062320949</c:v>
                </c:pt>
                <c:pt idx="138">
                  <c:v>33.648375391537868</c:v>
                </c:pt>
                <c:pt idx="139">
                  <c:v>33.914970710913408</c:v>
                </c:pt>
                <c:pt idx="140">
                  <c:v>34.218953776384112</c:v>
                </c:pt>
                <c:pt idx="141">
                  <c:v>34.58099821729482</c:v>
                </c:pt>
                <c:pt idx="142">
                  <c:v>34.925036559868687</c:v>
                </c:pt>
                <c:pt idx="143">
                  <c:v>35.253486860639839</c:v>
                </c:pt>
                <c:pt idx="144">
                  <c:v>35.568260176824182</c:v>
                </c:pt>
                <c:pt idx="145">
                  <c:v>35.870821737896954</c:v>
                </c:pt>
                <c:pt idx="146">
                  <c:v>36.162444570285075</c:v>
                </c:pt>
                <c:pt idx="147">
                  <c:v>36.444273113608865</c:v>
                </c:pt>
                <c:pt idx="148">
                  <c:v>36.717249378534405</c:v>
                </c:pt>
                <c:pt idx="149">
                  <c:v>36.982233162728406</c:v>
                </c:pt>
                <c:pt idx="150">
                  <c:v>37.239945802258895</c:v>
                </c:pt>
                <c:pt idx="151">
                  <c:v>37.490984167610506</c:v>
                </c:pt>
                <c:pt idx="152">
                  <c:v>37.742378377194896</c:v>
                </c:pt>
                <c:pt idx="153">
                  <c:v>37.990958858549696</c:v>
                </c:pt>
                <c:pt idx="154">
                  <c:v>38.236861211409817</c:v>
                </c:pt>
                <c:pt idx="155">
                  <c:v>38.48029215018525</c:v>
                </c:pt>
                <c:pt idx="156">
                  <c:v>38.72130194496804</c:v>
                </c:pt>
                <c:pt idx="157">
                  <c:v>38.959986832493371</c:v>
                </c:pt>
                <c:pt idx="158">
                  <c:v>39.221774664261453</c:v>
                </c:pt>
                <c:pt idx="159">
                  <c:v>39.489940680885709</c:v>
                </c:pt>
                <c:pt idx="160">
                  <c:v>39.76485686372137</c:v>
                </c:pt>
                <c:pt idx="161">
                  <c:v>40.043629326728627</c:v>
                </c:pt>
                <c:pt idx="162">
                  <c:v>40.326467154806942</c:v>
                </c:pt>
                <c:pt idx="163">
                  <c:v>40.610078590012868</c:v>
                </c:pt>
                <c:pt idx="164">
                  <c:v>40.894212030266409</c:v>
                </c:pt>
                <c:pt idx="165">
                  <c:v>41.178710712295384</c:v>
                </c:pt>
                <c:pt idx="166">
                  <c:v>41.463572113309795</c:v>
                </c:pt>
                <c:pt idx="167">
                  <c:v>41.748894641806807</c:v>
                </c:pt>
                <c:pt idx="168">
                  <c:v>42.034641266689363</c:v>
                </c:pt>
                <c:pt idx="169">
                  <c:v>42.320774956860504</c:v>
                </c:pt>
                <c:pt idx="170">
                  <c:v>42.607278458166562</c:v>
                </c:pt>
                <c:pt idx="171">
                  <c:v>42.894149747652826</c:v>
                </c:pt>
                <c:pt idx="172">
                  <c:v>43.181398463873379</c:v>
                </c:pt>
                <c:pt idx="173">
                  <c:v>43.469035768502224</c:v>
                </c:pt>
                <c:pt idx="174">
                  <c:v>43.757087530962558</c:v>
                </c:pt>
                <c:pt idx="175">
                  <c:v>44.045561866688395</c:v>
                </c:pt>
                <c:pt idx="176">
                  <c:v>44.334463345039488</c:v>
                </c:pt>
                <c:pt idx="177">
                  <c:v>44.623806673764769</c:v>
                </c:pt>
                <c:pt idx="178">
                  <c:v>44.913617222451954</c:v>
                </c:pt>
                <c:pt idx="179">
                  <c:v>45.203949776186811</c:v>
                </c:pt>
                <c:pt idx="180">
                  <c:v>45.494863689414146</c:v>
                </c:pt>
                <c:pt idx="181">
                  <c:v>45.786375193003032</c:v>
                </c:pt>
                <c:pt idx="182">
                  <c:v>46.073681516762527</c:v>
                </c:pt>
                <c:pt idx="183">
                  <c:v>46.352422549766104</c:v>
                </c:pt>
                <c:pt idx="184">
                  <c:v>46.623384852868391</c:v>
                </c:pt>
                <c:pt idx="185">
                  <c:v>46.887204202175859</c:v>
                </c:pt>
                <c:pt idx="186">
                  <c:v>47.151534654443182</c:v>
                </c:pt>
                <c:pt idx="187">
                  <c:v>47.412791752293586</c:v>
                </c:pt>
                <c:pt idx="188">
                  <c:v>47.670443345485161</c:v>
                </c:pt>
                <c:pt idx="189">
                  <c:v>47.922640273817535</c:v>
                </c:pt>
                <c:pt idx="190">
                  <c:v>48.168164998609988</c:v>
                </c:pt>
                <c:pt idx="191">
                  <c:v>48.406812641686109</c:v>
                </c:pt>
                <c:pt idx="192">
                  <c:v>48.638709078467656</c:v>
                </c:pt>
                <c:pt idx="193">
                  <c:v>48.864170074262326</c:v>
                </c:pt>
                <c:pt idx="194">
                  <c:v>49.079466193186008</c:v>
                </c:pt>
                <c:pt idx="195">
                  <c:v>49.288877308072955</c:v>
                </c:pt>
                <c:pt idx="196">
                  <c:v>49.492713722981222</c:v>
                </c:pt>
                <c:pt idx="197">
                  <c:v>49.691154753818132</c:v>
                </c:pt>
                <c:pt idx="198">
                  <c:v>49.884235272627876</c:v>
                </c:pt>
                <c:pt idx="199">
                  <c:v>50.071997312959049</c:v>
                </c:pt>
                <c:pt idx="200">
                  <c:v>50.254849351251032</c:v>
                </c:pt>
                <c:pt idx="201">
                  <c:v>50.432846482468001</c:v>
                </c:pt>
                <c:pt idx="202">
                  <c:v>50.605957810142037</c:v>
                </c:pt>
                <c:pt idx="203">
                  <c:v>50.783900085511952</c:v>
                </c:pt>
                <c:pt idx="204">
                  <c:v>50.961116474210392</c:v>
                </c:pt>
                <c:pt idx="205">
                  <c:v>51.139843053222172</c:v>
                </c:pt>
                <c:pt idx="206">
                  <c:v>51.324041437954939</c:v>
                </c:pt>
                <c:pt idx="207">
                  <c:v>51.514056210424428</c:v>
                </c:pt>
                <c:pt idx="208">
                  <c:v>51.710356691292958</c:v>
                </c:pt>
                <c:pt idx="209">
                  <c:v>51.990356691292959</c:v>
                </c:pt>
                <c:pt idx="210">
                  <c:v>52.27035669129296</c:v>
                </c:pt>
                <c:pt idx="211">
                  <c:v>52.554490131546501</c:v>
                </c:pt>
                <c:pt idx="212">
                  <c:v>52.838988813575476</c:v>
                </c:pt>
                <c:pt idx="213">
                  <c:v>53.123850214589886</c:v>
                </c:pt>
                <c:pt idx="214">
                  <c:v>53.409172743086899</c:v>
                </c:pt>
                <c:pt idx="215">
                  <c:v>53.694919367969455</c:v>
                </c:pt>
                <c:pt idx="216">
                  <c:v>53.981053058140596</c:v>
                </c:pt>
                <c:pt idx="217">
                  <c:v>54.267556559446653</c:v>
                </c:pt>
                <c:pt idx="218">
                  <c:v>54.554427848932917</c:v>
                </c:pt>
                <c:pt idx="219">
                  <c:v>54.834427848932918</c:v>
                </c:pt>
                <c:pt idx="220">
                  <c:v>55.118561289186459</c:v>
                </c:pt>
                <c:pt idx="221">
                  <c:v>55.403059971215434</c:v>
                </c:pt>
                <c:pt idx="222">
                  <c:v>55.687921372229845</c:v>
                </c:pt>
                <c:pt idx="223">
                  <c:v>55.973243900726857</c:v>
                </c:pt>
                <c:pt idx="224">
                  <c:v>56.258990525609413</c:v>
                </c:pt>
                <c:pt idx="225">
                  <c:v>56.545124215780554</c:v>
                </c:pt>
                <c:pt idx="226">
                  <c:v>56.831627717086612</c:v>
                </c:pt>
                <c:pt idx="227">
                  <c:v>57.118499006572875</c:v>
                </c:pt>
                <c:pt idx="228">
                  <c:v>57.405747722793429</c:v>
                </c:pt>
                <c:pt idx="229">
                  <c:v>57.693385027422273</c:v>
                </c:pt>
                <c:pt idx="230">
                  <c:v>57.981436789882608</c:v>
                </c:pt>
                <c:pt idx="231">
                  <c:v>58.269911125608445</c:v>
                </c:pt>
                <c:pt idx="232">
                  <c:v>58.558812603959538</c:v>
                </c:pt>
                <c:pt idx="233">
                  <c:v>58.848155932684818</c:v>
                </c:pt>
                <c:pt idx="234">
                  <c:v>59.137966481372004</c:v>
                </c:pt>
                <c:pt idx="235">
                  <c:v>59.428299035106861</c:v>
                </c:pt>
                <c:pt idx="236">
                  <c:v>59.719212948334196</c:v>
                </c:pt>
                <c:pt idx="237">
                  <c:v>60.010724451923082</c:v>
                </c:pt>
                <c:pt idx="238">
                  <c:v>60.298030775682577</c:v>
                </c:pt>
                <c:pt idx="239">
                  <c:v>60.576771808686154</c:v>
                </c:pt>
                <c:pt idx="240">
                  <c:v>60.847734111788441</c:v>
                </c:pt>
                <c:pt idx="241">
                  <c:v>61.111553461095909</c:v>
                </c:pt>
                <c:pt idx="242">
                  <c:v>61.375883913363232</c:v>
                </c:pt>
                <c:pt idx="243">
                  <c:v>61.637141011213636</c:v>
                </c:pt>
                <c:pt idx="244">
                  <c:v>61.894792604405211</c:v>
                </c:pt>
                <c:pt idx="245">
                  <c:v>62.146989532737585</c:v>
                </c:pt>
                <c:pt idx="246">
                  <c:v>62.392514257530038</c:v>
                </c:pt>
                <c:pt idx="247">
                  <c:v>62.631161900606159</c:v>
                </c:pt>
                <c:pt idx="248">
                  <c:v>62.863058337387706</c:v>
                </c:pt>
                <c:pt idx="249">
                  <c:v>63.088519333182376</c:v>
                </c:pt>
                <c:pt idx="250">
                  <c:v>63.303815452106058</c:v>
                </c:pt>
                <c:pt idx="251">
                  <c:v>63.513226566993005</c:v>
                </c:pt>
                <c:pt idx="252">
                  <c:v>63.717062981901272</c:v>
                </c:pt>
                <c:pt idx="253">
                  <c:v>63.915504012738182</c:v>
                </c:pt>
                <c:pt idx="254">
                  <c:v>64.108584531547933</c:v>
                </c:pt>
                <c:pt idx="255">
                  <c:v>64.296346571879113</c:v>
                </c:pt>
                <c:pt idx="256">
                  <c:v>64.479198610171096</c:v>
                </c:pt>
                <c:pt idx="257">
                  <c:v>64.657195741388065</c:v>
                </c:pt>
                <c:pt idx="258">
                  <c:v>64.830307069062101</c:v>
                </c:pt>
                <c:pt idx="259">
                  <c:v>64.998360048545138</c:v>
                </c:pt>
                <c:pt idx="260">
                  <c:v>65.161430698817469</c:v>
                </c:pt>
                <c:pt idx="261">
                  <c:v>65.320058852168501</c:v>
                </c:pt>
                <c:pt idx="262">
                  <c:v>65.474389461113404</c:v>
                </c:pt>
                <c:pt idx="263">
                  <c:v>65.624295689799055</c:v>
                </c:pt>
                <c:pt idx="264">
                  <c:v>65.769698437528731</c:v>
                </c:pt>
                <c:pt idx="265">
                  <c:v>69.546388903024848</c:v>
                </c:pt>
                <c:pt idx="266">
                  <c:v>72.784530783092507</c:v>
                </c:pt>
                <c:pt idx="267">
                  <c:v>72.881431570798057</c:v>
                </c:pt>
                <c:pt idx="268">
                  <c:v>73.004702771439298</c:v>
                </c:pt>
                <c:pt idx="269">
                  <c:v>73.134574147511202</c:v>
                </c:pt>
                <c:pt idx="270">
                  <c:v>73.288844527917917</c:v>
                </c:pt>
                <c:pt idx="271">
                  <c:v>73.454944256399585</c:v>
                </c:pt>
                <c:pt idx="272">
                  <c:v>73.734944256399586</c:v>
                </c:pt>
                <c:pt idx="273">
                  <c:v>73.996978429077856</c:v>
                </c:pt>
                <c:pt idx="274">
                  <c:v>74.281477111106824</c:v>
                </c:pt>
                <c:pt idx="275">
                  <c:v>74.566338512121234</c:v>
                </c:pt>
                <c:pt idx="276">
                  <c:v>74.851661040618254</c:v>
                </c:pt>
                <c:pt idx="277">
                  <c:v>75.137407665500803</c:v>
                </c:pt>
                <c:pt idx="278">
                  <c:v>75.423541355671944</c:v>
                </c:pt>
                <c:pt idx="279">
                  <c:v>75.710044856978001</c:v>
                </c:pt>
                <c:pt idx="280">
                  <c:v>75.996916146464258</c:v>
                </c:pt>
                <c:pt idx="281">
                  <c:v>76.284164862684804</c:v>
                </c:pt>
                <c:pt idx="282">
                  <c:v>76.571802167313649</c:v>
                </c:pt>
                <c:pt idx="283">
                  <c:v>76.859853929773976</c:v>
                </c:pt>
                <c:pt idx="284">
                  <c:v>77.148328265499813</c:v>
                </c:pt>
                <c:pt idx="285">
                  <c:v>77.437229743850907</c:v>
                </c:pt>
                <c:pt idx="286">
                  <c:v>77.726573072576187</c:v>
                </c:pt>
                <c:pt idx="287">
                  <c:v>78.016383621263373</c:v>
                </c:pt>
                <c:pt idx="288">
                  <c:v>78.306716174998229</c:v>
                </c:pt>
                <c:pt idx="289">
                  <c:v>78.597630088225557</c:v>
                </c:pt>
                <c:pt idx="290">
                  <c:v>78.88914159181445</c:v>
                </c:pt>
                <c:pt idx="291">
                  <c:v>79.176447915573945</c:v>
                </c:pt>
                <c:pt idx="292">
                  <c:v>79.455188948577529</c:v>
                </c:pt>
                <c:pt idx="293">
                  <c:v>79.726151251679809</c:v>
                </c:pt>
                <c:pt idx="294">
                  <c:v>79.989970600987277</c:v>
                </c:pt>
                <c:pt idx="295">
                  <c:v>80.254301053254594</c:v>
                </c:pt>
                <c:pt idx="296">
                  <c:v>80.515558151104997</c:v>
                </c:pt>
                <c:pt idx="297">
                  <c:v>80.773209744296565</c:v>
                </c:pt>
                <c:pt idx="298">
                  <c:v>81.025406672628947</c:v>
                </c:pt>
                <c:pt idx="299">
                  <c:v>81.270931397421407</c:v>
                </c:pt>
                <c:pt idx="300">
                  <c:v>81.509579040497528</c:v>
                </c:pt>
                <c:pt idx="301">
                  <c:v>81.741475477279067</c:v>
                </c:pt>
                <c:pt idx="302">
                  <c:v>81.96693647307373</c:v>
                </c:pt>
                <c:pt idx="303">
                  <c:v>82.182232591997419</c:v>
                </c:pt>
                <c:pt idx="304">
                  <c:v>82.391643706884366</c:v>
                </c:pt>
                <c:pt idx="305">
                  <c:v>82.595480121792633</c:v>
                </c:pt>
                <c:pt idx="306">
                  <c:v>82.793921152629537</c:v>
                </c:pt>
                <c:pt idx="307">
                  <c:v>82.987001671439288</c:v>
                </c:pt>
                <c:pt idx="308">
                  <c:v>83.174763711770467</c:v>
                </c:pt>
                <c:pt idx="309">
                  <c:v>83.35761575006245</c:v>
                </c:pt>
                <c:pt idx="310">
                  <c:v>83.53561288127942</c:v>
                </c:pt>
                <c:pt idx="311">
                  <c:v>83.708724208953456</c:v>
                </c:pt>
                <c:pt idx="312">
                  <c:v>83.876777188436492</c:v>
                </c:pt>
                <c:pt idx="313">
                  <c:v>84.039847838708823</c:v>
                </c:pt>
                <c:pt idx="314">
                  <c:v>84.198475992059855</c:v>
                </c:pt>
                <c:pt idx="315">
                  <c:v>84.352806601004758</c:v>
                </c:pt>
                <c:pt idx="316">
                  <c:v>84.504145800316749</c:v>
                </c:pt>
                <c:pt idx="317">
                  <c:v>84.655832535533335</c:v>
                </c:pt>
                <c:pt idx="318">
                  <c:v>89.632177619481155</c:v>
                </c:pt>
                <c:pt idx="319">
                  <c:v>110.47239193857871</c:v>
                </c:pt>
                <c:pt idx="320">
                  <c:v>110.61353595113357</c:v>
                </c:pt>
                <c:pt idx="321">
                  <c:v>110.75625104802587</c:v>
                </c:pt>
                <c:pt idx="322">
                  <c:v>110.90056462179834</c:v>
                </c:pt>
                <c:pt idx="323">
                  <c:v>111.05056462179834</c:v>
                </c:pt>
                <c:pt idx="324">
                  <c:v>111.1978631011384</c:v>
                </c:pt>
                <c:pt idx="325">
                  <c:v>111.38239310113839</c:v>
                </c:pt>
                <c:pt idx="326">
                  <c:v>111.66652654139193</c:v>
                </c:pt>
                <c:pt idx="327">
                  <c:v>111.9510252234209</c:v>
                </c:pt>
                <c:pt idx="328">
                  <c:v>112.23588662443531</c:v>
                </c:pt>
                <c:pt idx="329">
                  <c:v>112.52120915293233</c:v>
                </c:pt>
                <c:pt idx="330">
                  <c:v>112.80695577781488</c:v>
                </c:pt>
                <c:pt idx="331">
                  <c:v>113.09308946798602</c:v>
                </c:pt>
                <c:pt idx="332">
                  <c:v>113.37959296929208</c:v>
                </c:pt>
                <c:pt idx="333">
                  <c:v>113.66646425877833</c:v>
                </c:pt>
                <c:pt idx="334">
                  <c:v>113.95371297499888</c:v>
                </c:pt>
                <c:pt idx="335">
                  <c:v>114.24135027962772</c:v>
                </c:pt>
                <c:pt idx="336">
                  <c:v>114.52940204208805</c:v>
                </c:pt>
                <c:pt idx="337">
                  <c:v>114.81787637781389</c:v>
                </c:pt>
                <c:pt idx="338">
                  <c:v>115.10677785616498</c:v>
                </c:pt>
                <c:pt idx="339">
                  <c:v>115.39612118489026</c:v>
                </c:pt>
                <c:pt idx="340">
                  <c:v>115.68593173357745</c:v>
                </c:pt>
                <c:pt idx="341">
                  <c:v>115.9762642873123</c:v>
                </c:pt>
                <c:pt idx="342">
                  <c:v>116.26717820053963</c:v>
                </c:pt>
                <c:pt idx="343">
                  <c:v>116.55868970412853</c:v>
                </c:pt>
                <c:pt idx="344">
                  <c:v>116.84599602788802</c:v>
                </c:pt>
                <c:pt idx="345">
                  <c:v>117.1247370608916</c:v>
                </c:pt>
                <c:pt idx="346">
                  <c:v>117.39569936399388</c:v>
                </c:pt>
                <c:pt idx="347">
                  <c:v>117.65951871330135</c:v>
                </c:pt>
                <c:pt idx="348">
                  <c:v>117.92384916556867</c:v>
                </c:pt>
                <c:pt idx="349">
                  <c:v>118.18510626341907</c:v>
                </c:pt>
                <c:pt idx="350">
                  <c:v>118.44275785661064</c:v>
                </c:pt>
                <c:pt idx="351">
                  <c:v>118.69495478494302</c:v>
                </c:pt>
                <c:pt idx="352">
                  <c:v>118.94047950973548</c:v>
                </c:pt>
                <c:pt idx="353">
                  <c:v>119.1791271528116</c:v>
                </c:pt>
                <c:pt idx="354">
                  <c:v>119.41102358959314</c:v>
                </c:pt>
                <c:pt idx="355">
                  <c:v>119.63648458538781</c:v>
                </c:pt>
                <c:pt idx="356">
                  <c:v>119.85178070431149</c:v>
                </c:pt>
                <c:pt idx="357">
                  <c:v>120.06119181919844</c:v>
                </c:pt>
                <c:pt idx="358">
                  <c:v>120.26502823410671</c:v>
                </c:pt>
                <c:pt idx="359">
                  <c:v>120.46346926494361</c:v>
                </c:pt>
                <c:pt idx="360">
                  <c:v>120.65654978375336</c:v>
                </c:pt>
                <c:pt idx="361">
                  <c:v>120.84431182408454</c:v>
                </c:pt>
                <c:pt idx="362">
                  <c:v>121.02716386237653</c:v>
                </c:pt>
                <c:pt idx="363">
                  <c:v>121.20516099359349</c:v>
                </c:pt>
                <c:pt idx="364">
                  <c:v>121.37827232126753</c:v>
                </c:pt>
                <c:pt idx="365">
                  <c:v>121.54632530075057</c:v>
                </c:pt>
                <c:pt idx="366">
                  <c:v>121.7093959510229</c:v>
                </c:pt>
                <c:pt idx="367">
                  <c:v>121.86802410437393</c:v>
                </c:pt>
                <c:pt idx="368">
                  <c:v>122.02235471331883</c:v>
                </c:pt>
                <c:pt idx="369">
                  <c:v>122.17226094200448</c:v>
                </c:pt>
                <c:pt idx="370">
                  <c:v>122.31766368973416</c:v>
                </c:pt>
                <c:pt idx="371">
                  <c:v>121.88017991798355</c:v>
                </c:pt>
                <c:pt idx="372">
                  <c:v>122.03224776737423</c:v>
                </c:pt>
                <c:pt idx="373">
                  <c:v>122.18538858266099</c:v>
                </c:pt>
                <c:pt idx="374">
                  <c:v>122.34192030210112</c:v>
                </c:pt>
                <c:pt idx="375">
                  <c:v>122.50570242113908</c:v>
                </c:pt>
                <c:pt idx="376">
                  <c:v>122.67232803531887</c:v>
                </c:pt>
                <c:pt idx="377">
                  <c:v>122.84397397121103</c:v>
                </c:pt>
                <c:pt idx="378">
                  <c:v>123.02512187218032</c:v>
                </c:pt>
                <c:pt idx="379">
                  <c:v>123.2165743239746</c:v>
                </c:pt>
                <c:pt idx="380">
                  <c:v>123.41578202563397</c:v>
                </c:pt>
                <c:pt idx="381">
                  <c:v>123.61981100376462</c:v>
                </c:pt>
                <c:pt idx="382">
                  <c:v>123.77981100376462</c:v>
                </c:pt>
                <c:pt idx="383">
                  <c:v>124.01981100376462</c:v>
                </c:pt>
                <c:pt idx="384">
                  <c:v>124.30394444401816</c:v>
                </c:pt>
                <c:pt idx="385">
                  <c:v>124.58844312604712</c:v>
                </c:pt>
                <c:pt idx="386">
                  <c:v>124.87330452706153</c:v>
                </c:pt>
                <c:pt idx="387">
                  <c:v>125.15862705555855</c:v>
                </c:pt>
                <c:pt idx="388">
                  <c:v>125.4443736804411</c:v>
                </c:pt>
                <c:pt idx="389">
                  <c:v>125.73050737061224</c:v>
                </c:pt>
                <c:pt idx="390">
                  <c:v>126.0170108719183</c:v>
                </c:pt>
                <c:pt idx="391">
                  <c:v>126.30388216140456</c:v>
                </c:pt>
                <c:pt idx="392">
                  <c:v>126.5911308776251</c:v>
                </c:pt>
                <c:pt idx="393">
                  <c:v>126.87876818225395</c:v>
                </c:pt>
                <c:pt idx="394">
                  <c:v>127.16681994471428</c:v>
                </c:pt>
                <c:pt idx="395">
                  <c:v>127.45529428044011</c:v>
                </c:pt>
                <c:pt idx="396">
                  <c:v>127.74419575879121</c:v>
                </c:pt>
                <c:pt idx="397">
                  <c:v>128.03353908751649</c:v>
                </c:pt>
                <c:pt idx="398">
                  <c:v>128.32334963620369</c:v>
                </c:pt>
                <c:pt idx="399">
                  <c:v>128.61368218993854</c:v>
                </c:pt>
                <c:pt idx="400">
                  <c:v>128.90459610316589</c:v>
                </c:pt>
                <c:pt idx="401">
                  <c:v>129.19610760675477</c:v>
                </c:pt>
                <c:pt idx="402">
                  <c:v>129.48341393051427</c:v>
                </c:pt>
                <c:pt idx="403">
                  <c:v>129.76215496351784</c:v>
                </c:pt>
                <c:pt idx="404">
                  <c:v>130.03311726662014</c:v>
                </c:pt>
                <c:pt idx="405">
                  <c:v>130.29693661592759</c:v>
                </c:pt>
                <c:pt idx="406">
                  <c:v>130.56126706819492</c:v>
                </c:pt>
                <c:pt idx="407">
                  <c:v>130.82252416604533</c:v>
                </c:pt>
                <c:pt idx="408">
                  <c:v>131.08017575923691</c:v>
                </c:pt>
                <c:pt idx="409">
                  <c:v>131.33237268756929</c:v>
                </c:pt>
                <c:pt idx="410">
                  <c:v>131.57789741236175</c:v>
                </c:pt>
                <c:pt idx="411">
                  <c:v>131.81654505543787</c:v>
                </c:pt>
                <c:pt idx="412">
                  <c:v>132.04844149221941</c:v>
                </c:pt>
                <c:pt idx="413">
                  <c:v>132.27390248801407</c:v>
                </c:pt>
                <c:pt idx="414">
                  <c:v>132.48919860693775</c:v>
                </c:pt>
                <c:pt idx="415">
                  <c:v>132.69860972182468</c:v>
                </c:pt>
                <c:pt idx="416">
                  <c:v>132.90244613673295</c:v>
                </c:pt>
                <c:pt idx="417">
                  <c:v>133.10088716756985</c:v>
                </c:pt>
                <c:pt idx="418">
                  <c:v>133.2939676863796</c:v>
                </c:pt>
                <c:pt idx="419">
                  <c:v>133.48172972671077</c:v>
                </c:pt>
                <c:pt idx="420">
                  <c:v>133.66458176500277</c:v>
                </c:pt>
                <c:pt idx="421">
                  <c:v>133.84257889621975</c:v>
                </c:pt>
                <c:pt idx="422">
                  <c:v>134.01569022389378</c:v>
                </c:pt>
                <c:pt idx="423">
                  <c:v>134.18374320337682</c:v>
                </c:pt>
                <c:pt idx="424">
                  <c:v>134.34681385364914</c:v>
                </c:pt>
                <c:pt idx="425">
                  <c:v>134.50544200700017</c:v>
                </c:pt>
                <c:pt idx="426">
                  <c:v>134.65977261594509</c:v>
                </c:pt>
                <c:pt idx="427">
                  <c:v>134.81523924796559</c:v>
                </c:pt>
                <c:pt idx="428">
                  <c:v>134.96973499679731</c:v>
                </c:pt>
                <c:pt idx="429">
                  <c:v>143.90360562232001</c:v>
                </c:pt>
                <c:pt idx="430">
                  <c:v>144.06734959224778</c:v>
                </c:pt>
                <c:pt idx="431">
                  <c:v>144.23962577145826</c:v>
                </c:pt>
                <c:pt idx="432">
                  <c:v>144.42536928854011</c:v>
                </c:pt>
                <c:pt idx="433">
                  <c:v>144.6706692885401</c:v>
                </c:pt>
                <c:pt idx="434">
                  <c:v>144.85966928854009</c:v>
                </c:pt>
                <c:pt idx="435">
                  <c:v>145.14380272879362</c:v>
                </c:pt>
                <c:pt idx="436">
                  <c:v>145.4283014108226</c:v>
                </c:pt>
                <c:pt idx="437">
                  <c:v>145.71316281183701</c:v>
                </c:pt>
                <c:pt idx="438">
                  <c:v>145.99848534033401</c:v>
                </c:pt>
                <c:pt idx="439">
                  <c:v>146.28423196521658</c:v>
                </c:pt>
                <c:pt idx="440">
                  <c:v>146.57036565538772</c:v>
                </c:pt>
                <c:pt idx="441">
                  <c:v>146.85686915669379</c:v>
                </c:pt>
                <c:pt idx="442">
                  <c:v>147.14374044618006</c:v>
                </c:pt>
                <c:pt idx="443">
                  <c:v>147.43098916240061</c:v>
                </c:pt>
                <c:pt idx="444">
                  <c:v>147.71862646702945</c:v>
                </c:pt>
                <c:pt idx="445">
                  <c:v>148.00667822948978</c:v>
                </c:pt>
                <c:pt idx="446">
                  <c:v>148.2951525652156</c:v>
                </c:pt>
                <c:pt idx="447">
                  <c:v>148.58405404356671</c:v>
                </c:pt>
                <c:pt idx="448">
                  <c:v>148.873397372292</c:v>
                </c:pt>
                <c:pt idx="449">
                  <c:v>149.1632079209792</c:v>
                </c:pt>
                <c:pt idx="450">
                  <c:v>149.45354047471406</c:v>
                </c:pt>
                <c:pt idx="451">
                  <c:v>149.7444543879414</c:v>
                </c:pt>
                <c:pt idx="452">
                  <c:v>150.03596589153028</c:v>
                </c:pt>
                <c:pt idx="453">
                  <c:v>150.32327221528979</c:v>
                </c:pt>
                <c:pt idx="454">
                  <c:v>150.60201324829336</c:v>
                </c:pt>
                <c:pt idx="455">
                  <c:v>150.87297555139565</c:v>
                </c:pt>
                <c:pt idx="456">
                  <c:v>151.13679490070311</c:v>
                </c:pt>
                <c:pt idx="457">
                  <c:v>151.40112535297044</c:v>
                </c:pt>
                <c:pt idx="458">
                  <c:v>151.66238245082084</c:v>
                </c:pt>
                <c:pt idx="459">
                  <c:v>151.92003404401243</c:v>
                </c:pt>
                <c:pt idx="460">
                  <c:v>152.17223097234481</c:v>
                </c:pt>
                <c:pt idx="461">
                  <c:v>152.41775569713727</c:v>
                </c:pt>
                <c:pt idx="462">
                  <c:v>152.65640334021339</c:v>
                </c:pt>
                <c:pt idx="463">
                  <c:v>152.88829977699493</c:v>
                </c:pt>
                <c:pt idx="464">
                  <c:v>153.11376077278959</c:v>
                </c:pt>
                <c:pt idx="465">
                  <c:v>153.32905689171326</c:v>
                </c:pt>
                <c:pt idx="466">
                  <c:v>153.5384680066002</c:v>
                </c:pt>
                <c:pt idx="467">
                  <c:v>153.74230442150846</c:v>
                </c:pt>
                <c:pt idx="468">
                  <c:v>153.94074545234537</c:v>
                </c:pt>
                <c:pt idx="469">
                  <c:v>154.13382597115512</c:v>
                </c:pt>
                <c:pt idx="470">
                  <c:v>154.32158801148628</c:v>
                </c:pt>
                <c:pt idx="471">
                  <c:v>154.50444004977828</c:v>
                </c:pt>
                <c:pt idx="472">
                  <c:v>154.68243718099527</c:v>
                </c:pt>
                <c:pt idx="473">
                  <c:v>154.8555485086693</c:v>
                </c:pt>
                <c:pt idx="474">
                  <c:v>155.02360148815234</c:v>
                </c:pt>
                <c:pt idx="475">
                  <c:v>155.18667213842465</c:v>
                </c:pt>
                <c:pt idx="476">
                  <c:v>155.34530029177569</c:v>
                </c:pt>
                <c:pt idx="477">
                  <c:v>155.4996309007206</c:v>
                </c:pt>
                <c:pt idx="478">
                  <c:v>155.64953712940624</c:v>
                </c:pt>
                <c:pt idx="479">
                  <c:v>155.7949398771359</c:v>
                </c:pt>
                <c:pt idx="480">
                  <c:v>171.92592524853075</c:v>
                </c:pt>
                <c:pt idx="481">
                  <c:v>172.08570400010959</c:v>
                </c:pt>
                <c:pt idx="482">
                  <c:v>172.24853557684645</c:v>
                </c:pt>
                <c:pt idx="483">
                  <c:v>172.41617427931803</c:v>
                </c:pt>
                <c:pt idx="484">
                  <c:v>172.58895780836102</c:v>
                </c:pt>
                <c:pt idx="485">
                  <c:v>172.77538347633563</c:v>
                </c:pt>
                <c:pt idx="486">
                  <c:v>172.9669976707913</c:v>
                </c:pt>
                <c:pt idx="487">
                  <c:v>173.14699767079131</c:v>
                </c:pt>
                <c:pt idx="488">
                  <c:v>173.38699767079132</c:v>
                </c:pt>
                <c:pt idx="489">
                  <c:v>173.67113111104484</c:v>
                </c:pt>
                <c:pt idx="490">
                  <c:v>173.95562979307383</c:v>
                </c:pt>
                <c:pt idx="491">
                  <c:v>174.24049119408824</c:v>
                </c:pt>
                <c:pt idx="492">
                  <c:v>174.52581372258524</c:v>
                </c:pt>
                <c:pt idx="493">
                  <c:v>174.8115603474678</c:v>
                </c:pt>
                <c:pt idx="494">
                  <c:v>175.09769403763895</c:v>
                </c:pt>
                <c:pt idx="495">
                  <c:v>175.38419753894502</c:v>
                </c:pt>
                <c:pt idx="496">
                  <c:v>175.67106882843129</c:v>
                </c:pt>
                <c:pt idx="497">
                  <c:v>175.95831754465183</c:v>
                </c:pt>
                <c:pt idx="498">
                  <c:v>176.24595484928068</c:v>
                </c:pt>
                <c:pt idx="499">
                  <c:v>176.53400661174101</c:v>
                </c:pt>
                <c:pt idx="500">
                  <c:v>176.82248094746683</c:v>
                </c:pt>
                <c:pt idx="501">
                  <c:v>177.11138242581794</c:v>
                </c:pt>
                <c:pt idx="502">
                  <c:v>177.40072575454323</c:v>
                </c:pt>
                <c:pt idx="503">
                  <c:v>177.69053630323043</c:v>
                </c:pt>
                <c:pt idx="504">
                  <c:v>177.98086885696529</c:v>
                </c:pt>
                <c:pt idx="505">
                  <c:v>178.27178277019263</c:v>
                </c:pt>
                <c:pt idx="506">
                  <c:v>178.56329427378151</c:v>
                </c:pt>
                <c:pt idx="507">
                  <c:v>178.85060059754102</c:v>
                </c:pt>
                <c:pt idx="508">
                  <c:v>179.12934163054459</c:v>
                </c:pt>
                <c:pt idx="509">
                  <c:v>179.40030393364688</c:v>
                </c:pt>
                <c:pt idx="510">
                  <c:v>179.66412328295434</c:v>
                </c:pt>
                <c:pt idx="511">
                  <c:v>179.92845373522167</c:v>
                </c:pt>
                <c:pt idx="512">
                  <c:v>180.18971083307207</c:v>
                </c:pt>
                <c:pt idx="513">
                  <c:v>180.44736242626365</c:v>
                </c:pt>
                <c:pt idx="514">
                  <c:v>180.69955935459603</c:v>
                </c:pt>
                <c:pt idx="515">
                  <c:v>180.94508407938849</c:v>
                </c:pt>
                <c:pt idx="516">
                  <c:v>181.18373172246461</c:v>
                </c:pt>
                <c:pt idx="517">
                  <c:v>181.41562815924615</c:v>
                </c:pt>
                <c:pt idx="518">
                  <c:v>181.64108915504082</c:v>
                </c:pt>
                <c:pt idx="519">
                  <c:v>181.85638527396449</c:v>
                </c:pt>
                <c:pt idx="520">
                  <c:v>182.06579638885142</c:v>
                </c:pt>
                <c:pt idx="521">
                  <c:v>182.26963280375969</c:v>
                </c:pt>
                <c:pt idx="522">
                  <c:v>182.46807383459659</c:v>
                </c:pt>
                <c:pt idx="523">
                  <c:v>182.66115435340635</c:v>
                </c:pt>
                <c:pt idx="524">
                  <c:v>182.84891639373751</c:v>
                </c:pt>
                <c:pt idx="525">
                  <c:v>183.03176843202951</c:v>
                </c:pt>
                <c:pt idx="526">
                  <c:v>183.20976556324649</c:v>
                </c:pt>
                <c:pt idx="527">
                  <c:v>183.38287689092053</c:v>
                </c:pt>
                <c:pt idx="528">
                  <c:v>183.55092987040356</c:v>
                </c:pt>
                <c:pt idx="529">
                  <c:v>183.71400052067588</c:v>
                </c:pt>
                <c:pt idx="530">
                  <c:v>183.87262867402691</c:v>
                </c:pt>
              </c:numCache>
            </c:numRef>
          </c:xVal>
          <c:yVal>
            <c:numRef>
              <c:f>Data!$BQ$3:$BQ$533</c:f>
              <c:numCache>
                <c:formatCode>General</c:formatCode>
                <c:ptCount val="531"/>
                <c:pt idx="0">
                  <c:v>342.86298322825189</c:v>
                </c:pt>
                <c:pt idx="1">
                  <c:v>640.77662189178136</c:v>
                </c:pt>
                <c:pt idx="2">
                  <c:v>940.37310645164166</c:v>
                </c:pt>
                <c:pt idx="3">
                  <c:v>1240.1705989592947</c:v>
                </c:pt>
                <c:pt idx="4">
                  <c:v>1442.2144071020482</c:v>
                </c:pt>
                <c:pt idx="5">
                  <c:v>1617.4562544137111</c:v>
                </c:pt>
                <c:pt idx="6">
                  <c:v>1793.514020910972</c:v>
                </c:pt>
                <c:pt idx="7">
                  <c:v>1970.0858431706147</c:v>
                </c:pt>
                <c:pt idx="8">
                  <c:v>2147.3287293075905</c:v>
                </c:pt>
                <c:pt idx="9">
                  <c:v>2325.2690974532297</c:v>
                </c:pt>
                <c:pt idx="10">
                  <c:v>2503.6539345288761</c:v>
                </c:pt>
                <c:pt idx="11">
                  <c:v>2683.0247295687846</c:v>
                </c:pt>
                <c:pt idx="12">
                  <c:v>2862.8327453916327</c:v>
                </c:pt>
                <c:pt idx="13">
                  <c:v>3043.8602333907543</c:v>
                </c:pt>
                <c:pt idx="14">
                  <c:v>3225.445337572326</c:v>
                </c:pt>
                <c:pt idx="15">
                  <c:v>3408.1578496122825</c:v>
                </c:pt>
                <c:pt idx="16">
                  <c:v>3591.536675220611</c:v>
                </c:pt>
                <c:pt idx="17">
                  <c:v>3775.9243485013976</c:v>
                </c:pt>
                <c:pt idx="18">
                  <c:v>3961.1407881847808</c:v>
                </c:pt>
                <c:pt idx="19">
                  <c:v>4147.2072644507898</c:v>
                </c:pt>
                <c:pt idx="20">
                  <c:v>5326.1875222161525</c:v>
                </c:pt>
                <c:pt idx="21">
                  <c:v>6537.0806312666755</c:v>
                </c:pt>
                <c:pt idx="22">
                  <c:v>7765.132695308751</c:v>
                </c:pt>
                <c:pt idx="23">
                  <c:v>9022.5208997568207</c:v>
                </c:pt>
                <c:pt idx="24">
                  <c:v>10285.348347943502</c:v>
                </c:pt>
                <c:pt idx="25">
                  <c:v>11555.238379438106</c:v>
                </c:pt>
                <c:pt idx="26">
                  <c:v>12831.38018194365</c:v>
                </c:pt>
                <c:pt idx="27">
                  <c:v>14115.878365216126</c:v>
                </c:pt>
                <c:pt idx="28">
                  <c:v>15408.64690390157</c:v>
                </c:pt>
                <c:pt idx="29">
                  <c:v>16710.896023665769</c:v>
                </c:pt>
                <c:pt idx="30">
                  <c:v>18029.433743008834</c:v>
                </c:pt>
                <c:pt idx="31">
                  <c:v>18715.63565588952</c:v>
                </c:pt>
                <c:pt idx="32">
                  <c:v>20049.867106926478</c:v>
                </c:pt>
                <c:pt idx="33">
                  <c:v>21478.072119290668</c:v>
                </c:pt>
                <c:pt idx="34">
                  <c:v>21478.072119290668</c:v>
                </c:pt>
                <c:pt idx="35">
                  <c:v>21478.072119290668</c:v>
                </c:pt>
                <c:pt idx="36">
                  <c:v>21478.072119290668</c:v>
                </c:pt>
                <c:pt idx="37">
                  <c:v>21478.072119290668</c:v>
                </c:pt>
                <c:pt idx="38">
                  <c:v>21478.072119290668</c:v>
                </c:pt>
                <c:pt idx="39">
                  <c:v>21478.072119290668</c:v>
                </c:pt>
                <c:pt idx="40">
                  <c:v>21478.072119290668</c:v>
                </c:pt>
                <c:pt idx="41">
                  <c:v>21478.072119290668</c:v>
                </c:pt>
                <c:pt idx="42">
                  <c:v>21478.072119290668</c:v>
                </c:pt>
                <c:pt idx="43">
                  <c:v>24713.494928185159</c:v>
                </c:pt>
                <c:pt idx="44">
                  <c:v>24713.494928185159</c:v>
                </c:pt>
                <c:pt idx="45">
                  <c:v>24713.494928185159</c:v>
                </c:pt>
                <c:pt idx="46">
                  <c:v>24713.494928185159</c:v>
                </c:pt>
                <c:pt idx="47">
                  <c:v>24713.494928185159</c:v>
                </c:pt>
                <c:pt idx="48">
                  <c:v>24713.494928185159</c:v>
                </c:pt>
                <c:pt idx="49">
                  <c:v>24713.494928185159</c:v>
                </c:pt>
                <c:pt idx="50">
                  <c:v>28029.329105682766</c:v>
                </c:pt>
                <c:pt idx="51">
                  <c:v>31368.257353581717</c:v>
                </c:pt>
                <c:pt idx="52">
                  <c:v>34727.216491941879</c:v>
                </c:pt>
                <c:pt idx="53">
                  <c:v>38109.035533912487</c:v>
                </c:pt>
                <c:pt idx="54">
                  <c:v>41516.692621882008</c:v>
                </c:pt>
                <c:pt idx="55">
                  <c:v>44948.695352230607</c:v>
                </c:pt>
                <c:pt idx="56">
                  <c:v>48403.028397966649</c:v>
                </c:pt>
                <c:pt idx="57">
                  <c:v>50719.931084873933</c:v>
                </c:pt>
                <c:pt idx="58">
                  <c:v>53050.670001423678</c:v>
                </c:pt>
                <c:pt idx="59">
                  <c:v>55396.083977955052</c:v>
                </c:pt>
                <c:pt idx="60">
                  <c:v>57755.877024154113</c:v>
                </c:pt>
                <c:pt idx="61">
                  <c:v>60130.75209277706</c:v>
                </c:pt>
                <c:pt idx="62">
                  <c:v>62521.495403463632</c:v>
                </c:pt>
                <c:pt idx="63">
                  <c:v>64928.183376625973</c:v>
                </c:pt>
                <c:pt idx="64">
                  <c:v>67351.249690164012</c:v>
                </c:pt>
                <c:pt idx="65">
                  <c:v>69789.656160388738</c:v>
                </c:pt>
                <c:pt idx="66">
                  <c:v>72244.968845455893</c:v>
                </c:pt>
                <c:pt idx="67">
                  <c:v>72244.968845455893</c:v>
                </c:pt>
                <c:pt idx="68">
                  <c:v>72244.968845455893</c:v>
                </c:pt>
                <c:pt idx="69">
                  <c:v>72244.968845455893</c:v>
                </c:pt>
                <c:pt idx="70">
                  <c:v>72244.968845455893</c:v>
                </c:pt>
                <c:pt idx="71">
                  <c:v>72244.968845455893</c:v>
                </c:pt>
                <c:pt idx="72">
                  <c:v>72244.968845455893</c:v>
                </c:pt>
                <c:pt idx="73">
                  <c:v>72244.968845455893</c:v>
                </c:pt>
                <c:pt idx="74">
                  <c:v>72244.968845455893</c:v>
                </c:pt>
                <c:pt idx="75">
                  <c:v>72244.968845455893</c:v>
                </c:pt>
                <c:pt idx="76">
                  <c:v>72244.968845455893</c:v>
                </c:pt>
                <c:pt idx="77">
                  <c:v>72902.069289370687</c:v>
                </c:pt>
                <c:pt idx="78">
                  <c:v>76624.945177902016</c:v>
                </c:pt>
                <c:pt idx="79">
                  <c:v>79127.677788878558</c:v>
                </c:pt>
                <c:pt idx="80">
                  <c:v>81650.693905830514</c:v>
                </c:pt>
                <c:pt idx="81">
                  <c:v>84193.004269407495</c:v>
                </c:pt>
                <c:pt idx="82">
                  <c:v>86754.17521503738</c:v>
                </c:pt>
                <c:pt idx="83">
                  <c:v>89334.236114337022</c:v>
                </c:pt>
                <c:pt idx="84">
                  <c:v>91933.02881656542</c:v>
                </c:pt>
                <c:pt idx="85">
                  <c:v>94551.17987750785</c:v>
                </c:pt>
                <c:pt idx="86">
                  <c:v>97186.597218970637</c:v>
                </c:pt>
                <c:pt idx="87">
                  <c:v>99832.592435929822</c:v>
                </c:pt>
                <c:pt idx="88">
                  <c:v>102495.43788941551</c:v>
                </c:pt>
                <c:pt idx="89">
                  <c:v>105175.95935280345</c:v>
                </c:pt>
                <c:pt idx="90">
                  <c:v>107874.37899427251</c:v>
                </c:pt>
                <c:pt idx="91">
                  <c:v>107874.37899427251</c:v>
                </c:pt>
                <c:pt idx="92">
                  <c:v>108453.84226541614</c:v>
                </c:pt>
                <c:pt idx="93">
                  <c:v>110061.1227974416</c:v>
                </c:pt>
                <c:pt idx="94">
                  <c:v>111677.98720352408</c:v>
                </c:pt>
                <c:pt idx="95">
                  <c:v>113304.14823051008</c:v>
                </c:pt>
                <c:pt idx="96">
                  <c:v>113304.14823051008</c:v>
                </c:pt>
                <c:pt idx="97">
                  <c:v>114945.32894602005</c:v>
                </c:pt>
                <c:pt idx="98">
                  <c:v>116592.66199179586</c:v>
                </c:pt>
                <c:pt idx="99">
                  <c:v>118246.98573383102</c:v>
                </c:pt>
                <c:pt idx="100">
                  <c:v>119908.7124423701</c:v>
                </c:pt>
                <c:pt idx="101">
                  <c:v>121577.92481099049</c:v>
                </c:pt>
                <c:pt idx="102">
                  <c:v>123254.9410922767</c:v>
                </c:pt>
                <c:pt idx="103">
                  <c:v>124940.24665733412</c:v>
                </c:pt>
                <c:pt idx="104">
                  <c:v>126634.16462491923</c:v>
                </c:pt>
                <c:pt idx="105">
                  <c:v>128337.31037524143</c:v>
                </c:pt>
                <c:pt idx="106">
                  <c:v>130050.14115268849</c:v>
                </c:pt>
                <c:pt idx="107">
                  <c:v>131772.80212927188</c:v>
                </c:pt>
                <c:pt idx="108">
                  <c:v>133505.81148307284</c:v>
                </c:pt>
                <c:pt idx="109">
                  <c:v>135249.17151985064</c:v>
                </c:pt>
                <c:pt idx="110">
                  <c:v>137003.48345371181</c:v>
                </c:pt>
                <c:pt idx="111">
                  <c:v>138769.95023238732</c:v>
                </c:pt>
                <c:pt idx="112">
                  <c:v>139257.28119939624</c:v>
                </c:pt>
                <c:pt idx="113">
                  <c:v>139752.22496403367</c:v>
                </c:pt>
                <c:pt idx="114">
                  <c:v>140256.78278663475</c:v>
                </c:pt>
                <c:pt idx="115">
                  <c:v>140927.07756292264</c:v>
                </c:pt>
                <c:pt idx="116">
                  <c:v>141600.65510518098</c:v>
                </c:pt>
                <c:pt idx="117">
                  <c:v>142066.09091118979</c:v>
                </c:pt>
                <c:pt idx="118">
                  <c:v>142527.68402115823</c:v>
                </c:pt>
                <c:pt idx="119">
                  <c:v>142990.72556864785</c:v>
                </c:pt>
                <c:pt idx="120">
                  <c:v>143454.95238288978</c:v>
                </c:pt>
                <c:pt idx="121">
                  <c:v>143919.55879773162</c:v>
                </c:pt>
                <c:pt idx="122">
                  <c:v>144384.73556226809</c:v>
                </c:pt>
                <c:pt idx="123">
                  <c:v>144850.67584162945</c:v>
                </c:pt>
                <c:pt idx="124">
                  <c:v>145317.11277925811</c:v>
                </c:pt>
                <c:pt idx="125">
                  <c:v>145784.01202291067</c:v>
                </c:pt>
                <c:pt idx="126">
                  <c:v>146251.69158491323</c:v>
                </c:pt>
                <c:pt idx="127">
                  <c:v>146720.29488161977</c:v>
                </c:pt>
                <c:pt idx="128">
                  <c:v>147189.90451457267</c:v>
                </c:pt>
                <c:pt idx="129">
                  <c:v>147660.60063868886</c:v>
                </c:pt>
                <c:pt idx="130">
                  <c:v>149492.99729986</c:v>
                </c:pt>
                <c:pt idx="131">
                  <c:v>151334.92843545685</c:v>
                </c:pt>
                <c:pt idx="132">
                  <c:v>153187.04088753779</c:v>
                </c:pt>
                <c:pt idx="133">
                  <c:v>155049.82675036445</c:v>
                </c:pt>
                <c:pt idx="134">
                  <c:v>156923.49651237926</c:v>
                </c:pt>
                <c:pt idx="135">
                  <c:v>158807.82324649807</c:v>
                </c:pt>
                <c:pt idx="136">
                  <c:v>159329.6528472674</c:v>
                </c:pt>
                <c:pt idx="137">
                  <c:v>159859.97329174262</c:v>
                </c:pt>
                <c:pt idx="138">
                  <c:v>160401.95210800259</c:v>
                </c:pt>
                <c:pt idx="139">
                  <c:v>161234.63866983302</c:v>
                </c:pt>
                <c:pt idx="140">
                  <c:v>162108.24078093295</c:v>
                </c:pt>
                <c:pt idx="141">
                  <c:v>162807.84189052862</c:v>
                </c:pt>
                <c:pt idx="142">
                  <c:v>163512.74236595465</c:v>
                </c:pt>
                <c:pt idx="143">
                  <c:v>164222.05592658086</c:v>
                </c:pt>
                <c:pt idx="144">
                  <c:v>164934.89121493095</c:v>
                </c:pt>
                <c:pt idx="145">
                  <c:v>165650.66135448168</c:v>
                </c:pt>
                <c:pt idx="146">
                  <c:v>166369.09132945031</c:v>
                </c:pt>
                <c:pt idx="147">
                  <c:v>167089.91518942537</c:v>
                </c:pt>
                <c:pt idx="148">
                  <c:v>167813.07569168214</c:v>
                </c:pt>
                <c:pt idx="149">
                  <c:v>168538.50183247469</c:v>
                </c:pt>
                <c:pt idx="150">
                  <c:v>169266.06817214465</c:v>
                </c:pt>
                <c:pt idx="151">
                  <c:v>169768.70515719228</c:v>
                </c:pt>
                <c:pt idx="152">
                  <c:v>170455.3661594014</c:v>
                </c:pt>
                <c:pt idx="153">
                  <c:v>172346.44907742765</c:v>
                </c:pt>
                <c:pt idx="154">
                  <c:v>174245.99531671312</c:v>
                </c:pt>
                <c:pt idx="155">
                  <c:v>176153.73885628799</c:v>
                </c:pt>
                <c:pt idx="156">
                  <c:v>178069.80093169617</c:v>
                </c:pt>
                <c:pt idx="157">
                  <c:v>180200.52461046373</c:v>
                </c:pt>
                <c:pt idx="158">
                  <c:v>183446.54104748223</c:v>
                </c:pt>
                <c:pt idx="159">
                  <c:v>183446.54104748223</c:v>
                </c:pt>
                <c:pt idx="160">
                  <c:v>183446.54104748223</c:v>
                </c:pt>
                <c:pt idx="161">
                  <c:v>183446.54104748223</c:v>
                </c:pt>
                <c:pt idx="162">
                  <c:v>187265.62610414202</c:v>
                </c:pt>
                <c:pt idx="163">
                  <c:v>191091.74043194315</c:v>
                </c:pt>
                <c:pt idx="164">
                  <c:v>194922.77307132646</c:v>
                </c:pt>
                <c:pt idx="165">
                  <c:v>198758.69005063796</c:v>
                </c:pt>
                <c:pt idx="166">
                  <c:v>202600.81652949497</c:v>
                </c:pt>
                <c:pt idx="167">
                  <c:v>206448.65385060848</c:v>
                </c:pt>
                <c:pt idx="168">
                  <c:v>210301.70335669094</c:v>
                </c:pt>
                <c:pt idx="169">
                  <c:v>214159.73270492299</c:v>
                </c:pt>
                <c:pt idx="170">
                  <c:v>218022.71465438572</c:v>
                </c:pt>
                <c:pt idx="171">
                  <c:v>221890.77899694678</c:v>
                </c:pt>
                <c:pt idx="172">
                  <c:v>225764.07603466432</c:v>
                </c:pt>
                <c:pt idx="173">
                  <c:v>229642.95412277107</c:v>
                </c:pt>
                <c:pt idx="174">
                  <c:v>233527.52254294234</c:v>
                </c:pt>
                <c:pt idx="175">
                  <c:v>237417.84282574922</c:v>
                </c:pt>
                <c:pt idx="176">
                  <c:v>241314.11302436297</c:v>
                </c:pt>
                <c:pt idx="177">
                  <c:v>245216.67476327866</c:v>
                </c:pt>
                <c:pt idx="178">
                  <c:v>249126.26577333637</c:v>
                </c:pt>
                <c:pt idx="179">
                  <c:v>253043.68531593779</c:v>
                </c:pt>
                <c:pt idx="180">
                  <c:v>256969.15195444759</c:v>
                </c:pt>
                <c:pt idx="181">
                  <c:v>260837.99203473935</c:v>
                </c:pt>
                <c:pt idx="182">
                  <c:v>261736.95199594914</c:v>
                </c:pt>
                <c:pt idx="183">
                  <c:v>264919.74850742251</c:v>
                </c:pt>
                <c:pt idx="184">
                  <c:v>267220.04667061201</c:v>
                </c:pt>
                <c:pt idx="185">
                  <c:v>267220.04667061201</c:v>
                </c:pt>
                <c:pt idx="186">
                  <c:v>267220.04667061201</c:v>
                </c:pt>
                <c:pt idx="187">
                  <c:v>267220.04667061201</c:v>
                </c:pt>
                <c:pt idx="188">
                  <c:v>267220.04667061201</c:v>
                </c:pt>
                <c:pt idx="189">
                  <c:v>267220.04667061201</c:v>
                </c:pt>
                <c:pt idx="190">
                  <c:v>267220.04667061201</c:v>
                </c:pt>
                <c:pt idx="191">
                  <c:v>267220.04667061201</c:v>
                </c:pt>
                <c:pt idx="192">
                  <c:v>267220.04667061201</c:v>
                </c:pt>
                <c:pt idx="193">
                  <c:v>267220.04667061201</c:v>
                </c:pt>
                <c:pt idx="194">
                  <c:v>267971.09377654659</c:v>
                </c:pt>
                <c:pt idx="195">
                  <c:v>268656.1375020924</c:v>
                </c:pt>
                <c:pt idx="196">
                  <c:v>270429.47329852014</c:v>
                </c:pt>
                <c:pt idx="197">
                  <c:v>272173.60057303199</c:v>
                </c:pt>
                <c:pt idx="198">
                  <c:v>272769.46422341594</c:v>
                </c:pt>
                <c:pt idx="199">
                  <c:v>274278.58084292809</c:v>
                </c:pt>
                <c:pt idx="200">
                  <c:v>274815.1926634899</c:v>
                </c:pt>
                <c:pt idx="201">
                  <c:v>274815.1926634899</c:v>
                </c:pt>
                <c:pt idx="202">
                  <c:v>275312.56422445638</c:v>
                </c:pt>
                <c:pt idx="203">
                  <c:v>275312.56422445638</c:v>
                </c:pt>
                <c:pt idx="204">
                  <c:v>275312.56422445638</c:v>
                </c:pt>
                <c:pt idx="205">
                  <c:v>275312.56422445638</c:v>
                </c:pt>
                <c:pt idx="206">
                  <c:v>275312.56422445638</c:v>
                </c:pt>
                <c:pt idx="207">
                  <c:v>275312.56422445638</c:v>
                </c:pt>
                <c:pt idx="208">
                  <c:v>275312.56422445638</c:v>
                </c:pt>
                <c:pt idx="209">
                  <c:v>279083.0180324571</c:v>
                </c:pt>
                <c:pt idx="210">
                  <c:v>282909.1323602582</c:v>
                </c:pt>
                <c:pt idx="211">
                  <c:v>286740.16499964154</c:v>
                </c:pt>
                <c:pt idx="212">
                  <c:v>290576.08197895304</c:v>
                </c:pt>
                <c:pt idx="213">
                  <c:v>294418.20845781005</c:v>
                </c:pt>
                <c:pt idx="214">
                  <c:v>298266.04577892355</c:v>
                </c:pt>
                <c:pt idx="215">
                  <c:v>302119.09528500598</c:v>
                </c:pt>
                <c:pt idx="216">
                  <c:v>305977.12463323801</c:v>
                </c:pt>
                <c:pt idx="217">
                  <c:v>309840.10658270074</c:v>
                </c:pt>
                <c:pt idx="218">
                  <c:v>313610.56039070146</c:v>
                </c:pt>
                <c:pt idx="219">
                  <c:v>317436.67471850256</c:v>
                </c:pt>
                <c:pt idx="220">
                  <c:v>321267.7073578859</c:v>
                </c:pt>
                <c:pt idx="221">
                  <c:v>325103.6243371974</c:v>
                </c:pt>
                <c:pt idx="222">
                  <c:v>328945.75081605441</c:v>
                </c:pt>
                <c:pt idx="223">
                  <c:v>332793.58813716791</c:v>
                </c:pt>
                <c:pt idx="224">
                  <c:v>336646.63764325035</c:v>
                </c:pt>
                <c:pt idx="225">
                  <c:v>340504.66699148237</c:v>
                </c:pt>
                <c:pt idx="226">
                  <c:v>344367.6489409451</c:v>
                </c:pt>
                <c:pt idx="227">
                  <c:v>348235.71328350616</c:v>
                </c:pt>
                <c:pt idx="228">
                  <c:v>352109.0103212237</c:v>
                </c:pt>
                <c:pt idx="229">
                  <c:v>355987.88840933045</c:v>
                </c:pt>
                <c:pt idx="230">
                  <c:v>359872.45682950172</c:v>
                </c:pt>
                <c:pt idx="231">
                  <c:v>363762.7771123086</c:v>
                </c:pt>
                <c:pt idx="232">
                  <c:v>367659.04731092235</c:v>
                </c:pt>
                <c:pt idx="233">
                  <c:v>371561.60904983804</c:v>
                </c:pt>
                <c:pt idx="234">
                  <c:v>375471.20005989575</c:v>
                </c:pt>
                <c:pt idx="235">
                  <c:v>379388.61960249714</c:v>
                </c:pt>
                <c:pt idx="236">
                  <c:v>383314.08624100691</c:v>
                </c:pt>
                <c:pt idx="237">
                  <c:v>387182.92632129864</c:v>
                </c:pt>
                <c:pt idx="238">
                  <c:v>388081.88628250844</c:v>
                </c:pt>
                <c:pt idx="239">
                  <c:v>391264.6827939818</c:v>
                </c:pt>
                <c:pt idx="240">
                  <c:v>393564.9809571713</c:v>
                </c:pt>
                <c:pt idx="241">
                  <c:v>393564.9809571713</c:v>
                </c:pt>
                <c:pt idx="242">
                  <c:v>393564.9809571713</c:v>
                </c:pt>
                <c:pt idx="243">
                  <c:v>393564.9809571713</c:v>
                </c:pt>
                <c:pt idx="244">
                  <c:v>393564.9809571713</c:v>
                </c:pt>
                <c:pt idx="245">
                  <c:v>393564.9809571713</c:v>
                </c:pt>
                <c:pt idx="246">
                  <c:v>393564.9809571713</c:v>
                </c:pt>
                <c:pt idx="247">
                  <c:v>393564.9809571713</c:v>
                </c:pt>
                <c:pt idx="248">
                  <c:v>393564.9809571713</c:v>
                </c:pt>
                <c:pt idx="249">
                  <c:v>393564.9809571713</c:v>
                </c:pt>
                <c:pt idx="250">
                  <c:v>394316.02806310588</c:v>
                </c:pt>
                <c:pt idx="251">
                  <c:v>395001.07178865169</c:v>
                </c:pt>
                <c:pt idx="252">
                  <c:v>396774.40758507943</c:v>
                </c:pt>
                <c:pt idx="253">
                  <c:v>398518.53485959128</c:v>
                </c:pt>
                <c:pt idx="254">
                  <c:v>399114.39850997523</c:v>
                </c:pt>
                <c:pt idx="255">
                  <c:v>400623.51512948738</c:v>
                </c:pt>
                <c:pt idx="256">
                  <c:v>401160.12695004919</c:v>
                </c:pt>
                <c:pt idx="257">
                  <c:v>401160.12695004919</c:v>
                </c:pt>
                <c:pt idx="258">
                  <c:v>401629.85665625188</c:v>
                </c:pt>
                <c:pt idx="259">
                  <c:v>403013.15066793089</c:v>
                </c:pt>
                <c:pt idx="260">
                  <c:v>403461.66970919882</c:v>
                </c:pt>
                <c:pt idx="261">
                  <c:v>404829.06737210875</c:v>
                </c:pt>
                <c:pt idx="262">
                  <c:v>406168.19412271952</c:v>
                </c:pt>
                <c:pt idx="263">
                  <c:v>407520.81019999884</c:v>
                </c:pt>
                <c:pt idx="264">
                  <c:v>439144.3076162978</c:v>
                </c:pt>
                <c:pt idx="265">
                  <c:v>465704.75670768379</c:v>
                </c:pt>
                <c:pt idx="266">
                  <c:v>466499.57315924542</c:v>
                </c:pt>
                <c:pt idx="267">
                  <c:v>467492.63393611897</c:v>
                </c:pt>
                <c:pt idx="268">
                  <c:v>468519.84269844199</c:v>
                </c:pt>
                <c:pt idx="269">
                  <c:v>469694.8414560894</c:v>
                </c:pt>
                <c:pt idx="270">
                  <c:v>470899.1163564052</c:v>
                </c:pt>
                <c:pt idx="271">
                  <c:v>473113.84998551098</c:v>
                </c:pt>
                <c:pt idx="272">
                  <c:v>475966.77465131355</c:v>
                </c:pt>
                <c:pt idx="273">
                  <c:v>479230.73533374857</c:v>
                </c:pt>
                <c:pt idx="274">
                  <c:v>483066.65231306007</c:v>
                </c:pt>
                <c:pt idx="275">
                  <c:v>486908.77879191708</c:v>
                </c:pt>
                <c:pt idx="276">
                  <c:v>490756.61611303058</c:v>
                </c:pt>
                <c:pt idx="277">
                  <c:v>494609.66561911302</c:v>
                </c:pt>
                <c:pt idx="278">
                  <c:v>498467.69496734504</c:v>
                </c:pt>
                <c:pt idx="279">
                  <c:v>502330.67691680777</c:v>
                </c:pt>
                <c:pt idx="280">
                  <c:v>506198.74125936884</c:v>
                </c:pt>
                <c:pt idx="281">
                  <c:v>510072.03829708637</c:v>
                </c:pt>
                <c:pt idx="282">
                  <c:v>513950.91638519312</c:v>
                </c:pt>
                <c:pt idx="283">
                  <c:v>517835.48480536439</c:v>
                </c:pt>
                <c:pt idx="284">
                  <c:v>521725.80508817127</c:v>
                </c:pt>
                <c:pt idx="285">
                  <c:v>525622.07528678502</c:v>
                </c:pt>
                <c:pt idx="286">
                  <c:v>529524.63702570065</c:v>
                </c:pt>
                <c:pt idx="287">
                  <c:v>533434.22803575837</c:v>
                </c:pt>
                <c:pt idx="288">
                  <c:v>537351.64757835981</c:v>
                </c:pt>
                <c:pt idx="289">
                  <c:v>541277.11421686958</c:v>
                </c:pt>
                <c:pt idx="290">
                  <c:v>545145.95429716131</c:v>
                </c:pt>
                <c:pt idx="291">
                  <c:v>546044.91425837111</c:v>
                </c:pt>
                <c:pt idx="292">
                  <c:v>549227.71076984447</c:v>
                </c:pt>
                <c:pt idx="293">
                  <c:v>551528.00893303391</c:v>
                </c:pt>
                <c:pt idx="294">
                  <c:v>551528.00893303391</c:v>
                </c:pt>
                <c:pt idx="295">
                  <c:v>551528.00893303391</c:v>
                </c:pt>
                <c:pt idx="296">
                  <c:v>551528.00893303391</c:v>
                </c:pt>
                <c:pt idx="297">
                  <c:v>551528.00893303391</c:v>
                </c:pt>
                <c:pt idx="298">
                  <c:v>551528.00893303391</c:v>
                </c:pt>
                <c:pt idx="299">
                  <c:v>551528.00893303391</c:v>
                </c:pt>
                <c:pt idx="300">
                  <c:v>551528.00893303391</c:v>
                </c:pt>
                <c:pt idx="301">
                  <c:v>551528.00893303391</c:v>
                </c:pt>
                <c:pt idx="302">
                  <c:v>551528.00893303391</c:v>
                </c:pt>
                <c:pt idx="303">
                  <c:v>552279.0560389685</c:v>
                </c:pt>
                <c:pt idx="304">
                  <c:v>552964.09976451437</c:v>
                </c:pt>
                <c:pt idx="305">
                  <c:v>554737.43556094205</c:v>
                </c:pt>
                <c:pt idx="306">
                  <c:v>556481.56283545389</c:v>
                </c:pt>
                <c:pt idx="307">
                  <c:v>557077.4264858379</c:v>
                </c:pt>
                <c:pt idx="308">
                  <c:v>558586.54310534999</c:v>
                </c:pt>
                <c:pt idx="309">
                  <c:v>559123.1549259118</c:v>
                </c:pt>
                <c:pt idx="310">
                  <c:v>559123.1549259118</c:v>
                </c:pt>
                <c:pt idx="311">
                  <c:v>559592.88463211444</c:v>
                </c:pt>
                <c:pt idx="312">
                  <c:v>560976.17864379345</c:v>
                </c:pt>
                <c:pt idx="313">
                  <c:v>561424.69768506137</c:v>
                </c:pt>
                <c:pt idx="314">
                  <c:v>562792.09534797131</c:v>
                </c:pt>
                <c:pt idx="315">
                  <c:v>564144.02296293166</c:v>
                </c:pt>
                <c:pt idx="316">
                  <c:v>564149.66273275716</c:v>
                </c:pt>
                <c:pt idx="317">
                  <c:v>564149.66273275716</c:v>
                </c:pt>
                <c:pt idx="318">
                  <c:v>784523.84393683134</c:v>
                </c:pt>
                <c:pt idx="319">
                  <c:v>785981.24860814563</c:v>
                </c:pt>
                <c:pt idx="320">
                  <c:v>787454.87575755839</c:v>
                </c:pt>
                <c:pt idx="321">
                  <c:v>788945.00823107222</c:v>
                </c:pt>
                <c:pt idx="322">
                  <c:v>790493.85679177311</c:v>
                </c:pt>
                <c:pt idx="323">
                  <c:v>792014.81037656812</c:v>
                </c:pt>
                <c:pt idx="324">
                  <c:v>794499.67409510515</c:v>
                </c:pt>
                <c:pt idx="325">
                  <c:v>798325.78842290631</c:v>
                </c:pt>
                <c:pt idx="326">
                  <c:v>802156.82106228964</c:v>
                </c:pt>
                <c:pt idx="327">
                  <c:v>805992.73804160114</c:v>
                </c:pt>
                <c:pt idx="328">
                  <c:v>809834.86452045816</c:v>
                </c:pt>
                <c:pt idx="329">
                  <c:v>813682.70184157172</c:v>
                </c:pt>
                <c:pt idx="330">
                  <c:v>817535.75134765415</c:v>
                </c:pt>
                <c:pt idx="331">
                  <c:v>821393.78069588623</c:v>
                </c:pt>
                <c:pt idx="332">
                  <c:v>825256.76264534891</c:v>
                </c:pt>
                <c:pt idx="333">
                  <c:v>829124.82698790997</c:v>
                </c:pt>
                <c:pt idx="334">
                  <c:v>832998.12402562751</c:v>
                </c:pt>
                <c:pt idx="335">
                  <c:v>836877.00211373426</c:v>
                </c:pt>
                <c:pt idx="336">
                  <c:v>840761.57053390553</c:v>
                </c:pt>
                <c:pt idx="337">
                  <c:v>844651.8908167124</c:v>
                </c:pt>
                <c:pt idx="338">
                  <c:v>848548.16101532616</c:v>
                </c:pt>
                <c:pt idx="339">
                  <c:v>852450.72275424178</c:v>
                </c:pt>
                <c:pt idx="340">
                  <c:v>856360.3137642995</c:v>
                </c:pt>
                <c:pt idx="341">
                  <c:v>860277.73330690095</c:v>
                </c:pt>
                <c:pt idx="342">
                  <c:v>864203.19994541071</c:v>
                </c:pt>
                <c:pt idx="343">
                  <c:v>868072.04002570244</c:v>
                </c:pt>
                <c:pt idx="344">
                  <c:v>868970.99998691224</c:v>
                </c:pt>
                <c:pt idx="345">
                  <c:v>872153.79649838561</c:v>
                </c:pt>
                <c:pt idx="346">
                  <c:v>874454.09466157504</c:v>
                </c:pt>
                <c:pt idx="347">
                  <c:v>874454.09466157504</c:v>
                </c:pt>
                <c:pt idx="348">
                  <c:v>874454.09466157504</c:v>
                </c:pt>
                <c:pt idx="349">
                  <c:v>874454.09466157504</c:v>
                </c:pt>
                <c:pt idx="350">
                  <c:v>874454.09466157504</c:v>
                </c:pt>
                <c:pt idx="351">
                  <c:v>874454.09466157504</c:v>
                </c:pt>
                <c:pt idx="352">
                  <c:v>874454.09466157504</c:v>
                </c:pt>
                <c:pt idx="353">
                  <c:v>874454.09466157504</c:v>
                </c:pt>
                <c:pt idx="354">
                  <c:v>874454.09466157504</c:v>
                </c:pt>
                <c:pt idx="355">
                  <c:v>874454.09466157504</c:v>
                </c:pt>
                <c:pt idx="356">
                  <c:v>875205.14176750963</c:v>
                </c:pt>
                <c:pt idx="357">
                  <c:v>875890.1854930555</c:v>
                </c:pt>
                <c:pt idx="358">
                  <c:v>877663.52128948318</c:v>
                </c:pt>
                <c:pt idx="359">
                  <c:v>879407.64856399503</c:v>
                </c:pt>
                <c:pt idx="360">
                  <c:v>880003.51221437904</c:v>
                </c:pt>
                <c:pt idx="361">
                  <c:v>881512.62883389113</c:v>
                </c:pt>
                <c:pt idx="362">
                  <c:v>882049.24065445294</c:v>
                </c:pt>
                <c:pt idx="363">
                  <c:v>882049.24065445294</c:v>
                </c:pt>
                <c:pt idx="364">
                  <c:v>882518.97036065557</c:v>
                </c:pt>
                <c:pt idx="365">
                  <c:v>883902.26437233458</c:v>
                </c:pt>
                <c:pt idx="366">
                  <c:v>884350.7834136025</c:v>
                </c:pt>
                <c:pt idx="367">
                  <c:v>885718.18107651244</c:v>
                </c:pt>
                <c:pt idx="368">
                  <c:v>887057.30782712321</c:v>
                </c:pt>
                <c:pt idx="369">
                  <c:v>888409.92390440253</c:v>
                </c:pt>
                <c:pt idx="370">
                  <c:v>888409.92390440253</c:v>
                </c:pt>
                <c:pt idx="371">
                  <c:v>889208.83241308213</c:v>
                </c:pt>
                <c:pt idx="372">
                  <c:v>889674.08825407736</c:v>
                </c:pt>
                <c:pt idx="373">
                  <c:v>889674.08825407736</c:v>
                </c:pt>
                <c:pt idx="374">
                  <c:v>889674.08825407736</c:v>
                </c:pt>
                <c:pt idx="375">
                  <c:v>889674.08825407736</c:v>
                </c:pt>
                <c:pt idx="376">
                  <c:v>889674.08825407736</c:v>
                </c:pt>
                <c:pt idx="377">
                  <c:v>889674.08825407736</c:v>
                </c:pt>
                <c:pt idx="378">
                  <c:v>889674.08825407736</c:v>
                </c:pt>
                <c:pt idx="379">
                  <c:v>889674.08825407736</c:v>
                </c:pt>
                <c:pt idx="380">
                  <c:v>889674.08825407736</c:v>
                </c:pt>
                <c:pt idx="381">
                  <c:v>889674.08825407736</c:v>
                </c:pt>
                <c:pt idx="382">
                  <c:v>892905.9058037923</c:v>
                </c:pt>
                <c:pt idx="383">
                  <c:v>896732.02013159345</c:v>
                </c:pt>
                <c:pt idx="384">
                  <c:v>900563.05277097679</c:v>
                </c:pt>
                <c:pt idx="385">
                  <c:v>904398.96975028829</c:v>
                </c:pt>
                <c:pt idx="386">
                  <c:v>908241.0962291453</c:v>
                </c:pt>
                <c:pt idx="387">
                  <c:v>912088.93355025887</c:v>
                </c:pt>
                <c:pt idx="388">
                  <c:v>915941.9830563413</c:v>
                </c:pt>
                <c:pt idx="389">
                  <c:v>919800.01240457338</c:v>
                </c:pt>
                <c:pt idx="390">
                  <c:v>923662.99435403605</c:v>
                </c:pt>
                <c:pt idx="391">
                  <c:v>927531.05869659712</c:v>
                </c:pt>
                <c:pt idx="392">
                  <c:v>931404.35573431465</c:v>
                </c:pt>
                <c:pt idx="393">
                  <c:v>935283.2338224214</c:v>
                </c:pt>
                <c:pt idx="394">
                  <c:v>939167.80224259268</c:v>
                </c:pt>
                <c:pt idx="395">
                  <c:v>943058.12252539955</c:v>
                </c:pt>
                <c:pt idx="396">
                  <c:v>946954.39272401331</c:v>
                </c:pt>
                <c:pt idx="397">
                  <c:v>950856.95446292893</c:v>
                </c:pt>
                <c:pt idx="398">
                  <c:v>954766.54547298665</c:v>
                </c:pt>
                <c:pt idx="399">
                  <c:v>958683.9650155881</c:v>
                </c:pt>
                <c:pt idx="400">
                  <c:v>962609.43165409786</c:v>
                </c:pt>
                <c:pt idx="401">
                  <c:v>966478.27173438959</c:v>
                </c:pt>
                <c:pt idx="402">
                  <c:v>967377.23169559939</c:v>
                </c:pt>
                <c:pt idx="403">
                  <c:v>970560.02820707276</c:v>
                </c:pt>
                <c:pt idx="404">
                  <c:v>972860.32637026219</c:v>
                </c:pt>
                <c:pt idx="405">
                  <c:v>972860.32637026219</c:v>
                </c:pt>
                <c:pt idx="406">
                  <c:v>972860.32637026219</c:v>
                </c:pt>
                <c:pt idx="407">
                  <c:v>972860.32637026219</c:v>
                </c:pt>
                <c:pt idx="408">
                  <c:v>972860.32637026219</c:v>
                </c:pt>
                <c:pt idx="409">
                  <c:v>972860.32637026219</c:v>
                </c:pt>
                <c:pt idx="410">
                  <c:v>972860.32637026219</c:v>
                </c:pt>
                <c:pt idx="411">
                  <c:v>972860.32637026219</c:v>
                </c:pt>
                <c:pt idx="412">
                  <c:v>972860.32637026219</c:v>
                </c:pt>
                <c:pt idx="413">
                  <c:v>972860.32637026219</c:v>
                </c:pt>
                <c:pt idx="414">
                  <c:v>973611.37347619678</c:v>
                </c:pt>
                <c:pt idx="415">
                  <c:v>974296.41720174265</c:v>
                </c:pt>
                <c:pt idx="416">
                  <c:v>976069.75299817033</c:v>
                </c:pt>
                <c:pt idx="417">
                  <c:v>977813.88027268217</c:v>
                </c:pt>
                <c:pt idx="418">
                  <c:v>978409.74392306618</c:v>
                </c:pt>
                <c:pt idx="419">
                  <c:v>979918.86054257827</c:v>
                </c:pt>
                <c:pt idx="420">
                  <c:v>980455.47236314008</c:v>
                </c:pt>
                <c:pt idx="421">
                  <c:v>980455.47236314008</c:v>
                </c:pt>
                <c:pt idx="422">
                  <c:v>980925.20206934272</c:v>
                </c:pt>
                <c:pt idx="423">
                  <c:v>982308.49608102173</c:v>
                </c:pt>
                <c:pt idx="424">
                  <c:v>982757.01512228965</c:v>
                </c:pt>
                <c:pt idx="425">
                  <c:v>984124.41278519959</c:v>
                </c:pt>
                <c:pt idx="426">
                  <c:v>985513.21115329524</c:v>
                </c:pt>
                <c:pt idx="427">
                  <c:v>985513.21115329524</c:v>
                </c:pt>
                <c:pt idx="428">
                  <c:v>985513.21115329524</c:v>
                </c:pt>
                <c:pt idx="429">
                  <c:v>985513.21115329524</c:v>
                </c:pt>
                <c:pt idx="430">
                  <c:v>985513.21115329524</c:v>
                </c:pt>
                <c:pt idx="431">
                  <c:v>985513.21115329524</c:v>
                </c:pt>
                <c:pt idx="432">
                  <c:v>985513.21115329524</c:v>
                </c:pt>
                <c:pt idx="433">
                  <c:v>988058.2674736958</c:v>
                </c:pt>
                <c:pt idx="434">
                  <c:v>991884.38180149696</c:v>
                </c:pt>
                <c:pt idx="435">
                  <c:v>995715.4144408803</c:v>
                </c:pt>
                <c:pt idx="436">
                  <c:v>999551.3314201918</c:v>
                </c:pt>
                <c:pt idx="437">
                  <c:v>1003393.4578990488</c:v>
                </c:pt>
                <c:pt idx="438">
                  <c:v>1007241.2952201624</c:v>
                </c:pt>
                <c:pt idx="439">
                  <c:v>1011094.3447262448</c:v>
                </c:pt>
                <c:pt idx="440">
                  <c:v>1014952.3740744769</c:v>
                </c:pt>
                <c:pt idx="441">
                  <c:v>1018815.3560239396</c:v>
                </c:pt>
                <c:pt idx="442">
                  <c:v>1022683.4203665006</c:v>
                </c:pt>
                <c:pt idx="443">
                  <c:v>1026556.7174042182</c:v>
                </c:pt>
                <c:pt idx="444">
                  <c:v>1030435.5954923249</c:v>
                </c:pt>
                <c:pt idx="445">
                  <c:v>1034320.1639124962</c:v>
                </c:pt>
                <c:pt idx="446">
                  <c:v>1038210.4841953031</c:v>
                </c:pt>
                <c:pt idx="447">
                  <c:v>1042106.7543939168</c:v>
                </c:pt>
                <c:pt idx="448">
                  <c:v>1046009.3161328324</c:v>
                </c:pt>
                <c:pt idx="449">
                  <c:v>1049918.9071428902</c:v>
                </c:pt>
                <c:pt idx="450">
                  <c:v>1053836.3266854915</c:v>
                </c:pt>
                <c:pt idx="451">
                  <c:v>1057761.7933240014</c:v>
                </c:pt>
                <c:pt idx="452">
                  <c:v>1061630.6334042931</c:v>
                </c:pt>
                <c:pt idx="453">
                  <c:v>1062529.5933655028</c:v>
                </c:pt>
                <c:pt idx="454">
                  <c:v>1065712.3898769761</c:v>
                </c:pt>
                <c:pt idx="455">
                  <c:v>1068012.6880401657</c:v>
                </c:pt>
                <c:pt idx="456">
                  <c:v>1068012.6880401657</c:v>
                </c:pt>
                <c:pt idx="457">
                  <c:v>1068012.6880401657</c:v>
                </c:pt>
                <c:pt idx="458">
                  <c:v>1068012.6880401657</c:v>
                </c:pt>
                <c:pt idx="459">
                  <c:v>1068012.6880401657</c:v>
                </c:pt>
                <c:pt idx="460">
                  <c:v>1068012.6880401657</c:v>
                </c:pt>
                <c:pt idx="461">
                  <c:v>1068012.6880401657</c:v>
                </c:pt>
                <c:pt idx="462">
                  <c:v>1068012.6880401657</c:v>
                </c:pt>
                <c:pt idx="463">
                  <c:v>1068012.6880401657</c:v>
                </c:pt>
                <c:pt idx="464">
                  <c:v>1068012.6880401657</c:v>
                </c:pt>
                <c:pt idx="465">
                  <c:v>1068763.7351461004</c:v>
                </c:pt>
                <c:pt idx="466">
                  <c:v>1069448.7788716462</c:v>
                </c:pt>
                <c:pt idx="467">
                  <c:v>1071222.1146680738</c:v>
                </c:pt>
                <c:pt idx="468">
                  <c:v>1072966.2419425857</c:v>
                </c:pt>
                <c:pt idx="469">
                  <c:v>1073562.1055929696</c:v>
                </c:pt>
                <c:pt idx="470">
                  <c:v>1075071.2222124818</c:v>
                </c:pt>
                <c:pt idx="471">
                  <c:v>1075607.8340330436</c:v>
                </c:pt>
                <c:pt idx="472">
                  <c:v>1075607.8340330436</c:v>
                </c:pt>
                <c:pt idx="473">
                  <c:v>1076077.5637392462</c:v>
                </c:pt>
                <c:pt idx="474">
                  <c:v>1077460.8577509252</c:v>
                </c:pt>
                <c:pt idx="475">
                  <c:v>1077909.3767921932</c:v>
                </c:pt>
                <c:pt idx="476">
                  <c:v>1079276.7744551031</c:v>
                </c:pt>
                <c:pt idx="477">
                  <c:v>1080615.9012057139</c:v>
                </c:pt>
                <c:pt idx="478">
                  <c:v>1081968.5172829931</c:v>
                </c:pt>
                <c:pt idx="479">
                  <c:v>1229158.0845914255</c:v>
                </c:pt>
                <c:pt idx="480">
                  <c:v>1229689.3004584606</c:v>
                </c:pt>
                <c:pt idx="481">
                  <c:v>1229689.3004584606</c:v>
                </c:pt>
                <c:pt idx="482">
                  <c:v>1229689.3004584606</c:v>
                </c:pt>
                <c:pt idx="483">
                  <c:v>1229689.3004584606</c:v>
                </c:pt>
                <c:pt idx="484">
                  <c:v>1229689.3004584606</c:v>
                </c:pt>
                <c:pt idx="485">
                  <c:v>1229689.3004584606</c:v>
                </c:pt>
                <c:pt idx="486">
                  <c:v>1229689.3004584606</c:v>
                </c:pt>
                <c:pt idx="487">
                  <c:v>1232998.9931298555</c:v>
                </c:pt>
                <c:pt idx="488">
                  <c:v>1236825.1074576566</c:v>
                </c:pt>
                <c:pt idx="489">
                  <c:v>1240656.14009704</c:v>
                </c:pt>
                <c:pt idx="490">
                  <c:v>1244492.0570763515</c:v>
                </c:pt>
                <c:pt idx="491">
                  <c:v>1248334.1835552086</c:v>
                </c:pt>
                <c:pt idx="492">
                  <c:v>1252182.0208763222</c:v>
                </c:pt>
                <c:pt idx="493">
                  <c:v>1256035.0703824046</c:v>
                </c:pt>
                <c:pt idx="494">
                  <c:v>1259893.0997306367</c:v>
                </c:pt>
                <c:pt idx="495">
                  <c:v>1263756.0816800995</c:v>
                </c:pt>
                <c:pt idx="496">
                  <c:v>1267624.1460226604</c:v>
                </c:pt>
                <c:pt idx="497">
                  <c:v>1271497.4430603781</c:v>
                </c:pt>
                <c:pt idx="498">
                  <c:v>1275376.3211484847</c:v>
                </c:pt>
                <c:pt idx="499">
                  <c:v>1279260.889568656</c:v>
                </c:pt>
                <c:pt idx="500">
                  <c:v>1283151.2098514629</c:v>
                </c:pt>
                <c:pt idx="501">
                  <c:v>1287047.4800500767</c:v>
                </c:pt>
                <c:pt idx="502">
                  <c:v>1290950.0417889925</c:v>
                </c:pt>
                <c:pt idx="503">
                  <c:v>1294859.6327990503</c:v>
                </c:pt>
                <c:pt idx="504">
                  <c:v>1298777.0523416516</c:v>
                </c:pt>
                <c:pt idx="505">
                  <c:v>1302702.5189801615</c:v>
                </c:pt>
                <c:pt idx="506">
                  <c:v>1306571.3590604533</c:v>
                </c:pt>
                <c:pt idx="507">
                  <c:v>1307470.3190216629</c:v>
                </c:pt>
                <c:pt idx="508">
                  <c:v>1310653.1155331363</c:v>
                </c:pt>
                <c:pt idx="509">
                  <c:v>1312953.4136963258</c:v>
                </c:pt>
                <c:pt idx="510">
                  <c:v>1312953.4136963258</c:v>
                </c:pt>
                <c:pt idx="511">
                  <c:v>1312953.4136963258</c:v>
                </c:pt>
                <c:pt idx="512">
                  <c:v>1312953.4136963258</c:v>
                </c:pt>
                <c:pt idx="513">
                  <c:v>1312953.4136963258</c:v>
                </c:pt>
                <c:pt idx="514">
                  <c:v>1312953.4136963258</c:v>
                </c:pt>
                <c:pt idx="515">
                  <c:v>1312953.4136963258</c:v>
                </c:pt>
                <c:pt idx="516">
                  <c:v>1312953.4136963258</c:v>
                </c:pt>
                <c:pt idx="517">
                  <c:v>1312953.4136963258</c:v>
                </c:pt>
                <c:pt idx="518">
                  <c:v>1312953.4136963258</c:v>
                </c:pt>
                <c:pt idx="519">
                  <c:v>1313704.4608022606</c:v>
                </c:pt>
                <c:pt idx="520">
                  <c:v>1315505.8437022488</c:v>
                </c:pt>
                <c:pt idx="521">
                  <c:v>1317279.1794986764</c:v>
                </c:pt>
                <c:pt idx="522">
                  <c:v>1319023.3067731883</c:v>
                </c:pt>
                <c:pt idx="523">
                  <c:v>1320737.1668175666</c:v>
                </c:pt>
                <c:pt idx="524">
                  <c:v>1322423.1234855652</c:v>
                </c:pt>
                <c:pt idx="525">
                  <c:v>1324080.4339757029</c:v>
                </c:pt>
                <c:pt idx="526">
                  <c:v>1325707.5825008443</c:v>
                </c:pt>
                <c:pt idx="527">
                  <c:v>1327301.7211623362</c:v>
                </c:pt>
                <c:pt idx="528">
                  <c:v>1328862.3452636246</c:v>
                </c:pt>
                <c:pt idx="529">
                  <c:v>1330255.9852693952</c:v>
                </c:pt>
                <c:pt idx="530">
                  <c:v>1330255.9852693952</c:v>
                </c:pt>
              </c:numCache>
            </c:numRef>
          </c:yVal>
          <c:smooth val="1"/>
          <c:extLst>
            <c:ext xmlns:c16="http://schemas.microsoft.com/office/drawing/2014/chart" uri="{C3380CC4-5D6E-409C-BE32-E72D297353CC}">
              <c16:uniqueId val="{00000000-71BE-F241-9530-408753AC9DB5}"/>
            </c:ext>
          </c:extLst>
        </c:ser>
        <c:ser>
          <c:idx val="1"/>
          <c:order val="1"/>
          <c:tx>
            <c:v>Full Recovery</c:v>
          </c:tx>
          <c:spPr>
            <a:ln w="19050" cap="rnd">
              <a:solidFill>
                <a:schemeClr val="accent2"/>
              </a:solidFill>
              <a:round/>
            </a:ln>
            <a:effectLst/>
          </c:spPr>
          <c:marker>
            <c:symbol val="none"/>
          </c:marker>
          <c:xVal>
            <c:numRef>
              <c:f>Data!$AH$3:$AH$533</c:f>
              <c:numCache>
                <c:formatCode>General</c:formatCode>
                <c:ptCount val="531"/>
                <c:pt idx="0">
                  <c:v>0</c:v>
                </c:pt>
                <c:pt idx="1">
                  <c:v>0.15641098600795228</c:v>
                </c:pt>
                <c:pt idx="2">
                  <c:v>0.31011721128964198</c:v>
                </c:pt>
                <c:pt idx="3">
                  <c:v>0.46180560964539652</c:v>
                </c:pt>
                <c:pt idx="4">
                  <c:v>0.61085341539037064</c:v>
                </c:pt>
                <c:pt idx="5">
                  <c:v>0.75812013067534068</c:v>
                </c:pt>
                <c:pt idx="6">
                  <c:v>0.90428845961264925</c:v>
                </c:pt>
                <c:pt idx="7">
                  <c:v>1.0498557554662378</c:v>
                </c:pt>
                <c:pt idx="8">
                  <c:v>1.1945884124248933</c:v>
                </c:pt>
                <c:pt idx="9">
                  <c:v>1.3386295439727209</c:v>
                </c:pt>
                <c:pt idx="10">
                  <c:v>1.4820133633295696</c:v>
                </c:pt>
                <c:pt idx="11">
                  <c:v>1.6245520331718959</c:v>
                </c:pt>
                <c:pt idx="12">
                  <c:v>1.7666868989190292</c:v>
                </c:pt>
                <c:pt idx="13">
                  <c:v>1.9079969911795174</c:v>
                </c:pt>
                <c:pt idx="14">
                  <c:v>2.0491018046701348</c:v>
                </c:pt>
                <c:pt idx="15">
                  <c:v>2.1894957898665437</c:v>
                </c:pt>
                <c:pt idx="16">
                  <c:v>2.3296245964423603</c:v>
                </c:pt>
                <c:pt idx="17">
                  <c:v>2.469143318199774</c:v>
                </c:pt>
                <c:pt idx="18">
                  <c:v>2.6083184509115669</c:v>
                </c:pt>
                <c:pt idx="19">
                  <c:v>2.7470206830901547</c:v>
                </c:pt>
                <c:pt idx="20">
                  <c:v>2.88527286606777</c:v>
                </c:pt>
                <c:pt idx="21">
                  <c:v>3.0252596938704808</c:v>
                </c:pt>
                <c:pt idx="22">
                  <c:v>3.1679008148345251</c:v>
                </c:pt>
                <c:pt idx="23">
                  <c:v>3.3114029561535792</c:v>
                </c:pt>
                <c:pt idx="24">
                  <c:v>3.4571564762910394</c:v>
                </c:pt>
                <c:pt idx="25">
                  <c:v>3.6023522168795901</c:v>
                </c:pt>
                <c:pt idx="26">
                  <c:v>3.7471900731090124</c:v>
                </c:pt>
                <c:pt idx="27">
                  <c:v>3.8915821281322547</c:v>
                </c:pt>
                <c:pt idx="28">
                  <c:v>4.0357710977717174</c:v>
                </c:pt>
                <c:pt idx="29">
                  <c:v>4.1797474640645671</c:v>
                </c:pt>
                <c:pt idx="30">
                  <c:v>4.3236457351030042</c:v>
                </c:pt>
                <c:pt idx="31">
                  <c:v>4.4682096945045799</c:v>
                </c:pt>
                <c:pt idx="32">
                  <c:v>4.6128666091341</c:v>
                </c:pt>
                <c:pt idx="33">
                  <c:v>4.757765170011254</c:v>
                </c:pt>
                <c:pt idx="34">
                  <c:v>4.9116636330257215</c:v>
                </c:pt>
                <c:pt idx="35">
                  <c:v>5.074699137729799</c:v>
                </c:pt>
                <c:pt idx="36">
                  <c:v>5.2555152727264334</c:v>
                </c:pt>
                <c:pt idx="37">
                  <c:v>5.4524366435989888</c:v>
                </c:pt>
                <c:pt idx="38">
                  <c:v>5.6698718929611793</c:v>
                </c:pt>
                <c:pt idx="39">
                  <c:v>5.9157003663222598</c:v>
                </c:pt>
                <c:pt idx="40">
                  <c:v>6.203574541651764</c:v>
                </c:pt>
                <c:pt idx="41">
                  <c:v>6.6932526815888655</c:v>
                </c:pt>
                <c:pt idx="42">
                  <c:v>7.2085862720653608</c:v>
                </c:pt>
                <c:pt idx="43">
                  <c:v>7.7263715039514684</c:v>
                </c:pt>
                <c:pt idx="44">
                  <c:v>8.2472690784333622</c:v>
                </c:pt>
                <c:pt idx="45">
                  <c:v>8.7710073045670605</c:v>
                </c:pt>
                <c:pt idx="46">
                  <c:v>9.297657366745181</c:v>
                </c:pt>
                <c:pt idx="47">
                  <c:v>9.8265026239034938</c:v>
                </c:pt>
                <c:pt idx="48">
                  <c:v>10.358051382579831</c:v>
                </c:pt>
                <c:pt idx="49">
                  <c:v>10.890900157130085</c:v>
                </c:pt>
                <c:pt idx="50">
                  <c:v>11.355067327053314</c:v>
                </c:pt>
                <c:pt idx="51">
                  <c:v>11.771062917611582</c:v>
                </c:pt>
                <c:pt idx="52">
                  <c:v>12.150361996688224</c:v>
                </c:pt>
                <c:pt idx="53">
                  <c:v>12.501315831093812</c:v>
                </c:pt>
                <c:pt idx="54">
                  <c:v>12.829988257625953</c:v>
                </c:pt>
                <c:pt idx="55">
                  <c:v>13.140659342402618</c:v>
                </c:pt>
                <c:pt idx="56">
                  <c:v>13.436102461777297</c:v>
                </c:pt>
                <c:pt idx="57">
                  <c:v>13.718386489212309</c:v>
                </c:pt>
                <c:pt idx="58">
                  <c:v>13.989173340123255</c:v>
                </c:pt>
                <c:pt idx="59">
                  <c:v>14.249859956247716</c:v>
                </c:pt>
                <c:pt idx="60">
                  <c:v>14.501687131256073</c:v>
                </c:pt>
                <c:pt idx="61">
                  <c:v>14.74556150358489</c:v>
                </c:pt>
                <c:pt idx="62">
                  <c:v>14.982342175794422</c:v>
                </c:pt>
                <c:pt idx="63">
                  <c:v>15.21276411046073</c:v>
                </c:pt>
                <c:pt idx="64">
                  <c:v>15.437391058940023</c:v>
                </c:pt>
                <c:pt idx="65">
                  <c:v>15.65674301969395</c:v>
                </c:pt>
                <c:pt idx="66">
                  <c:v>15.871143272458182</c:v>
                </c:pt>
                <c:pt idx="67">
                  <c:v>16.081098050180746</c:v>
                </c:pt>
                <c:pt idx="68">
                  <c:v>16.313141515280506</c:v>
                </c:pt>
                <c:pt idx="69">
                  <c:v>16.575881108264305</c:v>
                </c:pt>
                <c:pt idx="70">
                  <c:v>16.885309274414016</c:v>
                </c:pt>
                <c:pt idx="71">
                  <c:v>17.390716406576789</c:v>
                </c:pt>
                <c:pt idx="72">
                  <c:v>17.952607198742456</c:v>
                </c:pt>
                <c:pt idx="73">
                  <c:v>18.439979605338024</c:v>
                </c:pt>
                <c:pt idx="74">
                  <c:v>18.876759367508736</c:v>
                </c:pt>
                <c:pt idx="75">
                  <c:v>19.27640184127868</c:v>
                </c:pt>
                <c:pt idx="76">
                  <c:v>19.64732243094009</c:v>
                </c:pt>
                <c:pt idx="77">
                  <c:v>19.995076500866311</c:v>
                </c:pt>
                <c:pt idx="78">
                  <c:v>20.323730548357045</c:v>
                </c:pt>
                <c:pt idx="79">
                  <c:v>20.636365697314822</c:v>
                </c:pt>
                <c:pt idx="80">
                  <c:v>20.935080789279034</c:v>
                </c:pt>
                <c:pt idx="81">
                  <c:v>21.221737974624485</c:v>
                </c:pt>
                <c:pt idx="82">
                  <c:v>21.497754512792579</c:v>
                </c:pt>
                <c:pt idx="83">
                  <c:v>21.764330810426298</c:v>
                </c:pt>
                <c:pt idx="84">
                  <c:v>22.022496263408886</c:v>
                </c:pt>
                <c:pt idx="85">
                  <c:v>22.273089192762136</c:v>
                </c:pt>
                <c:pt idx="86">
                  <c:v>22.516889329294582</c:v>
                </c:pt>
                <c:pt idx="87">
                  <c:v>22.754316202787425</c:v>
                </c:pt>
                <c:pt idx="88">
                  <c:v>22.985329477925639</c:v>
                </c:pt>
                <c:pt idx="89">
                  <c:v>23.2109875158453</c:v>
                </c:pt>
                <c:pt idx="90">
                  <c:v>23.431760207258062</c:v>
                </c:pt>
                <c:pt idx="91">
                  <c:v>23.648019056427138</c:v>
                </c:pt>
                <c:pt idx="92">
                  <c:v>23.865032870364512</c:v>
                </c:pt>
                <c:pt idx="93">
                  <c:v>24.080430744332283</c:v>
                </c:pt>
                <c:pt idx="94">
                  <c:v>24.294289198402961</c:v>
                </c:pt>
                <c:pt idx="95">
                  <c:v>24.50667535426026</c:v>
                </c:pt>
                <c:pt idx="96">
                  <c:v>24.717593495900424</c:v>
                </c:pt>
                <c:pt idx="97">
                  <c:v>24.9269760373077</c:v>
                </c:pt>
                <c:pt idx="98">
                  <c:v>25.134628941610149</c:v>
                </c:pt>
                <c:pt idx="99">
                  <c:v>25.340550074581945</c:v>
                </c:pt>
                <c:pt idx="100">
                  <c:v>25.544892134674129</c:v>
                </c:pt>
                <c:pt idx="101">
                  <c:v>25.747748176352339</c:v>
                </c:pt>
                <c:pt idx="102">
                  <c:v>25.949167394468596</c:v>
                </c:pt>
                <c:pt idx="103">
                  <c:v>26.149225008676023</c:v>
                </c:pt>
                <c:pt idx="104">
                  <c:v>26.348012533621169</c:v>
                </c:pt>
                <c:pt idx="105">
                  <c:v>26.545598497633751</c:v>
                </c:pt>
                <c:pt idx="106">
                  <c:v>26.742082261029395</c:v>
                </c:pt>
                <c:pt idx="107">
                  <c:v>26.937540805252674</c:v>
                </c:pt>
                <c:pt idx="108">
                  <c:v>27.132012705629219</c:v>
                </c:pt>
                <c:pt idx="109">
                  <c:v>27.325576731231045</c:v>
                </c:pt>
                <c:pt idx="110">
                  <c:v>27.518251288009573</c:v>
                </c:pt>
                <c:pt idx="111">
                  <c:v>27.710119740993889</c:v>
                </c:pt>
                <c:pt idx="112">
                  <c:v>27.901327051851059</c:v>
                </c:pt>
                <c:pt idx="113">
                  <c:v>28.106696119269035</c:v>
                </c:pt>
                <c:pt idx="114">
                  <c:v>28.329616615601481</c:v>
                </c:pt>
                <c:pt idx="115">
                  <c:v>28.575089814233088</c:v>
                </c:pt>
                <c:pt idx="116">
                  <c:v>28.81495295658388</c:v>
                </c:pt>
                <c:pt idx="117">
                  <c:v>29.049484860770871</c:v>
                </c:pt>
                <c:pt idx="118">
                  <c:v>29.284769462431235</c:v>
                </c:pt>
                <c:pt idx="119">
                  <c:v>29.518111525087317</c:v>
                </c:pt>
                <c:pt idx="120">
                  <c:v>29.749424415145654</c:v>
                </c:pt>
                <c:pt idx="121">
                  <c:v>29.978649076622322</c:v>
                </c:pt>
                <c:pt idx="122">
                  <c:v>30.205463654403662</c:v>
                </c:pt>
                <c:pt idx="123">
                  <c:v>30.430040933953492</c:v>
                </c:pt>
                <c:pt idx="124">
                  <c:v>30.652546501935134</c:v>
                </c:pt>
                <c:pt idx="125">
                  <c:v>30.872920829933346</c:v>
                </c:pt>
                <c:pt idx="126">
                  <c:v>31.091214946203035</c:v>
                </c:pt>
                <c:pt idx="127">
                  <c:v>31.307640202526109</c:v>
                </c:pt>
                <c:pt idx="128">
                  <c:v>31.52231888249079</c:v>
                </c:pt>
                <c:pt idx="129">
                  <c:v>31.735340378270468</c:v>
                </c:pt>
                <c:pt idx="130">
                  <c:v>31.946789099204821</c:v>
                </c:pt>
                <c:pt idx="131">
                  <c:v>32.156814431841902</c:v>
                </c:pt>
                <c:pt idx="132">
                  <c:v>32.365495731913285</c:v>
                </c:pt>
                <c:pt idx="133">
                  <c:v>32.572938332637172</c:v>
                </c:pt>
                <c:pt idx="134">
                  <c:v>32.779225690782184</c:v>
                </c:pt>
                <c:pt idx="135">
                  <c:v>32.984406853068855</c:v>
                </c:pt>
                <c:pt idx="136">
                  <c:v>33.188481512975969</c:v>
                </c:pt>
                <c:pt idx="137">
                  <c:v>33.408392062320949</c:v>
                </c:pt>
                <c:pt idx="138">
                  <c:v>33.648375391537868</c:v>
                </c:pt>
                <c:pt idx="139">
                  <c:v>33.914970710913408</c:v>
                </c:pt>
                <c:pt idx="140">
                  <c:v>34.218953776384112</c:v>
                </c:pt>
                <c:pt idx="141">
                  <c:v>34.58099821729482</c:v>
                </c:pt>
                <c:pt idx="142">
                  <c:v>34.925036559868687</c:v>
                </c:pt>
                <c:pt idx="143">
                  <c:v>35.253486860639839</c:v>
                </c:pt>
                <c:pt idx="144">
                  <c:v>35.568260176824182</c:v>
                </c:pt>
                <c:pt idx="145">
                  <c:v>35.870821737896954</c:v>
                </c:pt>
                <c:pt idx="146">
                  <c:v>36.162444570285075</c:v>
                </c:pt>
                <c:pt idx="147">
                  <c:v>36.444273113608865</c:v>
                </c:pt>
                <c:pt idx="148">
                  <c:v>36.717249378534405</c:v>
                </c:pt>
                <c:pt idx="149">
                  <c:v>36.982233162728406</c:v>
                </c:pt>
                <c:pt idx="150">
                  <c:v>37.239945802258895</c:v>
                </c:pt>
                <c:pt idx="151">
                  <c:v>37.490984167610506</c:v>
                </c:pt>
                <c:pt idx="152">
                  <c:v>37.742378377194896</c:v>
                </c:pt>
                <c:pt idx="153">
                  <c:v>37.990958858549696</c:v>
                </c:pt>
                <c:pt idx="154">
                  <c:v>38.236861211409817</c:v>
                </c:pt>
                <c:pt idx="155">
                  <c:v>38.48029215018525</c:v>
                </c:pt>
                <c:pt idx="156">
                  <c:v>38.72130194496804</c:v>
                </c:pt>
                <c:pt idx="157">
                  <c:v>38.959986832493371</c:v>
                </c:pt>
                <c:pt idx="158">
                  <c:v>39.221774664261453</c:v>
                </c:pt>
                <c:pt idx="159">
                  <c:v>39.489940680885709</c:v>
                </c:pt>
                <c:pt idx="160">
                  <c:v>39.76485686372137</c:v>
                </c:pt>
                <c:pt idx="161">
                  <c:v>40.043629326728627</c:v>
                </c:pt>
                <c:pt idx="162">
                  <c:v>40.326467154806942</c:v>
                </c:pt>
                <c:pt idx="163">
                  <c:v>40.610078590012868</c:v>
                </c:pt>
                <c:pt idx="164">
                  <c:v>40.894212030266409</c:v>
                </c:pt>
                <c:pt idx="165">
                  <c:v>41.178710712295384</c:v>
                </c:pt>
                <c:pt idx="166">
                  <c:v>41.463572113309795</c:v>
                </c:pt>
                <c:pt idx="167">
                  <c:v>41.748894641806807</c:v>
                </c:pt>
                <c:pt idx="168">
                  <c:v>42.034641266689363</c:v>
                </c:pt>
                <c:pt idx="169">
                  <c:v>42.320774956860504</c:v>
                </c:pt>
                <c:pt idx="170">
                  <c:v>42.607278458166562</c:v>
                </c:pt>
                <c:pt idx="171">
                  <c:v>42.894149747652826</c:v>
                </c:pt>
                <c:pt idx="172">
                  <c:v>43.181398463873379</c:v>
                </c:pt>
                <c:pt idx="173">
                  <c:v>43.469035768502224</c:v>
                </c:pt>
                <c:pt idx="174">
                  <c:v>43.757087530962558</c:v>
                </c:pt>
                <c:pt idx="175">
                  <c:v>44.045561866688395</c:v>
                </c:pt>
                <c:pt idx="176">
                  <c:v>44.334463345039488</c:v>
                </c:pt>
                <c:pt idx="177">
                  <c:v>44.623806673764769</c:v>
                </c:pt>
                <c:pt idx="178">
                  <c:v>44.913617222451954</c:v>
                </c:pt>
                <c:pt idx="179">
                  <c:v>45.203949776186811</c:v>
                </c:pt>
                <c:pt idx="180">
                  <c:v>45.494863689414146</c:v>
                </c:pt>
                <c:pt idx="181">
                  <c:v>45.786375193003032</c:v>
                </c:pt>
                <c:pt idx="182">
                  <c:v>46.073681516762527</c:v>
                </c:pt>
                <c:pt idx="183">
                  <c:v>46.352422549766104</c:v>
                </c:pt>
                <c:pt idx="184">
                  <c:v>46.623384852868391</c:v>
                </c:pt>
                <c:pt idx="185">
                  <c:v>46.887204202175859</c:v>
                </c:pt>
                <c:pt idx="186">
                  <c:v>47.151534654443182</c:v>
                </c:pt>
                <c:pt idx="187">
                  <c:v>47.412791752293586</c:v>
                </c:pt>
                <c:pt idx="188">
                  <c:v>47.670443345485161</c:v>
                </c:pt>
                <c:pt idx="189">
                  <c:v>47.922640273817535</c:v>
                </c:pt>
                <c:pt idx="190">
                  <c:v>48.168164998609988</c:v>
                </c:pt>
                <c:pt idx="191">
                  <c:v>48.406812641686109</c:v>
                </c:pt>
                <c:pt idx="192">
                  <c:v>48.638709078467656</c:v>
                </c:pt>
                <c:pt idx="193">
                  <c:v>48.864170074262326</c:v>
                </c:pt>
                <c:pt idx="194">
                  <c:v>49.079466193186008</c:v>
                </c:pt>
                <c:pt idx="195">
                  <c:v>49.288877308072955</c:v>
                </c:pt>
                <c:pt idx="196">
                  <c:v>49.492713722981222</c:v>
                </c:pt>
                <c:pt idx="197">
                  <c:v>49.691154753818132</c:v>
                </c:pt>
                <c:pt idx="198">
                  <c:v>49.884235272627876</c:v>
                </c:pt>
                <c:pt idx="199">
                  <c:v>50.071997312959049</c:v>
                </c:pt>
                <c:pt idx="200">
                  <c:v>50.254849351251032</c:v>
                </c:pt>
                <c:pt idx="201">
                  <c:v>50.432846482468001</c:v>
                </c:pt>
                <c:pt idx="202">
                  <c:v>50.605957810142037</c:v>
                </c:pt>
                <c:pt idx="203">
                  <c:v>50.783900085511952</c:v>
                </c:pt>
                <c:pt idx="204">
                  <c:v>50.961116474210392</c:v>
                </c:pt>
                <c:pt idx="205">
                  <c:v>51.139843053222172</c:v>
                </c:pt>
                <c:pt idx="206">
                  <c:v>51.324041437954939</c:v>
                </c:pt>
                <c:pt idx="207">
                  <c:v>51.514056210424428</c:v>
                </c:pt>
                <c:pt idx="208">
                  <c:v>51.710356691292958</c:v>
                </c:pt>
                <c:pt idx="209">
                  <c:v>51.990356691292959</c:v>
                </c:pt>
                <c:pt idx="210">
                  <c:v>52.27035669129296</c:v>
                </c:pt>
                <c:pt idx="211">
                  <c:v>52.554490131546501</c:v>
                </c:pt>
                <c:pt idx="212">
                  <c:v>52.838988813575476</c:v>
                </c:pt>
                <c:pt idx="213">
                  <c:v>53.123850214589886</c:v>
                </c:pt>
                <c:pt idx="214">
                  <c:v>53.409172743086899</c:v>
                </c:pt>
                <c:pt idx="215">
                  <c:v>53.694919367969455</c:v>
                </c:pt>
                <c:pt idx="216">
                  <c:v>53.981053058140596</c:v>
                </c:pt>
                <c:pt idx="217">
                  <c:v>54.267556559446653</c:v>
                </c:pt>
                <c:pt idx="218">
                  <c:v>54.554427848932917</c:v>
                </c:pt>
                <c:pt idx="219">
                  <c:v>54.834427848932918</c:v>
                </c:pt>
                <c:pt idx="220">
                  <c:v>55.118561289186459</c:v>
                </c:pt>
                <c:pt idx="221">
                  <c:v>55.403059971215434</c:v>
                </c:pt>
                <c:pt idx="222">
                  <c:v>55.687921372229845</c:v>
                </c:pt>
                <c:pt idx="223">
                  <c:v>55.973243900726857</c:v>
                </c:pt>
                <c:pt idx="224">
                  <c:v>56.258990525609413</c:v>
                </c:pt>
                <c:pt idx="225">
                  <c:v>56.545124215780554</c:v>
                </c:pt>
                <c:pt idx="226">
                  <c:v>56.831627717086612</c:v>
                </c:pt>
                <c:pt idx="227">
                  <c:v>57.118499006572875</c:v>
                </c:pt>
                <c:pt idx="228">
                  <c:v>57.405747722793429</c:v>
                </c:pt>
                <c:pt idx="229">
                  <c:v>57.693385027422273</c:v>
                </c:pt>
                <c:pt idx="230">
                  <c:v>57.981436789882608</c:v>
                </c:pt>
                <c:pt idx="231">
                  <c:v>58.269911125608445</c:v>
                </c:pt>
                <c:pt idx="232">
                  <c:v>58.558812603959538</c:v>
                </c:pt>
                <c:pt idx="233">
                  <c:v>58.848155932684818</c:v>
                </c:pt>
                <c:pt idx="234">
                  <c:v>59.137966481372004</c:v>
                </c:pt>
                <c:pt idx="235">
                  <c:v>59.428299035106861</c:v>
                </c:pt>
                <c:pt idx="236">
                  <c:v>59.719212948334196</c:v>
                </c:pt>
                <c:pt idx="237">
                  <c:v>60.010724451923082</c:v>
                </c:pt>
                <c:pt idx="238">
                  <c:v>60.298030775682577</c:v>
                </c:pt>
                <c:pt idx="239">
                  <c:v>60.576771808686154</c:v>
                </c:pt>
                <c:pt idx="240">
                  <c:v>60.847734111788441</c:v>
                </c:pt>
                <c:pt idx="241">
                  <c:v>61.111553461095909</c:v>
                </c:pt>
                <c:pt idx="242">
                  <c:v>61.375883913363232</c:v>
                </c:pt>
                <c:pt idx="243">
                  <c:v>61.637141011213636</c:v>
                </c:pt>
                <c:pt idx="244">
                  <c:v>61.894792604405211</c:v>
                </c:pt>
                <c:pt idx="245">
                  <c:v>62.146989532737585</c:v>
                </c:pt>
                <c:pt idx="246">
                  <c:v>62.392514257530038</c:v>
                </c:pt>
                <c:pt idx="247">
                  <c:v>62.631161900606159</c:v>
                </c:pt>
                <c:pt idx="248">
                  <c:v>62.863058337387706</c:v>
                </c:pt>
                <c:pt idx="249">
                  <c:v>63.088519333182376</c:v>
                </c:pt>
                <c:pt idx="250">
                  <c:v>63.303815452106058</c:v>
                </c:pt>
                <c:pt idx="251">
                  <c:v>63.513226566993005</c:v>
                </c:pt>
                <c:pt idx="252">
                  <c:v>63.717062981901272</c:v>
                </c:pt>
                <c:pt idx="253">
                  <c:v>63.915504012738182</c:v>
                </c:pt>
                <c:pt idx="254">
                  <c:v>64.108584531547933</c:v>
                </c:pt>
                <c:pt idx="255">
                  <c:v>64.296346571879113</c:v>
                </c:pt>
                <c:pt idx="256">
                  <c:v>64.479198610171096</c:v>
                </c:pt>
                <c:pt idx="257">
                  <c:v>64.657195741388065</c:v>
                </c:pt>
                <c:pt idx="258">
                  <c:v>64.830307069062101</c:v>
                </c:pt>
                <c:pt idx="259">
                  <c:v>64.998360048545138</c:v>
                </c:pt>
                <c:pt idx="260">
                  <c:v>65.161430698817469</c:v>
                </c:pt>
                <c:pt idx="261">
                  <c:v>65.320058852168501</c:v>
                </c:pt>
                <c:pt idx="262">
                  <c:v>65.474389461113404</c:v>
                </c:pt>
                <c:pt idx="263">
                  <c:v>65.624295689799055</c:v>
                </c:pt>
                <c:pt idx="264">
                  <c:v>65.769698437528731</c:v>
                </c:pt>
                <c:pt idx="265">
                  <c:v>69.546388903024848</c:v>
                </c:pt>
                <c:pt idx="266">
                  <c:v>72.784530783092507</c:v>
                </c:pt>
                <c:pt idx="267">
                  <c:v>72.881431570798057</c:v>
                </c:pt>
                <c:pt idx="268">
                  <c:v>73.004702771439298</c:v>
                </c:pt>
                <c:pt idx="269">
                  <c:v>73.134574147511202</c:v>
                </c:pt>
                <c:pt idx="270">
                  <c:v>73.288844527917917</c:v>
                </c:pt>
                <c:pt idx="271">
                  <c:v>73.454944256399585</c:v>
                </c:pt>
                <c:pt idx="272">
                  <c:v>73.734944256399586</c:v>
                </c:pt>
                <c:pt idx="273">
                  <c:v>73.996978429077856</c:v>
                </c:pt>
                <c:pt idx="274">
                  <c:v>74.281477111106824</c:v>
                </c:pt>
                <c:pt idx="275">
                  <c:v>74.566338512121234</c:v>
                </c:pt>
                <c:pt idx="276">
                  <c:v>74.851661040618254</c:v>
                </c:pt>
                <c:pt idx="277">
                  <c:v>75.137407665500803</c:v>
                </c:pt>
                <c:pt idx="278">
                  <c:v>75.423541355671944</c:v>
                </c:pt>
                <c:pt idx="279">
                  <c:v>75.710044856978001</c:v>
                </c:pt>
                <c:pt idx="280">
                  <c:v>75.996916146464258</c:v>
                </c:pt>
                <c:pt idx="281">
                  <c:v>76.284164862684804</c:v>
                </c:pt>
                <c:pt idx="282">
                  <c:v>76.571802167313649</c:v>
                </c:pt>
                <c:pt idx="283">
                  <c:v>76.859853929773976</c:v>
                </c:pt>
                <c:pt idx="284">
                  <c:v>77.148328265499813</c:v>
                </c:pt>
                <c:pt idx="285">
                  <c:v>77.437229743850907</c:v>
                </c:pt>
                <c:pt idx="286">
                  <c:v>77.726573072576187</c:v>
                </c:pt>
                <c:pt idx="287">
                  <c:v>78.016383621263373</c:v>
                </c:pt>
                <c:pt idx="288">
                  <c:v>78.306716174998229</c:v>
                </c:pt>
                <c:pt idx="289">
                  <c:v>78.597630088225557</c:v>
                </c:pt>
                <c:pt idx="290">
                  <c:v>78.88914159181445</c:v>
                </c:pt>
                <c:pt idx="291">
                  <c:v>79.176447915573945</c:v>
                </c:pt>
                <c:pt idx="292">
                  <c:v>79.455188948577529</c:v>
                </c:pt>
                <c:pt idx="293">
                  <c:v>79.726151251679809</c:v>
                </c:pt>
                <c:pt idx="294">
                  <c:v>79.989970600987277</c:v>
                </c:pt>
                <c:pt idx="295">
                  <c:v>80.254301053254594</c:v>
                </c:pt>
                <c:pt idx="296">
                  <c:v>80.515558151104997</c:v>
                </c:pt>
                <c:pt idx="297">
                  <c:v>80.773209744296565</c:v>
                </c:pt>
                <c:pt idx="298">
                  <c:v>81.025406672628947</c:v>
                </c:pt>
                <c:pt idx="299">
                  <c:v>81.270931397421407</c:v>
                </c:pt>
                <c:pt idx="300">
                  <c:v>81.509579040497528</c:v>
                </c:pt>
                <c:pt idx="301">
                  <c:v>81.741475477279067</c:v>
                </c:pt>
                <c:pt idx="302">
                  <c:v>81.96693647307373</c:v>
                </c:pt>
                <c:pt idx="303">
                  <c:v>82.182232591997419</c:v>
                </c:pt>
                <c:pt idx="304">
                  <c:v>82.391643706884366</c:v>
                </c:pt>
                <c:pt idx="305">
                  <c:v>82.595480121792633</c:v>
                </c:pt>
                <c:pt idx="306">
                  <c:v>82.793921152629537</c:v>
                </c:pt>
                <c:pt idx="307">
                  <c:v>82.987001671439288</c:v>
                </c:pt>
                <c:pt idx="308">
                  <c:v>83.174763711770467</c:v>
                </c:pt>
                <c:pt idx="309">
                  <c:v>83.35761575006245</c:v>
                </c:pt>
                <c:pt idx="310">
                  <c:v>83.53561288127942</c:v>
                </c:pt>
                <c:pt idx="311">
                  <c:v>83.708724208953456</c:v>
                </c:pt>
                <c:pt idx="312">
                  <c:v>83.876777188436492</c:v>
                </c:pt>
                <c:pt idx="313">
                  <c:v>84.039847838708823</c:v>
                </c:pt>
                <c:pt idx="314">
                  <c:v>84.198475992059855</c:v>
                </c:pt>
                <c:pt idx="315">
                  <c:v>84.352806601004758</c:v>
                </c:pt>
                <c:pt idx="316">
                  <c:v>84.504145800316749</c:v>
                </c:pt>
                <c:pt idx="317">
                  <c:v>84.655832535533335</c:v>
                </c:pt>
                <c:pt idx="318">
                  <c:v>89.632177619481155</c:v>
                </c:pt>
                <c:pt idx="319">
                  <c:v>110.47239193857871</c:v>
                </c:pt>
                <c:pt idx="320">
                  <c:v>110.61353595113357</c:v>
                </c:pt>
                <c:pt idx="321">
                  <c:v>110.75625104802587</c:v>
                </c:pt>
                <c:pt idx="322">
                  <c:v>110.90056462179834</c:v>
                </c:pt>
                <c:pt idx="323">
                  <c:v>111.05056462179834</c:v>
                </c:pt>
                <c:pt idx="324">
                  <c:v>111.1978631011384</c:v>
                </c:pt>
                <c:pt idx="325">
                  <c:v>111.38239310113839</c:v>
                </c:pt>
                <c:pt idx="326">
                  <c:v>111.66652654139193</c:v>
                </c:pt>
                <c:pt idx="327">
                  <c:v>111.9510252234209</c:v>
                </c:pt>
                <c:pt idx="328">
                  <c:v>112.23588662443531</c:v>
                </c:pt>
                <c:pt idx="329">
                  <c:v>112.52120915293233</c:v>
                </c:pt>
                <c:pt idx="330">
                  <c:v>112.80695577781488</c:v>
                </c:pt>
                <c:pt idx="331">
                  <c:v>113.09308946798602</c:v>
                </c:pt>
                <c:pt idx="332">
                  <c:v>113.37959296929208</c:v>
                </c:pt>
                <c:pt idx="333">
                  <c:v>113.66646425877833</c:v>
                </c:pt>
                <c:pt idx="334">
                  <c:v>113.95371297499888</c:v>
                </c:pt>
                <c:pt idx="335">
                  <c:v>114.24135027962772</c:v>
                </c:pt>
                <c:pt idx="336">
                  <c:v>114.52940204208805</c:v>
                </c:pt>
                <c:pt idx="337">
                  <c:v>114.81787637781389</c:v>
                </c:pt>
                <c:pt idx="338">
                  <c:v>115.10677785616498</c:v>
                </c:pt>
                <c:pt idx="339">
                  <c:v>115.39612118489026</c:v>
                </c:pt>
                <c:pt idx="340">
                  <c:v>115.68593173357745</c:v>
                </c:pt>
                <c:pt idx="341">
                  <c:v>115.9762642873123</c:v>
                </c:pt>
                <c:pt idx="342">
                  <c:v>116.26717820053963</c:v>
                </c:pt>
                <c:pt idx="343">
                  <c:v>116.55868970412853</c:v>
                </c:pt>
                <c:pt idx="344">
                  <c:v>116.84599602788802</c:v>
                </c:pt>
                <c:pt idx="345">
                  <c:v>117.1247370608916</c:v>
                </c:pt>
                <c:pt idx="346">
                  <c:v>117.39569936399388</c:v>
                </c:pt>
                <c:pt idx="347">
                  <c:v>117.65951871330135</c:v>
                </c:pt>
                <c:pt idx="348">
                  <c:v>117.92384916556867</c:v>
                </c:pt>
                <c:pt idx="349">
                  <c:v>118.18510626341907</c:v>
                </c:pt>
                <c:pt idx="350">
                  <c:v>118.44275785661064</c:v>
                </c:pt>
                <c:pt idx="351">
                  <c:v>118.69495478494302</c:v>
                </c:pt>
                <c:pt idx="352">
                  <c:v>118.94047950973548</c:v>
                </c:pt>
                <c:pt idx="353">
                  <c:v>119.1791271528116</c:v>
                </c:pt>
                <c:pt idx="354">
                  <c:v>119.41102358959314</c:v>
                </c:pt>
                <c:pt idx="355">
                  <c:v>119.63648458538781</c:v>
                </c:pt>
                <c:pt idx="356">
                  <c:v>119.85178070431149</c:v>
                </c:pt>
                <c:pt idx="357">
                  <c:v>120.06119181919844</c:v>
                </c:pt>
                <c:pt idx="358">
                  <c:v>120.26502823410671</c:v>
                </c:pt>
                <c:pt idx="359">
                  <c:v>120.46346926494361</c:v>
                </c:pt>
                <c:pt idx="360">
                  <c:v>120.65654978375336</c:v>
                </c:pt>
                <c:pt idx="361">
                  <c:v>120.84431182408454</c:v>
                </c:pt>
                <c:pt idx="362">
                  <c:v>121.02716386237653</c:v>
                </c:pt>
                <c:pt idx="363">
                  <c:v>121.20516099359349</c:v>
                </c:pt>
                <c:pt idx="364">
                  <c:v>121.37827232126753</c:v>
                </c:pt>
                <c:pt idx="365">
                  <c:v>121.54632530075057</c:v>
                </c:pt>
                <c:pt idx="366">
                  <c:v>121.7093959510229</c:v>
                </c:pt>
                <c:pt idx="367">
                  <c:v>121.86802410437393</c:v>
                </c:pt>
                <c:pt idx="368">
                  <c:v>122.02235471331883</c:v>
                </c:pt>
                <c:pt idx="369">
                  <c:v>122.17226094200448</c:v>
                </c:pt>
                <c:pt idx="370">
                  <c:v>122.31766368973416</c:v>
                </c:pt>
                <c:pt idx="371">
                  <c:v>121.88017991798355</c:v>
                </c:pt>
                <c:pt idx="372">
                  <c:v>122.03224776737423</c:v>
                </c:pt>
                <c:pt idx="373">
                  <c:v>122.18538858266099</c:v>
                </c:pt>
                <c:pt idx="374">
                  <c:v>122.34192030210112</c:v>
                </c:pt>
                <c:pt idx="375">
                  <c:v>122.50570242113908</c:v>
                </c:pt>
                <c:pt idx="376">
                  <c:v>122.67232803531887</c:v>
                </c:pt>
                <c:pt idx="377">
                  <c:v>122.84397397121103</c:v>
                </c:pt>
                <c:pt idx="378">
                  <c:v>123.02512187218032</c:v>
                </c:pt>
                <c:pt idx="379">
                  <c:v>123.2165743239746</c:v>
                </c:pt>
                <c:pt idx="380">
                  <c:v>123.41578202563397</c:v>
                </c:pt>
                <c:pt idx="381">
                  <c:v>123.61981100376462</c:v>
                </c:pt>
                <c:pt idx="382">
                  <c:v>123.77981100376462</c:v>
                </c:pt>
                <c:pt idx="383">
                  <c:v>124.01981100376462</c:v>
                </c:pt>
                <c:pt idx="384">
                  <c:v>124.30394444401816</c:v>
                </c:pt>
                <c:pt idx="385">
                  <c:v>124.58844312604712</c:v>
                </c:pt>
                <c:pt idx="386">
                  <c:v>124.87330452706153</c:v>
                </c:pt>
                <c:pt idx="387">
                  <c:v>125.15862705555855</c:v>
                </c:pt>
                <c:pt idx="388">
                  <c:v>125.4443736804411</c:v>
                </c:pt>
                <c:pt idx="389">
                  <c:v>125.73050737061224</c:v>
                </c:pt>
                <c:pt idx="390">
                  <c:v>126.0170108719183</c:v>
                </c:pt>
                <c:pt idx="391">
                  <c:v>126.30388216140456</c:v>
                </c:pt>
                <c:pt idx="392">
                  <c:v>126.5911308776251</c:v>
                </c:pt>
                <c:pt idx="393">
                  <c:v>126.87876818225395</c:v>
                </c:pt>
                <c:pt idx="394">
                  <c:v>127.16681994471428</c:v>
                </c:pt>
                <c:pt idx="395">
                  <c:v>127.45529428044011</c:v>
                </c:pt>
                <c:pt idx="396">
                  <c:v>127.74419575879121</c:v>
                </c:pt>
                <c:pt idx="397">
                  <c:v>128.03353908751649</c:v>
                </c:pt>
                <c:pt idx="398">
                  <c:v>128.32334963620369</c:v>
                </c:pt>
                <c:pt idx="399">
                  <c:v>128.61368218993854</c:v>
                </c:pt>
                <c:pt idx="400">
                  <c:v>128.90459610316589</c:v>
                </c:pt>
                <c:pt idx="401">
                  <c:v>129.19610760675477</c:v>
                </c:pt>
                <c:pt idx="402">
                  <c:v>129.48341393051427</c:v>
                </c:pt>
                <c:pt idx="403">
                  <c:v>129.76215496351784</c:v>
                </c:pt>
                <c:pt idx="404">
                  <c:v>130.03311726662014</c:v>
                </c:pt>
                <c:pt idx="405">
                  <c:v>130.29693661592759</c:v>
                </c:pt>
                <c:pt idx="406">
                  <c:v>130.56126706819492</c:v>
                </c:pt>
                <c:pt idx="407">
                  <c:v>130.82252416604533</c:v>
                </c:pt>
                <c:pt idx="408">
                  <c:v>131.08017575923691</c:v>
                </c:pt>
                <c:pt idx="409">
                  <c:v>131.33237268756929</c:v>
                </c:pt>
                <c:pt idx="410">
                  <c:v>131.57789741236175</c:v>
                </c:pt>
                <c:pt idx="411">
                  <c:v>131.81654505543787</c:v>
                </c:pt>
                <c:pt idx="412">
                  <c:v>132.04844149221941</c:v>
                </c:pt>
                <c:pt idx="413">
                  <c:v>132.27390248801407</c:v>
                </c:pt>
                <c:pt idx="414">
                  <c:v>132.48919860693775</c:v>
                </c:pt>
                <c:pt idx="415">
                  <c:v>132.69860972182468</c:v>
                </c:pt>
                <c:pt idx="416">
                  <c:v>132.90244613673295</c:v>
                </c:pt>
                <c:pt idx="417">
                  <c:v>133.10088716756985</c:v>
                </c:pt>
                <c:pt idx="418">
                  <c:v>133.2939676863796</c:v>
                </c:pt>
                <c:pt idx="419">
                  <c:v>133.48172972671077</c:v>
                </c:pt>
                <c:pt idx="420">
                  <c:v>133.66458176500277</c:v>
                </c:pt>
                <c:pt idx="421">
                  <c:v>133.84257889621975</c:v>
                </c:pt>
                <c:pt idx="422">
                  <c:v>134.01569022389378</c:v>
                </c:pt>
                <c:pt idx="423">
                  <c:v>134.18374320337682</c:v>
                </c:pt>
                <c:pt idx="424">
                  <c:v>134.34681385364914</c:v>
                </c:pt>
                <c:pt idx="425">
                  <c:v>134.50544200700017</c:v>
                </c:pt>
                <c:pt idx="426">
                  <c:v>134.65977261594509</c:v>
                </c:pt>
                <c:pt idx="427">
                  <c:v>134.81523924796559</c:v>
                </c:pt>
                <c:pt idx="428">
                  <c:v>134.96973499679731</c:v>
                </c:pt>
                <c:pt idx="429">
                  <c:v>143.90360562232001</c:v>
                </c:pt>
                <c:pt idx="430">
                  <c:v>144.06734959224778</c:v>
                </c:pt>
                <c:pt idx="431">
                  <c:v>144.23962577145826</c:v>
                </c:pt>
                <c:pt idx="432">
                  <c:v>144.42536928854011</c:v>
                </c:pt>
                <c:pt idx="433">
                  <c:v>144.6706692885401</c:v>
                </c:pt>
                <c:pt idx="434">
                  <c:v>144.85966928854009</c:v>
                </c:pt>
                <c:pt idx="435">
                  <c:v>145.14380272879362</c:v>
                </c:pt>
                <c:pt idx="436">
                  <c:v>145.4283014108226</c:v>
                </c:pt>
                <c:pt idx="437">
                  <c:v>145.71316281183701</c:v>
                </c:pt>
                <c:pt idx="438">
                  <c:v>145.99848534033401</c:v>
                </c:pt>
                <c:pt idx="439">
                  <c:v>146.28423196521658</c:v>
                </c:pt>
                <c:pt idx="440">
                  <c:v>146.57036565538772</c:v>
                </c:pt>
                <c:pt idx="441">
                  <c:v>146.85686915669379</c:v>
                </c:pt>
                <c:pt idx="442">
                  <c:v>147.14374044618006</c:v>
                </c:pt>
                <c:pt idx="443">
                  <c:v>147.43098916240061</c:v>
                </c:pt>
                <c:pt idx="444">
                  <c:v>147.71862646702945</c:v>
                </c:pt>
                <c:pt idx="445">
                  <c:v>148.00667822948978</c:v>
                </c:pt>
                <c:pt idx="446">
                  <c:v>148.2951525652156</c:v>
                </c:pt>
                <c:pt idx="447">
                  <c:v>148.58405404356671</c:v>
                </c:pt>
                <c:pt idx="448">
                  <c:v>148.873397372292</c:v>
                </c:pt>
                <c:pt idx="449">
                  <c:v>149.1632079209792</c:v>
                </c:pt>
                <c:pt idx="450">
                  <c:v>149.45354047471406</c:v>
                </c:pt>
                <c:pt idx="451">
                  <c:v>149.7444543879414</c:v>
                </c:pt>
                <c:pt idx="452">
                  <c:v>150.03596589153028</c:v>
                </c:pt>
                <c:pt idx="453">
                  <c:v>150.32327221528979</c:v>
                </c:pt>
                <c:pt idx="454">
                  <c:v>150.60201324829336</c:v>
                </c:pt>
                <c:pt idx="455">
                  <c:v>150.87297555139565</c:v>
                </c:pt>
                <c:pt idx="456">
                  <c:v>151.13679490070311</c:v>
                </c:pt>
                <c:pt idx="457">
                  <c:v>151.40112535297044</c:v>
                </c:pt>
                <c:pt idx="458">
                  <c:v>151.66238245082084</c:v>
                </c:pt>
                <c:pt idx="459">
                  <c:v>151.92003404401243</c:v>
                </c:pt>
                <c:pt idx="460">
                  <c:v>152.17223097234481</c:v>
                </c:pt>
                <c:pt idx="461">
                  <c:v>152.41775569713727</c:v>
                </c:pt>
                <c:pt idx="462">
                  <c:v>152.65640334021339</c:v>
                </c:pt>
                <c:pt idx="463">
                  <c:v>152.88829977699493</c:v>
                </c:pt>
                <c:pt idx="464">
                  <c:v>153.11376077278959</c:v>
                </c:pt>
                <c:pt idx="465">
                  <c:v>153.32905689171326</c:v>
                </c:pt>
                <c:pt idx="466">
                  <c:v>153.5384680066002</c:v>
                </c:pt>
                <c:pt idx="467">
                  <c:v>153.74230442150846</c:v>
                </c:pt>
                <c:pt idx="468">
                  <c:v>153.94074545234537</c:v>
                </c:pt>
                <c:pt idx="469">
                  <c:v>154.13382597115512</c:v>
                </c:pt>
                <c:pt idx="470">
                  <c:v>154.32158801148628</c:v>
                </c:pt>
                <c:pt idx="471">
                  <c:v>154.50444004977828</c:v>
                </c:pt>
                <c:pt idx="472">
                  <c:v>154.68243718099527</c:v>
                </c:pt>
                <c:pt idx="473">
                  <c:v>154.8555485086693</c:v>
                </c:pt>
                <c:pt idx="474">
                  <c:v>155.02360148815234</c:v>
                </c:pt>
                <c:pt idx="475">
                  <c:v>155.18667213842465</c:v>
                </c:pt>
                <c:pt idx="476">
                  <c:v>155.34530029177569</c:v>
                </c:pt>
                <c:pt idx="477">
                  <c:v>155.4996309007206</c:v>
                </c:pt>
                <c:pt idx="478">
                  <c:v>155.64953712940624</c:v>
                </c:pt>
                <c:pt idx="479">
                  <c:v>155.7949398771359</c:v>
                </c:pt>
                <c:pt idx="480">
                  <c:v>171.92592524853075</c:v>
                </c:pt>
                <c:pt idx="481">
                  <c:v>172.08570400010959</c:v>
                </c:pt>
                <c:pt idx="482">
                  <c:v>172.24853557684645</c:v>
                </c:pt>
                <c:pt idx="483">
                  <c:v>172.41617427931803</c:v>
                </c:pt>
                <c:pt idx="484">
                  <c:v>172.58895780836102</c:v>
                </c:pt>
                <c:pt idx="485">
                  <c:v>172.77538347633563</c:v>
                </c:pt>
                <c:pt idx="486">
                  <c:v>172.9669976707913</c:v>
                </c:pt>
                <c:pt idx="487">
                  <c:v>173.14699767079131</c:v>
                </c:pt>
                <c:pt idx="488">
                  <c:v>173.38699767079132</c:v>
                </c:pt>
                <c:pt idx="489">
                  <c:v>173.67113111104484</c:v>
                </c:pt>
                <c:pt idx="490">
                  <c:v>173.95562979307383</c:v>
                </c:pt>
                <c:pt idx="491">
                  <c:v>174.24049119408824</c:v>
                </c:pt>
                <c:pt idx="492">
                  <c:v>174.52581372258524</c:v>
                </c:pt>
                <c:pt idx="493">
                  <c:v>174.8115603474678</c:v>
                </c:pt>
                <c:pt idx="494">
                  <c:v>175.09769403763895</c:v>
                </c:pt>
                <c:pt idx="495">
                  <c:v>175.38419753894502</c:v>
                </c:pt>
                <c:pt idx="496">
                  <c:v>175.67106882843129</c:v>
                </c:pt>
                <c:pt idx="497">
                  <c:v>175.95831754465183</c:v>
                </c:pt>
                <c:pt idx="498">
                  <c:v>176.24595484928068</c:v>
                </c:pt>
                <c:pt idx="499">
                  <c:v>176.53400661174101</c:v>
                </c:pt>
                <c:pt idx="500">
                  <c:v>176.82248094746683</c:v>
                </c:pt>
                <c:pt idx="501">
                  <c:v>177.11138242581794</c:v>
                </c:pt>
                <c:pt idx="502">
                  <c:v>177.40072575454323</c:v>
                </c:pt>
                <c:pt idx="503">
                  <c:v>177.69053630323043</c:v>
                </c:pt>
                <c:pt idx="504">
                  <c:v>177.98086885696529</c:v>
                </c:pt>
                <c:pt idx="505">
                  <c:v>178.27178277019263</c:v>
                </c:pt>
                <c:pt idx="506">
                  <c:v>178.56329427378151</c:v>
                </c:pt>
                <c:pt idx="507">
                  <c:v>178.85060059754102</c:v>
                </c:pt>
                <c:pt idx="508">
                  <c:v>179.12934163054459</c:v>
                </c:pt>
                <c:pt idx="509">
                  <c:v>179.40030393364688</c:v>
                </c:pt>
                <c:pt idx="510">
                  <c:v>179.66412328295434</c:v>
                </c:pt>
                <c:pt idx="511">
                  <c:v>179.92845373522167</c:v>
                </c:pt>
                <c:pt idx="512">
                  <c:v>180.18971083307207</c:v>
                </c:pt>
                <c:pt idx="513">
                  <c:v>180.44736242626365</c:v>
                </c:pt>
                <c:pt idx="514">
                  <c:v>180.69955935459603</c:v>
                </c:pt>
                <c:pt idx="515">
                  <c:v>180.94508407938849</c:v>
                </c:pt>
                <c:pt idx="516">
                  <c:v>181.18373172246461</c:v>
                </c:pt>
                <c:pt idx="517">
                  <c:v>181.41562815924615</c:v>
                </c:pt>
                <c:pt idx="518">
                  <c:v>181.64108915504082</c:v>
                </c:pt>
                <c:pt idx="519">
                  <c:v>181.85638527396449</c:v>
                </c:pt>
                <c:pt idx="520">
                  <c:v>182.06579638885142</c:v>
                </c:pt>
                <c:pt idx="521">
                  <c:v>182.26963280375969</c:v>
                </c:pt>
                <c:pt idx="522">
                  <c:v>182.46807383459659</c:v>
                </c:pt>
                <c:pt idx="523">
                  <c:v>182.66115435340635</c:v>
                </c:pt>
                <c:pt idx="524">
                  <c:v>182.84891639373751</c:v>
                </c:pt>
                <c:pt idx="525">
                  <c:v>183.03176843202951</c:v>
                </c:pt>
                <c:pt idx="526">
                  <c:v>183.20976556324649</c:v>
                </c:pt>
                <c:pt idx="527">
                  <c:v>183.38287689092053</c:v>
                </c:pt>
                <c:pt idx="528">
                  <c:v>183.55092987040356</c:v>
                </c:pt>
                <c:pt idx="529">
                  <c:v>183.71400052067588</c:v>
                </c:pt>
                <c:pt idx="530">
                  <c:v>183.87262867402691</c:v>
                </c:pt>
              </c:numCache>
            </c:numRef>
          </c:xVal>
          <c:yVal>
            <c:numRef>
              <c:f>Data!$BP$3:$BP$533</c:f>
            </c:numRef>
          </c:yVal>
          <c:smooth val="1"/>
          <c:extLst>
            <c:ext xmlns:c16="http://schemas.microsoft.com/office/drawing/2014/chart" uri="{C3380CC4-5D6E-409C-BE32-E72D297353CC}">
              <c16:uniqueId val="{00000002-71BE-F241-9530-408753AC9DB5}"/>
            </c:ext>
          </c:extLst>
        </c:ser>
        <c:ser>
          <c:idx val="2"/>
          <c:order val="2"/>
          <c:tx>
            <c:v>Cumulative Average Power</c:v>
          </c:tx>
          <c:spPr>
            <a:ln w="19050" cap="rnd">
              <a:solidFill>
                <a:schemeClr val="accent3"/>
              </a:solidFill>
              <a:round/>
            </a:ln>
            <a:effectLst/>
          </c:spPr>
          <c:marker>
            <c:symbol val="none"/>
          </c:marker>
          <c:trendline>
            <c:spPr>
              <a:ln w="19050" cap="rnd">
                <a:solidFill>
                  <a:schemeClr val="accent3"/>
                </a:solidFill>
                <a:prstDash val="sysDot"/>
              </a:ln>
              <a:effectLst/>
            </c:spPr>
            <c:trendlineType val="linear"/>
            <c:dispRSqr val="0"/>
            <c:dispEq val="1"/>
            <c:trendlineLbl>
              <c:layout>
                <c:manualLayout>
                  <c:x val="-3.1598082403442258E-2"/>
                  <c:y val="-2.8632894876579735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Data!$AH$3:$AH$533</c:f>
              <c:numCache>
                <c:formatCode>General</c:formatCode>
                <c:ptCount val="531"/>
                <c:pt idx="0">
                  <c:v>0</c:v>
                </c:pt>
                <c:pt idx="1">
                  <c:v>0.15641098600795228</c:v>
                </c:pt>
                <c:pt idx="2">
                  <c:v>0.31011721128964198</c:v>
                </c:pt>
                <c:pt idx="3">
                  <c:v>0.46180560964539652</c:v>
                </c:pt>
                <c:pt idx="4">
                  <c:v>0.61085341539037064</c:v>
                </c:pt>
                <c:pt idx="5">
                  <c:v>0.75812013067534068</c:v>
                </c:pt>
                <c:pt idx="6">
                  <c:v>0.90428845961264925</c:v>
                </c:pt>
                <c:pt idx="7">
                  <c:v>1.0498557554662378</c:v>
                </c:pt>
                <c:pt idx="8">
                  <c:v>1.1945884124248933</c:v>
                </c:pt>
                <c:pt idx="9">
                  <c:v>1.3386295439727209</c:v>
                </c:pt>
                <c:pt idx="10">
                  <c:v>1.4820133633295696</c:v>
                </c:pt>
                <c:pt idx="11">
                  <c:v>1.6245520331718959</c:v>
                </c:pt>
                <c:pt idx="12">
                  <c:v>1.7666868989190292</c:v>
                </c:pt>
                <c:pt idx="13">
                  <c:v>1.9079969911795174</c:v>
                </c:pt>
                <c:pt idx="14">
                  <c:v>2.0491018046701348</c:v>
                </c:pt>
                <c:pt idx="15">
                  <c:v>2.1894957898665437</c:v>
                </c:pt>
                <c:pt idx="16">
                  <c:v>2.3296245964423603</c:v>
                </c:pt>
                <c:pt idx="17">
                  <c:v>2.469143318199774</c:v>
                </c:pt>
                <c:pt idx="18">
                  <c:v>2.6083184509115669</c:v>
                </c:pt>
                <c:pt idx="19">
                  <c:v>2.7470206830901547</c:v>
                </c:pt>
                <c:pt idx="20">
                  <c:v>2.88527286606777</c:v>
                </c:pt>
                <c:pt idx="21">
                  <c:v>3.0252596938704808</c:v>
                </c:pt>
                <c:pt idx="22">
                  <c:v>3.1679008148345251</c:v>
                </c:pt>
                <c:pt idx="23">
                  <c:v>3.3114029561535792</c:v>
                </c:pt>
                <c:pt idx="24">
                  <c:v>3.4571564762910394</c:v>
                </c:pt>
                <c:pt idx="25">
                  <c:v>3.6023522168795901</c:v>
                </c:pt>
                <c:pt idx="26">
                  <c:v>3.7471900731090124</c:v>
                </c:pt>
                <c:pt idx="27">
                  <c:v>3.8915821281322547</c:v>
                </c:pt>
                <c:pt idx="28">
                  <c:v>4.0357710977717174</c:v>
                </c:pt>
                <c:pt idx="29">
                  <c:v>4.1797474640645671</c:v>
                </c:pt>
                <c:pt idx="30">
                  <c:v>4.3236457351030042</c:v>
                </c:pt>
                <c:pt idx="31">
                  <c:v>4.4682096945045799</c:v>
                </c:pt>
                <c:pt idx="32">
                  <c:v>4.6128666091341</c:v>
                </c:pt>
                <c:pt idx="33">
                  <c:v>4.757765170011254</c:v>
                </c:pt>
                <c:pt idx="34">
                  <c:v>4.9116636330257215</c:v>
                </c:pt>
                <c:pt idx="35">
                  <c:v>5.074699137729799</c:v>
                </c:pt>
                <c:pt idx="36">
                  <c:v>5.2555152727264334</c:v>
                </c:pt>
                <c:pt idx="37">
                  <c:v>5.4524366435989888</c:v>
                </c:pt>
                <c:pt idx="38">
                  <c:v>5.6698718929611793</c:v>
                </c:pt>
                <c:pt idx="39">
                  <c:v>5.9157003663222598</c:v>
                </c:pt>
                <c:pt idx="40">
                  <c:v>6.203574541651764</c:v>
                </c:pt>
                <c:pt idx="41">
                  <c:v>6.6932526815888655</c:v>
                </c:pt>
                <c:pt idx="42">
                  <c:v>7.2085862720653608</c:v>
                </c:pt>
                <c:pt idx="43">
                  <c:v>7.7263715039514684</c:v>
                </c:pt>
                <c:pt idx="44">
                  <c:v>8.2472690784333622</c:v>
                </c:pt>
                <c:pt idx="45">
                  <c:v>8.7710073045670605</c:v>
                </c:pt>
                <c:pt idx="46">
                  <c:v>9.297657366745181</c:v>
                </c:pt>
                <c:pt idx="47">
                  <c:v>9.8265026239034938</c:v>
                </c:pt>
                <c:pt idx="48">
                  <c:v>10.358051382579831</c:v>
                </c:pt>
                <c:pt idx="49">
                  <c:v>10.890900157130085</c:v>
                </c:pt>
                <c:pt idx="50">
                  <c:v>11.355067327053314</c:v>
                </c:pt>
                <c:pt idx="51">
                  <c:v>11.771062917611582</c:v>
                </c:pt>
                <c:pt idx="52">
                  <c:v>12.150361996688224</c:v>
                </c:pt>
                <c:pt idx="53">
                  <c:v>12.501315831093812</c:v>
                </c:pt>
                <c:pt idx="54">
                  <c:v>12.829988257625953</c:v>
                </c:pt>
                <c:pt idx="55">
                  <c:v>13.140659342402618</c:v>
                </c:pt>
                <c:pt idx="56">
                  <c:v>13.436102461777297</c:v>
                </c:pt>
                <c:pt idx="57">
                  <c:v>13.718386489212309</c:v>
                </c:pt>
                <c:pt idx="58">
                  <c:v>13.989173340123255</c:v>
                </c:pt>
                <c:pt idx="59">
                  <c:v>14.249859956247716</c:v>
                </c:pt>
                <c:pt idx="60">
                  <c:v>14.501687131256073</c:v>
                </c:pt>
                <c:pt idx="61">
                  <c:v>14.74556150358489</c:v>
                </c:pt>
                <c:pt idx="62">
                  <c:v>14.982342175794422</c:v>
                </c:pt>
                <c:pt idx="63">
                  <c:v>15.21276411046073</c:v>
                </c:pt>
                <c:pt idx="64">
                  <c:v>15.437391058940023</c:v>
                </c:pt>
                <c:pt idx="65">
                  <c:v>15.65674301969395</c:v>
                </c:pt>
                <c:pt idx="66">
                  <c:v>15.871143272458182</c:v>
                </c:pt>
                <c:pt idx="67">
                  <c:v>16.081098050180746</c:v>
                </c:pt>
                <c:pt idx="68">
                  <c:v>16.313141515280506</c:v>
                </c:pt>
                <c:pt idx="69">
                  <c:v>16.575881108264305</c:v>
                </c:pt>
                <c:pt idx="70">
                  <c:v>16.885309274414016</c:v>
                </c:pt>
                <c:pt idx="71">
                  <c:v>17.390716406576789</c:v>
                </c:pt>
                <c:pt idx="72">
                  <c:v>17.952607198742456</c:v>
                </c:pt>
                <c:pt idx="73">
                  <c:v>18.439979605338024</c:v>
                </c:pt>
                <c:pt idx="74">
                  <c:v>18.876759367508736</c:v>
                </c:pt>
                <c:pt idx="75">
                  <c:v>19.27640184127868</c:v>
                </c:pt>
                <c:pt idx="76">
                  <c:v>19.64732243094009</c:v>
                </c:pt>
                <c:pt idx="77">
                  <c:v>19.995076500866311</c:v>
                </c:pt>
                <c:pt idx="78">
                  <c:v>20.323730548357045</c:v>
                </c:pt>
                <c:pt idx="79">
                  <c:v>20.636365697314822</c:v>
                </c:pt>
                <c:pt idx="80">
                  <c:v>20.935080789279034</c:v>
                </c:pt>
                <c:pt idx="81">
                  <c:v>21.221737974624485</c:v>
                </c:pt>
                <c:pt idx="82">
                  <c:v>21.497754512792579</c:v>
                </c:pt>
                <c:pt idx="83">
                  <c:v>21.764330810426298</c:v>
                </c:pt>
                <c:pt idx="84">
                  <c:v>22.022496263408886</c:v>
                </c:pt>
                <c:pt idx="85">
                  <c:v>22.273089192762136</c:v>
                </c:pt>
                <c:pt idx="86">
                  <c:v>22.516889329294582</c:v>
                </c:pt>
                <c:pt idx="87">
                  <c:v>22.754316202787425</c:v>
                </c:pt>
                <c:pt idx="88">
                  <c:v>22.985329477925639</c:v>
                </c:pt>
                <c:pt idx="89">
                  <c:v>23.2109875158453</c:v>
                </c:pt>
                <c:pt idx="90">
                  <c:v>23.431760207258062</c:v>
                </c:pt>
                <c:pt idx="91">
                  <c:v>23.648019056427138</c:v>
                </c:pt>
                <c:pt idx="92">
                  <c:v>23.865032870364512</c:v>
                </c:pt>
                <c:pt idx="93">
                  <c:v>24.080430744332283</c:v>
                </c:pt>
                <c:pt idx="94">
                  <c:v>24.294289198402961</c:v>
                </c:pt>
                <c:pt idx="95">
                  <c:v>24.50667535426026</c:v>
                </c:pt>
                <c:pt idx="96">
                  <c:v>24.717593495900424</c:v>
                </c:pt>
                <c:pt idx="97">
                  <c:v>24.9269760373077</c:v>
                </c:pt>
                <c:pt idx="98">
                  <c:v>25.134628941610149</c:v>
                </c:pt>
                <c:pt idx="99">
                  <c:v>25.340550074581945</c:v>
                </c:pt>
                <c:pt idx="100">
                  <c:v>25.544892134674129</c:v>
                </c:pt>
                <c:pt idx="101">
                  <c:v>25.747748176352339</c:v>
                </c:pt>
                <c:pt idx="102">
                  <c:v>25.949167394468596</c:v>
                </c:pt>
                <c:pt idx="103">
                  <c:v>26.149225008676023</c:v>
                </c:pt>
                <c:pt idx="104">
                  <c:v>26.348012533621169</c:v>
                </c:pt>
                <c:pt idx="105">
                  <c:v>26.545598497633751</c:v>
                </c:pt>
                <c:pt idx="106">
                  <c:v>26.742082261029395</c:v>
                </c:pt>
                <c:pt idx="107">
                  <c:v>26.937540805252674</c:v>
                </c:pt>
                <c:pt idx="108">
                  <c:v>27.132012705629219</c:v>
                </c:pt>
                <c:pt idx="109">
                  <c:v>27.325576731231045</c:v>
                </c:pt>
                <c:pt idx="110">
                  <c:v>27.518251288009573</c:v>
                </c:pt>
                <c:pt idx="111">
                  <c:v>27.710119740993889</c:v>
                </c:pt>
                <c:pt idx="112">
                  <c:v>27.901327051851059</c:v>
                </c:pt>
                <c:pt idx="113">
                  <c:v>28.106696119269035</c:v>
                </c:pt>
                <c:pt idx="114">
                  <c:v>28.329616615601481</c:v>
                </c:pt>
                <c:pt idx="115">
                  <c:v>28.575089814233088</c:v>
                </c:pt>
                <c:pt idx="116">
                  <c:v>28.81495295658388</c:v>
                </c:pt>
                <c:pt idx="117">
                  <c:v>29.049484860770871</c:v>
                </c:pt>
                <c:pt idx="118">
                  <c:v>29.284769462431235</c:v>
                </c:pt>
                <c:pt idx="119">
                  <c:v>29.518111525087317</c:v>
                </c:pt>
                <c:pt idx="120">
                  <c:v>29.749424415145654</c:v>
                </c:pt>
                <c:pt idx="121">
                  <c:v>29.978649076622322</c:v>
                </c:pt>
                <c:pt idx="122">
                  <c:v>30.205463654403662</c:v>
                </c:pt>
                <c:pt idx="123">
                  <c:v>30.430040933953492</c:v>
                </c:pt>
                <c:pt idx="124">
                  <c:v>30.652546501935134</c:v>
                </c:pt>
                <c:pt idx="125">
                  <c:v>30.872920829933346</c:v>
                </c:pt>
                <c:pt idx="126">
                  <c:v>31.091214946203035</c:v>
                </c:pt>
                <c:pt idx="127">
                  <c:v>31.307640202526109</c:v>
                </c:pt>
                <c:pt idx="128">
                  <c:v>31.52231888249079</c:v>
                </c:pt>
                <c:pt idx="129">
                  <c:v>31.735340378270468</c:v>
                </c:pt>
                <c:pt idx="130">
                  <c:v>31.946789099204821</c:v>
                </c:pt>
                <c:pt idx="131">
                  <c:v>32.156814431841902</c:v>
                </c:pt>
                <c:pt idx="132">
                  <c:v>32.365495731913285</c:v>
                </c:pt>
                <c:pt idx="133">
                  <c:v>32.572938332637172</c:v>
                </c:pt>
                <c:pt idx="134">
                  <c:v>32.779225690782184</c:v>
                </c:pt>
                <c:pt idx="135">
                  <c:v>32.984406853068855</c:v>
                </c:pt>
                <c:pt idx="136">
                  <c:v>33.188481512975969</c:v>
                </c:pt>
                <c:pt idx="137">
                  <c:v>33.408392062320949</c:v>
                </c:pt>
                <c:pt idx="138">
                  <c:v>33.648375391537868</c:v>
                </c:pt>
                <c:pt idx="139">
                  <c:v>33.914970710913408</c:v>
                </c:pt>
                <c:pt idx="140">
                  <c:v>34.218953776384112</c:v>
                </c:pt>
                <c:pt idx="141">
                  <c:v>34.58099821729482</c:v>
                </c:pt>
                <c:pt idx="142">
                  <c:v>34.925036559868687</c:v>
                </c:pt>
                <c:pt idx="143">
                  <c:v>35.253486860639839</c:v>
                </c:pt>
                <c:pt idx="144">
                  <c:v>35.568260176824182</c:v>
                </c:pt>
                <c:pt idx="145">
                  <c:v>35.870821737896954</c:v>
                </c:pt>
                <c:pt idx="146">
                  <c:v>36.162444570285075</c:v>
                </c:pt>
                <c:pt idx="147">
                  <c:v>36.444273113608865</c:v>
                </c:pt>
                <c:pt idx="148">
                  <c:v>36.717249378534405</c:v>
                </c:pt>
                <c:pt idx="149">
                  <c:v>36.982233162728406</c:v>
                </c:pt>
                <c:pt idx="150">
                  <c:v>37.239945802258895</c:v>
                </c:pt>
                <c:pt idx="151">
                  <c:v>37.490984167610506</c:v>
                </c:pt>
                <c:pt idx="152">
                  <c:v>37.742378377194896</c:v>
                </c:pt>
                <c:pt idx="153">
                  <c:v>37.990958858549696</c:v>
                </c:pt>
                <c:pt idx="154">
                  <c:v>38.236861211409817</c:v>
                </c:pt>
                <c:pt idx="155">
                  <c:v>38.48029215018525</c:v>
                </c:pt>
                <c:pt idx="156">
                  <c:v>38.72130194496804</c:v>
                </c:pt>
                <c:pt idx="157">
                  <c:v>38.959986832493371</c:v>
                </c:pt>
                <c:pt idx="158">
                  <c:v>39.221774664261453</c:v>
                </c:pt>
                <c:pt idx="159">
                  <c:v>39.489940680885709</c:v>
                </c:pt>
                <c:pt idx="160">
                  <c:v>39.76485686372137</c:v>
                </c:pt>
                <c:pt idx="161">
                  <c:v>40.043629326728627</c:v>
                </c:pt>
                <c:pt idx="162">
                  <c:v>40.326467154806942</c:v>
                </c:pt>
                <c:pt idx="163">
                  <c:v>40.610078590012868</c:v>
                </c:pt>
                <c:pt idx="164">
                  <c:v>40.894212030266409</c:v>
                </c:pt>
                <c:pt idx="165">
                  <c:v>41.178710712295384</c:v>
                </c:pt>
                <c:pt idx="166">
                  <c:v>41.463572113309795</c:v>
                </c:pt>
                <c:pt idx="167">
                  <c:v>41.748894641806807</c:v>
                </c:pt>
                <c:pt idx="168">
                  <c:v>42.034641266689363</c:v>
                </c:pt>
                <c:pt idx="169">
                  <c:v>42.320774956860504</c:v>
                </c:pt>
                <c:pt idx="170">
                  <c:v>42.607278458166562</c:v>
                </c:pt>
                <c:pt idx="171">
                  <c:v>42.894149747652826</c:v>
                </c:pt>
                <c:pt idx="172">
                  <c:v>43.181398463873379</c:v>
                </c:pt>
                <c:pt idx="173">
                  <c:v>43.469035768502224</c:v>
                </c:pt>
                <c:pt idx="174">
                  <c:v>43.757087530962558</c:v>
                </c:pt>
                <c:pt idx="175">
                  <c:v>44.045561866688395</c:v>
                </c:pt>
                <c:pt idx="176">
                  <c:v>44.334463345039488</c:v>
                </c:pt>
                <c:pt idx="177">
                  <c:v>44.623806673764769</c:v>
                </c:pt>
                <c:pt idx="178">
                  <c:v>44.913617222451954</c:v>
                </c:pt>
                <c:pt idx="179">
                  <c:v>45.203949776186811</c:v>
                </c:pt>
                <c:pt idx="180">
                  <c:v>45.494863689414146</c:v>
                </c:pt>
                <c:pt idx="181">
                  <c:v>45.786375193003032</c:v>
                </c:pt>
                <c:pt idx="182">
                  <c:v>46.073681516762527</c:v>
                </c:pt>
                <c:pt idx="183">
                  <c:v>46.352422549766104</c:v>
                </c:pt>
                <c:pt idx="184">
                  <c:v>46.623384852868391</c:v>
                </c:pt>
                <c:pt idx="185">
                  <c:v>46.887204202175859</c:v>
                </c:pt>
                <c:pt idx="186">
                  <c:v>47.151534654443182</c:v>
                </c:pt>
                <c:pt idx="187">
                  <c:v>47.412791752293586</c:v>
                </c:pt>
                <c:pt idx="188">
                  <c:v>47.670443345485161</c:v>
                </c:pt>
                <c:pt idx="189">
                  <c:v>47.922640273817535</c:v>
                </c:pt>
                <c:pt idx="190">
                  <c:v>48.168164998609988</c:v>
                </c:pt>
                <c:pt idx="191">
                  <c:v>48.406812641686109</c:v>
                </c:pt>
                <c:pt idx="192">
                  <c:v>48.638709078467656</c:v>
                </c:pt>
                <c:pt idx="193">
                  <c:v>48.864170074262326</c:v>
                </c:pt>
                <c:pt idx="194">
                  <c:v>49.079466193186008</c:v>
                </c:pt>
                <c:pt idx="195">
                  <c:v>49.288877308072955</c:v>
                </c:pt>
                <c:pt idx="196">
                  <c:v>49.492713722981222</c:v>
                </c:pt>
                <c:pt idx="197">
                  <c:v>49.691154753818132</c:v>
                </c:pt>
                <c:pt idx="198">
                  <c:v>49.884235272627876</c:v>
                </c:pt>
                <c:pt idx="199">
                  <c:v>50.071997312959049</c:v>
                </c:pt>
                <c:pt idx="200">
                  <c:v>50.254849351251032</c:v>
                </c:pt>
                <c:pt idx="201">
                  <c:v>50.432846482468001</c:v>
                </c:pt>
                <c:pt idx="202">
                  <c:v>50.605957810142037</c:v>
                </c:pt>
                <c:pt idx="203">
                  <c:v>50.783900085511952</c:v>
                </c:pt>
                <c:pt idx="204">
                  <c:v>50.961116474210392</c:v>
                </c:pt>
                <c:pt idx="205">
                  <c:v>51.139843053222172</c:v>
                </c:pt>
                <c:pt idx="206">
                  <c:v>51.324041437954939</c:v>
                </c:pt>
                <c:pt idx="207">
                  <c:v>51.514056210424428</c:v>
                </c:pt>
                <c:pt idx="208">
                  <c:v>51.710356691292958</c:v>
                </c:pt>
                <c:pt idx="209">
                  <c:v>51.990356691292959</c:v>
                </c:pt>
                <c:pt idx="210">
                  <c:v>52.27035669129296</c:v>
                </c:pt>
                <c:pt idx="211">
                  <c:v>52.554490131546501</c:v>
                </c:pt>
                <c:pt idx="212">
                  <c:v>52.838988813575476</c:v>
                </c:pt>
                <c:pt idx="213">
                  <c:v>53.123850214589886</c:v>
                </c:pt>
                <c:pt idx="214">
                  <c:v>53.409172743086899</c:v>
                </c:pt>
                <c:pt idx="215">
                  <c:v>53.694919367969455</c:v>
                </c:pt>
                <c:pt idx="216">
                  <c:v>53.981053058140596</c:v>
                </c:pt>
                <c:pt idx="217">
                  <c:v>54.267556559446653</c:v>
                </c:pt>
                <c:pt idx="218">
                  <c:v>54.554427848932917</c:v>
                </c:pt>
                <c:pt idx="219">
                  <c:v>54.834427848932918</c:v>
                </c:pt>
                <c:pt idx="220">
                  <c:v>55.118561289186459</c:v>
                </c:pt>
                <c:pt idx="221">
                  <c:v>55.403059971215434</c:v>
                </c:pt>
                <c:pt idx="222">
                  <c:v>55.687921372229845</c:v>
                </c:pt>
                <c:pt idx="223">
                  <c:v>55.973243900726857</c:v>
                </c:pt>
                <c:pt idx="224">
                  <c:v>56.258990525609413</c:v>
                </c:pt>
                <c:pt idx="225">
                  <c:v>56.545124215780554</c:v>
                </c:pt>
                <c:pt idx="226">
                  <c:v>56.831627717086612</c:v>
                </c:pt>
                <c:pt idx="227">
                  <c:v>57.118499006572875</c:v>
                </c:pt>
                <c:pt idx="228">
                  <c:v>57.405747722793429</c:v>
                </c:pt>
                <c:pt idx="229">
                  <c:v>57.693385027422273</c:v>
                </c:pt>
                <c:pt idx="230">
                  <c:v>57.981436789882608</c:v>
                </c:pt>
                <c:pt idx="231">
                  <c:v>58.269911125608445</c:v>
                </c:pt>
                <c:pt idx="232">
                  <c:v>58.558812603959538</c:v>
                </c:pt>
                <c:pt idx="233">
                  <c:v>58.848155932684818</c:v>
                </c:pt>
                <c:pt idx="234">
                  <c:v>59.137966481372004</c:v>
                </c:pt>
                <c:pt idx="235">
                  <c:v>59.428299035106861</c:v>
                </c:pt>
                <c:pt idx="236">
                  <c:v>59.719212948334196</c:v>
                </c:pt>
                <c:pt idx="237">
                  <c:v>60.010724451923082</c:v>
                </c:pt>
                <c:pt idx="238">
                  <c:v>60.298030775682577</c:v>
                </c:pt>
                <c:pt idx="239">
                  <c:v>60.576771808686154</c:v>
                </c:pt>
                <c:pt idx="240">
                  <c:v>60.847734111788441</c:v>
                </c:pt>
                <c:pt idx="241">
                  <c:v>61.111553461095909</c:v>
                </c:pt>
                <c:pt idx="242">
                  <c:v>61.375883913363232</c:v>
                </c:pt>
                <c:pt idx="243">
                  <c:v>61.637141011213636</c:v>
                </c:pt>
                <c:pt idx="244">
                  <c:v>61.894792604405211</c:v>
                </c:pt>
                <c:pt idx="245">
                  <c:v>62.146989532737585</c:v>
                </c:pt>
                <c:pt idx="246">
                  <c:v>62.392514257530038</c:v>
                </c:pt>
                <c:pt idx="247">
                  <c:v>62.631161900606159</c:v>
                </c:pt>
                <c:pt idx="248">
                  <c:v>62.863058337387706</c:v>
                </c:pt>
                <c:pt idx="249">
                  <c:v>63.088519333182376</c:v>
                </c:pt>
                <c:pt idx="250">
                  <c:v>63.303815452106058</c:v>
                </c:pt>
                <c:pt idx="251">
                  <c:v>63.513226566993005</c:v>
                </c:pt>
                <c:pt idx="252">
                  <c:v>63.717062981901272</c:v>
                </c:pt>
                <c:pt idx="253">
                  <c:v>63.915504012738182</c:v>
                </c:pt>
                <c:pt idx="254">
                  <c:v>64.108584531547933</c:v>
                </c:pt>
                <c:pt idx="255">
                  <c:v>64.296346571879113</c:v>
                </c:pt>
                <c:pt idx="256">
                  <c:v>64.479198610171096</c:v>
                </c:pt>
                <c:pt idx="257">
                  <c:v>64.657195741388065</c:v>
                </c:pt>
                <c:pt idx="258">
                  <c:v>64.830307069062101</c:v>
                </c:pt>
                <c:pt idx="259">
                  <c:v>64.998360048545138</c:v>
                </c:pt>
                <c:pt idx="260">
                  <c:v>65.161430698817469</c:v>
                </c:pt>
                <c:pt idx="261">
                  <c:v>65.320058852168501</c:v>
                </c:pt>
                <c:pt idx="262">
                  <c:v>65.474389461113404</c:v>
                </c:pt>
                <c:pt idx="263">
                  <c:v>65.624295689799055</c:v>
                </c:pt>
                <c:pt idx="264">
                  <c:v>65.769698437528731</c:v>
                </c:pt>
                <c:pt idx="265">
                  <c:v>69.546388903024848</c:v>
                </c:pt>
                <c:pt idx="266">
                  <c:v>72.784530783092507</c:v>
                </c:pt>
                <c:pt idx="267">
                  <c:v>72.881431570798057</c:v>
                </c:pt>
                <c:pt idx="268">
                  <c:v>73.004702771439298</c:v>
                </c:pt>
                <c:pt idx="269">
                  <c:v>73.134574147511202</c:v>
                </c:pt>
                <c:pt idx="270">
                  <c:v>73.288844527917917</c:v>
                </c:pt>
                <c:pt idx="271">
                  <c:v>73.454944256399585</c:v>
                </c:pt>
                <c:pt idx="272">
                  <c:v>73.734944256399586</c:v>
                </c:pt>
                <c:pt idx="273">
                  <c:v>73.996978429077856</c:v>
                </c:pt>
                <c:pt idx="274">
                  <c:v>74.281477111106824</c:v>
                </c:pt>
                <c:pt idx="275">
                  <c:v>74.566338512121234</c:v>
                </c:pt>
                <c:pt idx="276">
                  <c:v>74.851661040618254</c:v>
                </c:pt>
                <c:pt idx="277">
                  <c:v>75.137407665500803</c:v>
                </c:pt>
                <c:pt idx="278">
                  <c:v>75.423541355671944</c:v>
                </c:pt>
                <c:pt idx="279">
                  <c:v>75.710044856978001</c:v>
                </c:pt>
                <c:pt idx="280">
                  <c:v>75.996916146464258</c:v>
                </c:pt>
                <c:pt idx="281">
                  <c:v>76.284164862684804</c:v>
                </c:pt>
                <c:pt idx="282">
                  <c:v>76.571802167313649</c:v>
                </c:pt>
                <c:pt idx="283">
                  <c:v>76.859853929773976</c:v>
                </c:pt>
                <c:pt idx="284">
                  <c:v>77.148328265499813</c:v>
                </c:pt>
                <c:pt idx="285">
                  <c:v>77.437229743850907</c:v>
                </c:pt>
                <c:pt idx="286">
                  <c:v>77.726573072576187</c:v>
                </c:pt>
                <c:pt idx="287">
                  <c:v>78.016383621263373</c:v>
                </c:pt>
                <c:pt idx="288">
                  <c:v>78.306716174998229</c:v>
                </c:pt>
                <c:pt idx="289">
                  <c:v>78.597630088225557</c:v>
                </c:pt>
                <c:pt idx="290">
                  <c:v>78.88914159181445</c:v>
                </c:pt>
                <c:pt idx="291">
                  <c:v>79.176447915573945</c:v>
                </c:pt>
                <c:pt idx="292">
                  <c:v>79.455188948577529</c:v>
                </c:pt>
                <c:pt idx="293">
                  <c:v>79.726151251679809</c:v>
                </c:pt>
                <c:pt idx="294">
                  <c:v>79.989970600987277</c:v>
                </c:pt>
                <c:pt idx="295">
                  <c:v>80.254301053254594</c:v>
                </c:pt>
                <c:pt idx="296">
                  <c:v>80.515558151104997</c:v>
                </c:pt>
                <c:pt idx="297">
                  <c:v>80.773209744296565</c:v>
                </c:pt>
                <c:pt idx="298">
                  <c:v>81.025406672628947</c:v>
                </c:pt>
                <c:pt idx="299">
                  <c:v>81.270931397421407</c:v>
                </c:pt>
                <c:pt idx="300">
                  <c:v>81.509579040497528</c:v>
                </c:pt>
                <c:pt idx="301">
                  <c:v>81.741475477279067</c:v>
                </c:pt>
                <c:pt idx="302">
                  <c:v>81.96693647307373</c:v>
                </c:pt>
                <c:pt idx="303">
                  <c:v>82.182232591997419</c:v>
                </c:pt>
                <c:pt idx="304">
                  <c:v>82.391643706884366</c:v>
                </c:pt>
                <c:pt idx="305">
                  <c:v>82.595480121792633</c:v>
                </c:pt>
                <c:pt idx="306">
                  <c:v>82.793921152629537</c:v>
                </c:pt>
                <c:pt idx="307">
                  <c:v>82.987001671439288</c:v>
                </c:pt>
                <c:pt idx="308">
                  <c:v>83.174763711770467</c:v>
                </c:pt>
                <c:pt idx="309">
                  <c:v>83.35761575006245</c:v>
                </c:pt>
                <c:pt idx="310">
                  <c:v>83.53561288127942</c:v>
                </c:pt>
                <c:pt idx="311">
                  <c:v>83.708724208953456</c:v>
                </c:pt>
                <c:pt idx="312">
                  <c:v>83.876777188436492</c:v>
                </c:pt>
                <c:pt idx="313">
                  <c:v>84.039847838708823</c:v>
                </c:pt>
                <c:pt idx="314">
                  <c:v>84.198475992059855</c:v>
                </c:pt>
                <c:pt idx="315">
                  <c:v>84.352806601004758</c:v>
                </c:pt>
                <c:pt idx="316">
                  <c:v>84.504145800316749</c:v>
                </c:pt>
                <c:pt idx="317">
                  <c:v>84.655832535533335</c:v>
                </c:pt>
                <c:pt idx="318">
                  <c:v>89.632177619481155</c:v>
                </c:pt>
                <c:pt idx="319">
                  <c:v>110.47239193857871</c:v>
                </c:pt>
                <c:pt idx="320">
                  <c:v>110.61353595113357</c:v>
                </c:pt>
                <c:pt idx="321">
                  <c:v>110.75625104802587</c:v>
                </c:pt>
                <c:pt idx="322">
                  <c:v>110.90056462179834</c:v>
                </c:pt>
                <c:pt idx="323">
                  <c:v>111.05056462179834</c:v>
                </c:pt>
                <c:pt idx="324">
                  <c:v>111.1978631011384</c:v>
                </c:pt>
                <c:pt idx="325">
                  <c:v>111.38239310113839</c:v>
                </c:pt>
                <c:pt idx="326">
                  <c:v>111.66652654139193</c:v>
                </c:pt>
                <c:pt idx="327">
                  <c:v>111.9510252234209</c:v>
                </c:pt>
                <c:pt idx="328">
                  <c:v>112.23588662443531</c:v>
                </c:pt>
                <c:pt idx="329">
                  <c:v>112.52120915293233</c:v>
                </c:pt>
                <c:pt idx="330">
                  <c:v>112.80695577781488</c:v>
                </c:pt>
                <c:pt idx="331">
                  <c:v>113.09308946798602</c:v>
                </c:pt>
                <c:pt idx="332">
                  <c:v>113.37959296929208</c:v>
                </c:pt>
                <c:pt idx="333">
                  <c:v>113.66646425877833</c:v>
                </c:pt>
                <c:pt idx="334">
                  <c:v>113.95371297499888</c:v>
                </c:pt>
                <c:pt idx="335">
                  <c:v>114.24135027962772</c:v>
                </c:pt>
                <c:pt idx="336">
                  <c:v>114.52940204208805</c:v>
                </c:pt>
                <c:pt idx="337">
                  <c:v>114.81787637781389</c:v>
                </c:pt>
                <c:pt idx="338">
                  <c:v>115.10677785616498</c:v>
                </c:pt>
                <c:pt idx="339">
                  <c:v>115.39612118489026</c:v>
                </c:pt>
                <c:pt idx="340">
                  <c:v>115.68593173357745</c:v>
                </c:pt>
                <c:pt idx="341">
                  <c:v>115.9762642873123</c:v>
                </c:pt>
                <c:pt idx="342">
                  <c:v>116.26717820053963</c:v>
                </c:pt>
                <c:pt idx="343">
                  <c:v>116.55868970412853</c:v>
                </c:pt>
                <c:pt idx="344">
                  <c:v>116.84599602788802</c:v>
                </c:pt>
                <c:pt idx="345">
                  <c:v>117.1247370608916</c:v>
                </c:pt>
                <c:pt idx="346">
                  <c:v>117.39569936399388</c:v>
                </c:pt>
                <c:pt idx="347">
                  <c:v>117.65951871330135</c:v>
                </c:pt>
                <c:pt idx="348">
                  <c:v>117.92384916556867</c:v>
                </c:pt>
                <c:pt idx="349">
                  <c:v>118.18510626341907</c:v>
                </c:pt>
                <c:pt idx="350">
                  <c:v>118.44275785661064</c:v>
                </c:pt>
                <c:pt idx="351">
                  <c:v>118.69495478494302</c:v>
                </c:pt>
                <c:pt idx="352">
                  <c:v>118.94047950973548</c:v>
                </c:pt>
                <c:pt idx="353">
                  <c:v>119.1791271528116</c:v>
                </c:pt>
                <c:pt idx="354">
                  <c:v>119.41102358959314</c:v>
                </c:pt>
                <c:pt idx="355">
                  <c:v>119.63648458538781</c:v>
                </c:pt>
                <c:pt idx="356">
                  <c:v>119.85178070431149</c:v>
                </c:pt>
                <c:pt idx="357">
                  <c:v>120.06119181919844</c:v>
                </c:pt>
                <c:pt idx="358">
                  <c:v>120.26502823410671</c:v>
                </c:pt>
                <c:pt idx="359">
                  <c:v>120.46346926494361</c:v>
                </c:pt>
                <c:pt idx="360">
                  <c:v>120.65654978375336</c:v>
                </c:pt>
                <c:pt idx="361">
                  <c:v>120.84431182408454</c:v>
                </c:pt>
                <c:pt idx="362">
                  <c:v>121.02716386237653</c:v>
                </c:pt>
                <c:pt idx="363">
                  <c:v>121.20516099359349</c:v>
                </c:pt>
                <c:pt idx="364">
                  <c:v>121.37827232126753</c:v>
                </c:pt>
                <c:pt idx="365">
                  <c:v>121.54632530075057</c:v>
                </c:pt>
                <c:pt idx="366">
                  <c:v>121.7093959510229</c:v>
                </c:pt>
                <c:pt idx="367">
                  <c:v>121.86802410437393</c:v>
                </c:pt>
                <c:pt idx="368">
                  <c:v>122.02235471331883</c:v>
                </c:pt>
                <c:pt idx="369">
                  <c:v>122.17226094200448</c:v>
                </c:pt>
                <c:pt idx="370">
                  <c:v>122.31766368973416</c:v>
                </c:pt>
                <c:pt idx="371">
                  <c:v>121.88017991798355</c:v>
                </c:pt>
                <c:pt idx="372">
                  <c:v>122.03224776737423</c:v>
                </c:pt>
                <c:pt idx="373">
                  <c:v>122.18538858266099</c:v>
                </c:pt>
                <c:pt idx="374">
                  <c:v>122.34192030210112</c:v>
                </c:pt>
                <c:pt idx="375">
                  <c:v>122.50570242113908</c:v>
                </c:pt>
                <c:pt idx="376">
                  <c:v>122.67232803531887</c:v>
                </c:pt>
                <c:pt idx="377">
                  <c:v>122.84397397121103</c:v>
                </c:pt>
                <c:pt idx="378">
                  <c:v>123.02512187218032</c:v>
                </c:pt>
                <c:pt idx="379">
                  <c:v>123.2165743239746</c:v>
                </c:pt>
                <c:pt idx="380">
                  <c:v>123.41578202563397</c:v>
                </c:pt>
                <c:pt idx="381">
                  <c:v>123.61981100376462</c:v>
                </c:pt>
                <c:pt idx="382">
                  <c:v>123.77981100376462</c:v>
                </c:pt>
                <c:pt idx="383">
                  <c:v>124.01981100376462</c:v>
                </c:pt>
                <c:pt idx="384">
                  <c:v>124.30394444401816</c:v>
                </c:pt>
                <c:pt idx="385">
                  <c:v>124.58844312604712</c:v>
                </c:pt>
                <c:pt idx="386">
                  <c:v>124.87330452706153</c:v>
                </c:pt>
                <c:pt idx="387">
                  <c:v>125.15862705555855</c:v>
                </c:pt>
                <c:pt idx="388">
                  <c:v>125.4443736804411</c:v>
                </c:pt>
                <c:pt idx="389">
                  <c:v>125.73050737061224</c:v>
                </c:pt>
                <c:pt idx="390">
                  <c:v>126.0170108719183</c:v>
                </c:pt>
                <c:pt idx="391">
                  <c:v>126.30388216140456</c:v>
                </c:pt>
                <c:pt idx="392">
                  <c:v>126.5911308776251</c:v>
                </c:pt>
                <c:pt idx="393">
                  <c:v>126.87876818225395</c:v>
                </c:pt>
                <c:pt idx="394">
                  <c:v>127.16681994471428</c:v>
                </c:pt>
                <c:pt idx="395">
                  <c:v>127.45529428044011</c:v>
                </c:pt>
                <c:pt idx="396">
                  <c:v>127.74419575879121</c:v>
                </c:pt>
                <c:pt idx="397">
                  <c:v>128.03353908751649</c:v>
                </c:pt>
                <c:pt idx="398">
                  <c:v>128.32334963620369</c:v>
                </c:pt>
                <c:pt idx="399">
                  <c:v>128.61368218993854</c:v>
                </c:pt>
                <c:pt idx="400">
                  <c:v>128.90459610316589</c:v>
                </c:pt>
                <c:pt idx="401">
                  <c:v>129.19610760675477</c:v>
                </c:pt>
                <c:pt idx="402">
                  <c:v>129.48341393051427</c:v>
                </c:pt>
                <c:pt idx="403">
                  <c:v>129.76215496351784</c:v>
                </c:pt>
                <c:pt idx="404">
                  <c:v>130.03311726662014</c:v>
                </c:pt>
                <c:pt idx="405">
                  <c:v>130.29693661592759</c:v>
                </c:pt>
                <c:pt idx="406">
                  <c:v>130.56126706819492</c:v>
                </c:pt>
                <c:pt idx="407">
                  <c:v>130.82252416604533</c:v>
                </c:pt>
                <c:pt idx="408">
                  <c:v>131.08017575923691</c:v>
                </c:pt>
                <c:pt idx="409">
                  <c:v>131.33237268756929</c:v>
                </c:pt>
                <c:pt idx="410">
                  <c:v>131.57789741236175</c:v>
                </c:pt>
                <c:pt idx="411">
                  <c:v>131.81654505543787</c:v>
                </c:pt>
                <c:pt idx="412">
                  <c:v>132.04844149221941</c:v>
                </c:pt>
                <c:pt idx="413">
                  <c:v>132.27390248801407</c:v>
                </c:pt>
                <c:pt idx="414">
                  <c:v>132.48919860693775</c:v>
                </c:pt>
                <c:pt idx="415">
                  <c:v>132.69860972182468</c:v>
                </c:pt>
                <c:pt idx="416">
                  <c:v>132.90244613673295</c:v>
                </c:pt>
                <c:pt idx="417">
                  <c:v>133.10088716756985</c:v>
                </c:pt>
                <c:pt idx="418">
                  <c:v>133.2939676863796</c:v>
                </c:pt>
                <c:pt idx="419">
                  <c:v>133.48172972671077</c:v>
                </c:pt>
                <c:pt idx="420">
                  <c:v>133.66458176500277</c:v>
                </c:pt>
                <c:pt idx="421">
                  <c:v>133.84257889621975</c:v>
                </c:pt>
                <c:pt idx="422">
                  <c:v>134.01569022389378</c:v>
                </c:pt>
                <c:pt idx="423">
                  <c:v>134.18374320337682</c:v>
                </c:pt>
                <c:pt idx="424">
                  <c:v>134.34681385364914</c:v>
                </c:pt>
                <c:pt idx="425">
                  <c:v>134.50544200700017</c:v>
                </c:pt>
                <c:pt idx="426">
                  <c:v>134.65977261594509</c:v>
                </c:pt>
                <c:pt idx="427">
                  <c:v>134.81523924796559</c:v>
                </c:pt>
                <c:pt idx="428">
                  <c:v>134.96973499679731</c:v>
                </c:pt>
                <c:pt idx="429">
                  <c:v>143.90360562232001</c:v>
                </c:pt>
                <c:pt idx="430">
                  <c:v>144.06734959224778</c:v>
                </c:pt>
                <c:pt idx="431">
                  <c:v>144.23962577145826</c:v>
                </c:pt>
                <c:pt idx="432">
                  <c:v>144.42536928854011</c:v>
                </c:pt>
                <c:pt idx="433">
                  <c:v>144.6706692885401</c:v>
                </c:pt>
                <c:pt idx="434">
                  <c:v>144.85966928854009</c:v>
                </c:pt>
                <c:pt idx="435">
                  <c:v>145.14380272879362</c:v>
                </c:pt>
                <c:pt idx="436">
                  <c:v>145.4283014108226</c:v>
                </c:pt>
                <c:pt idx="437">
                  <c:v>145.71316281183701</c:v>
                </c:pt>
                <c:pt idx="438">
                  <c:v>145.99848534033401</c:v>
                </c:pt>
                <c:pt idx="439">
                  <c:v>146.28423196521658</c:v>
                </c:pt>
                <c:pt idx="440">
                  <c:v>146.57036565538772</c:v>
                </c:pt>
                <c:pt idx="441">
                  <c:v>146.85686915669379</c:v>
                </c:pt>
                <c:pt idx="442">
                  <c:v>147.14374044618006</c:v>
                </c:pt>
                <c:pt idx="443">
                  <c:v>147.43098916240061</c:v>
                </c:pt>
                <c:pt idx="444">
                  <c:v>147.71862646702945</c:v>
                </c:pt>
                <c:pt idx="445">
                  <c:v>148.00667822948978</c:v>
                </c:pt>
                <c:pt idx="446">
                  <c:v>148.2951525652156</c:v>
                </c:pt>
                <c:pt idx="447">
                  <c:v>148.58405404356671</c:v>
                </c:pt>
                <c:pt idx="448">
                  <c:v>148.873397372292</c:v>
                </c:pt>
                <c:pt idx="449">
                  <c:v>149.1632079209792</c:v>
                </c:pt>
                <c:pt idx="450">
                  <c:v>149.45354047471406</c:v>
                </c:pt>
                <c:pt idx="451">
                  <c:v>149.7444543879414</c:v>
                </c:pt>
                <c:pt idx="452">
                  <c:v>150.03596589153028</c:v>
                </c:pt>
                <c:pt idx="453">
                  <c:v>150.32327221528979</c:v>
                </c:pt>
                <c:pt idx="454">
                  <c:v>150.60201324829336</c:v>
                </c:pt>
                <c:pt idx="455">
                  <c:v>150.87297555139565</c:v>
                </c:pt>
                <c:pt idx="456">
                  <c:v>151.13679490070311</c:v>
                </c:pt>
                <c:pt idx="457">
                  <c:v>151.40112535297044</c:v>
                </c:pt>
                <c:pt idx="458">
                  <c:v>151.66238245082084</c:v>
                </c:pt>
                <c:pt idx="459">
                  <c:v>151.92003404401243</c:v>
                </c:pt>
                <c:pt idx="460">
                  <c:v>152.17223097234481</c:v>
                </c:pt>
                <c:pt idx="461">
                  <c:v>152.41775569713727</c:v>
                </c:pt>
                <c:pt idx="462">
                  <c:v>152.65640334021339</c:v>
                </c:pt>
                <c:pt idx="463">
                  <c:v>152.88829977699493</c:v>
                </c:pt>
                <c:pt idx="464">
                  <c:v>153.11376077278959</c:v>
                </c:pt>
                <c:pt idx="465">
                  <c:v>153.32905689171326</c:v>
                </c:pt>
                <c:pt idx="466">
                  <c:v>153.5384680066002</c:v>
                </c:pt>
                <c:pt idx="467">
                  <c:v>153.74230442150846</c:v>
                </c:pt>
                <c:pt idx="468">
                  <c:v>153.94074545234537</c:v>
                </c:pt>
                <c:pt idx="469">
                  <c:v>154.13382597115512</c:v>
                </c:pt>
                <c:pt idx="470">
                  <c:v>154.32158801148628</c:v>
                </c:pt>
                <c:pt idx="471">
                  <c:v>154.50444004977828</c:v>
                </c:pt>
                <c:pt idx="472">
                  <c:v>154.68243718099527</c:v>
                </c:pt>
                <c:pt idx="473">
                  <c:v>154.8555485086693</c:v>
                </c:pt>
                <c:pt idx="474">
                  <c:v>155.02360148815234</c:v>
                </c:pt>
                <c:pt idx="475">
                  <c:v>155.18667213842465</c:v>
                </c:pt>
                <c:pt idx="476">
                  <c:v>155.34530029177569</c:v>
                </c:pt>
                <c:pt idx="477">
                  <c:v>155.4996309007206</c:v>
                </c:pt>
                <c:pt idx="478">
                  <c:v>155.64953712940624</c:v>
                </c:pt>
                <c:pt idx="479">
                  <c:v>155.7949398771359</c:v>
                </c:pt>
                <c:pt idx="480">
                  <c:v>171.92592524853075</c:v>
                </c:pt>
                <c:pt idx="481">
                  <c:v>172.08570400010959</c:v>
                </c:pt>
                <c:pt idx="482">
                  <c:v>172.24853557684645</c:v>
                </c:pt>
                <c:pt idx="483">
                  <c:v>172.41617427931803</c:v>
                </c:pt>
                <c:pt idx="484">
                  <c:v>172.58895780836102</c:v>
                </c:pt>
                <c:pt idx="485">
                  <c:v>172.77538347633563</c:v>
                </c:pt>
                <c:pt idx="486">
                  <c:v>172.9669976707913</c:v>
                </c:pt>
                <c:pt idx="487">
                  <c:v>173.14699767079131</c:v>
                </c:pt>
                <c:pt idx="488">
                  <c:v>173.38699767079132</c:v>
                </c:pt>
                <c:pt idx="489">
                  <c:v>173.67113111104484</c:v>
                </c:pt>
                <c:pt idx="490">
                  <c:v>173.95562979307383</c:v>
                </c:pt>
                <c:pt idx="491">
                  <c:v>174.24049119408824</c:v>
                </c:pt>
                <c:pt idx="492">
                  <c:v>174.52581372258524</c:v>
                </c:pt>
                <c:pt idx="493">
                  <c:v>174.8115603474678</c:v>
                </c:pt>
                <c:pt idx="494">
                  <c:v>175.09769403763895</c:v>
                </c:pt>
                <c:pt idx="495">
                  <c:v>175.38419753894502</c:v>
                </c:pt>
                <c:pt idx="496">
                  <c:v>175.67106882843129</c:v>
                </c:pt>
                <c:pt idx="497">
                  <c:v>175.95831754465183</c:v>
                </c:pt>
                <c:pt idx="498">
                  <c:v>176.24595484928068</c:v>
                </c:pt>
                <c:pt idx="499">
                  <c:v>176.53400661174101</c:v>
                </c:pt>
                <c:pt idx="500">
                  <c:v>176.82248094746683</c:v>
                </c:pt>
                <c:pt idx="501">
                  <c:v>177.11138242581794</c:v>
                </c:pt>
                <c:pt idx="502">
                  <c:v>177.40072575454323</c:v>
                </c:pt>
                <c:pt idx="503">
                  <c:v>177.69053630323043</c:v>
                </c:pt>
                <c:pt idx="504">
                  <c:v>177.98086885696529</c:v>
                </c:pt>
                <c:pt idx="505">
                  <c:v>178.27178277019263</c:v>
                </c:pt>
                <c:pt idx="506">
                  <c:v>178.56329427378151</c:v>
                </c:pt>
                <c:pt idx="507">
                  <c:v>178.85060059754102</c:v>
                </c:pt>
                <c:pt idx="508">
                  <c:v>179.12934163054459</c:v>
                </c:pt>
                <c:pt idx="509">
                  <c:v>179.40030393364688</c:v>
                </c:pt>
                <c:pt idx="510">
                  <c:v>179.66412328295434</c:v>
                </c:pt>
                <c:pt idx="511">
                  <c:v>179.92845373522167</c:v>
                </c:pt>
                <c:pt idx="512">
                  <c:v>180.18971083307207</c:v>
                </c:pt>
                <c:pt idx="513">
                  <c:v>180.44736242626365</c:v>
                </c:pt>
                <c:pt idx="514">
                  <c:v>180.69955935459603</c:v>
                </c:pt>
                <c:pt idx="515">
                  <c:v>180.94508407938849</c:v>
                </c:pt>
                <c:pt idx="516">
                  <c:v>181.18373172246461</c:v>
                </c:pt>
                <c:pt idx="517">
                  <c:v>181.41562815924615</c:v>
                </c:pt>
                <c:pt idx="518">
                  <c:v>181.64108915504082</c:v>
                </c:pt>
                <c:pt idx="519">
                  <c:v>181.85638527396449</c:v>
                </c:pt>
                <c:pt idx="520">
                  <c:v>182.06579638885142</c:v>
                </c:pt>
                <c:pt idx="521">
                  <c:v>182.26963280375969</c:v>
                </c:pt>
                <c:pt idx="522">
                  <c:v>182.46807383459659</c:v>
                </c:pt>
                <c:pt idx="523">
                  <c:v>182.66115435340635</c:v>
                </c:pt>
                <c:pt idx="524">
                  <c:v>182.84891639373751</c:v>
                </c:pt>
                <c:pt idx="525">
                  <c:v>183.03176843202951</c:v>
                </c:pt>
                <c:pt idx="526">
                  <c:v>183.20976556324649</c:v>
                </c:pt>
                <c:pt idx="527">
                  <c:v>183.38287689092053</c:v>
                </c:pt>
                <c:pt idx="528">
                  <c:v>183.55092987040356</c:v>
                </c:pt>
                <c:pt idx="529">
                  <c:v>183.71400052067588</c:v>
                </c:pt>
                <c:pt idx="530">
                  <c:v>183.87262867402691</c:v>
                </c:pt>
              </c:numCache>
            </c:numRef>
          </c:xVal>
          <c:yVal>
            <c:numRef>
              <c:f>Data!$BR$3:$BR$533</c:f>
              <c:numCache>
                <c:formatCode>General</c:formatCode>
                <c:ptCount val="531"/>
                <c:pt idx="0">
                  <c:v>1074.803462254162</c:v>
                </c:pt>
                <c:pt idx="1">
                  <c:v>2131.0207224303686</c:v>
                </c:pt>
                <c:pt idx="2">
                  <c:v>3173.3721575671843</c:v>
                </c:pt>
                <c:pt idx="3">
                  <c:v>4197.5783322404841</c:v>
                </c:pt>
                <c:pt idx="4">
                  <c:v>5209.5454549017795</c:v>
                </c:pt>
                <c:pt idx="5">
                  <c:v>6213.9648376025389</c:v>
                </c:pt>
                <c:pt idx="6">
                  <c:v>7214.2541239731154</c:v>
                </c:pt>
                <c:pt idx="7">
                  <c:v>8208.8080537878523</c:v>
                </c:pt>
                <c:pt idx="8">
                  <c:v>9198.6100545676509</c:v>
                </c:pt>
                <c:pt idx="9">
                  <c:v>10183.895228002533</c:v>
                </c:pt>
                <c:pt idx="10">
                  <c:v>11163.372819454109</c:v>
                </c:pt>
                <c:pt idx="11">
                  <c:v>12140.075605563279</c:v>
                </c:pt>
                <c:pt idx="12">
                  <c:v>13111.110826869957</c:v>
                </c:pt>
                <c:pt idx="13">
                  <c:v>14080.735441810575</c:v>
                </c:pt>
                <c:pt idx="14">
                  <c:v>15045.475484821927</c:v>
                </c:pt>
                <c:pt idx="15">
                  <c:v>16008.39330992645</c:v>
                </c:pt>
                <c:pt idx="16">
                  <c:v>16967.118838237609</c:v>
                </c:pt>
                <c:pt idx="17">
                  <c:v>17923.483338687165</c:v>
                </c:pt>
                <c:pt idx="18">
                  <c:v>18876.59822641217</c:v>
                </c:pt>
                <c:pt idx="19">
                  <c:v>19826.620528048847</c:v>
                </c:pt>
                <c:pt idx="20">
                  <c:v>20788.562722983166</c:v>
                </c:pt>
                <c:pt idx="21">
                  <c:v>21768.744323936535</c:v>
                </c:pt>
                <c:pt idx="22">
                  <c:v>22754.842565928077</c:v>
                </c:pt>
                <c:pt idx="23">
                  <c:v>23756.411522673283</c:v>
                </c:pt>
                <c:pt idx="24">
                  <c:v>24754.147606769046</c:v>
                </c:pt>
                <c:pt idx="25">
                  <c:v>25749.42443043755</c:v>
                </c:pt>
                <c:pt idx="26">
                  <c:v>26741.637858803024</c:v>
                </c:pt>
                <c:pt idx="27">
                  <c:v>27732.455753010763</c:v>
                </c:pt>
                <c:pt idx="28">
                  <c:v>28721.812708835216</c:v>
                </c:pt>
                <c:pt idx="29">
                  <c:v>29710.633020450899</c:v>
                </c:pt>
                <c:pt idx="30">
                  <c:v>30704.027717637218</c:v>
                </c:pt>
                <c:pt idx="31">
                  <c:v>31698.061171750909</c:v>
                </c:pt>
                <c:pt idx="32">
                  <c:v>32693.755137253385</c:v>
                </c:pt>
                <c:pt idx="33">
                  <c:v>33751.293390193845</c:v>
                </c:pt>
                <c:pt idx="34">
                  <c:v>34871.618307251701</c:v>
                </c:pt>
                <c:pt idx="35">
                  <c:v>36114.125709614847</c:v>
                </c:pt>
                <c:pt idx="36">
                  <c:v>37467.30285277855</c:v>
                </c:pt>
                <c:pt idx="37">
                  <c:v>38961.444439602237</c:v>
                </c:pt>
                <c:pt idx="38">
                  <c:v>40650.694670885292</c:v>
                </c:pt>
                <c:pt idx="39">
                  <c:v>42628.868763605235</c:v>
                </c:pt>
                <c:pt idx="40">
                  <c:v>45993.771534359563</c:v>
                </c:pt>
                <c:pt idx="41">
                  <c:v>49534.969895143789</c:v>
                </c:pt>
                <c:pt idx="42">
                  <c:v>53093.015107562358</c:v>
                </c:pt>
                <c:pt idx="43">
                  <c:v>56672.447286990406</c:v>
                </c:pt>
                <c:pt idx="44">
                  <c:v>60271.399465034556</c:v>
                </c:pt>
                <c:pt idx="45">
                  <c:v>63890.360796795707</c:v>
                </c:pt>
                <c:pt idx="46">
                  <c:v>67524.406766952481</c:v>
                </c:pt>
                <c:pt idx="47">
                  <c:v>71177.030286333553</c:v>
                </c:pt>
                <c:pt idx="48">
                  <c:v>74838.587075671763</c:v>
                </c:pt>
                <c:pt idx="49">
                  <c:v>78028.187077763941</c:v>
                </c:pt>
                <c:pt idx="50">
                  <c:v>80886.768258191762</c:v>
                </c:pt>
                <c:pt idx="51">
                  <c:v>83493.183407321136</c:v>
                </c:pt>
                <c:pt idx="52">
                  <c:v>85904.819609725237</c:v>
                </c:pt>
                <c:pt idx="53">
                  <c:v>88163.34550359218</c:v>
                </c:pt>
                <c:pt idx="54">
                  <c:v>90298.172257534112</c:v>
                </c:pt>
                <c:pt idx="55">
                  <c:v>92328.357577041854</c:v>
                </c:pt>
                <c:pt idx="56">
                  <c:v>94268.118061709931</c:v>
                </c:pt>
                <c:pt idx="57">
                  <c:v>96128.873832901023</c:v>
                </c:pt>
                <c:pt idx="58">
                  <c:v>97920.22420236707</c:v>
                </c:pt>
                <c:pt idx="59">
                  <c:v>99650.695485086966</c:v>
                </c:pt>
                <c:pt idx="60">
                  <c:v>101326.51779414616</c:v>
                </c:pt>
                <c:pt idx="61">
                  <c:v>102953.59459214508</c:v>
                </c:pt>
                <c:pt idx="62">
                  <c:v>104536.97629364562</c:v>
                </c:pt>
                <c:pt idx="63">
                  <c:v>106080.5368075398</c:v>
                </c:pt>
                <c:pt idx="64">
                  <c:v>107587.84938760738</c:v>
                </c:pt>
                <c:pt idx="65">
                  <c:v>109061.13550299218</c:v>
                </c:pt>
                <c:pt idx="66">
                  <c:v>110503.87381551418</c:v>
                </c:pt>
                <c:pt idx="67">
                  <c:v>112098.39812642157</c:v>
                </c:pt>
                <c:pt idx="68">
                  <c:v>113903.85585939615</c:v>
                </c:pt>
                <c:pt idx="69">
                  <c:v>116030.14169637537</c:v>
                </c:pt>
                <c:pt idx="70">
                  <c:v>119503.12878865593</c:v>
                </c:pt>
                <c:pt idx="71">
                  <c:v>123364.25251303223</c:v>
                </c:pt>
                <c:pt idx="72">
                  <c:v>126713.31106311022</c:v>
                </c:pt>
                <c:pt idx="73">
                  <c:v>129714.71405023648</c:v>
                </c:pt>
                <c:pt idx="74">
                  <c:v>132460.92213596465</c:v>
                </c:pt>
                <c:pt idx="75">
                  <c:v>135009.76313597706</c:v>
                </c:pt>
                <c:pt idx="76">
                  <c:v>137399.41163771768</c:v>
                </c:pt>
                <c:pt idx="77">
                  <c:v>139657.81123702027</c:v>
                </c:pt>
                <c:pt idx="78">
                  <c:v>141806.13437657955</c:v>
                </c:pt>
                <c:pt idx="79">
                  <c:v>143858.80358649287</c:v>
                </c:pt>
                <c:pt idx="80">
                  <c:v>145828.61493512575</c:v>
                </c:pt>
                <c:pt idx="81">
                  <c:v>147725.30735062776</c:v>
                </c:pt>
                <c:pt idx="82">
                  <c:v>149557.12962196776</c:v>
                </c:pt>
                <c:pt idx="83">
                  <c:v>151331.15540993889</c:v>
                </c:pt>
                <c:pt idx="84">
                  <c:v>153053.145373429</c:v>
                </c:pt>
                <c:pt idx="85">
                  <c:v>154728.45755917142</c:v>
                </c:pt>
                <c:pt idx="86">
                  <c:v>156359.97483411088</c:v>
                </c:pt>
                <c:pt idx="87">
                  <c:v>157947.42002758724</c:v>
                </c:pt>
                <c:pt idx="88">
                  <c:v>159498.06583982706</c:v>
                </c:pt>
                <c:pt idx="89">
                  <c:v>161015.14120107784</c:v>
                </c:pt>
                <c:pt idx="90">
                  <c:v>162501.19896314709</c:v>
                </c:pt>
                <c:pt idx="91">
                  <c:v>163992.44458808683</c:v>
                </c:pt>
                <c:pt idx="92">
                  <c:v>165472.58601939891</c:v>
                </c:pt>
                <c:pt idx="93">
                  <c:v>166942.14907717417</c:v>
                </c:pt>
                <c:pt idx="94">
                  <c:v>168401.59499895023</c:v>
                </c:pt>
                <c:pt idx="95">
                  <c:v>169850.9532229022</c:v>
                </c:pt>
                <c:pt idx="96">
                  <c:v>171289.75932075951</c:v>
                </c:pt>
                <c:pt idx="97">
                  <c:v>172716.67993668132</c:v>
                </c:pt>
                <c:pt idx="98">
                  <c:v>174131.70040498866</c:v>
                </c:pt>
                <c:pt idx="99">
                  <c:v>175535.87001785755</c:v>
                </c:pt>
                <c:pt idx="100">
                  <c:v>176929.82821414326</c:v>
                </c:pt>
                <c:pt idx="101">
                  <c:v>178313.9130442515</c:v>
                </c:pt>
                <c:pt idx="102">
                  <c:v>179688.64139223032</c:v>
                </c:pt>
                <c:pt idx="103">
                  <c:v>181054.64211581834</c:v>
                </c:pt>
                <c:pt idx="104">
                  <c:v>182412.38611854939</c:v>
                </c:pt>
                <c:pt idx="105">
                  <c:v>183762.55617094986</c:v>
                </c:pt>
                <c:pt idx="106">
                  <c:v>185105.6812635035</c:v>
                </c:pt>
                <c:pt idx="107">
                  <c:v>186442.02647281782</c:v>
                </c:pt>
                <c:pt idx="108">
                  <c:v>187772.13307334855</c:v>
                </c:pt>
                <c:pt idx="109">
                  <c:v>189096.12754457656</c:v>
                </c:pt>
                <c:pt idx="110">
                  <c:v>190414.58274282209</c:v>
                </c:pt>
                <c:pt idx="111">
                  <c:v>191728.49479569506</c:v>
                </c:pt>
                <c:pt idx="112">
                  <c:v>193139.7216559971</c:v>
                </c:pt>
                <c:pt idx="113">
                  <c:v>194671.55600715545</c:v>
                </c:pt>
                <c:pt idx="114">
                  <c:v>196358.36491050472</c:v>
                </c:pt>
                <c:pt idx="115">
                  <c:v>198006.62340209613</c:v>
                </c:pt>
                <c:pt idx="116">
                  <c:v>199618.24742584865</c:v>
                </c:pt>
                <c:pt idx="117">
                  <c:v>201235.04373238681</c:v>
                </c:pt>
                <c:pt idx="118">
                  <c:v>202838.49156705191</c:v>
                </c:pt>
                <c:pt idx="119">
                  <c:v>204427.99561305335</c:v>
                </c:pt>
                <c:pt idx="120">
                  <c:v>206003.15005761798</c:v>
                </c:pt>
                <c:pt idx="121">
                  <c:v>207561.74322112318</c:v>
                </c:pt>
                <c:pt idx="122">
                  <c:v>209104.96242691163</c:v>
                </c:pt>
                <c:pt idx="123">
                  <c:v>210633.94553060067</c:v>
                </c:pt>
                <c:pt idx="124">
                  <c:v>212148.28347302866</c:v>
                </c:pt>
                <c:pt idx="125">
                  <c:v>213648.32690312664</c:v>
                </c:pt>
                <c:pt idx="126">
                  <c:v>215135.528158948</c:v>
                </c:pt>
                <c:pt idx="127">
                  <c:v>216610.72753200523</c:v>
                </c:pt>
                <c:pt idx="128">
                  <c:v>218074.53929511833</c:v>
                </c:pt>
                <c:pt idx="129">
                  <c:v>219527.54348075719</c:v>
                </c:pt>
                <c:pt idx="130">
                  <c:v>220970.76662281921</c:v>
                </c:pt>
                <c:pt idx="131">
                  <c:v>222404.75402708643</c:v>
                </c:pt>
                <c:pt idx="132">
                  <c:v>223830.22950785418</c:v>
                </c:pt>
                <c:pt idx="133">
                  <c:v>225247.76655184579</c:v>
                </c:pt>
                <c:pt idx="134">
                  <c:v>226657.70219155742</c:v>
                </c:pt>
                <c:pt idx="135">
                  <c:v>228060.03432067879</c:v>
                </c:pt>
                <c:pt idx="136">
                  <c:v>229571.18533286013</c:v>
                </c:pt>
                <c:pt idx="137">
                  <c:v>231220.269707998</c:v>
                </c:pt>
                <c:pt idx="138">
                  <c:v>233052.22269032252</c:v>
                </c:pt>
                <c:pt idx="139">
                  <c:v>235141.09163471966</c:v>
                </c:pt>
                <c:pt idx="140">
                  <c:v>237628.93873876461</c:v>
                </c:pt>
                <c:pt idx="141">
                  <c:v>239993.0540172641</c:v>
                </c:pt>
                <c:pt idx="142">
                  <c:v>242250.05353793275</c:v>
                </c:pt>
                <c:pt idx="143">
                  <c:v>244413.06944042796</c:v>
                </c:pt>
                <c:pt idx="144">
                  <c:v>246492.17028676817</c:v>
                </c:pt>
                <c:pt idx="145">
                  <c:v>248496.10388454745</c:v>
                </c:pt>
                <c:pt idx="146">
                  <c:v>250432.73443625984</c:v>
                </c:pt>
                <c:pt idx="147">
                  <c:v>252308.53512100369</c:v>
                </c:pt>
                <c:pt idx="148">
                  <c:v>254129.41417791622</c:v>
                </c:pt>
                <c:pt idx="149">
                  <c:v>255900.32838479901</c:v>
                </c:pt>
                <c:pt idx="150">
                  <c:v>257625.37923400739</c:v>
                </c:pt>
                <c:pt idx="151">
                  <c:v>259352.87532458387</c:v>
                </c:pt>
                <c:pt idx="152">
                  <c:v>261061.03642520733</c:v>
                </c:pt>
                <c:pt idx="153">
                  <c:v>262750.79433145229</c:v>
                </c:pt>
                <c:pt idx="154">
                  <c:v>264423.56951491872</c:v>
                </c:pt>
                <c:pt idx="155">
                  <c:v>266079.70741469861</c:v>
                </c:pt>
                <c:pt idx="156">
                  <c:v>267719.86933712859</c:v>
                </c:pt>
                <c:pt idx="157">
                  <c:v>269518.78688852128</c:v>
                </c:pt>
                <c:pt idx="158">
                  <c:v>271361.5331717779</c:v>
                </c:pt>
                <c:pt idx="159">
                  <c:v>273250.66431712115</c:v>
                </c:pt>
                <c:pt idx="160">
                  <c:v>275166.29451720242</c:v>
                </c:pt>
                <c:pt idx="161">
                  <c:v>277109.86053282465</c:v>
                </c:pt>
                <c:pt idx="162">
                  <c:v>279058.74251531344</c:v>
                </c:pt>
                <c:pt idx="163">
                  <c:v>281011.21154016291</c:v>
                </c:pt>
                <c:pt idx="164">
                  <c:v>282966.19038311922</c:v>
                </c:pt>
                <c:pt idx="165">
                  <c:v>284923.66170842177</c:v>
                </c:pt>
                <c:pt idx="166">
                  <c:v>286884.3017460219</c:v>
                </c:pt>
                <c:pt idx="167">
                  <c:v>288847.85603072919</c:v>
                </c:pt>
                <c:pt idx="168">
                  <c:v>290814.07009735407</c:v>
                </c:pt>
                <c:pt idx="169">
                  <c:v>292782.82538118074</c:v>
                </c:pt>
                <c:pt idx="170">
                  <c:v>294754.10798114771</c:v>
                </c:pt>
                <c:pt idx="171">
                  <c:v>296727.98413014284</c:v>
                </c:pt>
                <c:pt idx="172">
                  <c:v>298704.5305274197</c:v>
                </c:pt>
                <c:pt idx="173">
                  <c:v>300683.92493891605</c:v>
                </c:pt>
                <c:pt idx="174">
                  <c:v>302666.22313115321</c:v>
                </c:pt>
                <c:pt idx="175">
                  <c:v>304651.45650322794</c:v>
                </c:pt>
                <c:pt idx="176">
                  <c:v>306639.72612182278</c:v>
                </c:pt>
                <c:pt idx="177">
                  <c:v>308631.20631817501</c:v>
                </c:pt>
                <c:pt idx="178">
                  <c:v>310626.27355688834</c:v>
                </c:pt>
                <c:pt idx="179">
                  <c:v>312625.33570165833</c:v>
                </c:pt>
                <c:pt idx="180">
                  <c:v>314628.50428553467</c:v>
                </c:pt>
                <c:pt idx="181">
                  <c:v>316602.77629407839</c:v>
                </c:pt>
                <c:pt idx="182">
                  <c:v>318518.19051779102</c:v>
                </c:pt>
                <c:pt idx="183">
                  <c:v>320380.15193717554</c:v>
                </c:pt>
                <c:pt idx="184">
                  <c:v>322193.02939087874</c:v>
                </c:pt>
                <c:pt idx="185">
                  <c:v>324009.41897147812</c:v>
                </c:pt>
                <c:pt idx="186">
                  <c:v>325804.68949866353</c:v>
                </c:pt>
                <c:pt idx="187">
                  <c:v>327575.18421572592</c:v>
                </c:pt>
                <c:pt idx="188">
                  <c:v>329308.19631839066</c:v>
                </c:pt>
                <c:pt idx="189">
                  <c:v>330995.35929211241</c:v>
                </c:pt>
                <c:pt idx="190">
                  <c:v>332635.26528326812</c:v>
                </c:pt>
                <c:pt idx="191">
                  <c:v>334228.77926523698</c:v>
                </c:pt>
                <c:pt idx="192">
                  <c:v>335778.07107055211</c:v>
                </c:pt>
                <c:pt idx="193">
                  <c:v>337257.51327557274</c:v>
                </c:pt>
                <c:pt idx="194">
                  <c:v>338696.51572073059</c:v>
                </c:pt>
                <c:pt idx="195">
                  <c:v>340097.21071069594</c:v>
                </c:pt>
                <c:pt idx="196">
                  <c:v>341460.83044381335</c:v>
                </c:pt>
                <c:pt idx="197">
                  <c:v>342787.6145489912</c:v>
                </c:pt>
                <c:pt idx="198">
                  <c:v>344077.851866577</c:v>
                </c:pt>
                <c:pt idx="199">
                  <c:v>345334.34930868418</c:v>
                </c:pt>
                <c:pt idx="200">
                  <c:v>346557.48546929623</c:v>
                </c:pt>
                <c:pt idx="201">
                  <c:v>347747.04803832195</c:v>
                </c:pt>
                <c:pt idx="202">
                  <c:v>348969.80724808259</c:v>
                </c:pt>
                <c:pt idx="203">
                  <c:v>350187.57840983191</c:v>
                </c:pt>
                <c:pt idx="204">
                  <c:v>351415.7270892919</c:v>
                </c:pt>
                <c:pt idx="205">
                  <c:v>352681.47616936191</c:v>
                </c:pt>
                <c:pt idx="206">
                  <c:v>353987.19350125868</c:v>
                </c:pt>
                <c:pt idx="207">
                  <c:v>355336.10409804329</c:v>
                </c:pt>
                <c:pt idx="208">
                  <c:v>357260.1695176927</c:v>
                </c:pt>
                <c:pt idx="209">
                  <c:v>359184.23493734212</c:v>
                </c:pt>
                <c:pt idx="210">
                  <c:v>361136.70396219159</c:v>
                </c:pt>
                <c:pt idx="211">
                  <c:v>363091.6828051479</c:v>
                </c:pt>
                <c:pt idx="212">
                  <c:v>365049.15413045045</c:v>
                </c:pt>
                <c:pt idx="213">
                  <c:v>367009.79416805058</c:v>
                </c:pt>
                <c:pt idx="214">
                  <c:v>368973.34845275787</c:v>
                </c:pt>
                <c:pt idx="215">
                  <c:v>370939.56251938274</c:v>
                </c:pt>
                <c:pt idx="216">
                  <c:v>372908.31780320941</c:v>
                </c:pt>
                <c:pt idx="217">
                  <c:v>374879.60040317639</c:v>
                </c:pt>
                <c:pt idx="218">
                  <c:v>376803.6658228258</c:v>
                </c:pt>
                <c:pt idx="219">
                  <c:v>378756.13484767528</c:v>
                </c:pt>
                <c:pt idx="220">
                  <c:v>380711.11369063158</c:v>
                </c:pt>
                <c:pt idx="221">
                  <c:v>382668.58501593414</c:v>
                </c:pt>
                <c:pt idx="222">
                  <c:v>384629.22505353426</c:v>
                </c:pt>
                <c:pt idx="223">
                  <c:v>386592.77933824155</c:v>
                </c:pt>
                <c:pt idx="224">
                  <c:v>388558.99340486643</c:v>
                </c:pt>
                <c:pt idx="225">
                  <c:v>390527.7486886931</c:v>
                </c:pt>
                <c:pt idx="226">
                  <c:v>392499.03128866007</c:v>
                </c:pt>
                <c:pt idx="227">
                  <c:v>394472.9074376552</c:v>
                </c:pt>
                <c:pt idx="228">
                  <c:v>396449.45383493206</c:v>
                </c:pt>
                <c:pt idx="229">
                  <c:v>398428.84824642842</c:v>
                </c:pt>
                <c:pt idx="230">
                  <c:v>400411.14643866557</c:v>
                </c:pt>
                <c:pt idx="231">
                  <c:v>402396.3798107403</c:v>
                </c:pt>
                <c:pt idx="232">
                  <c:v>404384.64942933514</c:v>
                </c:pt>
                <c:pt idx="233">
                  <c:v>406376.12962568738</c:v>
                </c:pt>
                <c:pt idx="234">
                  <c:v>408371.1968644007</c:v>
                </c:pt>
                <c:pt idx="235">
                  <c:v>410370.2590091707</c:v>
                </c:pt>
                <c:pt idx="236">
                  <c:v>412373.42759304703</c:v>
                </c:pt>
                <c:pt idx="237">
                  <c:v>414347.69960159075</c:v>
                </c:pt>
                <c:pt idx="238">
                  <c:v>416263.11382530339</c:v>
                </c:pt>
                <c:pt idx="239">
                  <c:v>418125.07524468791</c:v>
                </c:pt>
                <c:pt idx="240">
                  <c:v>419937.95269839111</c:v>
                </c:pt>
                <c:pt idx="241">
                  <c:v>421754.34227899049</c:v>
                </c:pt>
                <c:pt idx="242">
                  <c:v>423549.61280617589</c:v>
                </c:pt>
                <c:pt idx="243">
                  <c:v>425320.10752323829</c:v>
                </c:pt>
                <c:pt idx="244">
                  <c:v>427053.11962590303</c:v>
                </c:pt>
                <c:pt idx="245">
                  <c:v>428740.28259962477</c:v>
                </c:pt>
                <c:pt idx="246">
                  <c:v>430380.18859078048</c:v>
                </c:pt>
                <c:pt idx="247">
                  <c:v>431973.70257274935</c:v>
                </c:pt>
                <c:pt idx="248">
                  <c:v>433522.99437806447</c:v>
                </c:pt>
                <c:pt idx="249">
                  <c:v>435002.4365830851</c:v>
                </c:pt>
                <c:pt idx="250">
                  <c:v>436441.43902824295</c:v>
                </c:pt>
                <c:pt idx="251">
                  <c:v>437842.13401820831</c:v>
                </c:pt>
                <c:pt idx="252">
                  <c:v>439205.75375132571</c:v>
                </c:pt>
                <c:pt idx="253">
                  <c:v>440532.53785650356</c:v>
                </c:pt>
                <c:pt idx="254">
                  <c:v>441822.77517408936</c:v>
                </c:pt>
                <c:pt idx="255">
                  <c:v>443079.27261619654</c:v>
                </c:pt>
                <c:pt idx="256">
                  <c:v>444302.40877680859</c:v>
                </c:pt>
                <c:pt idx="257">
                  <c:v>445491.97134583432</c:v>
                </c:pt>
                <c:pt idx="258">
                  <c:v>446646.77465473558</c:v>
                </c:pt>
                <c:pt idx="259">
                  <c:v>447767.34108026675</c:v>
                </c:pt>
                <c:pt idx="260">
                  <c:v>448857.38016757229</c:v>
                </c:pt>
                <c:pt idx="261">
                  <c:v>449917.88798137347</c:v>
                </c:pt>
                <c:pt idx="262">
                  <c:v>450947.992948531</c:v>
                </c:pt>
                <c:pt idx="263">
                  <c:v>451947.15151577623</c:v>
                </c:pt>
                <c:pt idx="264">
                  <c:v>477899.29267784988</c:v>
                </c:pt>
                <c:pt idx="265">
                  <c:v>500150.70987555222</c:v>
                </c:pt>
                <c:pt idx="266">
                  <c:v>500816.57935684163</c:v>
                </c:pt>
                <c:pt idx="267">
                  <c:v>501663.65740824334</c:v>
                </c:pt>
                <c:pt idx="268">
                  <c:v>502556.08963575127</c:v>
                </c:pt>
                <c:pt idx="269">
                  <c:v>503616.18357938243</c:v>
                </c:pt>
                <c:pt idx="270">
                  <c:v>504757.56480718503</c:v>
                </c:pt>
                <c:pt idx="271">
                  <c:v>506681.63022683444</c:v>
                </c:pt>
                <c:pt idx="272">
                  <c:v>508482.24054975121</c:v>
                </c:pt>
                <c:pt idx="273">
                  <c:v>510437.21939270751</c:v>
                </c:pt>
                <c:pt idx="274">
                  <c:v>512394.69071801007</c:v>
                </c:pt>
                <c:pt idx="275">
                  <c:v>514355.33075561019</c:v>
                </c:pt>
                <c:pt idx="276">
                  <c:v>516318.88504031749</c:v>
                </c:pt>
                <c:pt idx="277">
                  <c:v>518285.09910694236</c:v>
                </c:pt>
                <c:pt idx="278">
                  <c:v>520253.85439076903</c:v>
                </c:pt>
                <c:pt idx="279">
                  <c:v>522225.13699073601</c:v>
                </c:pt>
                <c:pt idx="280">
                  <c:v>524199.01313973113</c:v>
                </c:pt>
                <c:pt idx="281">
                  <c:v>526175.55953700806</c:v>
                </c:pt>
                <c:pt idx="282">
                  <c:v>528154.95394850441</c:v>
                </c:pt>
                <c:pt idx="283">
                  <c:v>530137.25214074156</c:v>
                </c:pt>
                <c:pt idx="284">
                  <c:v>532122.48551281635</c:v>
                </c:pt>
                <c:pt idx="285">
                  <c:v>534110.75513141125</c:v>
                </c:pt>
                <c:pt idx="286">
                  <c:v>536102.23532776348</c:v>
                </c:pt>
                <c:pt idx="287">
                  <c:v>538097.30256647686</c:v>
                </c:pt>
                <c:pt idx="288">
                  <c:v>540096.3647112468</c:v>
                </c:pt>
                <c:pt idx="289">
                  <c:v>542099.53329512314</c:v>
                </c:pt>
                <c:pt idx="290">
                  <c:v>544073.80530366686</c:v>
                </c:pt>
                <c:pt idx="291">
                  <c:v>545989.21952737949</c:v>
                </c:pt>
                <c:pt idx="292">
                  <c:v>547851.18094676407</c:v>
                </c:pt>
                <c:pt idx="293">
                  <c:v>549664.05840046727</c:v>
                </c:pt>
                <c:pt idx="294">
                  <c:v>551480.44798106665</c:v>
                </c:pt>
                <c:pt idx="295">
                  <c:v>553275.71850825206</c:v>
                </c:pt>
                <c:pt idx="296">
                  <c:v>555046.21322531451</c:v>
                </c:pt>
                <c:pt idx="297">
                  <c:v>556779.22532797919</c:v>
                </c:pt>
                <c:pt idx="298">
                  <c:v>558466.38830170094</c:v>
                </c:pt>
                <c:pt idx="299">
                  <c:v>560106.29429285671</c:v>
                </c:pt>
                <c:pt idx="300">
                  <c:v>561699.80827482557</c:v>
                </c:pt>
                <c:pt idx="301">
                  <c:v>563249.10008014075</c:v>
                </c:pt>
                <c:pt idx="302">
                  <c:v>564728.54228516144</c:v>
                </c:pt>
                <c:pt idx="303">
                  <c:v>566167.54473031929</c:v>
                </c:pt>
                <c:pt idx="304">
                  <c:v>567568.23972028471</c:v>
                </c:pt>
                <c:pt idx="305">
                  <c:v>568931.85945340211</c:v>
                </c:pt>
                <c:pt idx="306">
                  <c:v>570258.64355857996</c:v>
                </c:pt>
                <c:pt idx="307">
                  <c:v>571548.88087616581</c:v>
                </c:pt>
                <c:pt idx="308">
                  <c:v>572805.378318273</c:v>
                </c:pt>
                <c:pt idx="309">
                  <c:v>574028.51447888499</c:v>
                </c:pt>
                <c:pt idx="310">
                  <c:v>575218.07704791066</c:v>
                </c:pt>
                <c:pt idx="311">
                  <c:v>576372.88035681192</c:v>
                </c:pt>
                <c:pt idx="312">
                  <c:v>577493.44678234309</c:v>
                </c:pt>
                <c:pt idx="313">
                  <c:v>578583.48586964863</c:v>
                </c:pt>
                <c:pt idx="314">
                  <c:v>579643.99368344981</c:v>
                </c:pt>
                <c:pt idx="315">
                  <c:v>580683.94554071268</c:v>
                </c:pt>
                <c:pt idx="316">
                  <c:v>581726.28554731898</c:v>
                </c:pt>
                <c:pt idx="317">
                  <c:v>615922.04801969836</c:v>
                </c:pt>
                <c:pt idx="318">
                  <c:v>759128.9612677613</c:v>
                </c:pt>
                <c:pt idx="319">
                  <c:v>760098.85524543049</c:v>
                </c:pt>
                <c:pt idx="320">
                  <c:v>761079.54518397467</c:v>
                </c:pt>
                <c:pt idx="321">
                  <c:v>762071.21931569476</c:v>
                </c:pt>
                <c:pt idx="322">
                  <c:v>763101.96864764974</c:v>
                </c:pt>
                <c:pt idx="323">
                  <c:v>764114.15404216805</c:v>
                </c:pt>
                <c:pt idx="324">
                  <c:v>765382.18187033909</c:v>
                </c:pt>
                <c:pt idx="325">
                  <c:v>767334.65089518856</c:v>
                </c:pt>
                <c:pt idx="326">
                  <c:v>769289.62973814493</c:v>
                </c:pt>
                <c:pt idx="327">
                  <c:v>771247.10106344742</c:v>
                </c:pt>
                <c:pt idx="328">
                  <c:v>773207.74110104749</c:v>
                </c:pt>
                <c:pt idx="329">
                  <c:v>775171.29538575478</c:v>
                </c:pt>
                <c:pt idx="330">
                  <c:v>777137.50945237966</c:v>
                </c:pt>
                <c:pt idx="331">
                  <c:v>779106.26473620627</c:v>
                </c:pt>
                <c:pt idx="332">
                  <c:v>781077.54733617324</c:v>
                </c:pt>
                <c:pt idx="333">
                  <c:v>783051.42348516837</c:v>
                </c:pt>
                <c:pt idx="334">
                  <c:v>785027.96988244529</c:v>
                </c:pt>
                <c:pt idx="335">
                  <c:v>787007.36429394165</c:v>
                </c:pt>
                <c:pt idx="336">
                  <c:v>788989.6624861788</c:v>
                </c:pt>
                <c:pt idx="337">
                  <c:v>790974.89585825359</c:v>
                </c:pt>
                <c:pt idx="338">
                  <c:v>792963.16547684849</c:v>
                </c:pt>
                <c:pt idx="339">
                  <c:v>794954.64567320072</c:v>
                </c:pt>
                <c:pt idx="340">
                  <c:v>796949.7129119141</c:v>
                </c:pt>
                <c:pt idx="341">
                  <c:v>798948.77505668404</c:v>
                </c:pt>
                <c:pt idx="342">
                  <c:v>800951.94364056038</c:v>
                </c:pt>
                <c:pt idx="343">
                  <c:v>802926.2156491041</c:v>
                </c:pt>
                <c:pt idx="344">
                  <c:v>804841.62987281673</c:v>
                </c:pt>
                <c:pt idx="345">
                  <c:v>806703.59129220131</c:v>
                </c:pt>
                <c:pt idx="346">
                  <c:v>808516.46874590451</c:v>
                </c:pt>
                <c:pt idx="347">
                  <c:v>810332.85832650389</c:v>
                </c:pt>
                <c:pt idx="348">
                  <c:v>812128.1288536893</c:v>
                </c:pt>
                <c:pt idx="349">
                  <c:v>813898.62357075175</c:v>
                </c:pt>
                <c:pt idx="350">
                  <c:v>815631.63567341643</c:v>
                </c:pt>
                <c:pt idx="351">
                  <c:v>817318.79864713817</c:v>
                </c:pt>
                <c:pt idx="352">
                  <c:v>818958.70463829394</c:v>
                </c:pt>
                <c:pt idx="353">
                  <c:v>820552.21862026281</c:v>
                </c:pt>
                <c:pt idx="354">
                  <c:v>822101.51042557799</c:v>
                </c:pt>
                <c:pt idx="355">
                  <c:v>823580.95263059868</c:v>
                </c:pt>
                <c:pt idx="356">
                  <c:v>825019.95507575653</c:v>
                </c:pt>
                <c:pt idx="357">
                  <c:v>826420.65006572194</c:v>
                </c:pt>
                <c:pt idx="358">
                  <c:v>827784.26979883935</c:v>
                </c:pt>
                <c:pt idx="359">
                  <c:v>829111.0539040172</c:v>
                </c:pt>
                <c:pt idx="360">
                  <c:v>830401.29122160305</c:v>
                </c:pt>
                <c:pt idx="361">
                  <c:v>831657.78866371023</c:v>
                </c:pt>
                <c:pt idx="362">
                  <c:v>832880.92482432222</c:v>
                </c:pt>
                <c:pt idx="363">
                  <c:v>834070.4873933479</c:v>
                </c:pt>
                <c:pt idx="364">
                  <c:v>835225.29070224916</c:v>
                </c:pt>
                <c:pt idx="365">
                  <c:v>836345.85712778033</c:v>
                </c:pt>
                <c:pt idx="366">
                  <c:v>837435.89621508587</c:v>
                </c:pt>
                <c:pt idx="367">
                  <c:v>838496.40402888705</c:v>
                </c:pt>
                <c:pt idx="368">
                  <c:v>839526.50899604463</c:v>
                </c:pt>
                <c:pt idx="369">
                  <c:v>840525.66756328987</c:v>
                </c:pt>
                <c:pt idx="370">
                  <c:v>837519.42686013586</c:v>
                </c:pt>
                <c:pt idx="371">
                  <c:v>838564.38575461111</c:v>
                </c:pt>
                <c:pt idx="372">
                  <c:v>839616.71770829032</c:v>
                </c:pt>
                <c:pt idx="373">
                  <c:v>840692.35080990812</c:v>
                </c:pt>
                <c:pt idx="374">
                  <c:v>841817.80620847177</c:v>
                </c:pt>
                <c:pt idx="375">
                  <c:v>842962.80114515452</c:v>
                </c:pt>
                <c:pt idx="376">
                  <c:v>844142.29403684544</c:v>
                </c:pt>
                <c:pt idx="377">
                  <c:v>845387.08122290648</c:v>
                </c:pt>
                <c:pt idx="378">
                  <c:v>846702.67780149379</c:v>
                </c:pt>
                <c:pt idx="379">
                  <c:v>848071.56583753182</c:v>
                </c:pt>
                <c:pt idx="380">
                  <c:v>849473.58405691606</c:v>
                </c:pt>
                <c:pt idx="381">
                  <c:v>850573.05001100141</c:v>
                </c:pt>
                <c:pt idx="382">
                  <c:v>852222.24894212943</c:v>
                </c:pt>
                <c:pt idx="383">
                  <c:v>854174.7179669789</c:v>
                </c:pt>
                <c:pt idx="384">
                  <c:v>856129.69680993527</c:v>
                </c:pt>
                <c:pt idx="385">
                  <c:v>858087.16813523776</c:v>
                </c:pt>
                <c:pt idx="386">
                  <c:v>860047.80817283783</c:v>
                </c:pt>
                <c:pt idx="387">
                  <c:v>862011.36245754512</c:v>
                </c:pt>
                <c:pt idx="388">
                  <c:v>863977.57652417</c:v>
                </c:pt>
                <c:pt idx="389">
                  <c:v>865946.33180799661</c:v>
                </c:pt>
                <c:pt idx="390">
                  <c:v>867917.61440796359</c:v>
                </c:pt>
                <c:pt idx="391">
                  <c:v>869891.49055695871</c:v>
                </c:pt>
                <c:pt idx="392">
                  <c:v>871868.03695423563</c:v>
                </c:pt>
                <c:pt idx="393">
                  <c:v>873847.43136573199</c:v>
                </c:pt>
                <c:pt idx="394">
                  <c:v>875829.72955796914</c:v>
                </c:pt>
                <c:pt idx="395">
                  <c:v>877814.96293004393</c:v>
                </c:pt>
                <c:pt idx="396">
                  <c:v>879803.23254863883</c:v>
                </c:pt>
                <c:pt idx="397">
                  <c:v>881794.71274499106</c:v>
                </c:pt>
                <c:pt idx="398">
                  <c:v>883789.77998370444</c:v>
                </c:pt>
                <c:pt idx="399">
                  <c:v>885788.84212847438</c:v>
                </c:pt>
                <c:pt idx="400">
                  <c:v>887792.01071235072</c:v>
                </c:pt>
                <c:pt idx="401">
                  <c:v>889766.28272089444</c:v>
                </c:pt>
                <c:pt idx="402">
                  <c:v>891681.69694460707</c:v>
                </c:pt>
                <c:pt idx="403">
                  <c:v>893543.65836399165</c:v>
                </c:pt>
                <c:pt idx="404">
                  <c:v>895356.53581769485</c:v>
                </c:pt>
                <c:pt idx="405">
                  <c:v>897172.92539829423</c:v>
                </c:pt>
                <c:pt idx="406">
                  <c:v>898968.19592547964</c:v>
                </c:pt>
                <c:pt idx="407">
                  <c:v>900738.69064254209</c:v>
                </c:pt>
                <c:pt idx="408">
                  <c:v>902471.70274520677</c:v>
                </c:pt>
                <c:pt idx="409">
                  <c:v>904158.86571892851</c:v>
                </c:pt>
                <c:pt idx="410">
                  <c:v>905798.77171008429</c:v>
                </c:pt>
                <c:pt idx="411">
                  <c:v>907392.28569205315</c:v>
                </c:pt>
                <c:pt idx="412">
                  <c:v>908941.57749736833</c:v>
                </c:pt>
                <c:pt idx="413">
                  <c:v>910421.01970238902</c:v>
                </c:pt>
                <c:pt idx="414">
                  <c:v>911860.02214754687</c:v>
                </c:pt>
                <c:pt idx="415">
                  <c:v>913260.71713751229</c:v>
                </c:pt>
                <c:pt idx="416">
                  <c:v>914624.33687062969</c:v>
                </c:pt>
                <c:pt idx="417">
                  <c:v>915951.12097580754</c:v>
                </c:pt>
                <c:pt idx="418">
                  <c:v>917241.35829339339</c:v>
                </c:pt>
                <c:pt idx="419">
                  <c:v>918497.85573550058</c:v>
                </c:pt>
                <c:pt idx="420">
                  <c:v>919720.99189611257</c:v>
                </c:pt>
                <c:pt idx="421">
                  <c:v>920910.55446513824</c:v>
                </c:pt>
                <c:pt idx="422">
                  <c:v>922065.3577740395</c:v>
                </c:pt>
                <c:pt idx="423">
                  <c:v>923185.92419957067</c:v>
                </c:pt>
                <c:pt idx="424">
                  <c:v>924275.96328687621</c:v>
                </c:pt>
                <c:pt idx="425">
                  <c:v>925336.47110067739</c:v>
                </c:pt>
                <c:pt idx="426">
                  <c:v>926404.78528132022</c:v>
                </c:pt>
                <c:pt idx="427">
                  <c:v>927466.42788064142</c:v>
                </c:pt>
                <c:pt idx="428">
                  <c:v>988856.96907417593</c:v>
                </c:pt>
                <c:pt idx="429">
                  <c:v>989982.16232494055</c:v>
                </c:pt>
                <c:pt idx="430">
                  <c:v>991165.98603582697</c:v>
                </c:pt>
                <c:pt idx="431">
                  <c:v>992442.35274347418</c:v>
                </c:pt>
                <c:pt idx="432">
                  <c:v>994127.9714843313</c:v>
                </c:pt>
                <c:pt idx="433">
                  <c:v>995426.71564259462</c:v>
                </c:pt>
                <c:pt idx="434">
                  <c:v>997379.18466744409</c:v>
                </c:pt>
                <c:pt idx="435">
                  <c:v>999334.16351040045</c:v>
                </c:pt>
                <c:pt idx="436">
                  <c:v>1001291.6348357029</c:v>
                </c:pt>
                <c:pt idx="437">
                  <c:v>1003252.274873303</c:v>
                </c:pt>
                <c:pt idx="438">
                  <c:v>1005215.8291580103</c:v>
                </c:pt>
                <c:pt idx="439">
                  <c:v>1007182.0432246352</c:v>
                </c:pt>
                <c:pt idx="440">
                  <c:v>1009150.7985084618</c:v>
                </c:pt>
                <c:pt idx="441">
                  <c:v>1011122.0811084288</c:v>
                </c:pt>
                <c:pt idx="442">
                  <c:v>1013095.9572574239</c:v>
                </c:pt>
                <c:pt idx="443">
                  <c:v>1015072.5036547008</c:v>
                </c:pt>
                <c:pt idx="444">
                  <c:v>1017051.8980661972</c:v>
                </c:pt>
                <c:pt idx="445">
                  <c:v>1019034.1962584343</c:v>
                </c:pt>
                <c:pt idx="446">
                  <c:v>1021019.4296305091</c:v>
                </c:pt>
                <c:pt idx="447">
                  <c:v>1023007.699249104</c:v>
                </c:pt>
                <c:pt idx="448">
                  <c:v>1024999.1794454562</c:v>
                </c:pt>
                <c:pt idx="449">
                  <c:v>1026994.2466841696</c:v>
                </c:pt>
                <c:pt idx="450">
                  <c:v>1028993.3088289396</c:v>
                </c:pt>
                <c:pt idx="451">
                  <c:v>1030996.4774128159</c:v>
                </c:pt>
                <c:pt idx="452">
                  <c:v>1032970.7494213596</c:v>
                </c:pt>
                <c:pt idx="453">
                  <c:v>1034886.1636450723</c:v>
                </c:pt>
                <c:pt idx="454">
                  <c:v>1036748.1250644568</c:v>
                </c:pt>
                <c:pt idx="455">
                  <c:v>1038561.00251816</c:v>
                </c:pt>
                <c:pt idx="456">
                  <c:v>1040377.3920987594</c:v>
                </c:pt>
                <c:pt idx="457">
                  <c:v>1042172.6626259448</c:v>
                </c:pt>
                <c:pt idx="458">
                  <c:v>1043943.1573430073</c:v>
                </c:pt>
                <c:pt idx="459">
                  <c:v>1045676.169445672</c:v>
                </c:pt>
                <c:pt idx="460">
                  <c:v>1047363.3324193937</c:v>
                </c:pt>
                <c:pt idx="461">
                  <c:v>1049003.2384105495</c:v>
                </c:pt>
                <c:pt idx="462">
                  <c:v>1050596.7523925183</c:v>
                </c:pt>
                <c:pt idx="463">
                  <c:v>1052146.0441978334</c:v>
                </c:pt>
                <c:pt idx="464">
                  <c:v>1053625.4864028541</c:v>
                </c:pt>
                <c:pt idx="465">
                  <c:v>1055064.4888480119</c:v>
                </c:pt>
                <c:pt idx="466">
                  <c:v>1056465.1838379772</c:v>
                </c:pt>
                <c:pt idx="467">
                  <c:v>1057828.8035710945</c:v>
                </c:pt>
                <c:pt idx="468">
                  <c:v>1059155.5876762723</c:v>
                </c:pt>
                <c:pt idx="469">
                  <c:v>1060445.8249938581</c:v>
                </c:pt>
                <c:pt idx="470">
                  <c:v>1061702.3224359653</c:v>
                </c:pt>
                <c:pt idx="471">
                  <c:v>1062925.4585965774</c:v>
                </c:pt>
                <c:pt idx="472">
                  <c:v>1064115.0211656031</c:v>
                </c:pt>
                <c:pt idx="473">
                  <c:v>1065269.8244745045</c:v>
                </c:pt>
                <c:pt idx="474">
                  <c:v>1066390.3909000356</c:v>
                </c:pt>
                <c:pt idx="475">
                  <c:v>1067480.4299873412</c:v>
                </c:pt>
                <c:pt idx="476">
                  <c:v>1068540.9378011422</c:v>
                </c:pt>
                <c:pt idx="477">
                  <c:v>1069571.0427682998</c:v>
                </c:pt>
                <c:pt idx="478">
                  <c:v>1070570.2013355449</c:v>
                </c:pt>
                <c:pt idx="479">
                  <c:v>1181416.8839711556</c:v>
                </c:pt>
                <c:pt idx="480">
                  <c:v>1182514.8295808258</c:v>
                </c:pt>
                <c:pt idx="481">
                  <c:v>1183633.7531737771</c:v>
                </c:pt>
                <c:pt idx="482">
                  <c:v>1184785.7097109931</c:v>
                </c:pt>
                <c:pt idx="483">
                  <c:v>1185973.0197585523</c:v>
                </c:pt>
                <c:pt idx="484">
                  <c:v>1187254.073976713</c:v>
                </c:pt>
                <c:pt idx="485">
                  <c:v>1188570.781996235</c:v>
                </c:pt>
                <c:pt idx="486">
                  <c:v>1189807.6811945811</c:v>
                </c:pt>
                <c:pt idx="487">
                  <c:v>1191456.8801257091</c:v>
                </c:pt>
                <c:pt idx="488">
                  <c:v>1193409.3491505587</c:v>
                </c:pt>
                <c:pt idx="489">
                  <c:v>1195364.3279935149</c:v>
                </c:pt>
                <c:pt idx="490">
                  <c:v>1197321.7993188174</c:v>
                </c:pt>
                <c:pt idx="491">
                  <c:v>1199282.4393564176</c:v>
                </c:pt>
                <c:pt idx="492">
                  <c:v>1201245.993641125</c:v>
                </c:pt>
                <c:pt idx="493">
                  <c:v>1203212.2077077499</c:v>
                </c:pt>
                <c:pt idx="494">
                  <c:v>1205180.9629915766</c:v>
                </c:pt>
                <c:pt idx="495">
                  <c:v>1207152.2455915436</c:v>
                </c:pt>
                <c:pt idx="496">
                  <c:v>1209126.1217405389</c:v>
                </c:pt>
                <c:pt idx="497">
                  <c:v>1211102.6681378158</c:v>
                </c:pt>
                <c:pt idx="498">
                  <c:v>1213082.0625493121</c:v>
                </c:pt>
                <c:pt idx="499">
                  <c:v>1215064.3607415494</c:v>
                </c:pt>
                <c:pt idx="500">
                  <c:v>1217049.5941136242</c:v>
                </c:pt>
                <c:pt idx="501">
                  <c:v>1219037.863732219</c:v>
                </c:pt>
                <c:pt idx="502">
                  <c:v>1221029.3439285713</c:v>
                </c:pt>
                <c:pt idx="503">
                  <c:v>1223024.4111672847</c:v>
                </c:pt>
                <c:pt idx="504">
                  <c:v>1225023.4733120548</c:v>
                </c:pt>
                <c:pt idx="505">
                  <c:v>1227026.6418959312</c:v>
                </c:pt>
                <c:pt idx="506">
                  <c:v>1229000.9139044748</c:v>
                </c:pt>
                <c:pt idx="507">
                  <c:v>1230916.3281281875</c:v>
                </c:pt>
                <c:pt idx="508">
                  <c:v>1232778.2895475719</c:v>
                </c:pt>
                <c:pt idx="509">
                  <c:v>1234591.1670012751</c:v>
                </c:pt>
                <c:pt idx="510">
                  <c:v>1236407.5565818746</c:v>
                </c:pt>
                <c:pt idx="511">
                  <c:v>1238202.82710906</c:v>
                </c:pt>
                <c:pt idx="512">
                  <c:v>1239973.3218261225</c:v>
                </c:pt>
                <c:pt idx="513">
                  <c:v>1241706.3339287871</c:v>
                </c:pt>
                <c:pt idx="514">
                  <c:v>1243393.4969025089</c:v>
                </c:pt>
                <c:pt idx="515">
                  <c:v>1245033.4028936645</c:v>
                </c:pt>
                <c:pt idx="516">
                  <c:v>1246626.9168756334</c:v>
                </c:pt>
                <c:pt idx="517">
                  <c:v>1248176.2086809485</c:v>
                </c:pt>
                <c:pt idx="518">
                  <c:v>1249655.6508859692</c:v>
                </c:pt>
                <c:pt idx="519">
                  <c:v>1251094.653331127</c:v>
                </c:pt>
                <c:pt idx="520">
                  <c:v>1252495.3483210923</c:v>
                </c:pt>
                <c:pt idx="521">
                  <c:v>1253858.9680542096</c:v>
                </c:pt>
                <c:pt idx="522">
                  <c:v>1255185.7521593873</c:v>
                </c:pt>
                <c:pt idx="523">
                  <c:v>1256475.9894769732</c:v>
                </c:pt>
                <c:pt idx="524">
                  <c:v>1257732.4869190804</c:v>
                </c:pt>
                <c:pt idx="525">
                  <c:v>1258955.6230796925</c:v>
                </c:pt>
                <c:pt idx="526">
                  <c:v>1260145.1856487182</c:v>
                </c:pt>
                <c:pt idx="527">
                  <c:v>1261299.9889576195</c:v>
                </c:pt>
                <c:pt idx="528">
                  <c:v>1262420.5553831507</c:v>
                </c:pt>
                <c:pt idx="529">
                  <c:v>1263510.5944704562</c:v>
                </c:pt>
                <c:pt idx="530">
                  <c:v>1263510.5944704562</c:v>
                </c:pt>
              </c:numCache>
            </c:numRef>
          </c:yVal>
          <c:smooth val="1"/>
          <c:extLst>
            <c:ext xmlns:c16="http://schemas.microsoft.com/office/drawing/2014/chart" uri="{C3380CC4-5D6E-409C-BE32-E72D297353CC}">
              <c16:uniqueId val="{00000001-84BC-4E59-A8D6-FF301AB75F40}"/>
            </c:ext>
          </c:extLst>
        </c:ser>
        <c:dLbls>
          <c:showLegendKey val="0"/>
          <c:showVal val="0"/>
          <c:showCatName val="0"/>
          <c:showSerName val="0"/>
          <c:showPercent val="0"/>
          <c:showBubbleSize val="0"/>
        </c:dLbls>
        <c:axId val="1368777535"/>
        <c:axId val="1379001151"/>
      </c:scatterChart>
      <c:valAx>
        <c:axId val="13687775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9001151"/>
        <c:crosses val="autoZero"/>
        <c:crossBetween val="midCat"/>
      </c:valAx>
      <c:valAx>
        <c:axId val="13790011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Energy</a:t>
                </a:r>
                <a:r>
                  <a:rPr lang="en-GB" baseline="0"/>
                  <a:t> Used (J)</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877753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Energy Use InstPWR NO Regen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Energy InstPWR</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5.2555152727264334</c:v>
                </c:pt>
                <c:pt idx="38">
                  <c:v>5.4524366435989888</c:v>
                </c:pt>
                <c:pt idx="39">
                  <c:v>5.6698718929611793</c:v>
                </c:pt>
                <c:pt idx="40">
                  <c:v>5.9157003663222598</c:v>
                </c:pt>
                <c:pt idx="41">
                  <c:v>6.203574541651764</c:v>
                </c:pt>
                <c:pt idx="42">
                  <c:v>6.6932526815888655</c:v>
                </c:pt>
                <c:pt idx="43">
                  <c:v>7.2085862720653608</c:v>
                </c:pt>
                <c:pt idx="44">
                  <c:v>7.7263715039514684</c:v>
                </c:pt>
                <c:pt idx="45">
                  <c:v>8.2472690784333622</c:v>
                </c:pt>
                <c:pt idx="46">
                  <c:v>8.7710073045670605</c:v>
                </c:pt>
                <c:pt idx="47">
                  <c:v>9.297657366745181</c:v>
                </c:pt>
                <c:pt idx="48">
                  <c:v>9.8265026239034938</c:v>
                </c:pt>
                <c:pt idx="49">
                  <c:v>10.358051382579831</c:v>
                </c:pt>
                <c:pt idx="50">
                  <c:v>10.890900157130085</c:v>
                </c:pt>
                <c:pt idx="51">
                  <c:v>11.355067327053314</c:v>
                </c:pt>
                <c:pt idx="52">
                  <c:v>11.771062917611582</c:v>
                </c:pt>
                <c:pt idx="53">
                  <c:v>12.150361996688224</c:v>
                </c:pt>
                <c:pt idx="54">
                  <c:v>12.501315831093812</c:v>
                </c:pt>
                <c:pt idx="55">
                  <c:v>12.829988257625953</c:v>
                </c:pt>
                <c:pt idx="56">
                  <c:v>13.140659342402618</c:v>
                </c:pt>
                <c:pt idx="57">
                  <c:v>13.436102461777297</c:v>
                </c:pt>
                <c:pt idx="58">
                  <c:v>13.718386489212309</c:v>
                </c:pt>
                <c:pt idx="59">
                  <c:v>13.989173340123255</c:v>
                </c:pt>
                <c:pt idx="60">
                  <c:v>14.249859956247716</c:v>
                </c:pt>
                <c:pt idx="61">
                  <c:v>14.501687131256073</c:v>
                </c:pt>
                <c:pt idx="62">
                  <c:v>14.74556150358489</c:v>
                </c:pt>
                <c:pt idx="63">
                  <c:v>14.982342175794422</c:v>
                </c:pt>
                <c:pt idx="64">
                  <c:v>15.21276411046073</c:v>
                </c:pt>
                <c:pt idx="65">
                  <c:v>15.437391058940023</c:v>
                </c:pt>
                <c:pt idx="66">
                  <c:v>15.65674301969395</c:v>
                </c:pt>
                <c:pt idx="67">
                  <c:v>15.871143272458182</c:v>
                </c:pt>
                <c:pt idx="68">
                  <c:v>16.081098050180746</c:v>
                </c:pt>
                <c:pt idx="69">
                  <c:v>16.313141515280506</c:v>
                </c:pt>
                <c:pt idx="70">
                  <c:v>16.575881108264305</c:v>
                </c:pt>
                <c:pt idx="71">
                  <c:v>16.885309274414016</c:v>
                </c:pt>
                <c:pt idx="72">
                  <c:v>17.390716406576789</c:v>
                </c:pt>
                <c:pt idx="73">
                  <c:v>17.952607198742456</c:v>
                </c:pt>
                <c:pt idx="74">
                  <c:v>18.439979605338024</c:v>
                </c:pt>
                <c:pt idx="75">
                  <c:v>18.876759367508736</c:v>
                </c:pt>
                <c:pt idx="76">
                  <c:v>19.27640184127868</c:v>
                </c:pt>
                <c:pt idx="77">
                  <c:v>19.64732243094009</c:v>
                </c:pt>
                <c:pt idx="78">
                  <c:v>19.995076500866311</c:v>
                </c:pt>
                <c:pt idx="79">
                  <c:v>20.323730548357045</c:v>
                </c:pt>
                <c:pt idx="80">
                  <c:v>20.636365697314822</c:v>
                </c:pt>
                <c:pt idx="81">
                  <c:v>20.935080789279034</c:v>
                </c:pt>
                <c:pt idx="82">
                  <c:v>21.221737974624485</c:v>
                </c:pt>
                <c:pt idx="83">
                  <c:v>21.497754512792579</c:v>
                </c:pt>
                <c:pt idx="84">
                  <c:v>21.764330810426298</c:v>
                </c:pt>
                <c:pt idx="85">
                  <c:v>22.022496263408886</c:v>
                </c:pt>
                <c:pt idx="86">
                  <c:v>22.273089192762136</c:v>
                </c:pt>
                <c:pt idx="87">
                  <c:v>22.516889329294582</c:v>
                </c:pt>
                <c:pt idx="88">
                  <c:v>22.754316202787425</c:v>
                </c:pt>
                <c:pt idx="89">
                  <c:v>22.985329477925639</c:v>
                </c:pt>
                <c:pt idx="90">
                  <c:v>23.2109875158453</c:v>
                </c:pt>
                <c:pt idx="91">
                  <c:v>23.431760207258062</c:v>
                </c:pt>
                <c:pt idx="92">
                  <c:v>23.648019056427138</c:v>
                </c:pt>
                <c:pt idx="93">
                  <c:v>23.865032870364512</c:v>
                </c:pt>
                <c:pt idx="94">
                  <c:v>24.080430744332283</c:v>
                </c:pt>
                <c:pt idx="95">
                  <c:v>24.294289198402961</c:v>
                </c:pt>
                <c:pt idx="96">
                  <c:v>24.50667535426026</c:v>
                </c:pt>
                <c:pt idx="97">
                  <c:v>24.717593495900424</c:v>
                </c:pt>
                <c:pt idx="98">
                  <c:v>24.9269760373077</c:v>
                </c:pt>
                <c:pt idx="99">
                  <c:v>25.134628941610149</c:v>
                </c:pt>
                <c:pt idx="100">
                  <c:v>25.340550074581945</c:v>
                </c:pt>
                <c:pt idx="101">
                  <c:v>25.544892134674129</c:v>
                </c:pt>
                <c:pt idx="102">
                  <c:v>25.747748176352339</c:v>
                </c:pt>
                <c:pt idx="103">
                  <c:v>25.949167394468596</c:v>
                </c:pt>
                <c:pt idx="104">
                  <c:v>26.149225008676023</c:v>
                </c:pt>
                <c:pt idx="105">
                  <c:v>26.348012533621169</c:v>
                </c:pt>
                <c:pt idx="106">
                  <c:v>26.545598497633751</c:v>
                </c:pt>
                <c:pt idx="107">
                  <c:v>26.742082261029395</c:v>
                </c:pt>
                <c:pt idx="108">
                  <c:v>26.937540805252674</c:v>
                </c:pt>
                <c:pt idx="109">
                  <c:v>27.132012705629219</c:v>
                </c:pt>
                <c:pt idx="110">
                  <c:v>27.325576731231045</c:v>
                </c:pt>
                <c:pt idx="111">
                  <c:v>27.518251288009573</c:v>
                </c:pt>
                <c:pt idx="112">
                  <c:v>27.710119740993889</c:v>
                </c:pt>
                <c:pt idx="113">
                  <c:v>27.901327051851059</c:v>
                </c:pt>
                <c:pt idx="114">
                  <c:v>28.106696119269035</c:v>
                </c:pt>
                <c:pt idx="115">
                  <c:v>28.329616615601481</c:v>
                </c:pt>
                <c:pt idx="116">
                  <c:v>28.575089814233088</c:v>
                </c:pt>
                <c:pt idx="117">
                  <c:v>28.81495295658388</c:v>
                </c:pt>
                <c:pt idx="118">
                  <c:v>29.049484860770871</c:v>
                </c:pt>
                <c:pt idx="119">
                  <c:v>29.284769462431235</c:v>
                </c:pt>
                <c:pt idx="120">
                  <c:v>29.518111525087317</c:v>
                </c:pt>
                <c:pt idx="121">
                  <c:v>29.749424415145654</c:v>
                </c:pt>
                <c:pt idx="122">
                  <c:v>29.978649076622322</c:v>
                </c:pt>
                <c:pt idx="123">
                  <c:v>30.205463654403662</c:v>
                </c:pt>
                <c:pt idx="124">
                  <c:v>30.430040933953492</c:v>
                </c:pt>
                <c:pt idx="125">
                  <c:v>30.652546501935134</c:v>
                </c:pt>
                <c:pt idx="126">
                  <c:v>30.872920829933346</c:v>
                </c:pt>
                <c:pt idx="127">
                  <c:v>31.091214946203035</c:v>
                </c:pt>
                <c:pt idx="128">
                  <c:v>31.307640202526109</c:v>
                </c:pt>
                <c:pt idx="129">
                  <c:v>31.52231888249079</c:v>
                </c:pt>
                <c:pt idx="130">
                  <c:v>31.735340378270468</c:v>
                </c:pt>
                <c:pt idx="131">
                  <c:v>31.946789099204821</c:v>
                </c:pt>
                <c:pt idx="132">
                  <c:v>32.156814431841902</c:v>
                </c:pt>
                <c:pt idx="133">
                  <c:v>32.365495731913285</c:v>
                </c:pt>
                <c:pt idx="134">
                  <c:v>32.572938332637172</c:v>
                </c:pt>
                <c:pt idx="135">
                  <c:v>32.779225690782184</c:v>
                </c:pt>
                <c:pt idx="136">
                  <c:v>32.984406853068855</c:v>
                </c:pt>
                <c:pt idx="137">
                  <c:v>33.188481512975969</c:v>
                </c:pt>
                <c:pt idx="138">
                  <c:v>33.408392062320949</c:v>
                </c:pt>
                <c:pt idx="139">
                  <c:v>33.648375391537868</c:v>
                </c:pt>
                <c:pt idx="140">
                  <c:v>33.914970710913408</c:v>
                </c:pt>
                <c:pt idx="141">
                  <c:v>34.218953776384112</c:v>
                </c:pt>
                <c:pt idx="142">
                  <c:v>34.58099821729482</c:v>
                </c:pt>
                <c:pt idx="143">
                  <c:v>34.925036559868687</c:v>
                </c:pt>
                <c:pt idx="144">
                  <c:v>35.253486860639839</c:v>
                </c:pt>
                <c:pt idx="145">
                  <c:v>35.568260176824182</c:v>
                </c:pt>
                <c:pt idx="146">
                  <c:v>35.870821737896954</c:v>
                </c:pt>
                <c:pt idx="147">
                  <c:v>36.162444570285075</c:v>
                </c:pt>
                <c:pt idx="148">
                  <c:v>36.444273113608865</c:v>
                </c:pt>
                <c:pt idx="149">
                  <c:v>36.717249378534405</c:v>
                </c:pt>
                <c:pt idx="150">
                  <c:v>36.982233162728406</c:v>
                </c:pt>
                <c:pt idx="151">
                  <c:v>37.239945802258895</c:v>
                </c:pt>
                <c:pt idx="152">
                  <c:v>37.490984167610506</c:v>
                </c:pt>
                <c:pt idx="153">
                  <c:v>37.742378377194896</c:v>
                </c:pt>
                <c:pt idx="154">
                  <c:v>37.990958858549696</c:v>
                </c:pt>
                <c:pt idx="155">
                  <c:v>38.236861211409817</c:v>
                </c:pt>
                <c:pt idx="156">
                  <c:v>38.48029215018525</c:v>
                </c:pt>
                <c:pt idx="157">
                  <c:v>38.72130194496804</c:v>
                </c:pt>
                <c:pt idx="158">
                  <c:v>38.959986832493371</c:v>
                </c:pt>
                <c:pt idx="159">
                  <c:v>39.221774664261453</c:v>
                </c:pt>
                <c:pt idx="160">
                  <c:v>39.489940680885709</c:v>
                </c:pt>
                <c:pt idx="161">
                  <c:v>39.76485686372137</c:v>
                </c:pt>
                <c:pt idx="162">
                  <c:v>40.043629326728627</c:v>
                </c:pt>
                <c:pt idx="163">
                  <c:v>40.326467154806942</c:v>
                </c:pt>
                <c:pt idx="164">
                  <c:v>40.610078590012868</c:v>
                </c:pt>
                <c:pt idx="165">
                  <c:v>40.894212030266409</c:v>
                </c:pt>
                <c:pt idx="166">
                  <c:v>41.178710712295384</c:v>
                </c:pt>
                <c:pt idx="167">
                  <c:v>41.463572113309795</c:v>
                </c:pt>
                <c:pt idx="168">
                  <c:v>41.748894641806807</c:v>
                </c:pt>
                <c:pt idx="169">
                  <c:v>42.034641266689363</c:v>
                </c:pt>
                <c:pt idx="170">
                  <c:v>42.320774956860504</c:v>
                </c:pt>
                <c:pt idx="171">
                  <c:v>42.607278458166562</c:v>
                </c:pt>
                <c:pt idx="172">
                  <c:v>42.894149747652826</c:v>
                </c:pt>
                <c:pt idx="173">
                  <c:v>43.181398463873379</c:v>
                </c:pt>
                <c:pt idx="174">
                  <c:v>43.469035768502224</c:v>
                </c:pt>
                <c:pt idx="175">
                  <c:v>43.757087530962558</c:v>
                </c:pt>
                <c:pt idx="176">
                  <c:v>44.045561866688395</c:v>
                </c:pt>
                <c:pt idx="177">
                  <c:v>44.334463345039488</c:v>
                </c:pt>
                <c:pt idx="178">
                  <c:v>44.623806673764769</c:v>
                </c:pt>
                <c:pt idx="179">
                  <c:v>44.913617222451954</c:v>
                </c:pt>
                <c:pt idx="180">
                  <c:v>45.203949776186811</c:v>
                </c:pt>
                <c:pt idx="181">
                  <c:v>45.494863689414146</c:v>
                </c:pt>
                <c:pt idx="182">
                  <c:v>45.786375193003032</c:v>
                </c:pt>
                <c:pt idx="183">
                  <c:v>46.073681516762527</c:v>
                </c:pt>
                <c:pt idx="184">
                  <c:v>46.352422549766104</c:v>
                </c:pt>
                <c:pt idx="185">
                  <c:v>46.623384852868391</c:v>
                </c:pt>
                <c:pt idx="186">
                  <c:v>46.887204202175859</c:v>
                </c:pt>
                <c:pt idx="187">
                  <c:v>47.151534654443182</c:v>
                </c:pt>
                <c:pt idx="188">
                  <c:v>47.412791752293586</c:v>
                </c:pt>
                <c:pt idx="189">
                  <c:v>47.670443345485161</c:v>
                </c:pt>
                <c:pt idx="190">
                  <c:v>47.922640273817535</c:v>
                </c:pt>
                <c:pt idx="191">
                  <c:v>48.168164998609988</c:v>
                </c:pt>
                <c:pt idx="192">
                  <c:v>48.406812641686109</c:v>
                </c:pt>
                <c:pt idx="193">
                  <c:v>48.638709078467656</c:v>
                </c:pt>
                <c:pt idx="194">
                  <c:v>48.864170074262326</c:v>
                </c:pt>
                <c:pt idx="195">
                  <c:v>49.079466193186008</c:v>
                </c:pt>
                <c:pt idx="196">
                  <c:v>49.288877308072955</c:v>
                </c:pt>
                <c:pt idx="197">
                  <c:v>49.492713722981222</c:v>
                </c:pt>
                <c:pt idx="198">
                  <c:v>49.691154753818132</c:v>
                </c:pt>
                <c:pt idx="199">
                  <c:v>49.884235272627876</c:v>
                </c:pt>
                <c:pt idx="200">
                  <c:v>50.071997312959049</c:v>
                </c:pt>
                <c:pt idx="201">
                  <c:v>50.254849351251032</c:v>
                </c:pt>
                <c:pt idx="202">
                  <c:v>50.432846482468001</c:v>
                </c:pt>
                <c:pt idx="203">
                  <c:v>50.605957810142037</c:v>
                </c:pt>
                <c:pt idx="204">
                  <c:v>50.783900085511952</c:v>
                </c:pt>
                <c:pt idx="205">
                  <c:v>50.961116474210392</c:v>
                </c:pt>
                <c:pt idx="206">
                  <c:v>51.139843053222172</c:v>
                </c:pt>
                <c:pt idx="207">
                  <c:v>51.324041437954939</c:v>
                </c:pt>
                <c:pt idx="208">
                  <c:v>51.514056210424428</c:v>
                </c:pt>
                <c:pt idx="209">
                  <c:v>51.710356691292958</c:v>
                </c:pt>
                <c:pt idx="210">
                  <c:v>51.990356691292959</c:v>
                </c:pt>
                <c:pt idx="211">
                  <c:v>52.27035669129296</c:v>
                </c:pt>
                <c:pt idx="212">
                  <c:v>52.554490131546501</c:v>
                </c:pt>
                <c:pt idx="213">
                  <c:v>52.838988813575476</c:v>
                </c:pt>
                <c:pt idx="214">
                  <c:v>53.123850214589886</c:v>
                </c:pt>
                <c:pt idx="215">
                  <c:v>53.409172743086899</c:v>
                </c:pt>
                <c:pt idx="216">
                  <c:v>53.694919367969455</c:v>
                </c:pt>
                <c:pt idx="217">
                  <c:v>53.981053058140596</c:v>
                </c:pt>
                <c:pt idx="218">
                  <c:v>54.267556559446653</c:v>
                </c:pt>
                <c:pt idx="219">
                  <c:v>54.554427848932917</c:v>
                </c:pt>
                <c:pt idx="220">
                  <c:v>54.834427848932918</c:v>
                </c:pt>
                <c:pt idx="221">
                  <c:v>55.118561289186459</c:v>
                </c:pt>
                <c:pt idx="222">
                  <c:v>55.403059971215434</c:v>
                </c:pt>
                <c:pt idx="223">
                  <c:v>55.687921372229845</c:v>
                </c:pt>
                <c:pt idx="224">
                  <c:v>55.973243900726857</c:v>
                </c:pt>
                <c:pt idx="225">
                  <c:v>56.258990525609413</c:v>
                </c:pt>
                <c:pt idx="226">
                  <c:v>56.545124215780554</c:v>
                </c:pt>
                <c:pt idx="227">
                  <c:v>56.831627717086612</c:v>
                </c:pt>
                <c:pt idx="228">
                  <c:v>57.118499006572875</c:v>
                </c:pt>
                <c:pt idx="229">
                  <c:v>57.405747722793429</c:v>
                </c:pt>
                <c:pt idx="230">
                  <c:v>57.693385027422273</c:v>
                </c:pt>
                <c:pt idx="231">
                  <c:v>57.981436789882608</c:v>
                </c:pt>
                <c:pt idx="232">
                  <c:v>58.269911125608445</c:v>
                </c:pt>
                <c:pt idx="233">
                  <c:v>58.558812603959538</c:v>
                </c:pt>
                <c:pt idx="234">
                  <c:v>58.848155932684818</c:v>
                </c:pt>
                <c:pt idx="235">
                  <c:v>59.137966481372004</c:v>
                </c:pt>
                <c:pt idx="236">
                  <c:v>59.428299035106861</c:v>
                </c:pt>
                <c:pt idx="237">
                  <c:v>59.719212948334196</c:v>
                </c:pt>
                <c:pt idx="238">
                  <c:v>60.010724451923082</c:v>
                </c:pt>
                <c:pt idx="239">
                  <c:v>60.298030775682577</c:v>
                </c:pt>
                <c:pt idx="240">
                  <c:v>60.576771808686154</c:v>
                </c:pt>
                <c:pt idx="241">
                  <c:v>60.847734111788441</c:v>
                </c:pt>
                <c:pt idx="242">
                  <c:v>61.111553461095909</c:v>
                </c:pt>
                <c:pt idx="243">
                  <c:v>61.375883913363232</c:v>
                </c:pt>
                <c:pt idx="244">
                  <c:v>61.637141011213636</c:v>
                </c:pt>
                <c:pt idx="245">
                  <c:v>61.894792604405211</c:v>
                </c:pt>
                <c:pt idx="246">
                  <c:v>62.146989532737585</c:v>
                </c:pt>
                <c:pt idx="247">
                  <c:v>62.392514257530038</c:v>
                </c:pt>
                <c:pt idx="248">
                  <c:v>62.631161900606159</c:v>
                </c:pt>
                <c:pt idx="249">
                  <c:v>62.863058337387706</c:v>
                </c:pt>
                <c:pt idx="250">
                  <c:v>63.088519333182376</c:v>
                </c:pt>
                <c:pt idx="251">
                  <c:v>63.303815452106058</c:v>
                </c:pt>
                <c:pt idx="252">
                  <c:v>63.513226566993005</c:v>
                </c:pt>
                <c:pt idx="253">
                  <c:v>63.717062981901272</c:v>
                </c:pt>
                <c:pt idx="254">
                  <c:v>63.915504012738182</c:v>
                </c:pt>
                <c:pt idx="255">
                  <c:v>64.108584531547933</c:v>
                </c:pt>
                <c:pt idx="256">
                  <c:v>64.296346571879113</c:v>
                </c:pt>
                <c:pt idx="257">
                  <c:v>64.479198610171096</c:v>
                </c:pt>
                <c:pt idx="258">
                  <c:v>64.657195741388065</c:v>
                </c:pt>
                <c:pt idx="259">
                  <c:v>64.830307069062101</c:v>
                </c:pt>
                <c:pt idx="260">
                  <c:v>64.998360048545138</c:v>
                </c:pt>
                <c:pt idx="261">
                  <c:v>65.161430698817469</c:v>
                </c:pt>
                <c:pt idx="262">
                  <c:v>65.320058852168501</c:v>
                </c:pt>
                <c:pt idx="263">
                  <c:v>65.474389461113404</c:v>
                </c:pt>
                <c:pt idx="264">
                  <c:v>65.624295689799055</c:v>
                </c:pt>
                <c:pt idx="265">
                  <c:v>65.769698437528731</c:v>
                </c:pt>
                <c:pt idx="266">
                  <c:v>69.546388903024848</c:v>
                </c:pt>
                <c:pt idx="267">
                  <c:v>72.784530783092507</c:v>
                </c:pt>
                <c:pt idx="268">
                  <c:v>72.881431570798057</c:v>
                </c:pt>
                <c:pt idx="269">
                  <c:v>73.004702771439298</c:v>
                </c:pt>
                <c:pt idx="270">
                  <c:v>73.134574147511202</c:v>
                </c:pt>
                <c:pt idx="271">
                  <c:v>73.288844527917917</c:v>
                </c:pt>
                <c:pt idx="272">
                  <c:v>73.454944256399585</c:v>
                </c:pt>
                <c:pt idx="273">
                  <c:v>73.734944256399586</c:v>
                </c:pt>
                <c:pt idx="274">
                  <c:v>73.996978429077856</c:v>
                </c:pt>
                <c:pt idx="275">
                  <c:v>74.281477111106824</c:v>
                </c:pt>
                <c:pt idx="276">
                  <c:v>74.566338512121234</c:v>
                </c:pt>
                <c:pt idx="277">
                  <c:v>74.851661040618254</c:v>
                </c:pt>
                <c:pt idx="278">
                  <c:v>75.137407665500803</c:v>
                </c:pt>
                <c:pt idx="279">
                  <c:v>75.423541355671944</c:v>
                </c:pt>
                <c:pt idx="280">
                  <c:v>75.710044856978001</c:v>
                </c:pt>
                <c:pt idx="281">
                  <c:v>75.996916146464258</c:v>
                </c:pt>
                <c:pt idx="282">
                  <c:v>76.284164862684804</c:v>
                </c:pt>
                <c:pt idx="283">
                  <c:v>76.571802167313649</c:v>
                </c:pt>
                <c:pt idx="284">
                  <c:v>76.859853929773976</c:v>
                </c:pt>
                <c:pt idx="285">
                  <c:v>77.148328265499813</c:v>
                </c:pt>
                <c:pt idx="286">
                  <c:v>77.437229743850907</c:v>
                </c:pt>
                <c:pt idx="287">
                  <c:v>77.726573072576187</c:v>
                </c:pt>
                <c:pt idx="288">
                  <c:v>78.016383621263373</c:v>
                </c:pt>
                <c:pt idx="289">
                  <c:v>78.306716174998229</c:v>
                </c:pt>
                <c:pt idx="290">
                  <c:v>78.597630088225557</c:v>
                </c:pt>
                <c:pt idx="291">
                  <c:v>78.88914159181445</c:v>
                </c:pt>
                <c:pt idx="292">
                  <c:v>79.176447915573945</c:v>
                </c:pt>
                <c:pt idx="293">
                  <c:v>79.455188948577529</c:v>
                </c:pt>
                <c:pt idx="294">
                  <c:v>79.726151251679809</c:v>
                </c:pt>
                <c:pt idx="295">
                  <c:v>79.989970600987277</c:v>
                </c:pt>
                <c:pt idx="296">
                  <c:v>80.254301053254594</c:v>
                </c:pt>
                <c:pt idx="297">
                  <c:v>80.515558151104997</c:v>
                </c:pt>
                <c:pt idx="298">
                  <c:v>80.773209744296565</c:v>
                </c:pt>
                <c:pt idx="299">
                  <c:v>81.025406672628947</c:v>
                </c:pt>
                <c:pt idx="300">
                  <c:v>81.270931397421407</c:v>
                </c:pt>
                <c:pt idx="301">
                  <c:v>81.509579040497528</c:v>
                </c:pt>
                <c:pt idx="302">
                  <c:v>81.741475477279067</c:v>
                </c:pt>
                <c:pt idx="303">
                  <c:v>81.96693647307373</c:v>
                </c:pt>
                <c:pt idx="304">
                  <c:v>82.182232591997419</c:v>
                </c:pt>
                <c:pt idx="305">
                  <c:v>82.391643706884366</c:v>
                </c:pt>
                <c:pt idx="306">
                  <c:v>82.595480121792633</c:v>
                </c:pt>
                <c:pt idx="307">
                  <c:v>82.793921152629537</c:v>
                </c:pt>
                <c:pt idx="308">
                  <c:v>82.987001671439288</c:v>
                </c:pt>
                <c:pt idx="309">
                  <c:v>83.174763711770467</c:v>
                </c:pt>
                <c:pt idx="310">
                  <c:v>83.35761575006245</c:v>
                </c:pt>
                <c:pt idx="311">
                  <c:v>83.53561288127942</c:v>
                </c:pt>
                <c:pt idx="312">
                  <c:v>83.708724208953456</c:v>
                </c:pt>
                <c:pt idx="313">
                  <c:v>83.876777188436492</c:v>
                </c:pt>
                <c:pt idx="314">
                  <c:v>84.039847838708823</c:v>
                </c:pt>
                <c:pt idx="315">
                  <c:v>84.198475992059855</c:v>
                </c:pt>
                <c:pt idx="316">
                  <c:v>84.352806601004758</c:v>
                </c:pt>
                <c:pt idx="317">
                  <c:v>84.504145800316749</c:v>
                </c:pt>
                <c:pt idx="318">
                  <c:v>84.655832535533335</c:v>
                </c:pt>
                <c:pt idx="319">
                  <c:v>89.632177619481155</c:v>
                </c:pt>
                <c:pt idx="320">
                  <c:v>110.47239193857871</c:v>
                </c:pt>
                <c:pt idx="321">
                  <c:v>110.61353595113357</c:v>
                </c:pt>
                <c:pt idx="322">
                  <c:v>110.75625104802587</c:v>
                </c:pt>
                <c:pt idx="323">
                  <c:v>110.90056462179834</c:v>
                </c:pt>
                <c:pt idx="324">
                  <c:v>111.05056462179834</c:v>
                </c:pt>
                <c:pt idx="325">
                  <c:v>111.1978631011384</c:v>
                </c:pt>
                <c:pt idx="326">
                  <c:v>111.38239310113839</c:v>
                </c:pt>
                <c:pt idx="327">
                  <c:v>111.66652654139193</c:v>
                </c:pt>
                <c:pt idx="328">
                  <c:v>111.9510252234209</c:v>
                </c:pt>
                <c:pt idx="329">
                  <c:v>112.23588662443531</c:v>
                </c:pt>
                <c:pt idx="330">
                  <c:v>112.52120915293233</c:v>
                </c:pt>
                <c:pt idx="331">
                  <c:v>112.80695577781488</c:v>
                </c:pt>
                <c:pt idx="332">
                  <c:v>113.09308946798602</c:v>
                </c:pt>
                <c:pt idx="333">
                  <c:v>113.37959296929208</c:v>
                </c:pt>
                <c:pt idx="334">
                  <c:v>113.66646425877833</c:v>
                </c:pt>
                <c:pt idx="335">
                  <c:v>113.95371297499888</c:v>
                </c:pt>
                <c:pt idx="336">
                  <c:v>114.24135027962772</c:v>
                </c:pt>
                <c:pt idx="337">
                  <c:v>114.52940204208805</c:v>
                </c:pt>
                <c:pt idx="338">
                  <c:v>114.81787637781389</c:v>
                </c:pt>
                <c:pt idx="339">
                  <c:v>115.10677785616498</c:v>
                </c:pt>
                <c:pt idx="340">
                  <c:v>115.39612118489026</c:v>
                </c:pt>
                <c:pt idx="341">
                  <c:v>115.68593173357745</c:v>
                </c:pt>
                <c:pt idx="342">
                  <c:v>115.9762642873123</c:v>
                </c:pt>
                <c:pt idx="343">
                  <c:v>116.26717820053963</c:v>
                </c:pt>
                <c:pt idx="344">
                  <c:v>116.55868970412853</c:v>
                </c:pt>
                <c:pt idx="345">
                  <c:v>116.84599602788802</c:v>
                </c:pt>
                <c:pt idx="346">
                  <c:v>117.1247370608916</c:v>
                </c:pt>
                <c:pt idx="347">
                  <c:v>117.39569936399388</c:v>
                </c:pt>
                <c:pt idx="348">
                  <c:v>117.65951871330135</c:v>
                </c:pt>
                <c:pt idx="349">
                  <c:v>117.92384916556867</c:v>
                </c:pt>
                <c:pt idx="350">
                  <c:v>118.18510626341907</c:v>
                </c:pt>
                <c:pt idx="351">
                  <c:v>118.44275785661064</c:v>
                </c:pt>
                <c:pt idx="352">
                  <c:v>118.69495478494302</c:v>
                </c:pt>
                <c:pt idx="353">
                  <c:v>118.94047950973548</c:v>
                </c:pt>
                <c:pt idx="354">
                  <c:v>119.1791271528116</c:v>
                </c:pt>
                <c:pt idx="355">
                  <c:v>119.41102358959314</c:v>
                </c:pt>
                <c:pt idx="356">
                  <c:v>119.63648458538781</c:v>
                </c:pt>
                <c:pt idx="357">
                  <c:v>119.85178070431149</c:v>
                </c:pt>
                <c:pt idx="358">
                  <c:v>120.06119181919844</c:v>
                </c:pt>
                <c:pt idx="359">
                  <c:v>120.26502823410671</c:v>
                </c:pt>
                <c:pt idx="360">
                  <c:v>120.46346926494361</c:v>
                </c:pt>
                <c:pt idx="361">
                  <c:v>120.65654978375336</c:v>
                </c:pt>
                <c:pt idx="362">
                  <c:v>120.84431182408454</c:v>
                </c:pt>
                <c:pt idx="363">
                  <c:v>121.02716386237653</c:v>
                </c:pt>
                <c:pt idx="364">
                  <c:v>121.20516099359349</c:v>
                </c:pt>
                <c:pt idx="365">
                  <c:v>121.37827232126753</c:v>
                </c:pt>
                <c:pt idx="366">
                  <c:v>121.54632530075057</c:v>
                </c:pt>
                <c:pt idx="367">
                  <c:v>121.7093959510229</c:v>
                </c:pt>
                <c:pt idx="368">
                  <c:v>121.86802410437393</c:v>
                </c:pt>
                <c:pt idx="369">
                  <c:v>122.02235471331883</c:v>
                </c:pt>
                <c:pt idx="370">
                  <c:v>122.17226094200448</c:v>
                </c:pt>
                <c:pt idx="371">
                  <c:v>122.31766368973416</c:v>
                </c:pt>
                <c:pt idx="372">
                  <c:v>121.88017991798355</c:v>
                </c:pt>
                <c:pt idx="373">
                  <c:v>122.03224776737423</c:v>
                </c:pt>
                <c:pt idx="374">
                  <c:v>122.18538858266099</c:v>
                </c:pt>
                <c:pt idx="375">
                  <c:v>122.34192030210112</c:v>
                </c:pt>
                <c:pt idx="376">
                  <c:v>122.50570242113908</c:v>
                </c:pt>
                <c:pt idx="377">
                  <c:v>122.67232803531887</c:v>
                </c:pt>
                <c:pt idx="378">
                  <c:v>122.84397397121103</c:v>
                </c:pt>
                <c:pt idx="379">
                  <c:v>123.02512187218032</c:v>
                </c:pt>
                <c:pt idx="380">
                  <c:v>123.2165743239746</c:v>
                </c:pt>
                <c:pt idx="381">
                  <c:v>123.41578202563397</c:v>
                </c:pt>
                <c:pt idx="382">
                  <c:v>123.61981100376462</c:v>
                </c:pt>
                <c:pt idx="383">
                  <c:v>123.77981100376462</c:v>
                </c:pt>
                <c:pt idx="384">
                  <c:v>124.01981100376462</c:v>
                </c:pt>
                <c:pt idx="385">
                  <c:v>124.30394444401816</c:v>
                </c:pt>
                <c:pt idx="386">
                  <c:v>124.58844312604712</c:v>
                </c:pt>
                <c:pt idx="387">
                  <c:v>124.87330452706153</c:v>
                </c:pt>
                <c:pt idx="388">
                  <c:v>125.15862705555855</c:v>
                </c:pt>
                <c:pt idx="389">
                  <c:v>125.4443736804411</c:v>
                </c:pt>
                <c:pt idx="390">
                  <c:v>125.73050737061224</c:v>
                </c:pt>
                <c:pt idx="391">
                  <c:v>126.0170108719183</c:v>
                </c:pt>
                <c:pt idx="392">
                  <c:v>126.30388216140456</c:v>
                </c:pt>
                <c:pt idx="393">
                  <c:v>126.5911308776251</c:v>
                </c:pt>
                <c:pt idx="394">
                  <c:v>126.87876818225395</c:v>
                </c:pt>
                <c:pt idx="395">
                  <c:v>127.16681994471428</c:v>
                </c:pt>
                <c:pt idx="396">
                  <c:v>127.45529428044011</c:v>
                </c:pt>
                <c:pt idx="397">
                  <c:v>127.74419575879121</c:v>
                </c:pt>
                <c:pt idx="398">
                  <c:v>128.03353908751649</c:v>
                </c:pt>
                <c:pt idx="399">
                  <c:v>128.32334963620369</c:v>
                </c:pt>
                <c:pt idx="400">
                  <c:v>128.61368218993854</c:v>
                </c:pt>
                <c:pt idx="401">
                  <c:v>128.90459610316589</c:v>
                </c:pt>
                <c:pt idx="402">
                  <c:v>129.19610760675477</c:v>
                </c:pt>
                <c:pt idx="403">
                  <c:v>129.48341393051427</c:v>
                </c:pt>
                <c:pt idx="404">
                  <c:v>129.76215496351784</c:v>
                </c:pt>
                <c:pt idx="405">
                  <c:v>130.03311726662014</c:v>
                </c:pt>
                <c:pt idx="406">
                  <c:v>130.29693661592759</c:v>
                </c:pt>
                <c:pt idx="407">
                  <c:v>130.56126706819492</c:v>
                </c:pt>
                <c:pt idx="408">
                  <c:v>130.82252416604533</c:v>
                </c:pt>
                <c:pt idx="409">
                  <c:v>131.08017575923691</c:v>
                </c:pt>
                <c:pt idx="410">
                  <c:v>131.33237268756929</c:v>
                </c:pt>
                <c:pt idx="411">
                  <c:v>131.57789741236175</c:v>
                </c:pt>
                <c:pt idx="412">
                  <c:v>131.81654505543787</c:v>
                </c:pt>
                <c:pt idx="413">
                  <c:v>132.04844149221941</c:v>
                </c:pt>
                <c:pt idx="414">
                  <c:v>132.27390248801407</c:v>
                </c:pt>
                <c:pt idx="415">
                  <c:v>132.48919860693775</c:v>
                </c:pt>
                <c:pt idx="416">
                  <c:v>132.69860972182468</c:v>
                </c:pt>
                <c:pt idx="417">
                  <c:v>132.90244613673295</c:v>
                </c:pt>
                <c:pt idx="418">
                  <c:v>133.10088716756985</c:v>
                </c:pt>
                <c:pt idx="419">
                  <c:v>133.2939676863796</c:v>
                </c:pt>
                <c:pt idx="420">
                  <c:v>133.48172972671077</c:v>
                </c:pt>
                <c:pt idx="421">
                  <c:v>133.66458176500277</c:v>
                </c:pt>
                <c:pt idx="422">
                  <c:v>133.84257889621975</c:v>
                </c:pt>
                <c:pt idx="423">
                  <c:v>134.01569022389378</c:v>
                </c:pt>
                <c:pt idx="424">
                  <c:v>134.18374320337682</c:v>
                </c:pt>
                <c:pt idx="425">
                  <c:v>134.34681385364914</c:v>
                </c:pt>
                <c:pt idx="426">
                  <c:v>134.50544200700017</c:v>
                </c:pt>
                <c:pt idx="427">
                  <c:v>134.65977261594509</c:v>
                </c:pt>
                <c:pt idx="428">
                  <c:v>134.81523924796559</c:v>
                </c:pt>
                <c:pt idx="429">
                  <c:v>134.96973499679731</c:v>
                </c:pt>
                <c:pt idx="430">
                  <c:v>143.90360562232001</c:v>
                </c:pt>
                <c:pt idx="431">
                  <c:v>144.06734959224778</c:v>
                </c:pt>
                <c:pt idx="432">
                  <c:v>144.23962577145826</c:v>
                </c:pt>
                <c:pt idx="433">
                  <c:v>144.42536928854011</c:v>
                </c:pt>
                <c:pt idx="434">
                  <c:v>144.6706692885401</c:v>
                </c:pt>
                <c:pt idx="435">
                  <c:v>144.85966928854009</c:v>
                </c:pt>
                <c:pt idx="436">
                  <c:v>145.14380272879362</c:v>
                </c:pt>
                <c:pt idx="437">
                  <c:v>145.4283014108226</c:v>
                </c:pt>
                <c:pt idx="438">
                  <c:v>145.71316281183701</c:v>
                </c:pt>
                <c:pt idx="439">
                  <c:v>145.99848534033401</c:v>
                </c:pt>
                <c:pt idx="440">
                  <c:v>146.28423196521658</c:v>
                </c:pt>
                <c:pt idx="441">
                  <c:v>146.57036565538772</c:v>
                </c:pt>
                <c:pt idx="442">
                  <c:v>146.85686915669379</c:v>
                </c:pt>
                <c:pt idx="443">
                  <c:v>147.14374044618006</c:v>
                </c:pt>
                <c:pt idx="444">
                  <c:v>147.43098916240061</c:v>
                </c:pt>
                <c:pt idx="445">
                  <c:v>147.71862646702945</c:v>
                </c:pt>
                <c:pt idx="446">
                  <c:v>148.00667822948978</c:v>
                </c:pt>
                <c:pt idx="447">
                  <c:v>148.2951525652156</c:v>
                </c:pt>
                <c:pt idx="448">
                  <c:v>148.58405404356671</c:v>
                </c:pt>
                <c:pt idx="449">
                  <c:v>148.873397372292</c:v>
                </c:pt>
                <c:pt idx="450">
                  <c:v>149.1632079209792</c:v>
                </c:pt>
                <c:pt idx="451">
                  <c:v>149.45354047471406</c:v>
                </c:pt>
                <c:pt idx="452">
                  <c:v>149.7444543879414</c:v>
                </c:pt>
                <c:pt idx="453">
                  <c:v>150.03596589153028</c:v>
                </c:pt>
                <c:pt idx="454">
                  <c:v>150.32327221528979</c:v>
                </c:pt>
                <c:pt idx="455">
                  <c:v>150.60201324829336</c:v>
                </c:pt>
                <c:pt idx="456">
                  <c:v>150.87297555139565</c:v>
                </c:pt>
                <c:pt idx="457">
                  <c:v>151.13679490070311</c:v>
                </c:pt>
                <c:pt idx="458">
                  <c:v>151.40112535297044</c:v>
                </c:pt>
                <c:pt idx="459">
                  <c:v>151.66238245082084</c:v>
                </c:pt>
                <c:pt idx="460">
                  <c:v>151.92003404401243</c:v>
                </c:pt>
                <c:pt idx="461">
                  <c:v>152.17223097234481</c:v>
                </c:pt>
                <c:pt idx="462">
                  <c:v>152.41775569713727</c:v>
                </c:pt>
                <c:pt idx="463">
                  <c:v>152.65640334021339</c:v>
                </c:pt>
                <c:pt idx="464">
                  <c:v>152.88829977699493</c:v>
                </c:pt>
                <c:pt idx="465">
                  <c:v>153.11376077278959</c:v>
                </c:pt>
                <c:pt idx="466">
                  <c:v>153.32905689171326</c:v>
                </c:pt>
                <c:pt idx="467">
                  <c:v>153.5384680066002</c:v>
                </c:pt>
                <c:pt idx="468">
                  <c:v>153.74230442150846</c:v>
                </c:pt>
                <c:pt idx="469">
                  <c:v>153.94074545234537</c:v>
                </c:pt>
                <c:pt idx="470">
                  <c:v>154.13382597115512</c:v>
                </c:pt>
                <c:pt idx="471">
                  <c:v>154.32158801148628</c:v>
                </c:pt>
                <c:pt idx="472">
                  <c:v>154.50444004977828</c:v>
                </c:pt>
                <c:pt idx="473">
                  <c:v>154.68243718099527</c:v>
                </c:pt>
                <c:pt idx="474">
                  <c:v>154.8555485086693</c:v>
                </c:pt>
                <c:pt idx="475">
                  <c:v>155.02360148815234</c:v>
                </c:pt>
                <c:pt idx="476">
                  <c:v>155.18667213842465</c:v>
                </c:pt>
                <c:pt idx="477">
                  <c:v>155.34530029177569</c:v>
                </c:pt>
                <c:pt idx="478">
                  <c:v>155.4996309007206</c:v>
                </c:pt>
                <c:pt idx="479">
                  <c:v>155.64953712940624</c:v>
                </c:pt>
                <c:pt idx="480">
                  <c:v>155.7949398771359</c:v>
                </c:pt>
                <c:pt idx="481">
                  <c:v>171.92592524853075</c:v>
                </c:pt>
                <c:pt idx="482">
                  <c:v>172.08570400010959</c:v>
                </c:pt>
                <c:pt idx="483">
                  <c:v>172.24853557684645</c:v>
                </c:pt>
                <c:pt idx="484">
                  <c:v>172.41617427931803</c:v>
                </c:pt>
                <c:pt idx="485">
                  <c:v>172.58895780836102</c:v>
                </c:pt>
                <c:pt idx="486">
                  <c:v>172.77538347633563</c:v>
                </c:pt>
                <c:pt idx="487">
                  <c:v>172.9669976707913</c:v>
                </c:pt>
                <c:pt idx="488">
                  <c:v>173.14699767079131</c:v>
                </c:pt>
                <c:pt idx="489">
                  <c:v>173.38699767079132</c:v>
                </c:pt>
                <c:pt idx="490">
                  <c:v>173.67113111104484</c:v>
                </c:pt>
                <c:pt idx="491">
                  <c:v>173.95562979307383</c:v>
                </c:pt>
                <c:pt idx="492">
                  <c:v>174.24049119408824</c:v>
                </c:pt>
                <c:pt idx="493">
                  <c:v>174.52581372258524</c:v>
                </c:pt>
                <c:pt idx="494">
                  <c:v>174.8115603474678</c:v>
                </c:pt>
                <c:pt idx="495">
                  <c:v>175.09769403763895</c:v>
                </c:pt>
                <c:pt idx="496">
                  <c:v>175.38419753894502</c:v>
                </c:pt>
                <c:pt idx="497">
                  <c:v>175.67106882843129</c:v>
                </c:pt>
                <c:pt idx="498">
                  <c:v>175.95831754465183</c:v>
                </c:pt>
                <c:pt idx="499">
                  <c:v>176.24595484928068</c:v>
                </c:pt>
                <c:pt idx="500">
                  <c:v>176.53400661174101</c:v>
                </c:pt>
                <c:pt idx="501">
                  <c:v>176.82248094746683</c:v>
                </c:pt>
                <c:pt idx="502">
                  <c:v>177.11138242581794</c:v>
                </c:pt>
                <c:pt idx="503">
                  <c:v>177.40072575454323</c:v>
                </c:pt>
                <c:pt idx="504">
                  <c:v>177.69053630323043</c:v>
                </c:pt>
                <c:pt idx="505">
                  <c:v>177.98086885696529</c:v>
                </c:pt>
                <c:pt idx="506">
                  <c:v>178.27178277019263</c:v>
                </c:pt>
                <c:pt idx="507">
                  <c:v>178.56329427378151</c:v>
                </c:pt>
                <c:pt idx="508">
                  <c:v>178.85060059754102</c:v>
                </c:pt>
                <c:pt idx="509">
                  <c:v>179.12934163054459</c:v>
                </c:pt>
                <c:pt idx="510">
                  <c:v>179.40030393364688</c:v>
                </c:pt>
                <c:pt idx="511">
                  <c:v>179.66412328295434</c:v>
                </c:pt>
                <c:pt idx="512">
                  <c:v>179.92845373522167</c:v>
                </c:pt>
                <c:pt idx="513">
                  <c:v>180.18971083307207</c:v>
                </c:pt>
                <c:pt idx="514">
                  <c:v>180.44736242626365</c:v>
                </c:pt>
                <c:pt idx="515">
                  <c:v>180.69955935459603</c:v>
                </c:pt>
                <c:pt idx="516">
                  <c:v>180.94508407938849</c:v>
                </c:pt>
                <c:pt idx="517">
                  <c:v>181.18373172246461</c:v>
                </c:pt>
                <c:pt idx="518">
                  <c:v>181.41562815924615</c:v>
                </c:pt>
                <c:pt idx="519">
                  <c:v>181.64108915504082</c:v>
                </c:pt>
                <c:pt idx="520">
                  <c:v>181.85638527396449</c:v>
                </c:pt>
                <c:pt idx="521">
                  <c:v>182.06579638885142</c:v>
                </c:pt>
                <c:pt idx="522">
                  <c:v>182.26963280375969</c:v>
                </c:pt>
                <c:pt idx="523">
                  <c:v>182.46807383459659</c:v>
                </c:pt>
                <c:pt idx="524">
                  <c:v>182.66115435340635</c:v>
                </c:pt>
                <c:pt idx="525">
                  <c:v>182.84891639373751</c:v>
                </c:pt>
                <c:pt idx="526">
                  <c:v>183.03176843202951</c:v>
                </c:pt>
                <c:pt idx="527">
                  <c:v>183.20976556324649</c:v>
                </c:pt>
                <c:pt idx="528">
                  <c:v>183.38287689092053</c:v>
                </c:pt>
                <c:pt idx="529">
                  <c:v>183.55092987040356</c:v>
                </c:pt>
                <c:pt idx="530">
                  <c:v>183.71400052067588</c:v>
                </c:pt>
                <c:pt idx="531">
                  <c:v>183.87262867402691</c:v>
                </c:pt>
              </c:numCache>
            </c:numRef>
          </c:xVal>
          <c:yVal>
            <c:numRef>
              <c:f>Data!$BT$3:$BT$533</c:f>
              <c:numCache>
                <c:formatCode>General</c:formatCode>
                <c:ptCount val="531"/>
                <c:pt idx="0">
                  <c:v>2192.0645856092228</c:v>
                </c:pt>
                <c:pt idx="1">
                  <c:v>1938.2015147243258</c:v>
                </c:pt>
                <c:pt idx="2">
                  <c:v>1975.0784358419901</c:v>
                </c:pt>
                <c:pt idx="3">
                  <c:v>2011.4183567426471</c:v>
                </c:pt>
                <c:pt idx="4">
                  <c:v>1371.958407246243</c:v>
                </c:pt>
                <c:pt idx="5">
                  <c:v>1198.9043631115458</c:v>
                </c:pt>
                <c:pt idx="6">
                  <c:v>1209.4596211661421</c:v>
                </c:pt>
                <c:pt idx="7">
                  <c:v>1219.9860485535228</c:v>
                </c:pt>
                <c:pt idx="8">
                  <c:v>1230.5019006194364</c:v>
                </c:pt>
                <c:pt idx="9">
                  <c:v>1241.0073113116575</c:v>
                </c:pt>
                <c:pt idx="10">
                  <c:v>1251.4838062749754</c:v>
                </c:pt>
                <c:pt idx="11">
                  <c:v>1261.9760401295209</c:v>
                </c:pt>
                <c:pt idx="12">
                  <c:v>1272.4357683624849</c:v>
                </c:pt>
                <c:pt idx="13">
                  <c:v>1282.9292177985046</c:v>
                </c:pt>
                <c:pt idx="14">
                  <c:v>1293.396607607777</c:v>
                </c:pt>
                <c:pt idx="15">
                  <c:v>1303.8897319167565</c:v>
                </c:pt>
                <c:pt idx="16">
                  <c:v>1314.3671565969157</c:v>
                </c:pt>
                <c:pt idx="17">
                  <c:v>1324.8607685010868</c:v>
                </c:pt>
                <c:pt idx="18">
                  <c:v>1335.3529844055124</c:v>
                </c:pt>
                <c:pt idx="19">
                  <c:v>1345.8483783661875</c:v>
                </c:pt>
                <c:pt idx="20">
                  <c:v>8422.0799647446038</c:v>
                </c:pt>
                <c:pt idx="21">
                  <c:v>8489.0885662329656</c:v>
                </c:pt>
                <c:pt idx="22">
                  <c:v>8557.7264057105458</c:v>
                </c:pt>
                <c:pt idx="23">
                  <c:v>8626.8119168732737</c:v>
                </c:pt>
                <c:pt idx="24">
                  <c:v>8697.4138708739829</c:v>
                </c:pt>
                <c:pt idx="25">
                  <c:v>8767.6665793996981</c:v>
                </c:pt>
                <c:pt idx="26">
                  <c:v>8838.0333827933118</c:v>
                </c:pt>
                <c:pt idx="27">
                  <c:v>8908.4358289284937</c:v>
                </c:pt>
                <c:pt idx="28">
                  <c:v>8979.032961951094</c:v>
                </c:pt>
                <c:pt idx="29">
                  <c:v>9049.7898992570445</c:v>
                </c:pt>
                <c:pt idx="30">
                  <c:v>9120.7914116434567</c:v>
                </c:pt>
                <c:pt idx="31">
                  <c:v>4743.6509664132855</c:v>
                </c:pt>
                <c:pt idx="32">
                  <c:v>9208.0379747051611</c:v>
                </c:pt>
                <c:pt idx="33">
                  <c:v>9280.1772310742526</c:v>
                </c:pt>
                <c:pt idx="34">
                  <c:v>0</c:v>
                </c:pt>
                <c:pt idx="35">
                  <c:v>0</c:v>
                </c:pt>
                <c:pt idx="36">
                  <c:v>0</c:v>
                </c:pt>
                <c:pt idx="37">
                  <c:v>0</c:v>
                </c:pt>
                <c:pt idx="38">
                  <c:v>0</c:v>
                </c:pt>
                <c:pt idx="39">
                  <c:v>0</c:v>
                </c:pt>
                <c:pt idx="40">
                  <c:v>0</c:v>
                </c:pt>
                <c:pt idx="41">
                  <c:v>0</c:v>
                </c:pt>
                <c:pt idx="42">
                  <c:v>0</c:v>
                </c:pt>
                <c:pt idx="43">
                  <c:v>6211.2456793690735</c:v>
                </c:pt>
                <c:pt idx="44">
                  <c:v>0</c:v>
                </c:pt>
                <c:pt idx="45">
                  <c:v>0</c:v>
                </c:pt>
                <c:pt idx="46">
                  <c:v>0</c:v>
                </c:pt>
                <c:pt idx="47">
                  <c:v>0</c:v>
                </c:pt>
                <c:pt idx="48">
                  <c:v>0</c:v>
                </c:pt>
                <c:pt idx="49">
                  <c:v>0</c:v>
                </c:pt>
                <c:pt idx="50">
                  <c:v>7970.8397222377944</c:v>
                </c:pt>
                <c:pt idx="51">
                  <c:v>8802.8904684587615</c:v>
                </c:pt>
                <c:pt idx="52">
                  <c:v>9570.9429818575609</c:v>
                </c:pt>
                <c:pt idx="53">
                  <c:v>10289.329949739194</c:v>
                </c:pt>
                <c:pt idx="54">
                  <c:v>10968.697297398066</c:v>
                </c:pt>
                <c:pt idx="55">
                  <c:v>11616.458483151024</c:v>
                </c:pt>
                <c:pt idx="56">
                  <c:v>12237.082902366214</c:v>
                </c:pt>
                <c:pt idx="57">
                  <c:v>8556.1860892176264</c:v>
                </c:pt>
                <c:pt idx="58">
                  <c:v>8940.7693850955457</c:v>
                </c:pt>
                <c:pt idx="59">
                  <c:v>9313.5857019940322</c:v>
                </c:pt>
                <c:pt idx="60">
                  <c:v>9676.2649706273605</c:v>
                </c:pt>
                <c:pt idx="61">
                  <c:v>10029.851872881636</c:v>
                </c:pt>
                <c:pt idx="62">
                  <c:v>10375.50228952287</c:v>
                </c:pt>
                <c:pt idx="63">
                  <c:v>10714.155133457705</c:v>
                </c:pt>
                <c:pt idx="64">
                  <c:v>11046.476654276556</c:v>
                </c:pt>
                <c:pt idx="65">
                  <c:v>11373.151098409191</c:v>
                </c:pt>
                <c:pt idx="66">
                  <c:v>11694.483505927245</c:v>
                </c:pt>
                <c:pt idx="67">
                  <c:v>0</c:v>
                </c:pt>
                <c:pt idx="68">
                  <c:v>0</c:v>
                </c:pt>
                <c:pt idx="69">
                  <c:v>0</c:v>
                </c:pt>
                <c:pt idx="70">
                  <c:v>0</c:v>
                </c:pt>
                <c:pt idx="71">
                  <c:v>0</c:v>
                </c:pt>
                <c:pt idx="72">
                  <c:v>0</c:v>
                </c:pt>
                <c:pt idx="73">
                  <c:v>0</c:v>
                </c:pt>
                <c:pt idx="74">
                  <c:v>0</c:v>
                </c:pt>
                <c:pt idx="75">
                  <c:v>0</c:v>
                </c:pt>
                <c:pt idx="76">
                  <c:v>0</c:v>
                </c:pt>
                <c:pt idx="77">
                  <c:v>1999.368177363827</c:v>
                </c:pt>
                <c:pt idx="78">
                  <c:v>11908.052888301743</c:v>
                </c:pt>
                <c:pt idx="79">
                  <c:v>8378.3266339833608</c:v>
                </c:pt>
                <c:pt idx="80">
                  <c:v>8801.5101170810576</c:v>
                </c:pt>
                <c:pt idx="81">
                  <c:v>9210.7175187768444</c:v>
                </c:pt>
                <c:pt idx="82">
                  <c:v>9607.6469227169309</c:v>
                </c:pt>
                <c:pt idx="83">
                  <c:v>9993.827096120589</c:v>
                </c:pt>
                <c:pt idx="84">
                  <c:v>10370.574736228946</c:v>
                </c:pt>
                <c:pt idx="85">
                  <c:v>10738.923686345066</c:v>
                </c:pt>
                <c:pt idx="86">
                  <c:v>11099.911744161562</c:v>
                </c:pt>
                <c:pt idx="87">
                  <c:v>11453.866516442013</c:v>
                </c:pt>
                <c:pt idx="88">
                  <c:v>11800.357204354083</c:v>
                </c:pt>
                <c:pt idx="89">
                  <c:v>12141.54452815164</c:v>
                </c:pt>
                <c:pt idx="90">
                  <c:v>12477.730515246572</c:v>
                </c:pt>
                <c:pt idx="91">
                  <c:v>0</c:v>
                </c:pt>
                <c:pt idx="92">
                  <c:v>2690.1995849333694</c:v>
                </c:pt>
                <c:pt idx="93">
                  <c:v>7515.6277501859604</c:v>
                </c:pt>
                <c:pt idx="94">
                  <c:v>7612.8521633436676</c:v>
                </c:pt>
                <c:pt idx="95">
                  <c:v>7709.9153934340666</c:v>
                </c:pt>
                <c:pt idx="96">
                  <c:v>0</c:v>
                </c:pt>
                <c:pt idx="97">
                  <c:v>7903.4806713782946</c:v>
                </c:pt>
                <c:pt idx="98">
                  <c:v>7999.8250883819592</c:v>
                </c:pt>
                <c:pt idx="99">
                  <c:v>8095.8552599932673</c:v>
                </c:pt>
                <c:pt idx="100">
                  <c:v>8191.6550021964167</c:v>
                </c:pt>
                <c:pt idx="101">
                  <c:v>8287.2547328473865</c:v>
                </c:pt>
                <c:pt idx="102">
                  <c:v>8382.6666029687713</c:v>
                </c:pt>
                <c:pt idx="103">
                  <c:v>8477.924183232677</c:v>
                </c:pt>
                <c:pt idx="104">
                  <c:v>8573.068315101802</c:v>
                </c:pt>
                <c:pt idx="105">
                  <c:v>8668.1246373153408</c:v>
                </c:pt>
                <c:pt idx="106">
                  <c:v>8763.1409732104275</c:v>
                </c:pt>
                <c:pt idx="107">
                  <c:v>8858.1485204181117</c:v>
                </c:pt>
                <c:pt idx="108">
                  <c:v>8953.1582555833829</c:v>
                </c:pt>
                <c:pt idx="109">
                  <c:v>9048.210962185849</c:v>
                </c:pt>
                <c:pt idx="110">
                  <c:v>9143.3057731725839</c:v>
                </c:pt>
                <c:pt idx="111">
                  <c:v>9238.4897353377983</c:v>
                </c:pt>
                <c:pt idx="112">
                  <c:v>2372.952135080252</c:v>
                </c:pt>
                <c:pt idx="113">
                  <c:v>2220.2703330576473</c:v>
                </c:pt>
                <c:pt idx="114">
                  <c:v>2055.4497412090664</c:v>
                </c:pt>
                <c:pt idx="115">
                  <c:v>2794.4884308553883</c:v>
                </c:pt>
                <c:pt idx="116">
                  <c:v>2872.0081585203379</c:v>
                </c:pt>
                <c:pt idx="117">
                  <c:v>1978.182179047456</c:v>
                </c:pt>
                <c:pt idx="118">
                  <c:v>1978.182179047456</c:v>
                </c:pt>
                <c:pt idx="119">
                  <c:v>2001.7974241419406</c:v>
                </c:pt>
                <c:pt idx="120">
                  <c:v>2025.2044926203205</c:v>
                </c:pt>
                <c:pt idx="121">
                  <c:v>2048.3975033110037</c:v>
                </c:pt>
                <c:pt idx="122">
                  <c:v>2071.3438397193931</c:v>
                </c:pt>
                <c:pt idx="123">
                  <c:v>2094.0612119863395</c:v>
                </c:pt>
                <c:pt idx="124">
                  <c:v>2116.5665795357104</c:v>
                </c:pt>
                <c:pt idx="125">
                  <c:v>2138.8539995083329</c:v>
                </c:pt>
                <c:pt idx="126">
                  <c:v>2160.9287656539364</c:v>
                </c:pt>
                <c:pt idx="127">
                  <c:v>2182.8124561955642</c:v>
                </c:pt>
                <c:pt idx="128">
                  <c:v>2204.5175827635094</c:v>
                </c:pt>
                <c:pt idx="129">
                  <c:v>2226.0533051998686</c:v>
                </c:pt>
                <c:pt idx="130">
                  <c:v>8724.6459184876949</c:v>
                </c:pt>
                <c:pt idx="131">
                  <c:v>8826.5270293351787</c:v>
                </c:pt>
                <c:pt idx="132">
                  <c:v>8928.3129194188714</c:v>
                </c:pt>
                <c:pt idx="133">
                  <c:v>9030.0534146991595</c:v>
                </c:pt>
                <c:pt idx="134">
                  <c:v>9131.7825726954215</c:v>
                </c:pt>
                <c:pt idx="135">
                  <c:v>9233.516473708587</c:v>
                </c:pt>
                <c:pt idx="136">
                  <c:v>2372.9175445362966</c:v>
                </c:pt>
                <c:pt idx="137">
                  <c:v>2209.8220164112181</c:v>
                </c:pt>
                <c:pt idx="138">
                  <c:v>2032.9644853835862</c:v>
                </c:pt>
                <c:pt idx="139">
                  <c:v>2739.2531243181511</c:v>
                </c:pt>
                <c:pt idx="140">
                  <c:v>2412.9692722319169</c:v>
                </c:pt>
                <c:pt idx="141">
                  <c:v>2033.4975001964565</c:v>
                </c:pt>
                <c:pt idx="142">
                  <c:v>2146.1404473401699</c:v>
                </c:pt>
                <c:pt idx="143">
                  <c:v>2253.4107059150665</c:v>
                </c:pt>
                <c:pt idx="144">
                  <c:v>2356.0008278072455</c:v>
                </c:pt>
                <c:pt idx="145">
                  <c:v>2454.437924799031</c:v>
                </c:pt>
                <c:pt idx="146">
                  <c:v>2549.1739285727554</c:v>
                </c:pt>
                <c:pt idx="147">
                  <c:v>2640.6100184998704</c:v>
                </c:pt>
                <c:pt idx="148">
                  <c:v>2729.074552453832</c:v>
                </c:pt>
                <c:pt idx="149">
                  <c:v>2814.8644246326103</c:v>
                </c:pt>
                <c:pt idx="150">
                  <c:v>2898.2276818561431</c:v>
                </c:pt>
                <c:pt idx="151">
                  <c:v>1999.3976228751881</c:v>
                </c:pt>
                <c:pt idx="152">
                  <c:v>2762.3287173100171</c:v>
                </c:pt>
                <c:pt idx="153">
                  <c:v>7690.3815519892696</c:v>
                </c:pt>
                <c:pt idx="154">
                  <c:v>7803.2243922692078</c:v>
                </c:pt>
                <c:pt idx="155">
                  <c:v>7915.6265880987157</c:v>
                </c:pt>
                <c:pt idx="156">
                  <c:v>8027.5801927544426</c:v>
                </c:pt>
                <c:pt idx="157">
                  <c:v>8139.1242074811471</c:v>
                </c:pt>
                <c:pt idx="158">
                  <c:v>12104.503314328093</c:v>
                </c:pt>
                <c:pt idx="159">
                  <c:v>0</c:v>
                </c:pt>
                <c:pt idx="160">
                  <c:v>0</c:v>
                </c:pt>
                <c:pt idx="161">
                  <c:v>0</c:v>
                </c:pt>
                <c:pt idx="162">
                  <c:v>13465.906457145509</c:v>
                </c:pt>
                <c:pt idx="163">
                  <c:v>13465.906457145509</c:v>
                </c:pt>
                <c:pt idx="164">
                  <c:v>13465.906457145509</c:v>
                </c:pt>
                <c:pt idx="165">
                  <c:v>13465.906457145509</c:v>
                </c:pt>
                <c:pt idx="166">
                  <c:v>13465.906457145509</c:v>
                </c:pt>
                <c:pt idx="167">
                  <c:v>13465.906457145509</c:v>
                </c:pt>
                <c:pt idx="168">
                  <c:v>13465.906457145509</c:v>
                </c:pt>
                <c:pt idx="169">
                  <c:v>13465.906457145509</c:v>
                </c:pt>
                <c:pt idx="170">
                  <c:v>13465.906457145509</c:v>
                </c:pt>
                <c:pt idx="171">
                  <c:v>13465.906457145509</c:v>
                </c:pt>
                <c:pt idx="172">
                  <c:v>13465.906457145509</c:v>
                </c:pt>
                <c:pt idx="173">
                  <c:v>13465.906457145509</c:v>
                </c:pt>
                <c:pt idx="174">
                  <c:v>13465.906457145509</c:v>
                </c:pt>
                <c:pt idx="175">
                  <c:v>13465.906457145509</c:v>
                </c:pt>
                <c:pt idx="176">
                  <c:v>13465.906457145509</c:v>
                </c:pt>
                <c:pt idx="177">
                  <c:v>13465.906457145509</c:v>
                </c:pt>
                <c:pt idx="178">
                  <c:v>13465.906457145509</c:v>
                </c:pt>
                <c:pt idx="179">
                  <c:v>13465.906457145509</c:v>
                </c:pt>
                <c:pt idx="180">
                  <c:v>13465.906457145509</c:v>
                </c:pt>
                <c:pt idx="181">
                  <c:v>13465.906457145509</c:v>
                </c:pt>
                <c:pt idx="182">
                  <c:v>3225.0722167563076</c:v>
                </c:pt>
                <c:pt idx="183">
                  <c:v>11746.270514507263</c:v>
                </c:pt>
                <c:pt idx="184">
                  <c:v>8719.2170294856278</c:v>
                </c:pt>
                <c:pt idx="185">
                  <c:v>0</c:v>
                </c:pt>
                <c:pt idx="186">
                  <c:v>0</c:v>
                </c:pt>
                <c:pt idx="187">
                  <c:v>0</c:v>
                </c:pt>
                <c:pt idx="188">
                  <c:v>0</c:v>
                </c:pt>
                <c:pt idx="189">
                  <c:v>0</c:v>
                </c:pt>
                <c:pt idx="190">
                  <c:v>0</c:v>
                </c:pt>
                <c:pt idx="191">
                  <c:v>0</c:v>
                </c:pt>
                <c:pt idx="192">
                  <c:v>0</c:v>
                </c:pt>
                <c:pt idx="193">
                  <c:v>0</c:v>
                </c:pt>
                <c:pt idx="194">
                  <c:v>3586.4720281922669</c:v>
                </c:pt>
                <c:pt idx="195">
                  <c:v>3360.752424212963</c:v>
                </c:pt>
                <c:pt idx="196">
                  <c:v>8936.3363461116351</c:v>
                </c:pt>
                <c:pt idx="197">
                  <c:v>9033.1602859967606</c:v>
                </c:pt>
                <c:pt idx="198">
                  <c:v>3173.5043426934617</c:v>
                </c:pt>
                <c:pt idx="199">
                  <c:v>8253.2119062426591</c:v>
                </c:pt>
                <c:pt idx="200">
                  <c:v>3014.721736766166</c:v>
                </c:pt>
                <c:pt idx="201">
                  <c:v>0</c:v>
                </c:pt>
                <c:pt idx="202">
                  <c:v>2795.128700768385</c:v>
                </c:pt>
                <c:pt idx="203">
                  <c:v>0</c:v>
                </c:pt>
                <c:pt idx="204">
                  <c:v>0</c:v>
                </c:pt>
                <c:pt idx="205">
                  <c:v>0</c:v>
                </c:pt>
                <c:pt idx="206">
                  <c:v>0</c:v>
                </c:pt>
                <c:pt idx="207">
                  <c:v>0</c:v>
                </c:pt>
                <c:pt idx="208">
                  <c:v>0</c:v>
                </c:pt>
                <c:pt idx="209">
                  <c:v>13465.906457145509</c:v>
                </c:pt>
                <c:pt idx="210">
                  <c:v>13465.906457145509</c:v>
                </c:pt>
                <c:pt idx="211">
                  <c:v>13465.906457145509</c:v>
                </c:pt>
                <c:pt idx="212">
                  <c:v>13465.906457145509</c:v>
                </c:pt>
                <c:pt idx="213">
                  <c:v>13465.906457145509</c:v>
                </c:pt>
                <c:pt idx="214">
                  <c:v>13465.906457145509</c:v>
                </c:pt>
                <c:pt idx="215">
                  <c:v>13465.906457145509</c:v>
                </c:pt>
                <c:pt idx="216">
                  <c:v>13465.906457145509</c:v>
                </c:pt>
                <c:pt idx="217">
                  <c:v>13465.906457145509</c:v>
                </c:pt>
                <c:pt idx="218">
                  <c:v>13465.906457145509</c:v>
                </c:pt>
                <c:pt idx="219">
                  <c:v>13465.906457145509</c:v>
                </c:pt>
                <c:pt idx="220">
                  <c:v>13465.906457145509</c:v>
                </c:pt>
                <c:pt idx="221">
                  <c:v>13465.906457145509</c:v>
                </c:pt>
                <c:pt idx="222">
                  <c:v>13465.906457145509</c:v>
                </c:pt>
                <c:pt idx="223">
                  <c:v>13465.906457145509</c:v>
                </c:pt>
                <c:pt idx="224">
                  <c:v>13465.906457145509</c:v>
                </c:pt>
                <c:pt idx="225">
                  <c:v>13465.906457145509</c:v>
                </c:pt>
                <c:pt idx="226">
                  <c:v>13465.906457145509</c:v>
                </c:pt>
                <c:pt idx="227">
                  <c:v>13465.906457145509</c:v>
                </c:pt>
                <c:pt idx="228">
                  <c:v>13465.906457145509</c:v>
                </c:pt>
                <c:pt idx="229">
                  <c:v>13465.906457145509</c:v>
                </c:pt>
                <c:pt idx="230">
                  <c:v>13465.906457145509</c:v>
                </c:pt>
                <c:pt idx="231">
                  <c:v>13465.906457145509</c:v>
                </c:pt>
                <c:pt idx="232">
                  <c:v>13465.906457145509</c:v>
                </c:pt>
                <c:pt idx="233">
                  <c:v>13465.906457145509</c:v>
                </c:pt>
                <c:pt idx="234">
                  <c:v>13465.906457145509</c:v>
                </c:pt>
                <c:pt idx="235">
                  <c:v>13465.906457145509</c:v>
                </c:pt>
                <c:pt idx="236">
                  <c:v>13465.906457145509</c:v>
                </c:pt>
                <c:pt idx="237">
                  <c:v>13465.906457145509</c:v>
                </c:pt>
                <c:pt idx="238">
                  <c:v>3225.0722167563076</c:v>
                </c:pt>
                <c:pt idx="239">
                  <c:v>11746.270514507263</c:v>
                </c:pt>
                <c:pt idx="240">
                  <c:v>8719.2170294856278</c:v>
                </c:pt>
                <c:pt idx="241">
                  <c:v>0</c:v>
                </c:pt>
                <c:pt idx="242">
                  <c:v>0</c:v>
                </c:pt>
                <c:pt idx="243">
                  <c:v>0</c:v>
                </c:pt>
                <c:pt idx="244">
                  <c:v>0</c:v>
                </c:pt>
                <c:pt idx="245">
                  <c:v>0</c:v>
                </c:pt>
                <c:pt idx="246">
                  <c:v>0</c:v>
                </c:pt>
                <c:pt idx="247">
                  <c:v>0</c:v>
                </c:pt>
                <c:pt idx="248">
                  <c:v>0</c:v>
                </c:pt>
                <c:pt idx="249">
                  <c:v>0</c:v>
                </c:pt>
                <c:pt idx="250">
                  <c:v>3586.4720281922669</c:v>
                </c:pt>
                <c:pt idx="251">
                  <c:v>3360.752424212963</c:v>
                </c:pt>
                <c:pt idx="252">
                  <c:v>8936.3363461116351</c:v>
                </c:pt>
                <c:pt idx="253">
                  <c:v>9033.1602859967606</c:v>
                </c:pt>
                <c:pt idx="254">
                  <c:v>3173.5043426934617</c:v>
                </c:pt>
                <c:pt idx="255">
                  <c:v>8253.2119062426591</c:v>
                </c:pt>
                <c:pt idx="256">
                  <c:v>3014.721736766166</c:v>
                </c:pt>
                <c:pt idx="257">
                  <c:v>0</c:v>
                </c:pt>
                <c:pt idx="258">
                  <c:v>2795.128700768385</c:v>
                </c:pt>
                <c:pt idx="259">
                  <c:v>8482.7895723044257</c:v>
                </c:pt>
                <c:pt idx="260">
                  <c:v>2827.4869989526278</c:v>
                </c:pt>
                <c:pt idx="261">
                  <c:v>8860.1844589240736</c:v>
                </c:pt>
                <c:pt idx="262">
                  <c:v>8933.0961251709105</c:v>
                </c:pt>
                <c:pt idx="263">
                  <c:v>9302.548255787071</c:v>
                </c:pt>
                <c:pt idx="264">
                  <c:v>8373.3357830649948</c:v>
                </c:pt>
                <c:pt idx="265">
                  <c:v>8202.3734830392768</c:v>
                </c:pt>
                <c:pt idx="266">
                  <c:v>8202.3734830392768</c:v>
                </c:pt>
                <c:pt idx="267">
                  <c:v>8055.9025279850021</c:v>
                </c:pt>
                <c:pt idx="268">
                  <c:v>7909.4315729307309</c:v>
                </c:pt>
                <c:pt idx="269">
                  <c:v>7616.4896628221868</c:v>
                </c:pt>
                <c:pt idx="270">
                  <c:v>7250.3122751865039</c:v>
                </c:pt>
                <c:pt idx="271">
                  <c:v>7909.7629610920612</c:v>
                </c:pt>
                <c:pt idx="272">
                  <c:v>10887.60537086693</c:v>
                </c:pt>
                <c:pt idx="273">
                  <c:v>11472.674176053402</c:v>
                </c:pt>
                <c:pt idx="274">
                  <c:v>13465.906457145509</c:v>
                </c:pt>
                <c:pt idx="275">
                  <c:v>13465.906457145509</c:v>
                </c:pt>
                <c:pt idx="276">
                  <c:v>13465.906457145509</c:v>
                </c:pt>
                <c:pt idx="277">
                  <c:v>13465.906457145509</c:v>
                </c:pt>
                <c:pt idx="278">
                  <c:v>13465.906457145509</c:v>
                </c:pt>
                <c:pt idx="279">
                  <c:v>13465.906457145509</c:v>
                </c:pt>
                <c:pt idx="280">
                  <c:v>13465.906457145509</c:v>
                </c:pt>
                <c:pt idx="281">
                  <c:v>13465.906457145509</c:v>
                </c:pt>
                <c:pt idx="282">
                  <c:v>13465.906457145509</c:v>
                </c:pt>
                <c:pt idx="283">
                  <c:v>13465.906457145509</c:v>
                </c:pt>
                <c:pt idx="284">
                  <c:v>13465.906457145509</c:v>
                </c:pt>
                <c:pt idx="285">
                  <c:v>13465.906457145509</c:v>
                </c:pt>
                <c:pt idx="286">
                  <c:v>13465.906457145509</c:v>
                </c:pt>
                <c:pt idx="287">
                  <c:v>13465.906457145509</c:v>
                </c:pt>
                <c:pt idx="288">
                  <c:v>13465.906457145509</c:v>
                </c:pt>
                <c:pt idx="289">
                  <c:v>13465.906457145509</c:v>
                </c:pt>
                <c:pt idx="290">
                  <c:v>13465.906457145509</c:v>
                </c:pt>
                <c:pt idx="291">
                  <c:v>3225.0722167563076</c:v>
                </c:pt>
                <c:pt idx="292">
                  <c:v>11746.270514507263</c:v>
                </c:pt>
                <c:pt idx="293">
                  <c:v>8719.2170294856278</c:v>
                </c:pt>
                <c:pt idx="294">
                  <c:v>0</c:v>
                </c:pt>
                <c:pt idx="295">
                  <c:v>0</c:v>
                </c:pt>
                <c:pt idx="296">
                  <c:v>0</c:v>
                </c:pt>
                <c:pt idx="297">
                  <c:v>0</c:v>
                </c:pt>
                <c:pt idx="298">
                  <c:v>0</c:v>
                </c:pt>
                <c:pt idx="299">
                  <c:v>0</c:v>
                </c:pt>
                <c:pt idx="300">
                  <c:v>0</c:v>
                </c:pt>
                <c:pt idx="301">
                  <c:v>0</c:v>
                </c:pt>
                <c:pt idx="302">
                  <c:v>0</c:v>
                </c:pt>
                <c:pt idx="303">
                  <c:v>3586.4720281922669</c:v>
                </c:pt>
                <c:pt idx="304">
                  <c:v>3360.752424212963</c:v>
                </c:pt>
                <c:pt idx="305">
                  <c:v>8936.3363461116351</c:v>
                </c:pt>
                <c:pt idx="306">
                  <c:v>9033.1602859967606</c:v>
                </c:pt>
                <c:pt idx="307">
                  <c:v>3173.5043426934617</c:v>
                </c:pt>
                <c:pt idx="308">
                  <c:v>8253.2119062426591</c:v>
                </c:pt>
                <c:pt idx="309">
                  <c:v>3014.721736766166</c:v>
                </c:pt>
                <c:pt idx="310">
                  <c:v>0</c:v>
                </c:pt>
                <c:pt idx="311">
                  <c:v>2795.128700768385</c:v>
                </c:pt>
                <c:pt idx="312">
                  <c:v>8482.7895723044257</c:v>
                </c:pt>
                <c:pt idx="313">
                  <c:v>2827.4869989526278</c:v>
                </c:pt>
                <c:pt idx="314">
                  <c:v>8860.1844589240736</c:v>
                </c:pt>
                <c:pt idx="315">
                  <c:v>8933.0961251709105</c:v>
                </c:pt>
                <c:pt idx="316">
                  <c:v>37.180375841092733</c:v>
                </c:pt>
                <c:pt idx="317">
                  <c:v>0</c:v>
                </c:pt>
                <c:pt idx="318">
                  <c:v>10574.468085106384</c:v>
                </c:pt>
                <c:pt idx="319">
                  <c:v>10325.657071339176</c:v>
                </c:pt>
                <c:pt idx="320">
                  <c:v>10325.657071339176</c:v>
                </c:pt>
                <c:pt idx="321">
                  <c:v>10325.657071339176</c:v>
                </c:pt>
                <c:pt idx="322">
                  <c:v>10325.657071339176</c:v>
                </c:pt>
                <c:pt idx="323">
                  <c:v>10325.657071339176</c:v>
                </c:pt>
                <c:pt idx="324">
                  <c:v>13465.906457145509</c:v>
                </c:pt>
                <c:pt idx="325">
                  <c:v>13465.906457145509</c:v>
                </c:pt>
                <c:pt idx="326">
                  <c:v>13465.906457145509</c:v>
                </c:pt>
                <c:pt idx="327">
                  <c:v>13465.906457145509</c:v>
                </c:pt>
                <c:pt idx="328">
                  <c:v>13465.906457145509</c:v>
                </c:pt>
                <c:pt idx="329">
                  <c:v>13465.906457145509</c:v>
                </c:pt>
                <c:pt idx="330">
                  <c:v>13465.906457145509</c:v>
                </c:pt>
                <c:pt idx="331">
                  <c:v>13465.906457145509</c:v>
                </c:pt>
                <c:pt idx="332">
                  <c:v>13465.906457145509</c:v>
                </c:pt>
                <c:pt idx="333">
                  <c:v>13465.906457145509</c:v>
                </c:pt>
                <c:pt idx="334">
                  <c:v>13465.906457145509</c:v>
                </c:pt>
                <c:pt idx="335">
                  <c:v>13465.906457145509</c:v>
                </c:pt>
                <c:pt idx="336">
                  <c:v>13465.906457145509</c:v>
                </c:pt>
                <c:pt idx="337">
                  <c:v>13465.906457145509</c:v>
                </c:pt>
                <c:pt idx="338">
                  <c:v>13465.906457145509</c:v>
                </c:pt>
                <c:pt idx="339">
                  <c:v>13465.906457145509</c:v>
                </c:pt>
                <c:pt idx="340">
                  <c:v>13465.906457145509</c:v>
                </c:pt>
                <c:pt idx="341">
                  <c:v>13465.906457145509</c:v>
                </c:pt>
                <c:pt idx="342">
                  <c:v>13465.906457145509</c:v>
                </c:pt>
                <c:pt idx="343">
                  <c:v>13465.906457145509</c:v>
                </c:pt>
                <c:pt idx="344">
                  <c:v>3225.0722167563076</c:v>
                </c:pt>
                <c:pt idx="345">
                  <c:v>11746.270514507263</c:v>
                </c:pt>
                <c:pt idx="346">
                  <c:v>8719.2170294856278</c:v>
                </c:pt>
                <c:pt idx="347">
                  <c:v>0</c:v>
                </c:pt>
                <c:pt idx="348">
                  <c:v>0</c:v>
                </c:pt>
                <c:pt idx="349">
                  <c:v>0</c:v>
                </c:pt>
                <c:pt idx="350">
                  <c:v>0</c:v>
                </c:pt>
                <c:pt idx="351">
                  <c:v>0</c:v>
                </c:pt>
                <c:pt idx="352">
                  <c:v>0</c:v>
                </c:pt>
                <c:pt idx="353">
                  <c:v>0</c:v>
                </c:pt>
                <c:pt idx="354">
                  <c:v>0</c:v>
                </c:pt>
                <c:pt idx="355">
                  <c:v>0</c:v>
                </c:pt>
                <c:pt idx="356">
                  <c:v>3586.4720281922669</c:v>
                </c:pt>
                <c:pt idx="357">
                  <c:v>3360.752424212963</c:v>
                </c:pt>
                <c:pt idx="358">
                  <c:v>8936.3363461116351</c:v>
                </c:pt>
                <c:pt idx="359">
                  <c:v>9033.1602859967606</c:v>
                </c:pt>
                <c:pt idx="360">
                  <c:v>3173.5043426934617</c:v>
                </c:pt>
                <c:pt idx="361">
                  <c:v>8253.2119062426591</c:v>
                </c:pt>
                <c:pt idx="362">
                  <c:v>3014.721736766166</c:v>
                </c:pt>
                <c:pt idx="363">
                  <c:v>0</c:v>
                </c:pt>
                <c:pt idx="364">
                  <c:v>2795.128700768385</c:v>
                </c:pt>
                <c:pt idx="365">
                  <c:v>8482.7895723044257</c:v>
                </c:pt>
                <c:pt idx="366">
                  <c:v>2827.4869989526278</c:v>
                </c:pt>
                <c:pt idx="367">
                  <c:v>8860.1844589240736</c:v>
                </c:pt>
                <c:pt idx="368">
                  <c:v>8933.0961251709105</c:v>
                </c:pt>
                <c:pt idx="369">
                  <c:v>9302.548255787071</c:v>
                </c:pt>
                <c:pt idx="370">
                  <c:v>9062.2313113949367</c:v>
                </c:pt>
                <c:pt idx="371">
                  <c:v>5253.6319273318131</c:v>
                </c:pt>
                <c:pt idx="372">
                  <c:v>3038.0917074529143</c:v>
                </c:pt>
                <c:pt idx="373">
                  <c:v>0</c:v>
                </c:pt>
                <c:pt idx="374">
                  <c:v>0</c:v>
                </c:pt>
                <c:pt idx="375">
                  <c:v>0</c:v>
                </c:pt>
                <c:pt idx="376">
                  <c:v>0</c:v>
                </c:pt>
                <c:pt idx="377">
                  <c:v>0</c:v>
                </c:pt>
                <c:pt idx="378">
                  <c:v>0</c:v>
                </c:pt>
                <c:pt idx="379">
                  <c:v>0</c:v>
                </c:pt>
                <c:pt idx="380">
                  <c:v>0</c:v>
                </c:pt>
                <c:pt idx="381">
                  <c:v>0</c:v>
                </c:pt>
                <c:pt idx="382">
                  <c:v>13465.906457145509</c:v>
                </c:pt>
                <c:pt idx="383">
                  <c:v>13465.906457145509</c:v>
                </c:pt>
                <c:pt idx="384">
                  <c:v>13465.906457145509</c:v>
                </c:pt>
                <c:pt idx="385">
                  <c:v>13465.906457145509</c:v>
                </c:pt>
                <c:pt idx="386">
                  <c:v>13465.906457145509</c:v>
                </c:pt>
                <c:pt idx="387">
                  <c:v>13465.906457145509</c:v>
                </c:pt>
                <c:pt idx="388">
                  <c:v>13465.906457145509</c:v>
                </c:pt>
                <c:pt idx="389">
                  <c:v>13465.906457145509</c:v>
                </c:pt>
                <c:pt idx="390">
                  <c:v>13465.906457145509</c:v>
                </c:pt>
                <c:pt idx="391">
                  <c:v>13465.906457145509</c:v>
                </c:pt>
                <c:pt idx="392">
                  <c:v>13465.906457145509</c:v>
                </c:pt>
                <c:pt idx="393">
                  <c:v>13465.906457145509</c:v>
                </c:pt>
                <c:pt idx="394">
                  <c:v>13465.906457145509</c:v>
                </c:pt>
                <c:pt idx="395">
                  <c:v>13465.906457145509</c:v>
                </c:pt>
                <c:pt idx="396">
                  <c:v>13465.906457145509</c:v>
                </c:pt>
                <c:pt idx="397">
                  <c:v>13465.906457145509</c:v>
                </c:pt>
                <c:pt idx="398">
                  <c:v>13465.906457145509</c:v>
                </c:pt>
                <c:pt idx="399">
                  <c:v>13465.906457145509</c:v>
                </c:pt>
                <c:pt idx="400">
                  <c:v>13465.906457145509</c:v>
                </c:pt>
                <c:pt idx="401">
                  <c:v>13465.906457145509</c:v>
                </c:pt>
                <c:pt idx="402">
                  <c:v>3225.0722167563076</c:v>
                </c:pt>
                <c:pt idx="403">
                  <c:v>11746.270514507263</c:v>
                </c:pt>
                <c:pt idx="404">
                  <c:v>8719.2170294856278</c:v>
                </c:pt>
                <c:pt idx="405">
                  <c:v>0</c:v>
                </c:pt>
                <c:pt idx="406">
                  <c:v>0</c:v>
                </c:pt>
                <c:pt idx="407">
                  <c:v>0</c:v>
                </c:pt>
                <c:pt idx="408">
                  <c:v>0</c:v>
                </c:pt>
                <c:pt idx="409">
                  <c:v>0</c:v>
                </c:pt>
                <c:pt idx="410">
                  <c:v>0</c:v>
                </c:pt>
                <c:pt idx="411">
                  <c:v>0</c:v>
                </c:pt>
                <c:pt idx="412">
                  <c:v>0</c:v>
                </c:pt>
                <c:pt idx="413">
                  <c:v>0</c:v>
                </c:pt>
                <c:pt idx="414">
                  <c:v>3586.4720281922669</c:v>
                </c:pt>
                <c:pt idx="415">
                  <c:v>3360.752424212963</c:v>
                </c:pt>
                <c:pt idx="416">
                  <c:v>8936.3363461116351</c:v>
                </c:pt>
                <c:pt idx="417">
                  <c:v>9033.1602859967606</c:v>
                </c:pt>
                <c:pt idx="418">
                  <c:v>3173.5043426934617</c:v>
                </c:pt>
                <c:pt idx="419">
                  <c:v>8253.2119062426591</c:v>
                </c:pt>
                <c:pt idx="420">
                  <c:v>3014.721736766166</c:v>
                </c:pt>
                <c:pt idx="421">
                  <c:v>0</c:v>
                </c:pt>
                <c:pt idx="422">
                  <c:v>2795.128700768385</c:v>
                </c:pt>
                <c:pt idx="423">
                  <c:v>8482.7895723044257</c:v>
                </c:pt>
                <c:pt idx="424">
                  <c:v>2827.4869989526278</c:v>
                </c:pt>
                <c:pt idx="425">
                  <c:v>8860.1844589240736</c:v>
                </c:pt>
                <c:pt idx="426">
                  <c:v>8933.0961251709105</c:v>
                </c:pt>
                <c:pt idx="427">
                  <c:v>0</c:v>
                </c:pt>
                <c:pt idx="428">
                  <c:v>0</c:v>
                </c:pt>
                <c:pt idx="429">
                  <c:v>0</c:v>
                </c:pt>
                <c:pt idx="430">
                  <c:v>0</c:v>
                </c:pt>
                <c:pt idx="431">
                  <c:v>0</c:v>
                </c:pt>
                <c:pt idx="432">
                  <c:v>0</c:v>
                </c:pt>
                <c:pt idx="433">
                  <c:v>13465.906457145509</c:v>
                </c:pt>
                <c:pt idx="434">
                  <c:v>13465.906457145509</c:v>
                </c:pt>
                <c:pt idx="435">
                  <c:v>13465.906457145509</c:v>
                </c:pt>
                <c:pt idx="436">
                  <c:v>13465.906457145509</c:v>
                </c:pt>
                <c:pt idx="437">
                  <c:v>13465.906457145509</c:v>
                </c:pt>
                <c:pt idx="438">
                  <c:v>13465.906457145509</c:v>
                </c:pt>
                <c:pt idx="439">
                  <c:v>13465.906457145509</c:v>
                </c:pt>
                <c:pt idx="440">
                  <c:v>13465.906457145509</c:v>
                </c:pt>
                <c:pt idx="441">
                  <c:v>13465.906457145509</c:v>
                </c:pt>
                <c:pt idx="442">
                  <c:v>13465.906457145509</c:v>
                </c:pt>
                <c:pt idx="443">
                  <c:v>13465.906457145509</c:v>
                </c:pt>
                <c:pt idx="444">
                  <c:v>13465.906457145509</c:v>
                </c:pt>
                <c:pt idx="445">
                  <c:v>13465.906457145509</c:v>
                </c:pt>
                <c:pt idx="446">
                  <c:v>13465.906457145509</c:v>
                </c:pt>
                <c:pt idx="447">
                  <c:v>13465.906457145509</c:v>
                </c:pt>
                <c:pt idx="448">
                  <c:v>13465.906457145509</c:v>
                </c:pt>
                <c:pt idx="449">
                  <c:v>13465.906457145509</c:v>
                </c:pt>
                <c:pt idx="450">
                  <c:v>13465.906457145509</c:v>
                </c:pt>
                <c:pt idx="451">
                  <c:v>13465.906457145509</c:v>
                </c:pt>
                <c:pt idx="452">
                  <c:v>13465.906457145509</c:v>
                </c:pt>
                <c:pt idx="453">
                  <c:v>3225.0722167563076</c:v>
                </c:pt>
                <c:pt idx="454">
                  <c:v>11746.270514507263</c:v>
                </c:pt>
                <c:pt idx="455">
                  <c:v>8719.2170294856278</c:v>
                </c:pt>
                <c:pt idx="456">
                  <c:v>0</c:v>
                </c:pt>
                <c:pt idx="457">
                  <c:v>0</c:v>
                </c:pt>
                <c:pt idx="458">
                  <c:v>0</c:v>
                </c:pt>
                <c:pt idx="459">
                  <c:v>0</c:v>
                </c:pt>
                <c:pt idx="460">
                  <c:v>0</c:v>
                </c:pt>
                <c:pt idx="461">
                  <c:v>0</c:v>
                </c:pt>
                <c:pt idx="462">
                  <c:v>0</c:v>
                </c:pt>
                <c:pt idx="463">
                  <c:v>0</c:v>
                </c:pt>
                <c:pt idx="464">
                  <c:v>0</c:v>
                </c:pt>
                <c:pt idx="465">
                  <c:v>3586.4720281922669</c:v>
                </c:pt>
                <c:pt idx="466">
                  <c:v>3360.752424212963</c:v>
                </c:pt>
                <c:pt idx="467">
                  <c:v>8936.3363461116351</c:v>
                </c:pt>
                <c:pt idx="468">
                  <c:v>9033.1602859967606</c:v>
                </c:pt>
                <c:pt idx="469">
                  <c:v>3173.5043426934617</c:v>
                </c:pt>
                <c:pt idx="470">
                  <c:v>8253.2119062426591</c:v>
                </c:pt>
                <c:pt idx="471">
                  <c:v>3014.721736766166</c:v>
                </c:pt>
                <c:pt idx="472">
                  <c:v>0</c:v>
                </c:pt>
                <c:pt idx="473">
                  <c:v>2795.128700768385</c:v>
                </c:pt>
                <c:pt idx="474">
                  <c:v>8482.7895723044257</c:v>
                </c:pt>
                <c:pt idx="475">
                  <c:v>2827.4869989526278</c:v>
                </c:pt>
                <c:pt idx="476">
                  <c:v>8860.1844589240736</c:v>
                </c:pt>
                <c:pt idx="477">
                  <c:v>8933.0961251709105</c:v>
                </c:pt>
                <c:pt idx="478">
                  <c:v>9302.548255787071</c:v>
                </c:pt>
                <c:pt idx="479">
                  <c:v>9124.6482418516316</c:v>
                </c:pt>
                <c:pt idx="480">
                  <c:v>3324.6965681346223</c:v>
                </c:pt>
                <c:pt idx="481">
                  <c:v>0</c:v>
                </c:pt>
                <c:pt idx="482">
                  <c:v>0</c:v>
                </c:pt>
                <c:pt idx="483">
                  <c:v>0</c:v>
                </c:pt>
                <c:pt idx="484">
                  <c:v>0</c:v>
                </c:pt>
                <c:pt idx="485">
                  <c:v>0</c:v>
                </c:pt>
                <c:pt idx="486">
                  <c:v>0</c:v>
                </c:pt>
                <c:pt idx="487">
                  <c:v>13790.386130811665</c:v>
                </c:pt>
                <c:pt idx="488">
                  <c:v>13465.906457145509</c:v>
                </c:pt>
                <c:pt idx="489">
                  <c:v>13465.906457145509</c:v>
                </c:pt>
                <c:pt idx="490">
                  <c:v>13465.906457145509</c:v>
                </c:pt>
                <c:pt idx="491">
                  <c:v>13465.906457145509</c:v>
                </c:pt>
                <c:pt idx="492">
                  <c:v>13465.906457145509</c:v>
                </c:pt>
                <c:pt idx="493">
                  <c:v>13465.906457145509</c:v>
                </c:pt>
                <c:pt idx="494">
                  <c:v>13465.906457145509</c:v>
                </c:pt>
                <c:pt idx="495">
                  <c:v>13465.906457145509</c:v>
                </c:pt>
                <c:pt idx="496">
                  <c:v>13465.906457145509</c:v>
                </c:pt>
                <c:pt idx="497">
                  <c:v>13465.906457145509</c:v>
                </c:pt>
                <c:pt idx="498">
                  <c:v>13465.906457145509</c:v>
                </c:pt>
                <c:pt idx="499">
                  <c:v>13465.906457145509</c:v>
                </c:pt>
                <c:pt idx="500">
                  <c:v>13465.906457145509</c:v>
                </c:pt>
                <c:pt idx="501">
                  <c:v>13465.906457145509</c:v>
                </c:pt>
                <c:pt idx="502">
                  <c:v>13465.906457145509</c:v>
                </c:pt>
                <c:pt idx="503">
                  <c:v>13465.906457145509</c:v>
                </c:pt>
                <c:pt idx="504">
                  <c:v>13465.906457145509</c:v>
                </c:pt>
                <c:pt idx="505">
                  <c:v>13465.906457145509</c:v>
                </c:pt>
                <c:pt idx="506">
                  <c:v>13465.906457145509</c:v>
                </c:pt>
                <c:pt idx="507">
                  <c:v>3225.0722167563076</c:v>
                </c:pt>
                <c:pt idx="508">
                  <c:v>11746.270514507263</c:v>
                </c:pt>
                <c:pt idx="509">
                  <c:v>8719.2170294856278</c:v>
                </c:pt>
                <c:pt idx="510">
                  <c:v>0</c:v>
                </c:pt>
                <c:pt idx="511">
                  <c:v>0</c:v>
                </c:pt>
                <c:pt idx="512">
                  <c:v>0</c:v>
                </c:pt>
                <c:pt idx="513">
                  <c:v>0</c:v>
                </c:pt>
                <c:pt idx="514">
                  <c:v>0</c:v>
                </c:pt>
                <c:pt idx="515">
                  <c:v>0</c:v>
                </c:pt>
                <c:pt idx="516">
                  <c:v>0</c:v>
                </c:pt>
                <c:pt idx="517">
                  <c:v>0</c:v>
                </c:pt>
                <c:pt idx="518">
                  <c:v>0</c:v>
                </c:pt>
                <c:pt idx="519">
                  <c:v>3586.4720281922669</c:v>
                </c:pt>
                <c:pt idx="520">
                  <c:v>8837.3949316118214</c:v>
                </c:pt>
                <c:pt idx="521">
                  <c:v>8936.3363461116351</c:v>
                </c:pt>
                <c:pt idx="522">
                  <c:v>9033.1602859967606</c:v>
                </c:pt>
                <c:pt idx="523">
                  <c:v>9127.8303183932057</c:v>
                </c:pt>
                <c:pt idx="524">
                  <c:v>9220.3329191571211</c:v>
                </c:pt>
                <c:pt idx="525">
                  <c:v>9310.8831519173564</c:v>
                </c:pt>
                <c:pt idx="526">
                  <c:v>9399.4341502905827</c:v>
                </c:pt>
                <c:pt idx="527">
                  <c:v>9485.9291777858452</c:v>
                </c:pt>
                <c:pt idx="528">
                  <c:v>9570.2328940374791</c:v>
                </c:pt>
                <c:pt idx="529">
                  <c:v>8785.5779464729112</c:v>
                </c:pt>
                <c:pt idx="530">
                  <c:v>8860.1844589240736</c:v>
                </c:pt>
              </c:numCache>
            </c:numRef>
          </c:yVal>
          <c:smooth val="1"/>
          <c:extLst>
            <c:ext xmlns:c16="http://schemas.microsoft.com/office/drawing/2014/chart" uri="{C3380CC4-5D6E-409C-BE32-E72D297353CC}">
              <c16:uniqueId val="{00000000-6E9F-4DD0-82A8-7FF5AA961121}"/>
            </c:ext>
          </c:extLst>
        </c:ser>
        <c:dLbls>
          <c:showLegendKey val="0"/>
          <c:showVal val="0"/>
          <c:showCatName val="0"/>
          <c:showSerName val="0"/>
          <c:showPercent val="0"/>
          <c:showBubbleSize val="0"/>
        </c:dLbls>
        <c:axId val="990673936"/>
        <c:axId val="990670328"/>
      </c:scatterChart>
      <c:valAx>
        <c:axId val="99067393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0670328"/>
        <c:crosses val="autoZero"/>
        <c:crossBetween val="midCat"/>
      </c:valAx>
      <c:valAx>
        <c:axId val="9906703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067393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Stored Enegy</c:v>
          </c:tx>
          <c:spPr>
            <a:ln w="19050" cap="rnd">
              <a:solidFill>
                <a:schemeClr val="accent1"/>
              </a:solidFill>
              <a:round/>
            </a:ln>
            <a:effectLst/>
          </c:spPr>
          <c:marker>
            <c:symbol val="none"/>
          </c:marker>
          <c:xVal>
            <c:numRef>
              <c:f>'Hybrid System'!$D$9:$D$539</c:f>
              <c:numCache>
                <c:formatCode>General</c:formatCode>
                <c:ptCount val="531"/>
                <c:pt idx="0">
                  <c:v>0.15641098600795228</c:v>
                </c:pt>
                <c:pt idx="1">
                  <c:v>0.31282197201590456</c:v>
                </c:pt>
                <c:pt idx="2">
                  <c:v>0.46652819729759426</c:v>
                </c:pt>
                <c:pt idx="3">
                  <c:v>0.61821659565334874</c:v>
                </c:pt>
                <c:pt idx="4">
                  <c:v>0.76726440139832275</c:v>
                </c:pt>
                <c:pt idx="5">
                  <c:v>0.91453111668329279</c:v>
                </c:pt>
                <c:pt idx="6">
                  <c:v>1.0606994456206014</c:v>
                </c:pt>
                <c:pt idx="7">
                  <c:v>1.2062667414741899</c:v>
                </c:pt>
                <c:pt idx="8">
                  <c:v>1.3509993984328452</c:v>
                </c:pt>
                <c:pt idx="9">
                  <c:v>1.4950405299806728</c:v>
                </c:pt>
                <c:pt idx="10">
                  <c:v>1.6384243493375215</c:v>
                </c:pt>
                <c:pt idx="11">
                  <c:v>1.7809630191798478</c:v>
                </c:pt>
                <c:pt idx="12">
                  <c:v>1.9230978849269811</c:v>
                </c:pt>
                <c:pt idx="13">
                  <c:v>2.0644079771874693</c:v>
                </c:pt>
                <c:pt idx="14">
                  <c:v>2.2055127906780867</c:v>
                </c:pt>
                <c:pt idx="15">
                  <c:v>2.3459067758744956</c:v>
                </c:pt>
                <c:pt idx="16">
                  <c:v>2.4860355824503122</c:v>
                </c:pt>
                <c:pt idx="17">
                  <c:v>2.6255543042077258</c:v>
                </c:pt>
                <c:pt idx="18">
                  <c:v>2.7647294369195188</c:v>
                </c:pt>
                <c:pt idx="19">
                  <c:v>2.9034316690981066</c:v>
                </c:pt>
                <c:pt idx="20">
                  <c:v>3.0416838520757219</c:v>
                </c:pt>
                <c:pt idx="21">
                  <c:v>3.1816706798784327</c:v>
                </c:pt>
                <c:pt idx="22">
                  <c:v>3.324311800842477</c:v>
                </c:pt>
                <c:pt idx="23">
                  <c:v>3.467813942161531</c:v>
                </c:pt>
                <c:pt idx="24">
                  <c:v>3.6135674622989913</c:v>
                </c:pt>
                <c:pt idx="25">
                  <c:v>3.758763202887542</c:v>
                </c:pt>
                <c:pt idx="26">
                  <c:v>3.9036010591169643</c:v>
                </c:pt>
                <c:pt idx="27">
                  <c:v>4.0479931141402066</c:v>
                </c:pt>
                <c:pt idx="28">
                  <c:v>4.1921820837796693</c:v>
                </c:pt>
                <c:pt idx="29">
                  <c:v>4.336158450072519</c:v>
                </c:pt>
                <c:pt idx="30">
                  <c:v>4.4800567211109561</c:v>
                </c:pt>
                <c:pt idx="31">
                  <c:v>4.6246206805125318</c:v>
                </c:pt>
                <c:pt idx="32">
                  <c:v>4.7692775951420519</c:v>
                </c:pt>
                <c:pt idx="33">
                  <c:v>4.9141761560192059</c:v>
                </c:pt>
                <c:pt idx="34">
                  <c:v>5.0680746190336734</c:v>
                </c:pt>
                <c:pt idx="35">
                  <c:v>5.2311101237377509</c:v>
                </c:pt>
                <c:pt idx="36">
                  <c:v>5.4119262587343853</c:v>
                </c:pt>
                <c:pt idx="37">
                  <c:v>5.6088476296069407</c:v>
                </c:pt>
                <c:pt idx="38">
                  <c:v>5.8262828789691312</c:v>
                </c:pt>
                <c:pt idx="39">
                  <c:v>6.0721113523302117</c:v>
                </c:pt>
                <c:pt idx="40">
                  <c:v>6.3599855276597159</c:v>
                </c:pt>
                <c:pt idx="41">
                  <c:v>6.8496636675968174</c:v>
                </c:pt>
                <c:pt idx="42">
                  <c:v>7.3649972580733127</c:v>
                </c:pt>
                <c:pt idx="43">
                  <c:v>7.8827824899594203</c:v>
                </c:pt>
                <c:pt idx="44">
                  <c:v>8.4036800644413141</c:v>
                </c:pt>
                <c:pt idx="45">
                  <c:v>8.9274182905750123</c:v>
                </c:pt>
                <c:pt idx="46">
                  <c:v>9.4540683527531328</c:v>
                </c:pt>
                <c:pt idx="47">
                  <c:v>9.9829136099114457</c:v>
                </c:pt>
                <c:pt idx="48">
                  <c:v>10.514462368587782</c:v>
                </c:pt>
                <c:pt idx="49">
                  <c:v>11.047311143138037</c:v>
                </c:pt>
                <c:pt idx="50">
                  <c:v>11.511478313061266</c:v>
                </c:pt>
                <c:pt idx="51">
                  <c:v>11.927473903619534</c:v>
                </c:pt>
                <c:pt idx="52">
                  <c:v>12.306772982696176</c:v>
                </c:pt>
                <c:pt idx="53">
                  <c:v>12.657726817101764</c:v>
                </c:pt>
                <c:pt idx="54">
                  <c:v>12.986399243633905</c:v>
                </c:pt>
                <c:pt idx="55">
                  <c:v>13.29707032841057</c:v>
                </c:pt>
                <c:pt idx="56">
                  <c:v>13.592513447785249</c:v>
                </c:pt>
                <c:pt idx="57">
                  <c:v>13.874797475220261</c:v>
                </c:pt>
                <c:pt idx="58">
                  <c:v>14.145584326131207</c:v>
                </c:pt>
                <c:pt idx="59">
                  <c:v>14.406270942255668</c:v>
                </c:pt>
                <c:pt idx="60">
                  <c:v>14.658098117264025</c:v>
                </c:pt>
                <c:pt idx="61">
                  <c:v>14.901972489592842</c:v>
                </c:pt>
                <c:pt idx="62">
                  <c:v>15.138753161802374</c:v>
                </c:pt>
                <c:pt idx="63">
                  <c:v>15.369175096468682</c:v>
                </c:pt>
                <c:pt idx="64">
                  <c:v>15.593802044947974</c:v>
                </c:pt>
                <c:pt idx="65">
                  <c:v>15.813154005701902</c:v>
                </c:pt>
                <c:pt idx="66">
                  <c:v>16.027554258466132</c:v>
                </c:pt>
                <c:pt idx="67">
                  <c:v>16.237509036188698</c:v>
                </c:pt>
                <c:pt idx="68">
                  <c:v>16.469552501288458</c:v>
                </c:pt>
                <c:pt idx="69">
                  <c:v>16.732292094272257</c:v>
                </c:pt>
                <c:pt idx="70">
                  <c:v>17.041720260421968</c:v>
                </c:pt>
                <c:pt idx="71">
                  <c:v>17.547127392584741</c:v>
                </c:pt>
                <c:pt idx="72">
                  <c:v>18.109018184750408</c:v>
                </c:pt>
                <c:pt idx="73">
                  <c:v>18.596390591345976</c:v>
                </c:pt>
                <c:pt idx="74">
                  <c:v>19.033170353516688</c:v>
                </c:pt>
                <c:pt idx="75">
                  <c:v>19.432812827286632</c:v>
                </c:pt>
                <c:pt idx="76">
                  <c:v>19.803733416948042</c:v>
                </c:pt>
                <c:pt idx="77">
                  <c:v>20.151487486874263</c:v>
                </c:pt>
                <c:pt idx="78">
                  <c:v>20.480141534364996</c:v>
                </c:pt>
                <c:pt idx="79">
                  <c:v>20.792776683322774</c:v>
                </c:pt>
                <c:pt idx="80">
                  <c:v>21.091491775286986</c:v>
                </c:pt>
                <c:pt idx="81">
                  <c:v>21.378148960632437</c:v>
                </c:pt>
                <c:pt idx="82">
                  <c:v>21.654165498800531</c:v>
                </c:pt>
                <c:pt idx="83">
                  <c:v>21.92074179643425</c:v>
                </c:pt>
                <c:pt idx="84">
                  <c:v>22.178907249416838</c:v>
                </c:pt>
                <c:pt idx="85">
                  <c:v>22.429500178770084</c:v>
                </c:pt>
                <c:pt idx="86">
                  <c:v>22.67330031530253</c:v>
                </c:pt>
                <c:pt idx="87">
                  <c:v>22.910727188795374</c:v>
                </c:pt>
                <c:pt idx="88">
                  <c:v>23.141740463933587</c:v>
                </c:pt>
                <c:pt idx="89">
                  <c:v>23.367398501853248</c:v>
                </c:pt>
                <c:pt idx="90">
                  <c:v>23.58817119326601</c:v>
                </c:pt>
                <c:pt idx="91">
                  <c:v>23.804430042435087</c:v>
                </c:pt>
                <c:pt idx="92">
                  <c:v>24.021443856372461</c:v>
                </c:pt>
                <c:pt idx="93">
                  <c:v>24.236841730340231</c:v>
                </c:pt>
                <c:pt idx="94">
                  <c:v>24.450700184410909</c:v>
                </c:pt>
                <c:pt idx="95">
                  <c:v>24.663086340268208</c:v>
                </c:pt>
                <c:pt idx="96">
                  <c:v>24.874004481908372</c:v>
                </c:pt>
                <c:pt idx="97">
                  <c:v>25.083387023315648</c:v>
                </c:pt>
                <c:pt idx="98">
                  <c:v>25.291039927618097</c:v>
                </c:pt>
                <c:pt idx="99">
                  <c:v>25.496961060589893</c:v>
                </c:pt>
                <c:pt idx="100">
                  <c:v>25.701303120682077</c:v>
                </c:pt>
                <c:pt idx="101">
                  <c:v>25.904159162360287</c:v>
                </c:pt>
                <c:pt idx="102">
                  <c:v>26.105578380476544</c:v>
                </c:pt>
                <c:pt idx="103">
                  <c:v>26.305635994683971</c:v>
                </c:pt>
                <c:pt idx="104">
                  <c:v>26.504423519629118</c:v>
                </c:pt>
                <c:pt idx="105">
                  <c:v>26.702009483641699</c:v>
                </c:pt>
                <c:pt idx="106">
                  <c:v>26.898493247037344</c:v>
                </c:pt>
                <c:pt idx="107">
                  <c:v>27.093951791260622</c:v>
                </c:pt>
                <c:pt idx="108">
                  <c:v>27.288423691637167</c:v>
                </c:pt>
                <c:pt idx="109">
                  <c:v>27.481987717238994</c:v>
                </c:pt>
                <c:pt idx="110">
                  <c:v>27.674662274017521</c:v>
                </c:pt>
                <c:pt idx="111">
                  <c:v>27.866530727001837</c:v>
                </c:pt>
                <c:pt idx="112">
                  <c:v>28.057738037859007</c:v>
                </c:pt>
                <c:pt idx="113">
                  <c:v>28.263107105276983</c:v>
                </c:pt>
                <c:pt idx="114">
                  <c:v>28.486027601609429</c:v>
                </c:pt>
                <c:pt idx="115">
                  <c:v>28.731500800241037</c:v>
                </c:pt>
                <c:pt idx="116">
                  <c:v>28.971363942591829</c:v>
                </c:pt>
                <c:pt idx="117">
                  <c:v>29.205895846778819</c:v>
                </c:pt>
                <c:pt idx="118">
                  <c:v>29.441180448439184</c:v>
                </c:pt>
                <c:pt idx="119">
                  <c:v>29.674522511095265</c:v>
                </c:pt>
                <c:pt idx="120">
                  <c:v>29.905835401153603</c:v>
                </c:pt>
                <c:pt idx="121">
                  <c:v>30.13506006263027</c:v>
                </c:pt>
                <c:pt idx="122">
                  <c:v>30.36187464041161</c:v>
                </c:pt>
                <c:pt idx="123">
                  <c:v>30.586451919961441</c:v>
                </c:pt>
                <c:pt idx="124">
                  <c:v>30.808957487943083</c:v>
                </c:pt>
                <c:pt idx="125">
                  <c:v>31.029331815941294</c:v>
                </c:pt>
                <c:pt idx="126">
                  <c:v>31.247625932210983</c:v>
                </c:pt>
                <c:pt idx="127">
                  <c:v>31.464051188534057</c:v>
                </c:pt>
                <c:pt idx="128">
                  <c:v>31.678729868498738</c:v>
                </c:pt>
                <c:pt idx="129">
                  <c:v>31.891751364278417</c:v>
                </c:pt>
                <c:pt idx="130">
                  <c:v>32.103200085212769</c:v>
                </c:pt>
                <c:pt idx="131">
                  <c:v>32.31322541784985</c:v>
                </c:pt>
                <c:pt idx="132">
                  <c:v>32.521906717921233</c:v>
                </c:pt>
                <c:pt idx="133">
                  <c:v>32.72934931864512</c:v>
                </c:pt>
                <c:pt idx="134">
                  <c:v>32.935636676790132</c:v>
                </c:pt>
                <c:pt idx="135">
                  <c:v>33.140817839076803</c:v>
                </c:pt>
                <c:pt idx="136">
                  <c:v>33.344892498983917</c:v>
                </c:pt>
                <c:pt idx="137">
                  <c:v>33.564803048328898</c:v>
                </c:pt>
                <c:pt idx="138">
                  <c:v>33.804786377545817</c:v>
                </c:pt>
                <c:pt idx="139">
                  <c:v>34.071381696921357</c:v>
                </c:pt>
                <c:pt idx="140">
                  <c:v>34.37536476239206</c:v>
                </c:pt>
                <c:pt idx="141">
                  <c:v>34.737409203302768</c:v>
                </c:pt>
                <c:pt idx="142">
                  <c:v>35.081447545876635</c:v>
                </c:pt>
                <c:pt idx="143">
                  <c:v>35.409897846647787</c:v>
                </c:pt>
                <c:pt idx="144">
                  <c:v>35.724671162832131</c:v>
                </c:pt>
                <c:pt idx="145">
                  <c:v>36.027232723904902</c:v>
                </c:pt>
                <c:pt idx="146">
                  <c:v>36.318855556293023</c:v>
                </c:pt>
                <c:pt idx="147">
                  <c:v>36.600684099616814</c:v>
                </c:pt>
                <c:pt idx="148">
                  <c:v>36.873660364542353</c:v>
                </c:pt>
                <c:pt idx="149">
                  <c:v>37.138644148736354</c:v>
                </c:pt>
                <c:pt idx="150">
                  <c:v>37.396356788266843</c:v>
                </c:pt>
                <c:pt idx="151">
                  <c:v>37.647395153618454</c:v>
                </c:pt>
                <c:pt idx="152">
                  <c:v>37.898789363202845</c:v>
                </c:pt>
                <c:pt idx="153">
                  <c:v>38.147369844557645</c:v>
                </c:pt>
                <c:pt idx="154">
                  <c:v>38.393272197417765</c:v>
                </c:pt>
                <c:pt idx="155">
                  <c:v>38.636703136193198</c:v>
                </c:pt>
                <c:pt idx="156">
                  <c:v>38.877712930975989</c:v>
                </c:pt>
                <c:pt idx="157">
                  <c:v>39.116397818501319</c:v>
                </c:pt>
                <c:pt idx="158">
                  <c:v>39.378185650269401</c:v>
                </c:pt>
                <c:pt idx="159">
                  <c:v>39.646351666893658</c:v>
                </c:pt>
                <c:pt idx="160">
                  <c:v>39.921267849729318</c:v>
                </c:pt>
                <c:pt idx="161">
                  <c:v>40.200040312736576</c:v>
                </c:pt>
                <c:pt idx="162">
                  <c:v>40.48287814081489</c:v>
                </c:pt>
                <c:pt idx="163">
                  <c:v>40.766489576020817</c:v>
                </c:pt>
                <c:pt idx="164">
                  <c:v>41.050623016274358</c:v>
                </c:pt>
                <c:pt idx="165">
                  <c:v>41.335121698303332</c:v>
                </c:pt>
                <c:pt idx="166">
                  <c:v>41.619983099317743</c:v>
                </c:pt>
                <c:pt idx="167">
                  <c:v>41.905305627814755</c:v>
                </c:pt>
                <c:pt idx="168">
                  <c:v>42.191052252697311</c:v>
                </c:pt>
                <c:pt idx="169">
                  <c:v>42.477185942868452</c:v>
                </c:pt>
                <c:pt idx="170">
                  <c:v>42.76368944417451</c:v>
                </c:pt>
                <c:pt idx="171">
                  <c:v>43.050560733660774</c:v>
                </c:pt>
                <c:pt idx="172">
                  <c:v>43.337809449881327</c:v>
                </c:pt>
                <c:pt idx="173">
                  <c:v>43.625446754510172</c:v>
                </c:pt>
                <c:pt idx="174">
                  <c:v>43.913498516970506</c:v>
                </c:pt>
                <c:pt idx="175">
                  <c:v>44.201972852696343</c:v>
                </c:pt>
                <c:pt idx="176">
                  <c:v>44.490874331047436</c:v>
                </c:pt>
                <c:pt idx="177">
                  <c:v>44.780217659772717</c:v>
                </c:pt>
                <c:pt idx="178">
                  <c:v>45.070028208459902</c:v>
                </c:pt>
                <c:pt idx="179">
                  <c:v>45.360360762194759</c:v>
                </c:pt>
                <c:pt idx="180">
                  <c:v>45.651274675422094</c:v>
                </c:pt>
                <c:pt idx="181">
                  <c:v>45.94278617901098</c:v>
                </c:pt>
                <c:pt idx="182">
                  <c:v>46.230092502770475</c:v>
                </c:pt>
                <c:pt idx="183">
                  <c:v>46.508833535774052</c:v>
                </c:pt>
                <c:pt idx="184">
                  <c:v>46.779795838876339</c:v>
                </c:pt>
                <c:pt idx="185">
                  <c:v>47.043615188183807</c:v>
                </c:pt>
                <c:pt idx="186">
                  <c:v>47.30794564045113</c:v>
                </c:pt>
                <c:pt idx="187">
                  <c:v>47.569202738301534</c:v>
                </c:pt>
                <c:pt idx="188">
                  <c:v>47.826854331493109</c:v>
                </c:pt>
                <c:pt idx="189">
                  <c:v>48.079051259825484</c:v>
                </c:pt>
                <c:pt idx="190">
                  <c:v>48.324575984617937</c:v>
                </c:pt>
                <c:pt idx="191">
                  <c:v>48.563223627694057</c:v>
                </c:pt>
                <c:pt idx="192">
                  <c:v>48.795120064475604</c:v>
                </c:pt>
                <c:pt idx="193">
                  <c:v>49.020581060270274</c:v>
                </c:pt>
                <c:pt idx="194">
                  <c:v>49.235877179193956</c:v>
                </c:pt>
                <c:pt idx="195">
                  <c:v>49.445288294080903</c:v>
                </c:pt>
                <c:pt idx="196">
                  <c:v>49.64912470898917</c:v>
                </c:pt>
                <c:pt idx="197">
                  <c:v>49.847565739826081</c:v>
                </c:pt>
                <c:pt idx="198">
                  <c:v>50.040646258635824</c:v>
                </c:pt>
                <c:pt idx="199">
                  <c:v>50.228408298966997</c:v>
                </c:pt>
                <c:pt idx="200">
                  <c:v>50.41126033725898</c:v>
                </c:pt>
                <c:pt idx="201">
                  <c:v>50.58925746847595</c:v>
                </c:pt>
                <c:pt idx="202">
                  <c:v>50.762368796149985</c:v>
                </c:pt>
                <c:pt idx="203">
                  <c:v>50.940311071519901</c:v>
                </c:pt>
                <c:pt idx="204">
                  <c:v>51.117527460218341</c:v>
                </c:pt>
                <c:pt idx="205">
                  <c:v>51.296254039230121</c:v>
                </c:pt>
                <c:pt idx="206">
                  <c:v>51.480452423962888</c:v>
                </c:pt>
                <c:pt idx="207">
                  <c:v>51.670467196432377</c:v>
                </c:pt>
                <c:pt idx="208">
                  <c:v>51.866767677300906</c:v>
                </c:pt>
                <c:pt idx="209">
                  <c:v>52.146767677300907</c:v>
                </c:pt>
                <c:pt idx="210">
                  <c:v>52.426767677300909</c:v>
                </c:pt>
                <c:pt idx="211">
                  <c:v>52.71090111755445</c:v>
                </c:pt>
                <c:pt idx="212">
                  <c:v>52.995399799583424</c:v>
                </c:pt>
                <c:pt idx="213">
                  <c:v>53.280261200597835</c:v>
                </c:pt>
                <c:pt idx="214">
                  <c:v>53.565583729094847</c:v>
                </c:pt>
                <c:pt idx="215">
                  <c:v>53.851330353977403</c:v>
                </c:pt>
                <c:pt idx="216">
                  <c:v>54.137464044148544</c:v>
                </c:pt>
                <c:pt idx="217">
                  <c:v>54.423967545454602</c:v>
                </c:pt>
                <c:pt idx="218">
                  <c:v>54.710838834940866</c:v>
                </c:pt>
                <c:pt idx="219">
                  <c:v>54.990838834940867</c:v>
                </c:pt>
                <c:pt idx="220">
                  <c:v>55.274972275194408</c:v>
                </c:pt>
                <c:pt idx="221">
                  <c:v>55.559470957223382</c:v>
                </c:pt>
                <c:pt idx="222">
                  <c:v>55.844332358237793</c:v>
                </c:pt>
                <c:pt idx="223">
                  <c:v>56.129654886734805</c:v>
                </c:pt>
                <c:pt idx="224">
                  <c:v>56.415401511617361</c:v>
                </c:pt>
                <c:pt idx="225">
                  <c:v>56.701535201788502</c:v>
                </c:pt>
                <c:pt idx="226">
                  <c:v>56.98803870309456</c:v>
                </c:pt>
                <c:pt idx="227">
                  <c:v>57.274909992580824</c:v>
                </c:pt>
                <c:pt idx="228">
                  <c:v>57.562158708801377</c:v>
                </c:pt>
                <c:pt idx="229">
                  <c:v>57.849796013430222</c:v>
                </c:pt>
                <c:pt idx="230">
                  <c:v>58.137847775890556</c:v>
                </c:pt>
                <c:pt idx="231">
                  <c:v>58.426322111616393</c:v>
                </c:pt>
                <c:pt idx="232">
                  <c:v>58.715223589967486</c:v>
                </c:pt>
                <c:pt idx="233">
                  <c:v>59.004566918692767</c:v>
                </c:pt>
                <c:pt idx="234">
                  <c:v>59.294377467379952</c:v>
                </c:pt>
                <c:pt idx="235">
                  <c:v>59.584710021114809</c:v>
                </c:pt>
                <c:pt idx="236">
                  <c:v>59.875623934342144</c:v>
                </c:pt>
                <c:pt idx="237">
                  <c:v>60.16713543793103</c:v>
                </c:pt>
                <c:pt idx="238">
                  <c:v>60.454441761690525</c:v>
                </c:pt>
                <c:pt idx="239">
                  <c:v>60.733182794694102</c:v>
                </c:pt>
                <c:pt idx="240">
                  <c:v>61.004145097796389</c:v>
                </c:pt>
                <c:pt idx="241">
                  <c:v>61.267964447103857</c:v>
                </c:pt>
                <c:pt idx="242">
                  <c:v>61.53229489937118</c:v>
                </c:pt>
                <c:pt idx="243">
                  <c:v>61.793551997221584</c:v>
                </c:pt>
                <c:pt idx="244">
                  <c:v>62.051203590413159</c:v>
                </c:pt>
                <c:pt idx="245">
                  <c:v>62.303400518745534</c:v>
                </c:pt>
                <c:pt idx="246">
                  <c:v>62.548925243537987</c:v>
                </c:pt>
                <c:pt idx="247">
                  <c:v>62.787572886614107</c:v>
                </c:pt>
                <c:pt idx="248">
                  <c:v>63.019469323395654</c:v>
                </c:pt>
                <c:pt idx="249">
                  <c:v>63.244930319190324</c:v>
                </c:pt>
                <c:pt idx="250">
                  <c:v>63.460226438114006</c:v>
                </c:pt>
                <c:pt idx="251">
                  <c:v>63.669637553000953</c:v>
                </c:pt>
                <c:pt idx="252">
                  <c:v>63.87347396790922</c:v>
                </c:pt>
                <c:pt idx="253">
                  <c:v>64.071914998746124</c:v>
                </c:pt>
                <c:pt idx="254">
                  <c:v>64.264995517555874</c:v>
                </c:pt>
                <c:pt idx="255">
                  <c:v>64.452757557887054</c:v>
                </c:pt>
                <c:pt idx="256">
                  <c:v>64.635609596179037</c:v>
                </c:pt>
                <c:pt idx="257">
                  <c:v>64.813606727396007</c:v>
                </c:pt>
                <c:pt idx="258">
                  <c:v>64.986718055070043</c:v>
                </c:pt>
                <c:pt idx="259">
                  <c:v>65.154771034553079</c:v>
                </c:pt>
                <c:pt idx="260">
                  <c:v>65.31784168482541</c:v>
                </c:pt>
                <c:pt idx="261">
                  <c:v>65.476469838176442</c:v>
                </c:pt>
                <c:pt idx="262">
                  <c:v>65.630800447121345</c:v>
                </c:pt>
                <c:pt idx="263">
                  <c:v>65.780706675806996</c:v>
                </c:pt>
                <c:pt idx="264">
                  <c:v>65.926109423536673</c:v>
                </c:pt>
                <c:pt idx="265">
                  <c:v>69.702799889032789</c:v>
                </c:pt>
                <c:pt idx="266">
                  <c:v>72.940941769100448</c:v>
                </c:pt>
                <c:pt idx="267">
                  <c:v>73.037842556805998</c:v>
                </c:pt>
                <c:pt idx="268">
                  <c:v>73.161113757447239</c:v>
                </c:pt>
                <c:pt idx="269">
                  <c:v>73.290985133519143</c:v>
                </c:pt>
                <c:pt idx="270">
                  <c:v>73.445255513925858</c:v>
                </c:pt>
                <c:pt idx="271">
                  <c:v>73.611355242407527</c:v>
                </c:pt>
                <c:pt idx="272">
                  <c:v>73.891355242407528</c:v>
                </c:pt>
                <c:pt idx="273">
                  <c:v>74.153389415085798</c:v>
                </c:pt>
                <c:pt idx="274">
                  <c:v>74.437888097114765</c:v>
                </c:pt>
                <c:pt idx="275">
                  <c:v>74.722749498129176</c:v>
                </c:pt>
                <c:pt idx="276">
                  <c:v>75.008072026626195</c:v>
                </c:pt>
                <c:pt idx="277">
                  <c:v>75.293818651508744</c:v>
                </c:pt>
                <c:pt idx="278">
                  <c:v>75.579952341679885</c:v>
                </c:pt>
                <c:pt idx="279">
                  <c:v>75.866455842985943</c:v>
                </c:pt>
                <c:pt idx="280">
                  <c:v>76.153327132472199</c:v>
                </c:pt>
                <c:pt idx="281">
                  <c:v>76.440575848692745</c:v>
                </c:pt>
                <c:pt idx="282">
                  <c:v>76.72821315332159</c:v>
                </c:pt>
                <c:pt idx="283">
                  <c:v>77.016264915781917</c:v>
                </c:pt>
                <c:pt idx="284">
                  <c:v>77.304739251507755</c:v>
                </c:pt>
                <c:pt idx="285">
                  <c:v>77.593640729858848</c:v>
                </c:pt>
                <c:pt idx="286">
                  <c:v>77.882984058584128</c:v>
                </c:pt>
                <c:pt idx="287">
                  <c:v>78.172794607271314</c:v>
                </c:pt>
                <c:pt idx="288">
                  <c:v>78.46312716100617</c:v>
                </c:pt>
                <c:pt idx="289">
                  <c:v>78.754041074233498</c:v>
                </c:pt>
                <c:pt idx="290">
                  <c:v>79.045552577822392</c:v>
                </c:pt>
                <c:pt idx="291">
                  <c:v>79.332858901581886</c:v>
                </c:pt>
                <c:pt idx="292">
                  <c:v>79.61159993458547</c:v>
                </c:pt>
                <c:pt idx="293">
                  <c:v>79.88256223768775</c:v>
                </c:pt>
                <c:pt idx="294">
                  <c:v>80.146381586995219</c:v>
                </c:pt>
                <c:pt idx="295">
                  <c:v>80.410712039262535</c:v>
                </c:pt>
                <c:pt idx="296">
                  <c:v>80.671969137112939</c:v>
                </c:pt>
                <c:pt idx="297">
                  <c:v>80.929620730304507</c:v>
                </c:pt>
                <c:pt idx="298">
                  <c:v>81.181817658636888</c:v>
                </c:pt>
                <c:pt idx="299">
                  <c:v>81.427342383429348</c:v>
                </c:pt>
                <c:pt idx="300">
                  <c:v>81.665990026505469</c:v>
                </c:pt>
                <c:pt idx="301">
                  <c:v>81.897886463287008</c:v>
                </c:pt>
                <c:pt idx="302">
                  <c:v>82.123347459081671</c:v>
                </c:pt>
                <c:pt idx="303">
                  <c:v>82.33864357800536</c:v>
                </c:pt>
                <c:pt idx="304">
                  <c:v>82.548054692892308</c:v>
                </c:pt>
                <c:pt idx="305">
                  <c:v>82.751891107800574</c:v>
                </c:pt>
                <c:pt idx="306">
                  <c:v>82.950332138637478</c:v>
                </c:pt>
                <c:pt idx="307">
                  <c:v>83.143412657447229</c:v>
                </c:pt>
                <c:pt idx="308">
                  <c:v>83.331174697778408</c:v>
                </c:pt>
                <c:pt idx="309">
                  <c:v>83.514026736070392</c:v>
                </c:pt>
                <c:pt idx="310">
                  <c:v>83.692023867287361</c:v>
                </c:pt>
                <c:pt idx="311">
                  <c:v>83.865135194961397</c:v>
                </c:pt>
                <c:pt idx="312">
                  <c:v>84.033188174444433</c:v>
                </c:pt>
                <c:pt idx="313">
                  <c:v>84.196258824716764</c:v>
                </c:pt>
                <c:pt idx="314">
                  <c:v>84.354886978067796</c:v>
                </c:pt>
                <c:pt idx="315">
                  <c:v>84.509217587012699</c:v>
                </c:pt>
                <c:pt idx="316">
                  <c:v>84.66055678632469</c:v>
                </c:pt>
                <c:pt idx="317">
                  <c:v>84.812243521541276</c:v>
                </c:pt>
                <c:pt idx="318">
                  <c:v>89.788588605489096</c:v>
                </c:pt>
                <c:pt idx="319">
                  <c:v>110.62880292458665</c:v>
                </c:pt>
                <c:pt idx="320">
                  <c:v>110.76994693714151</c:v>
                </c:pt>
                <c:pt idx="321">
                  <c:v>110.91266203403381</c:v>
                </c:pt>
                <c:pt idx="322">
                  <c:v>111.05697560780628</c:v>
                </c:pt>
                <c:pt idx="323">
                  <c:v>111.20697560780629</c:v>
                </c:pt>
                <c:pt idx="324">
                  <c:v>111.35427408714634</c:v>
                </c:pt>
                <c:pt idx="325">
                  <c:v>111.53880408714633</c:v>
                </c:pt>
                <c:pt idx="326">
                  <c:v>111.82293752739987</c:v>
                </c:pt>
                <c:pt idx="327">
                  <c:v>112.10743620942884</c:v>
                </c:pt>
                <c:pt idx="328">
                  <c:v>112.39229761044325</c:v>
                </c:pt>
                <c:pt idx="329">
                  <c:v>112.67762013894027</c:v>
                </c:pt>
                <c:pt idx="330">
                  <c:v>112.96336676382282</c:v>
                </c:pt>
                <c:pt idx="331">
                  <c:v>113.24950045399396</c:v>
                </c:pt>
                <c:pt idx="332">
                  <c:v>113.53600395530002</c:v>
                </c:pt>
                <c:pt idx="333">
                  <c:v>113.82287524478627</c:v>
                </c:pt>
                <c:pt idx="334">
                  <c:v>114.11012396100682</c:v>
                </c:pt>
                <c:pt idx="335">
                  <c:v>114.39776126563567</c:v>
                </c:pt>
                <c:pt idx="336">
                  <c:v>114.68581302809599</c:v>
                </c:pt>
                <c:pt idx="337">
                  <c:v>114.97428736382183</c:v>
                </c:pt>
                <c:pt idx="338">
                  <c:v>115.26318884217292</c:v>
                </c:pt>
                <c:pt idx="339">
                  <c:v>115.5525321708982</c:v>
                </c:pt>
                <c:pt idx="340">
                  <c:v>115.84234271958539</c:v>
                </c:pt>
                <c:pt idx="341">
                  <c:v>116.13267527332025</c:v>
                </c:pt>
                <c:pt idx="342">
                  <c:v>116.42358918654757</c:v>
                </c:pt>
                <c:pt idx="343">
                  <c:v>116.71510069013647</c:v>
                </c:pt>
                <c:pt idx="344">
                  <c:v>117.00240701389596</c:v>
                </c:pt>
                <c:pt idx="345">
                  <c:v>117.28114804689955</c:v>
                </c:pt>
                <c:pt idx="346">
                  <c:v>117.55211035000183</c:v>
                </c:pt>
                <c:pt idx="347">
                  <c:v>117.81592969930929</c:v>
                </c:pt>
                <c:pt idx="348">
                  <c:v>118.08026015157661</c:v>
                </c:pt>
                <c:pt idx="349">
                  <c:v>118.34151724942701</c:v>
                </c:pt>
                <c:pt idx="350">
                  <c:v>118.59916884261858</c:v>
                </c:pt>
                <c:pt idx="351">
                  <c:v>118.85136577095096</c:v>
                </c:pt>
                <c:pt idx="352">
                  <c:v>119.09689049574342</c:v>
                </c:pt>
                <c:pt idx="353">
                  <c:v>119.33553813881954</c:v>
                </c:pt>
                <c:pt idx="354">
                  <c:v>119.56743457560108</c:v>
                </c:pt>
                <c:pt idx="355">
                  <c:v>119.79289557139575</c:v>
                </c:pt>
                <c:pt idx="356">
                  <c:v>120.00819169031944</c:v>
                </c:pt>
                <c:pt idx="357">
                  <c:v>120.21760280520638</c:v>
                </c:pt>
                <c:pt idx="358">
                  <c:v>120.42143922011465</c:v>
                </c:pt>
                <c:pt idx="359">
                  <c:v>120.61988025095155</c:v>
                </c:pt>
                <c:pt idx="360">
                  <c:v>120.8129607697613</c:v>
                </c:pt>
                <c:pt idx="361">
                  <c:v>121.00072281009248</c:v>
                </c:pt>
                <c:pt idx="362">
                  <c:v>121.18357484838447</c:v>
                </c:pt>
                <c:pt idx="363">
                  <c:v>121.36157197960144</c:v>
                </c:pt>
                <c:pt idx="364">
                  <c:v>121.53468330727547</c:v>
                </c:pt>
                <c:pt idx="365">
                  <c:v>121.70273628675851</c:v>
                </c:pt>
                <c:pt idx="366">
                  <c:v>121.86580693703084</c:v>
                </c:pt>
                <c:pt idx="367">
                  <c:v>122.02443509038187</c:v>
                </c:pt>
                <c:pt idx="368">
                  <c:v>122.17876569932677</c:v>
                </c:pt>
                <c:pt idx="369">
                  <c:v>122.32867192801243</c:v>
                </c:pt>
                <c:pt idx="370">
                  <c:v>122.4740746757421</c:v>
                </c:pt>
                <c:pt idx="371">
                  <c:v>122.0365909039915</c:v>
                </c:pt>
                <c:pt idx="372">
                  <c:v>122.18865875338217</c:v>
                </c:pt>
                <c:pt idx="373">
                  <c:v>122.34179956866893</c:v>
                </c:pt>
                <c:pt idx="374">
                  <c:v>122.49833128810906</c:v>
                </c:pt>
                <c:pt idx="375">
                  <c:v>122.66211340714702</c:v>
                </c:pt>
                <c:pt idx="376">
                  <c:v>122.82873902132681</c:v>
                </c:pt>
                <c:pt idx="377">
                  <c:v>123.00038495721897</c:v>
                </c:pt>
                <c:pt idx="378">
                  <c:v>123.18153285818826</c:v>
                </c:pt>
                <c:pt idx="379">
                  <c:v>123.37298530998254</c:v>
                </c:pt>
                <c:pt idx="380">
                  <c:v>123.57219301164191</c:v>
                </c:pt>
                <c:pt idx="381">
                  <c:v>123.77622198977257</c:v>
                </c:pt>
                <c:pt idx="382">
                  <c:v>123.93622198977256</c:v>
                </c:pt>
                <c:pt idx="383">
                  <c:v>124.17622198977256</c:v>
                </c:pt>
                <c:pt idx="384">
                  <c:v>124.4603554300261</c:v>
                </c:pt>
                <c:pt idx="385">
                  <c:v>124.74485411205507</c:v>
                </c:pt>
                <c:pt idx="386">
                  <c:v>125.02971551306948</c:v>
                </c:pt>
                <c:pt idx="387">
                  <c:v>125.3150380415665</c:v>
                </c:pt>
                <c:pt idx="388">
                  <c:v>125.60078466644904</c:v>
                </c:pt>
                <c:pt idx="389">
                  <c:v>125.88691835662019</c:v>
                </c:pt>
                <c:pt idx="390">
                  <c:v>126.17342185792624</c:v>
                </c:pt>
                <c:pt idx="391">
                  <c:v>126.4602931474125</c:v>
                </c:pt>
                <c:pt idx="392">
                  <c:v>126.74754186363305</c:v>
                </c:pt>
                <c:pt idx="393">
                  <c:v>127.03517916826189</c:v>
                </c:pt>
                <c:pt idx="394">
                  <c:v>127.32323093072222</c:v>
                </c:pt>
                <c:pt idx="395">
                  <c:v>127.61170526644806</c:v>
                </c:pt>
                <c:pt idx="396">
                  <c:v>127.90060674479915</c:v>
                </c:pt>
                <c:pt idx="397">
                  <c:v>128.18995007352444</c:v>
                </c:pt>
                <c:pt idx="398">
                  <c:v>128.47976062221164</c:v>
                </c:pt>
                <c:pt idx="399">
                  <c:v>128.7700931759465</c:v>
                </c:pt>
                <c:pt idx="400">
                  <c:v>129.06100708917384</c:v>
                </c:pt>
                <c:pt idx="401">
                  <c:v>129.35251859276272</c:v>
                </c:pt>
                <c:pt idx="402">
                  <c:v>129.63982491652223</c:v>
                </c:pt>
                <c:pt idx="403">
                  <c:v>129.9185659495258</c:v>
                </c:pt>
                <c:pt idx="404">
                  <c:v>130.18952825262809</c:v>
                </c:pt>
                <c:pt idx="405">
                  <c:v>130.45334760193555</c:v>
                </c:pt>
                <c:pt idx="406">
                  <c:v>130.71767805420288</c:v>
                </c:pt>
                <c:pt idx="407">
                  <c:v>130.97893515205328</c:v>
                </c:pt>
                <c:pt idx="408">
                  <c:v>131.23658674524486</c:v>
                </c:pt>
                <c:pt idx="409">
                  <c:v>131.48878367357725</c:v>
                </c:pt>
                <c:pt idx="410">
                  <c:v>131.73430839836971</c:v>
                </c:pt>
                <c:pt idx="411">
                  <c:v>131.97295604144583</c:v>
                </c:pt>
                <c:pt idx="412">
                  <c:v>132.20485247822737</c:v>
                </c:pt>
                <c:pt idx="413">
                  <c:v>132.43031347402203</c:v>
                </c:pt>
                <c:pt idx="414">
                  <c:v>132.6456095929457</c:v>
                </c:pt>
                <c:pt idx="415">
                  <c:v>132.85502070783264</c:v>
                </c:pt>
                <c:pt idx="416">
                  <c:v>133.0588571227409</c:v>
                </c:pt>
                <c:pt idx="417">
                  <c:v>133.25729815357781</c:v>
                </c:pt>
                <c:pt idx="418">
                  <c:v>133.45037867238756</c:v>
                </c:pt>
                <c:pt idx="419">
                  <c:v>133.63814071271872</c:v>
                </c:pt>
                <c:pt idx="420">
                  <c:v>133.82099275101072</c:v>
                </c:pt>
                <c:pt idx="421">
                  <c:v>133.9989898822277</c:v>
                </c:pt>
                <c:pt idx="422">
                  <c:v>134.17210120990174</c:v>
                </c:pt>
                <c:pt idx="423">
                  <c:v>134.34015418938478</c:v>
                </c:pt>
                <c:pt idx="424">
                  <c:v>134.50322483965709</c:v>
                </c:pt>
                <c:pt idx="425">
                  <c:v>134.66185299300813</c:v>
                </c:pt>
                <c:pt idx="426">
                  <c:v>134.81618360195304</c:v>
                </c:pt>
                <c:pt idx="427">
                  <c:v>134.97165023397355</c:v>
                </c:pt>
                <c:pt idx="428">
                  <c:v>135.12614598280527</c:v>
                </c:pt>
                <c:pt idx="429">
                  <c:v>144.06001660832797</c:v>
                </c:pt>
                <c:pt idx="430">
                  <c:v>144.22376057825574</c:v>
                </c:pt>
                <c:pt idx="431">
                  <c:v>144.39603675746622</c:v>
                </c:pt>
                <c:pt idx="432">
                  <c:v>144.58178027454807</c:v>
                </c:pt>
                <c:pt idx="433">
                  <c:v>144.82708027454805</c:v>
                </c:pt>
                <c:pt idx="434">
                  <c:v>145.01608027454805</c:v>
                </c:pt>
                <c:pt idx="435">
                  <c:v>145.30021371480157</c:v>
                </c:pt>
                <c:pt idx="436">
                  <c:v>145.58471239683055</c:v>
                </c:pt>
                <c:pt idx="437">
                  <c:v>145.86957379784496</c:v>
                </c:pt>
                <c:pt idx="438">
                  <c:v>146.15489632634197</c:v>
                </c:pt>
                <c:pt idx="439">
                  <c:v>146.44064295122453</c:v>
                </c:pt>
                <c:pt idx="440">
                  <c:v>146.72677664139567</c:v>
                </c:pt>
                <c:pt idx="441">
                  <c:v>147.01328014270175</c:v>
                </c:pt>
                <c:pt idx="442">
                  <c:v>147.30015143218802</c:v>
                </c:pt>
                <c:pt idx="443">
                  <c:v>147.58740014840856</c:v>
                </c:pt>
                <c:pt idx="444">
                  <c:v>147.87503745303741</c:v>
                </c:pt>
                <c:pt idx="445">
                  <c:v>148.16308921549773</c:v>
                </c:pt>
                <c:pt idx="446">
                  <c:v>148.45156355122356</c:v>
                </c:pt>
                <c:pt idx="447">
                  <c:v>148.74046502957466</c:v>
                </c:pt>
                <c:pt idx="448">
                  <c:v>149.02980835829996</c:v>
                </c:pt>
                <c:pt idx="449">
                  <c:v>149.31961890698716</c:v>
                </c:pt>
                <c:pt idx="450">
                  <c:v>149.60995146072202</c:v>
                </c:pt>
                <c:pt idx="451">
                  <c:v>149.90086537394936</c:v>
                </c:pt>
                <c:pt idx="452">
                  <c:v>150.19237687753824</c:v>
                </c:pt>
                <c:pt idx="453">
                  <c:v>150.47968320129775</c:v>
                </c:pt>
                <c:pt idx="454">
                  <c:v>150.75842423430132</c:v>
                </c:pt>
                <c:pt idx="455">
                  <c:v>151.02938653740361</c:v>
                </c:pt>
                <c:pt idx="456">
                  <c:v>151.29320588671106</c:v>
                </c:pt>
                <c:pt idx="457">
                  <c:v>151.55753633897839</c:v>
                </c:pt>
                <c:pt idx="458">
                  <c:v>151.8187934368288</c:v>
                </c:pt>
                <c:pt idx="459">
                  <c:v>152.07644503002038</c:v>
                </c:pt>
                <c:pt idx="460">
                  <c:v>152.32864195835276</c:v>
                </c:pt>
                <c:pt idx="461">
                  <c:v>152.57416668314522</c:v>
                </c:pt>
                <c:pt idx="462">
                  <c:v>152.81281432622134</c:v>
                </c:pt>
                <c:pt idx="463">
                  <c:v>153.04471076300288</c:v>
                </c:pt>
                <c:pt idx="464">
                  <c:v>153.27017175879755</c:v>
                </c:pt>
                <c:pt idx="465">
                  <c:v>153.48546787772122</c:v>
                </c:pt>
                <c:pt idx="466">
                  <c:v>153.69487899260815</c:v>
                </c:pt>
                <c:pt idx="467">
                  <c:v>153.89871540751642</c:v>
                </c:pt>
                <c:pt idx="468">
                  <c:v>154.09715643835332</c:v>
                </c:pt>
                <c:pt idx="469">
                  <c:v>154.29023695716307</c:v>
                </c:pt>
                <c:pt idx="470">
                  <c:v>154.47799899749424</c:v>
                </c:pt>
                <c:pt idx="471">
                  <c:v>154.66085103578624</c:v>
                </c:pt>
                <c:pt idx="472">
                  <c:v>154.83884816700322</c:v>
                </c:pt>
                <c:pt idx="473">
                  <c:v>155.01195949467726</c:v>
                </c:pt>
                <c:pt idx="474">
                  <c:v>155.18001247416029</c:v>
                </c:pt>
                <c:pt idx="475">
                  <c:v>155.34308312443261</c:v>
                </c:pt>
                <c:pt idx="476">
                  <c:v>155.50171127778364</c:v>
                </c:pt>
                <c:pt idx="477">
                  <c:v>155.65604188672856</c:v>
                </c:pt>
                <c:pt idx="478">
                  <c:v>155.8059481154142</c:v>
                </c:pt>
                <c:pt idx="479">
                  <c:v>155.95135086314386</c:v>
                </c:pt>
                <c:pt idx="480">
                  <c:v>172.0823362345387</c:v>
                </c:pt>
                <c:pt idx="481">
                  <c:v>172.24211498611754</c:v>
                </c:pt>
                <c:pt idx="482">
                  <c:v>172.40494656285441</c:v>
                </c:pt>
                <c:pt idx="483">
                  <c:v>172.57258526532598</c:v>
                </c:pt>
                <c:pt idx="484">
                  <c:v>172.74536879436897</c:v>
                </c:pt>
                <c:pt idx="485">
                  <c:v>172.93179446234359</c:v>
                </c:pt>
                <c:pt idx="486">
                  <c:v>173.12340865679926</c:v>
                </c:pt>
                <c:pt idx="487">
                  <c:v>173.30340865679926</c:v>
                </c:pt>
                <c:pt idx="488">
                  <c:v>173.54340865679927</c:v>
                </c:pt>
                <c:pt idx="489">
                  <c:v>173.8275420970528</c:v>
                </c:pt>
                <c:pt idx="490">
                  <c:v>174.11204077908178</c:v>
                </c:pt>
                <c:pt idx="491">
                  <c:v>174.39690218009619</c:v>
                </c:pt>
                <c:pt idx="492">
                  <c:v>174.6822247085932</c:v>
                </c:pt>
                <c:pt idx="493">
                  <c:v>174.96797133347576</c:v>
                </c:pt>
                <c:pt idx="494">
                  <c:v>175.2541050236469</c:v>
                </c:pt>
                <c:pt idx="495">
                  <c:v>175.54060852495297</c:v>
                </c:pt>
                <c:pt idx="496">
                  <c:v>175.82747981443924</c:v>
                </c:pt>
                <c:pt idx="497">
                  <c:v>176.11472853065979</c:v>
                </c:pt>
                <c:pt idx="498">
                  <c:v>176.40236583528863</c:v>
                </c:pt>
                <c:pt idx="499">
                  <c:v>176.69041759774896</c:v>
                </c:pt>
                <c:pt idx="500">
                  <c:v>176.97889193347478</c:v>
                </c:pt>
                <c:pt idx="501">
                  <c:v>177.26779341182589</c:v>
                </c:pt>
                <c:pt idx="502">
                  <c:v>177.55713674055119</c:v>
                </c:pt>
                <c:pt idx="503">
                  <c:v>177.84694728923839</c:v>
                </c:pt>
                <c:pt idx="504">
                  <c:v>178.13727984297324</c:v>
                </c:pt>
                <c:pt idx="505">
                  <c:v>178.42819375620059</c:v>
                </c:pt>
                <c:pt idx="506">
                  <c:v>178.71970525978946</c:v>
                </c:pt>
                <c:pt idx="507">
                  <c:v>179.00701158354897</c:v>
                </c:pt>
                <c:pt idx="508">
                  <c:v>179.28575261655254</c:v>
                </c:pt>
                <c:pt idx="509">
                  <c:v>179.55671491965484</c:v>
                </c:pt>
                <c:pt idx="510">
                  <c:v>179.82053426896229</c:v>
                </c:pt>
                <c:pt idx="511">
                  <c:v>180.08486472122962</c:v>
                </c:pt>
                <c:pt idx="512">
                  <c:v>180.34612181908003</c:v>
                </c:pt>
                <c:pt idx="513">
                  <c:v>180.60377341227161</c:v>
                </c:pt>
                <c:pt idx="514">
                  <c:v>180.85597034060399</c:v>
                </c:pt>
                <c:pt idx="515">
                  <c:v>181.10149506539645</c:v>
                </c:pt>
                <c:pt idx="516">
                  <c:v>181.34014270847257</c:v>
                </c:pt>
                <c:pt idx="517">
                  <c:v>181.57203914525411</c:v>
                </c:pt>
                <c:pt idx="518">
                  <c:v>181.79750014104877</c:v>
                </c:pt>
                <c:pt idx="519">
                  <c:v>182.01279625997245</c:v>
                </c:pt>
                <c:pt idx="520">
                  <c:v>182.22220737485938</c:v>
                </c:pt>
                <c:pt idx="521">
                  <c:v>182.42604378976765</c:v>
                </c:pt>
                <c:pt idx="522">
                  <c:v>182.62448482060455</c:v>
                </c:pt>
                <c:pt idx="523">
                  <c:v>182.8175653394143</c:v>
                </c:pt>
                <c:pt idx="524">
                  <c:v>183.00532737974547</c:v>
                </c:pt>
                <c:pt idx="525">
                  <c:v>183.18817941803746</c:v>
                </c:pt>
                <c:pt idx="526">
                  <c:v>183.36617654925445</c:v>
                </c:pt>
                <c:pt idx="527">
                  <c:v>183.53928787692848</c:v>
                </c:pt>
                <c:pt idx="528">
                  <c:v>183.70734085641152</c:v>
                </c:pt>
                <c:pt idx="529">
                  <c:v>183.87041150668384</c:v>
                </c:pt>
                <c:pt idx="530">
                  <c:v>184.02903966003487</c:v>
                </c:pt>
              </c:numCache>
            </c:numRef>
          </c:xVal>
          <c:yVal>
            <c:numRef>
              <c:f>'Hybrid System'!$AA$9:$AA$539</c:f>
              <c:numCache>
                <c:formatCode>0</c:formatCode>
                <c:ptCount val="531"/>
                <c:pt idx="0">
                  <c:v>822.83716901670402</c:v>
                </c:pt>
                <c:pt idx="1">
                  <c:v>1686.5367177493108</c:v>
                </c:pt>
                <c:pt idx="2">
                  <c:v>2529.4674630434292</c:v>
                </c:pt>
                <c:pt idx="3">
                  <c:v>3355.6596248604524</c:v>
                </c:pt>
                <c:pt idx="4">
                  <c:v>4265.5528950795579</c:v>
                </c:pt>
                <c:pt idx="5">
                  <c:v>5190.7998032949472</c:v>
                </c:pt>
                <c:pt idx="6">
                  <c:v>6107.5580342045478</c:v>
                </c:pt>
                <c:pt idx="7">
                  <c:v>7018.9697337522439</c:v>
                </c:pt>
                <c:pt idx="8">
                  <c:v>7923.5893994837479</c:v>
                </c:pt>
                <c:pt idx="9">
                  <c:v>8822.3295944462279</c:v>
                </c:pt>
                <c:pt idx="10">
                  <c:v>9715.4226400787211</c:v>
                </c:pt>
                <c:pt idx="11">
                  <c:v>10601.712446212447</c:v>
                </c:pt>
                <c:pt idx="12">
                  <c:v>11483.961490477892</c:v>
                </c:pt>
                <c:pt idx="13">
                  <c:v>12359.565083464449</c:v>
                </c:pt>
                <c:pt idx="14">
                  <c:v>13232.376724700771</c:v>
                </c:pt>
                <c:pt idx="15">
                  <c:v>14099.275459776516</c:v>
                </c:pt>
                <c:pt idx="16">
                  <c:v>14963.0258704628</c:v>
                </c:pt>
                <c:pt idx="17">
                  <c:v>15821.509076917708</c:v>
                </c:pt>
                <c:pt idx="18">
                  <c:v>16676.375373077088</c:v>
                </c:pt>
                <c:pt idx="19">
                  <c:v>17526.838841317145</c:v>
                </c:pt>
                <c:pt idx="20">
                  <c:v>17340.023969707003</c:v>
                </c:pt>
                <c:pt idx="21">
                  <c:v>17140.139279949788</c:v>
                </c:pt>
                <c:pt idx="22">
                  <c:v>16925.269608184306</c:v>
                </c:pt>
                <c:pt idx="23">
                  <c:v>16697.766928082674</c:v>
                </c:pt>
                <c:pt idx="24">
                  <c:v>16454.928423233207</c:v>
                </c:pt>
                <c:pt idx="25">
                  <c:v>16201.355664461469</c:v>
                </c:pt>
                <c:pt idx="26">
                  <c:v>15936.754210335595</c:v>
                </c:pt>
                <c:pt idx="27">
                  <c:v>15661.343454530086</c:v>
                </c:pt>
                <c:pt idx="28">
                  <c:v>15374.680583080524</c:v>
                </c:pt>
                <c:pt idx="29">
                  <c:v>15076.791766288348</c:v>
                </c:pt>
                <c:pt idx="30">
                  <c:v>14767.381982473944</c:v>
                </c:pt>
                <c:pt idx="31">
                  <c:v>15148.294197094112</c:v>
                </c:pt>
                <c:pt idx="32">
                  <c:v>14822.821997820145</c:v>
                </c:pt>
                <c:pt idx="33">
                  <c:v>14484.853842511282</c:v>
                </c:pt>
                <c:pt idx="34">
                  <c:v>15641.645134535014</c:v>
                </c:pt>
                <c:pt idx="35">
                  <c:v>16867.115801611402</c:v>
                </c:pt>
                <c:pt idx="36">
                  <c:v>18226.236135398172</c:v>
                </c:pt>
                <c:pt idx="37">
                  <c:v>19706.412886853665</c:v>
                </c:pt>
                <c:pt idx="38">
                  <c:v>21340.784004761095</c:v>
                </c:pt>
                <c:pt idx="39">
                  <c:v>23188.575280550853</c:v>
                </c:pt>
                <c:pt idx="40">
                  <c:v>25352.406762015213</c:v>
                </c:pt>
                <c:pt idx="41">
                  <c:v>29033.115438880719</c:v>
                </c:pt>
                <c:pt idx="42">
                  <c:v>32906.665559355228</c:v>
                </c:pt>
                <c:pt idx="43">
                  <c:v>33488.969497485421</c:v>
                </c:pt>
                <c:pt idx="44">
                  <c:v>37404.341791621271</c:v>
                </c:pt>
                <c:pt idx="45">
                  <c:v>41341.066092983936</c:v>
                </c:pt>
                <c:pt idx="46">
                  <c:v>45299.677465302411</c:v>
                </c:pt>
                <c:pt idx="47">
                  <c:v>49274.789213177864</c:v>
                </c:pt>
                <c:pt idx="48">
                  <c:v>53270.222067273397</c:v>
                </c:pt>
                <c:pt idx="49">
                  <c:v>57275.426604678716</c:v>
                </c:pt>
                <c:pt idx="50">
                  <c:v>56887.710398906944</c:v>
                </c:pt>
                <c:pt idx="51">
                  <c:v>56144.452496755759</c:v>
                </c:pt>
                <c:pt idx="52">
                  <c:v>55133.650590350269</c:v>
                </c:pt>
                <c:pt idx="53">
                  <c:v>53910.101008240883</c:v>
                </c:pt>
                <c:pt idx="54">
                  <c:v>52508.913807965655</c:v>
                </c:pt>
                <c:pt idx="55">
                  <c:v>50954.362277790402</c:v>
                </c:pt>
                <c:pt idx="56">
                  <c:v>49266.34846924962</c:v>
                </c:pt>
                <c:pt idx="57">
                  <c:v>48841.622709312891</c:v>
                </c:pt>
                <c:pt idx="58">
                  <c:v>48315.117425807402</c:v>
                </c:pt>
                <c:pt idx="59">
                  <c:v>47697.121412029468</c:v>
                </c:pt>
                <c:pt idx="60">
                  <c:v>46995.694543143785</c:v>
                </c:pt>
                <c:pt idx="61">
                  <c:v>46217.819064252231</c:v>
                </c:pt>
                <c:pt idx="62">
                  <c:v>45368.986894106114</c:v>
                </c:pt>
                <c:pt idx="63">
                  <c:v>44453.723780341141</c:v>
                </c:pt>
                <c:pt idx="64">
                  <c:v>43476.122911301565</c:v>
                </c:pt>
                <c:pt idx="65">
                  <c:v>42439.544062311921</c:v>
                </c:pt>
                <c:pt idx="66">
                  <c:v>41347.589165878169</c:v>
                </c:pt>
                <c:pt idx="67">
                  <c:v>42925.732662772018</c:v>
                </c:pt>
                <c:pt idx="68">
                  <c:v>44669.907715210204</c:v>
                </c:pt>
                <c:pt idx="69">
                  <c:v>46644.812904516381</c:v>
                </c:pt>
                <c:pt idx="70">
                  <c:v>48970.656847968938</c:v>
                </c:pt>
                <c:pt idx="71">
                  <c:v>52769.593874114667</c:v>
                </c:pt>
                <c:pt idx="72">
                  <c:v>56993.095283511175</c:v>
                </c:pt>
                <c:pt idx="73">
                  <c:v>60656.472713534007</c:v>
                </c:pt>
                <c:pt idx="74">
                  <c:v>63939.566095459326</c:v>
                </c:pt>
                <c:pt idx="75">
                  <c:v>66943.513792691578</c:v>
                </c:pt>
                <c:pt idx="76">
                  <c:v>69731.570929508394</c:v>
                </c:pt>
                <c:pt idx="77">
                  <c:v>71629.974738618577</c:v>
                </c:pt>
                <c:pt idx="78">
                  <c:v>69875.85884663352</c:v>
                </c:pt>
                <c:pt idx="79">
                  <c:v>69469.047917980206</c:v>
                </c:pt>
                <c:pt idx="80">
                  <c:v>68935.806160198059</c:v>
                </c:pt>
                <c:pt idx="81">
                  <c:v>68289.960812534468</c:v>
                </c:pt>
                <c:pt idx="82">
                  <c:v>67542.814574336269</c:v>
                </c:pt>
                <c:pt idx="83">
                  <c:v>66703.508632842713</c:v>
                </c:pt>
                <c:pt idx="84">
                  <c:v>65779.469021340949</c:v>
                </c:pt>
                <c:pt idx="85">
                  <c:v>64776.987189409352</c:v>
                </c:pt>
                <c:pt idx="86">
                  <c:v>63701.046346260773</c:v>
                </c:pt>
                <c:pt idx="87">
                  <c:v>62557.138985228528</c:v>
                </c:pt>
                <c:pt idx="88">
                  <c:v>61352.606267793424</c:v>
                </c:pt>
                <c:pt idx="89">
                  <c:v>60087.960895975746</c:v>
                </c:pt>
                <c:pt idx="90">
                  <c:v>58765.827163576752</c:v>
                </c:pt>
                <c:pt idx="91">
                  <c:v>60391.355766278532</c:v>
                </c:pt>
                <c:pt idx="92">
                  <c:v>61421.76074770635</c:v>
                </c:pt>
                <c:pt idx="93">
                  <c:v>61353.95660367416</c:v>
                </c:pt>
                <c:pt idx="94">
                  <c:v>61262.862288207951</c:v>
                </c:pt>
                <c:pt idx="95">
                  <c:v>61148.823168257542</c:v>
                </c:pt>
                <c:pt idx="96">
                  <c:v>62734.207874511761</c:v>
                </c:pt>
                <c:pt idx="97">
                  <c:v>62575.438720739658</c:v>
                </c:pt>
                <c:pt idx="98">
                  <c:v>62395.105165527224</c:v>
                </c:pt>
                <c:pt idx="99">
                  <c:v>62193.664377889007</c:v>
                </c:pt>
                <c:pt idx="100">
                  <c:v>61971.384369548199</c:v>
                </c:pt>
                <c:pt idx="101">
                  <c:v>61728.546065592767</c:v>
                </c:pt>
                <c:pt idx="102">
                  <c:v>61465.453345480884</c:v>
                </c:pt>
                <c:pt idx="103">
                  <c:v>61182.348555009055</c:v>
                </c:pt>
                <c:pt idx="104">
                  <c:v>60879.414625532336</c:v>
                </c:pt>
                <c:pt idx="105">
                  <c:v>60556.835860250983</c:v>
                </c:pt>
                <c:pt idx="106">
                  <c:v>60214.709426371985</c:v>
                </c:pt>
                <c:pt idx="107">
                  <c:v>59853.134379613177</c:v>
                </c:pt>
                <c:pt idx="108">
                  <c:v>59472.257433780076</c:v>
                </c:pt>
                <c:pt idx="109">
                  <c:v>59072.120624344243</c:v>
                </c:pt>
                <c:pt idx="110">
                  <c:v>58652.871974735514</c:v>
                </c:pt>
                <c:pt idx="111">
                  <c:v>58214.49489742615</c:v>
                </c:pt>
                <c:pt idx="112">
                  <c:v>59184.792957632708</c:v>
                </c:pt>
                <c:pt idx="113">
                  <c:v>60259.224608018871</c:v>
                </c:pt>
                <c:pt idx="114">
                  <c:v>61463.291281266822</c:v>
                </c:pt>
                <c:pt idx="115">
                  <c:v>62602.479451830768</c:v>
                </c:pt>
                <c:pt idx="116">
                  <c:v>63696.497377773128</c:v>
                </c:pt>
                <c:pt idx="117">
                  <c:v>64981.93009090564</c:v>
                </c:pt>
                <c:pt idx="118">
                  <c:v>66271.488221254724</c:v>
                </c:pt>
                <c:pt idx="119">
                  <c:v>67544.728824616119</c:v>
                </c:pt>
                <c:pt idx="120">
                  <c:v>68801.325258502897</c:v>
                </c:pt>
                <c:pt idx="121">
                  <c:v>70041.106379831414</c:v>
                </c:pt>
                <c:pt idx="122">
                  <c:v>71262.496350354384</c:v>
                </c:pt>
                <c:pt idx="123">
                  <c:v>72466.588274649504</c:v>
                </c:pt>
                <c:pt idx="124">
                  <c:v>73654.419243638011</c:v>
                </c:pt>
                <c:pt idx="125">
                  <c:v>74825.8182378848</c:v>
                </c:pt>
                <c:pt idx="126">
                  <c:v>75981.200863392631</c:v>
                </c:pt>
                <c:pt idx="127">
                  <c:v>77121.818026924215</c:v>
                </c:pt>
                <c:pt idx="128">
                  <c:v>78248.435065318059</c:v>
                </c:pt>
                <c:pt idx="129">
                  <c:v>79361.634267351998</c:v>
                </c:pt>
                <c:pt idx="130">
                  <c:v>79002.757485175011</c:v>
                </c:pt>
                <c:pt idx="131">
                  <c:v>78621.82957479528</c:v>
                </c:pt>
                <c:pt idx="132">
                  <c:v>78219.051719206444</c:v>
                </c:pt>
                <c:pt idx="133">
                  <c:v>77794.531975969861</c:v>
                </c:pt>
                <c:pt idx="134">
                  <c:v>77348.38072749741</c:v>
                </c:pt>
                <c:pt idx="135">
                  <c:v>76880.753838246557</c:v>
                </c:pt>
                <c:pt idx="136">
                  <c:v>77916.355640161913</c:v>
                </c:pt>
                <c:pt idx="137">
                  <c:v>79069.228678562577</c:v>
                </c:pt>
                <c:pt idx="138">
                  <c:v>80371.010408998132</c:v>
                </c:pt>
                <c:pt idx="139">
                  <c:v>81623.375747110811</c:v>
                </c:pt>
                <c:pt idx="140">
                  <c:v>83153.445642529448</c:v>
                </c:pt>
                <c:pt idx="141">
                  <c:v>85117.145295998984</c:v>
                </c:pt>
                <c:pt idx="142">
                  <c:v>86943.300179345155</c:v>
                </c:pt>
                <c:pt idx="143">
                  <c:v>88650.455597204666</c:v>
                </c:pt>
                <c:pt idx="144">
                  <c:v>90253.291136626081</c:v>
                </c:pt>
                <c:pt idx="145">
                  <c:v>91763.29411290244</c:v>
                </c:pt>
                <c:pt idx="146">
                  <c:v>93190.273764270358</c:v>
                </c:pt>
                <c:pt idx="147">
                  <c:v>94542.808493851378</c:v>
                </c:pt>
                <c:pt idx="148">
                  <c:v>95828.008491772445</c:v>
                </c:pt>
                <c:pt idx="149">
                  <c:v>97052.184663073334</c:v>
                </c:pt>
                <c:pt idx="150">
                  <c:v>98220.660581485281</c:v>
                </c:pt>
                <c:pt idx="151">
                  <c:v>99591.081763719078</c:v>
                </c:pt>
                <c:pt idx="152">
                  <c:v>100766.06808798069</c:v>
                </c:pt>
                <c:pt idx="153">
                  <c:v>100638.14695254753</c:v>
                </c:pt>
                <c:pt idx="154">
                  <c:v>100479.8753888072</c:v>
                </c:pt>
                <c:pt idx="155">
                  <c:v>100291.90744295601</c:v>
                </c:pt>
                <c:pt idx="156">
                  <c:v>100074.95673978278</c:v>
                </c:pt>
                <c:pt idx="157">
                  <c:v>99829.655989769351</c:v>
                </c:pt>
                <c:pt idx="158">
                  <c:v>98373.617903646809</c:v>
                </c:pt>
                <c:pt idx="159">
                  <c:v>100389.31128206912</c:v>
                </c:pt>
                <c:pt idx="160">
                  <c:v>102455.74287671605</c:v>
                </c:pt>
                <c:pt idx="161">
                  <c:v>104551.16053941545</c:v>
                </c:pt>
                <c:pt idx="162">
                  <c:v>102537.75467067656</c:v>
                </c:pt>
                <c:pt idx="163">
                  <c:v>100518.84181179632</c:v>
                </c:pt>
                <c:pt idx="164">
                  <c:v>98496.213014233057</c:v>
                </c:pt>
                <c:pt idx="165">
                  <c:v>96470.984211079456</c:v>
                </c:pt>
                <c:pt idx="166">
                  <c:v>94443.173361037174</c:v>
                </c:pt>
                <c:pt idx="167">
                  <c:v>92412.07993459409</c:v>
                </c:pt>
                <c:pt idx="168">
                  <c:v>90377.967540860249</c:v>
                </c:pt>
                <c:pt idx="169">
                  <c:v>88341.099788944921</c:v>
                </c:pt>
                <c:pt idx="170">
                  <c:v>86301.599504053287</c:v>
                </c:pt>
                <c:pt idx="171">
                  <c:v>84259.481086765751</c:v>
                </c:pt>
                <c:pt idx="172">
                  <c:v>82214.675924190306</c:v>
                </c:pt>
                <c:pt idx="173">
                  <c:v>80167.10456097222</c:v>
                </c:pt>
                <c:pt idx="174">
                  <c:v>78116.582843355209</c:v>
                </c:pt>
                <c:pt idx="175">
                  <c:v>76063.053000910935</c:v>
                </c:pt>
                <c:pt idx="176">
                  <c:v>74006.482506251457</c:v>
                </c:pt>
                <c:pt idx="177">
                  <c:v>71946.766660976966</c:v>
                </c:pt>
                <c:pt idx="178">
                  <c:v>69883.72486945377</c:v>
                </c:pt>
                <c:pt idx="179">
                  <c:v>67816.967139247165</c:v>
                </c:pt>
                <c:pt idx="180">
                  <c:v>65746.070950539608</c:v>
                </c:pt>
                <c:pt idx="181">
                  <c:v>63670.920762467016</c:v>
                </c:pt>
                <c:pt idx="182">
                  <c:v>64876.938261615433</c:v>
                </c:pt>
                <c:pt idx="183">
                  <c:v>63440.78566574768</c:v>
                </c:pt>
                <c:pt idx="184">
                  <c:v>62982.582771307767</c:v>
                </c:pt>
                <c:pt idx="185">
                  <c:v>64965.604043700543</c:v>
                </c:pt>
                <c:pt idx="186">
                  <c:v>66952.467066307756</c:v>
                </c:pt>
                <c:pt idx="187">
                  <c:v>68916.228950949371</c:v>
                </c:pt>
                <c:pt idx="188">
                  <c:v>70852.889743669773</c:v>
                </c:pt>
                <c:pt idx="189">
                  <c:v>72748.550069677061</c:v>
                </c:pt>
                <c:pt idx="190">
                  <c:v>74594.058192716169</c:v>
                </c:pt>
                <c:pt idx="191">
                  <c:v>76387.874128009134</c:v>
                </c:pt>
                <c:pt idx="192">
                  <c:v>78130.944029201084</c:v>
                </c:pt>
                <c:pt idx="193">
                  <c:v>79825.641373915641</c:v>
                </c:pt>
                <c:pt idx="194">
                  <c:v>80649.311646798727</c:v>
                </c:pt>
                <c:pt idx="195">
                  <c:v>81499.110953445954</c:v>
                </c:pt>
                <c:pt idx="196">
                  <c:v>81103.814196881984</c:v>
                </c:pt>
                <c:pt idx="197">
                  <c:v>80697.010698193495</c:v>
                </c:pt>
                <c:pt idx="198">
                  <c:v>81517.745720296632</c:v>
                </c:pt>
                <c:pt idx="199">
                  <c:v>81300.285224481151</c:v>
                </c:pt>
                <c:pt idx="200">
                  <c:v>82107.420194521619</c:v>
                </c:pt>
                <c:pt idx="201">
                  <c:v>83445.351239210751</c:v>
                </c:pt>
                <c:pt idx="202">
                  <c:v>84248.609510679089</c:v>
                </c:pt>
                <c:pt idx="203">
                  <c:v>85586.128226583736</c:v>
                </c:pt>
                <c:pt idx="204">
                  <c:v>86918.190751671966</c:v>
                </c:pt>
                <c:pt idx="205">
                  <c:v>88261.604754673273</c:v>
                </c:pt>
                <c:pt idx="206">
                  <c:v>89646.148065178422</c:v>
                </c:pt>
                <c:pt idx="207">
                  <c:v>91074.410764123735</c:v>
                </c:pt>
                <c:pt idx="208">
                  <c:v>92549.920541420477</c:v>
                </c:pt>
                <c:pt idx="209">
                  <c:v>90556.716000580956</c:v>
                </c:pt>
                <c:pt idx="210">
                  <c:v>88563.511459741436</c:v>
                </c:pt>
                <c:pt idx="211">
                  <c:v>86540.882662178177</c:v>
                </c:pt>
                <c:pt idx="212">
                  <c:v>84515.653859024576</c:v>
                </c:pt>
                <c:pt idx="213">
                  <c:v>82487.843008982294</c:v>
                </c:pt>
                <c:pt idx="214">
                  <c:v>80456.749582539211</c:v>
                </c:pt>
                <c:pt idx="215">
                  <c:v>78422.637188805369</c:v>
                </c:pt>
                <c:pt idx="216">
                  <c:v>76385.769436890041</c:v>
                </c:pt>
                <c:pt idx="217">
                  <c:v>74346.269151998407</c:v>
                </c:pt>
                <c:pt idx="218">
                  <c:v>72304.150734710871</c:v>
                </c:pt>
                <c:pt idx="219">
                  <c:v>70310.94619387135</c:v>
                </c:pt>
                <c:pt idx="220">
                  <c:v>68288.317396308092</c:v>
                </c:pt>
                <c:pt idx="221">
                  <c:v>66263.088593154491</c:v>
                </c:pt>
                <c:pt idx="222">
                  <c:v>64235.277743112216</c:v>
                </c:pt>
                <c:pt idx="223">
                  <c:v>62204.184316669132</c:v>
                </c:pt>
                <c:pt idx="224">
                  <c:v>60170.071922935298</c:v>
                </c:pt>
                <c:pt idx="225">
                  <c:v>58133.20417101997</c:v>
                </c:pt>
                <c:pt idx="226">
                  <c:v>56093.703886128329</c:v>
                </c:pt>
                <c:pt idx="227">
                  <c:v>54051.5854688408</c:v>
                </c:pt>
                <c:pt idx="228">
                  <c:v>52006.780306265355</c:v>
                </c:pt>
                <c:pt idx="229">
                  <c:v>49959.208943047277</c:v>
                </c:pt>
                <c:pt idx="230">
                  <c:v>47908.687225430265</c:v>
                </c:pt>
                <c:pt idx="231">
                  <c:v>45855.157382985984</c:v>
                </c:pt>
                <c:pt idx="232">
                  <c:v>43798.586888326507</c:v>
                </c:pt>
                <c:pt idx="233">
                  <c:v>41738.871043052022</c:v>
                </c:pt>
                <c:pt idx="234">
                  <c:v>39675.829251528827</c:v>
                </c:pt>
                <c:pt idx="235">
                  <c:v>37609.071521322228</c:v>
                </c:pt>
                <c:pt idx="236">
                  <c:v>35538.175332614672</c:v>
                </c:pt>
                <c:pt idx="237">
                  <c:v>33463.02514454208</c:v>
                </c:pt>
                <c:pt idx="238">
                  <c:v>34669.042643690496</c:v>
                </c:pt>
                <c:pt idx="239">
                  <c:v>33232.890047822744</c:v>
                </c:pt>
                <c:pt idx="240">
                  <c:v>32774.687153382831</c:v>
                </c:pt>
                <c:pt idx="241">
                  <c:v>34757.708425775607</c:v>
                </c:pt>
                <c:pt idx="242">
                  <c:v>36744.571448382827</c:v>
                </c:pt>
                <c:pt idx="243">
                  <c:v>38708.33333302445</c:v>
                </c:pt>
                <c:pt idx="244">
                  <c:v>40644.994125744852</c:v>
                </c:pt>
                <c:pt idx="245">
                  <c:v>42540.65445175214</c:v>
                </c:pt>
                <c:pt idx="246">
                  <c:v>44386.162574791255</c:v>
                </c:pt>
                <c:pt idx="247">
                  <c:v>46179.97851008422</c:v>
                </c:pt>
                <c:pt idx="248">
                  <c:v>47923.048411276177</c:v>
                </c:pt>
                <c:pt idx="249">
                  <c:v>49617.745755990734</c:v>
                </c:pt>
                <c:pt idx="250">
                  <c:v>50441.416028873828</c:v>
                </c:pt>
                <c:pt idx="251">
                  <c:v>51291.215335521047</c:v>
                </c:pt>
                <c:pt idx="252">
                  <c:v>50895.918578957077</c:v>
                </c:pt>
                <c:pt idx="253">
                  <c:v>50489.115080268595</c:v>
                </c:pt>
                <c:pt idx="254">
                  <c:v>51309.850102371733</c:v>
                </c:pt>
                <c:pt idx="255">
                  <c:v>51092.389606556259</c:v>
                </c:pt>
                <c:pt idx="256">
                  <c:v>51899.524576596727</c:v>
                </c:pt>
                <c:pt idx="257">
                  <c:v>53237.455621285852</c:v>
                </c:pt>
                <c:pt idx="258">
                  <c:v>54040.713892754189</c:v>
                </c:pt>
                <c:pt idx="259">
                  <c:v>53801.964454528861</c:v>
                </c:pt>
                <c:pt idx="260">
                  <c:v>54553.202492043922</c:v>
                </c:pt>
                <c:pt idx="261">
                  <c:v>54259.390002514047</c:v>
                </c:pt>
                <c:pt idx="262">
                  <c:v>53960.670873499737</c:v>
                </c:pt>
                <c:pt idx="263">
                  <c:v>53607.188001767259</c:v>
                </c:pt>
                <c:pt idx="264">
                  <c:v>53418.815039018278</c:v>
                </c:pt>
                <c:pt idx="265">
                  <c:v>49264.30486238451</c:v>
                </c:pt>
                <c:pt idx="266">
                  <c:v>45702.219614194088</c:v>
                </c:pt>
                <c:pt idx="267">
                  <c:v>45611.853935211919</c:v>
                </c:pt>
                <c:pt idx="268">
                  <c:v>45517.541896167197</c:v>
                </c:pt>
                <c:pt idx="269">
                  <c:v>45461.682219492235</c:v>
                </c:pt>
                <c:pt idx="270">
                  <c:v>45459.921598862347</c:v>
                </c:pt>
                <c:pt idx="271">
                  <c:v>45332.779471826652</c:v>
                </c:pt>
                <c:pt idx="272">
                  <c:v>44165.053923840613</c:v>
                </c:pt>
                <c:pt idx="273">
                  <c:v>42896.955012271152</c:v>
                </c:pt>
                <c:pt idx="274">
                  <c:v>40871.726209117558</c:v>
                </c:pt>
                <c:pt idx="275">
                  <c:v>38843.915359075283</c:v>
                </c:pt>
                <c:pt idx="276">
                  <c:v>36812.8219326322</c:v>
                </c:pt>
                <c:pt idx="277">
                  <c:v>34778.709538898365</c:v>
                </c:pt>
                <c:pt idx="278">
                  <c:v>32741.841786983041</c:v>
                </c:pt>
                <c:pt idx="279">
                  <c:v>30702.3415020914</c:v>
                </c:pt>
                <c:pt idx="280">
                  <c:v>28660.223084803867</c:v>
                </c:pt>
                <c:pt idx="281">
                  <c:v>26615.417922228426</c:v>
                </c:pt>
                <c:pt idx="282">
                  <c:v>24567.846559010344</c:v>
                </c:pt>
                <c:pt idx="283">
                  <c:v>22517.324841393332</c:v>
                </c:pt>
                <c:pt idx="284">
                  <c:v>20463.794998949055</c:v>
                </c:pt>
                <c:pt idx="285">
                  <c:v>18407.224504289577</c:v>
                </c:pt>
                <c:pt idx="286">
                  <c:v>16347.508659015091</c:v>
                </c:pt>
                <c:pt idx="287">
                  <c:v>14284.466867491892</c:v>
                </c:pt>
                <c:pt idx="288">
                  <c:v>12217.70913728529</c:v>
                </c:pt>
                <c:pt idx="289">
                  <c:v>10146.812948577734</c:v>
                </c:pt>
                <c:pt idx="290">
                  <c:v>8071.6627605051417</c:v>
                </c:pt>
                <c:pt idx="291">
                  <c:v>9277.6802596535581</c:v>
                </c:pt>
                <c:pt idx="292">
                  <c:v>7841.527663785806</c:v>
                </c:pt>
                <c:pt idx="293">
                  <c:v>7383.3247693458898</c:v>
                </c:pt>
                <c:pt idx="294">
                  <c:v>9366.3460417386686</c:v>
                </c:pt>
                <c:pt idx="295">
                  <c:v>11353.209064345887</c:v>
                </c:pt>
                <c:pt idx="296">
                  <c:v>13316.970948987506</c:v>
                </c:pt>
                <c:pt idx="297">
                  <c:v>15253.631741707912</c:v>
                </c:pt>
                <c:pt idx="298">
                  <c:v>17149.2920677152</c:v>
                </c:pt>
                <c:pt idx="299">
                  <c:v>18994.800190754315</c:v>
                </c:pt>
                <c:pt idx="300">
                  <c:v>20788.616126047284</c:v>
                </c:pt>
                <c:pt idx="301">
                  <c:v>22531.686027239237</c:v>
                </c:pt>
                <c:pt idx="302">
                  <c:v>24226.383371953794</c:v>
                </c:pt>
                <c:pt idx="303">
                  <c:v>25050.053644836888</c:v>
                </c:pt>
                <c:pt idx="304">
                  <c:v>25899.85295148411</c:v>
                </c:pt>
                <c:pt idx="305">
                  <c:v>25504.55619492014</c:v>
                </c:pt>
                <c:pt idx="306">
                  <c:v>25097.752696231659</c:v>
                </c:pt>
                <c:pt idx="307">
                  <c:v>25918.487718334796</c:v>
                </c:pt>
                <c:pt idx="308">
                  <c:v>25701.027222519322</c:v>
                </c:pt>
                <c:pt idx="309">
                  <c:v>26508.16219255979</c:v>
                </c:pt>
                <c:pt idx="310">
                  <c:v>27846.093237248915</c:v>
                </c:pt>
                <c:pt idx="311">
                  <c:v>28649.351508717256</c:v>
                </c:pt>
                <c:pt idx="312">
                  <c:v>28410.602070491928</c:v>
                </c:pt>
                <c:pt idx="313">
                  <c:v>29161.840108006989</c:v>
                </c:pt>
                <c:pt idx="314">
                  <c:v>28868.027618477114</c:v>
                </c:pt>
                <c:pt idx="315">
                  <c:v>28569.308489462808</c:v>
                </c:pt>
                <c:pt idx="316">
                  <c:v>29701.072271273115</c:v>
                </c:pt>
                <c:pt idx="317">
                  <c:v>30841.238917366052</c:v>
                </c:pt>
                <c:pt idx="318">
                  <c:v>11869.451384357824</c:v>
                </c:pt>
                <c:pt idx="319">
                  <c:v>-61652.59001966974</c:v>
                </c:pt>
                <c:pt idx="320">
                  <c:v>-62150.530960971846</c:v>
                </c:pt>
                <c:pt idx="321">
                  <c:v>-62654.014519347729</c:v>
                </c:pt>
                <c:pt idx="322">
                  <c:v>-63163.137332750819</c:v>
                </c:pt>
                <c:pt idx="323">
                  <c:v>-63692.321248124375</c:v>
                </c:pt>
                <c:pt idx="324">
                  <c:v>-64740.878383407711</c:v>
                </c:pt>
                <c:pt idx="325">
                  <c:v>-66054.471361697419</c:v>
                </c:pt>
                <c:pt idx="326">
                  <c:v>-68077.100159260677</c:v>
                </c:pt>
                <c:pt idx="327">
                  <c:v>-70102.328962414278</c:v>
                </c:pt>
                <c:pt idx="328">
                  <c:v>-72130.13981245656</c:v>
                </c:pt>
                <c:pt idx="329">
                  <c:v>-74161.233238899644</c:v>
                </c:pt>
                <c:pt idx="330">
                  <c:v>-76195.345632633485</c:v>
                </c:pt>
                <c:pt idx="331">
                  <c:v>-78232.213384548813</c:v>
                </c:pt>
                <c:pt idx="332">
                  <c:v>-80271.713669440447</c:v>
                </c:pt>
                <c:pt idx="333">
                  <c:v>-82313.832086727984</c:v>
                </c:pt>
                <c:pt idx="334">
                  <c:v>-84358.637249303429</c:v>
                </c:pt>
                <c:pt idx="335">
                  <c:v>-86406.208612521514</c:v>
                </c:pt>
                <c:pt idx="336">
                  <c:v>-88456.730330138525</c:v>
                </c:pt>
                <c:pt idx="337">
                  <c:v>-90510.260172582799</c:v>
                </c:pt>
                <c:pt idx="338">
                  <c:v>-92566.830667242277</c:v>
                </c:pt>
                <c:pt idx="339">
                  <c:v>-94626.546512516768</c:v>
                </c:pt>
                <c:pt idx="340">
                  <c:v>-96689.588304039964</c:v>
                </c:pt>
                <c:pt idx="341">
                  <c:v>-98756.34603424657</c:v>
                </c:pt>
                <c:pt idx="342">
                  <c:v>-100827.24222295413</c:v>
                </c:pt>
                <c:pt idx="343">
                  <c:v>-102902.39241102673</c:v>
                </c:pt>
                <c:pt idx="344">
                  <c:v>-101696.3749118783</c:v>
                </c:pt>
                <c:pt idx="345">
                  <c:v>-103132.52750774605</c:v>
                </c:pt>
                <c:pt idx="346">
                  <c:v>-103590.73040218597</c:v>
                </c:pt>
                <c:pt idx="347">
                  <c:v>-101607.70912979319</c:v>
                </c:pt>
                <c:pt idx="348">
                  <c:v>-99620.846107185978</c:v>
                </c:pt>
                <c:pt idx="349">
                  <c:v>-97657.084222544363</c:v>
                </c:pt>
                <c:pt idx="350">
                  <c:v>-95720.423429823961</c:v>
                </c:pt>
                <c:pt idx="351">
                  <c:v>-93824.763103816673</c:v>
                </c:pt>
                <c:pt idx="352">
                  <c:v>-91979.254980777565</c:v>
                </c:pt>
                <c:pt idx="353">
                  <c:v>-90185.4390454846</c:v>
                </c:pt>
                <c:pt idx="354">
                  <c:v>-88442.36914429265</c:v>
                </c:pt>
                <c:pt idx="355">
                  <c:v>-86747.671799578093</c:v>
                </c:pt>
                <c:pt idx="356">
                  <c:v>-85924.001526695007</c:v>
                </c:pt>
                <c:pt idx="357">
                  <c:v>-85074.20222004778</c:v>
                </c:pt>
                <c:pt idx="358">
                  <c:v>-85469.498976611751</c:v>
                </c:pt>
                <c:pt idx="359">
                  <c:v>-85876.302475300239</c:v>
                </c:pt>
                <c:pt idx="360">
                  <c:v>-85055.567453197102</c:v>
                </c:pt>
                <c:pt idx="361">
                  <c:v>-85273.027949012583</c:v>
                </c:pt>
                <c:pt idx="362">
                  <c:v>-84465.892978972115</c:v>
                </c:pt>
                <c:pt idx="363">
                  <c:v>-83127.961934282983</c:v>
                </c:pt>
                <c:pt idx="364">
                  <c:v>-82324.703662814645</c:v>
                </c:pt>
                <c:pt idx="365">
                  <c:v>-82563.453101039981</c:v>
                </c:pt>
                <c:pt idx="366">
                  <c:v>-81812.215063524913</c:v>
                </c:pt>
                <c:pt idx="367">
                  <c:v>-82106.027553054781</c:v>
                </c:pt>
                <c:pt idx="368">
                  <c:v>-82404.74668206909</c:v>
                </c:pt>
                <c:pt idx="369">
                  <c:v>-82758.229553801561</c:v>
                </c:pt>
                <c:pt idx="370">
                  <c:v>-83061.138076148898</c:v>
                </c:pt>
                <c:pt idx="371">
                  <c:v>-83984.265521749388</c:v>
                </c:pt>
                <c:pt idx="372">
                  <c:v>-83316.673582494826</c:v>
                </c:pt>
                <c:pt idx="373">
                  <c:v>-82165.577216051679</c:v>
                </c:pt>
                <c:pt idx="374">
                  <c:v>-80988.992821204214</c:v>
                </c:pt>
                <c:pt idx="375">
                  <c:v>-79757.910162019441</c:v>
                </c:pt>
                <c:pt idx="376">
                  <c:v>-78505.454122265714</c:v>
                </c:pt>
                <c:pt idx="377">
                  <c:v>-77215.262394147867</c:v>
                </c:pt>
                <c:pt idx="378">
                  <c:v>-75853.648312336343</c:v>
                </c:pt>
                <c:pt idx="379">
                  <c:v>-74414.579170681638</c:v>
                </c:pt>
                <c:pt idx="380">
                  <c:v>-72917.217013387286</c:v>
                </c:pt>
                <c:pt idx="381">
                  <c:v>-71383.615308737048</c:v>
                </c:pt>
                <c:pt idx="382">
                  <c:v>-72522.589332073912</c:v>
                </c:pt>
                <c:pt idx="383">
                  <c:v>-74231.050367079224</c:v>
                </c:pt>
                <c:pt idx="384">
                  <c:v>-76253.679164642483</c:v>
                </c:pt>
                <c:pt idx="385">
                  <c:v>-78278.907967796084</c:v>
                </c:pt>
                <c:pt idx="386">
                  <c:v>-80306.718817838366</c:v>
                </c:pt>
                <c:pt idx="387">
                  <c:v>-82337.812244281449</c:v>
                </c:pt>
                <c:pt idx="388">
                  <c:v>-84371.924638015291</c:v>
                </c:pt>
                <c:pt idx="389">
                  <c:v>-86408.792389930619</c:v>
                </c:pt>
                <c:pt idx="390">
                  <c:v>-88448.292674822253</c:v>
                </c:pt>
                <c:pt idx="391">
                  <c:v>-90490.411092109789</c:v>
                </c:pt>
                <c:pt idx="392">
                  <c:v>-92535.216254685234</c:v>
                </c:pt>
                <c:pt idx="393">
                  <c:v>-94582.787617903319</c:v>
                </c:pt>
                <c:pt idx="394">
                  <c:v>-96633.309335520331</c:v>
                </c:pt>
                <c:pt idx="395">
                  <c:v>-98686.839177964604</c:v>
                </c:pt>
                <c:pt idx="396">
                  <c:v>-100743.40967262408</c:v>
                </c:pt>
                <c:pt idx="397">
                  <c:v>-102803.12551789857</c:v>
                </c:pt>
                <c:pt idx="398">
                  <c:v>-104866.16730942177</c:v>
                </c:pt>
                <c:pt idx="399">
                  <c:v>-106932.92503962838</c:v>
                </c:pt>
                <c:pt idx="400">
                  <c:v>-109003.82122833593</c:v>
                </c:pt>
                <c:pt idx="401">
                  <c:v>-111078.97141640853</c:v>
                </c:pt>
                <c:pt idx="402">
                  <c:v>-109872.95391726011</c:v>
                </c:pt>
                <c:pt idx="403">
                  <c:v>-111309.10651312786</c:v>
                </c:pt>
                <c:pt idx="404">
                  <c:v>-111767.30940756778</c:v>
                </c:pt>
                <c:pt idx="405">
                  <c:v>-109784.288135175</c:v>
                </c:pt>
                <c:pt idx="406">
                  <c:v>-107797.42511256778</c:v>
                </c:pt>
                <c:pt idx="407">
                  <c:v>-105833.66322792617</c:v>
                </c:pt>
                <c:pt idx="408">
                  <c:v>-103897.00243520577</c:v>
                </c:pt>
                <c:pt idx="409">
                  <c:v>-102001.34210919848</c:v>
                </c:pt>
                <c:pt idx="410">
                  <c:v>-100155.83398615937</c:v>
                </c:pt>
                <c:pt idx="411">
                  <c:v>-98362.018050866405</c:v>
                </c:pt>
                <c:pt idx="412">
                  <c:v>-96618.948149674456</c:v>
                </c:pt>
                <c:pt idx="413">
                  <c:v>-94924.250804959898</c:v>
                </c:pt>
                <c:pt idx="414">
                  <c:v>-94100.580532076812</c:v>
                </c:pt>
                <c:pt idx="415">
                  <c:v>-93250.781225429586</c:v>
                </c:pt>
                <c:pt idx="416">
                  <c:v>-93646.077981993556</c:v>
                </c:pt>
                <c:pt idx="417">
                  <c:v>-94052.881480682045</c:v>
                </c:pt>
                <c:pt idx="418">
                  <c:v>-93232.146458578907</c:v>
                </c:pt>
                <c:pt idx="419">
                  <c:v>-93449.606954394389</c:v>
                </c:pt>
                <c:pt idx="420">
                  <c:v>-92642.471984353921</c:v>
                </c:pt>
                <c:pt idx="421">
                  <c:v>-91304.540939664788</c:v>
                </c:pt>
                <c:pt idx="422">
                  <c:v>-90501.282668196451</c:v>
                </c:pt>
                <c:pt idx="423">
                  <c:v>-90740.032106421786</c:v>
                </c:pt>
                <c:pt idx="424">
                  <c:v>-89988.794068906718</c:v>
                </c:pt>
                <c:pt idx="425">
                  <c:v>-90282.606558436586</c:v>
                </c:pt>
                <c:pt idx="426">
                  <c:v>-90581.325687450895</c:v>
                </c:pt>
                <c:pt idx="427">
                  <c:v>-89412.74711558655</c:v>
                </c:pt>
                <c:pt idx="428">
                  <c:v>-88251.466272343736</c:v>
                </c:pt>
                <c:pt idx="429">
                  <c:v>-21099.244338199336</c:v>
                </c:pt>
                <c:pt idx="430">
                  <c:v>-19868.448430146502</c:v>
                </c:pt>
                <c:pt idx="431">
                  <c:v>-18573.519422862842</c:v>
                </c:pt>
                <c:pt idx="432">
                  <c:v>-17177.361989569035</c:v>
                </c:pt>
                <c:pt idx="433">
                  <c:v>-18923.551539097378</c:v>
                </c:pt>
                <c:pt idx="434">
                  <c:v>-20268.964604164059</c:v>
                </c:pt>
                <c:pt idx="435">
                  <c:v>-22291.593401727318</c:v>
                </c:pt>
                <c:pt idx="436">
                  <c:v>-24316.822204880911</c:v>
                </c:pt>
                <c:pt idx="437">
                  <c:v>-26344.63305492319</c:v>
                </c:pt>
                <c:pt idx="438">
                  <c:v>-28375.72648136627</c:v>
                </c:pt>
                <c:pt idx="439">
                  <c:v>-30409.838875100104</c:v>
                </c:pt>
                <c:pt idx="440">
                  <c:v>-32446.706627015428</c:v>
                </c:pt>
                <c:pt idx="441">
                  <c:v>-34486.206911907066</c:v>
                </c:pt>
                <c:pt idx="442">
                  <c:v>-36528.325329194595</c:v>
                </c:pt>
                <c:pt idx="443">
                  <c:v>-38573.13049177004</c:v>
                </c:pt>
                <c:pt idx="444">
                  <c:v>-40620.701854988118</c:v>
                </c:pt>
                <c:pt idx="445">
                  <c:v>-42671.223572605129</c:v>
                </c:pt>
                <c:pt idx="446">
                  <c:v>-44724.75341504941</c:v>
                </c:pt>
                <c:pt idx="447">
                  <c:v>-46781.323909708888</c:v>
                </c:pt>
                <c:pt idx="448">
                  <c:v>-48841.039754983372</c:v>
                </c:pt>
                <c:pt idx="449">
                  <c:v>-50904.081546506568</c:v>
                </c:pt>
                <c:pt idx="450">
                  <c:v>-52970.839276713174</c:v>
                </c:pt>
                <c:pt idx="451">
                  <c:v>-55041.73546542073</c:v>
                </c:pt>
                <c:pt idx="452">
                  <c:v>-57116.885653493322</c:v>
                </c:pt>
                <c:pt idx="453">
                  <c:v>-55910.868154344906</c:v>
                </c:pt>
                <c:pt idx="454">
                  <c:v>-57347.020750212658</c:v>
                </c:pt>
                <c:pt idx="455">
                  <c:v>-57805.223644652571</c:v>
                </c:pt>
                <c:pt idx="456">
                  <c:v>-55822.202372259795</c:v>
                </c:pt>
                <c:pt idx="457">
                  <c:v>-53835.339349652575</c:v>
                </c:pt>
                <c:pt idx="458">
                  <c:v>-51871.577465010952</c:v>
                </c:pt>
                <c:pt idx="459">
                  <c:v>-49934.91667229055</c:v>
                </c:pt>
                <c:pt idx="460">
                  <c:v>-48039.256346283262</c:v>
                </c:pt>
                <c:pt idx="461">
                  <c:v>-46193.748223244147</c:v>
                </c:pt>
                <c:pt idx="462">
                  <c:v>-44399.932287951182</c:v>
                </c:pt>
                <c:pt idx="463">
                  <c:v>-42656.862386759225</c:v>
                </c:pt>
                <c:pt idx="464">
                  <c:v>-40962.165042044668</c:v>
                </c:pt>
                <c:pt idx="465">
                  <c:v>-40138.494769161574</c:v>
                </c:pt>
                <c:pt idx="466">
                  <c:v>-39288.695462514355</c:v>
                </c:pt>
                <c:pt idx="467">
                  <c:v>-39683.992219078325</c:v>
                </c:pt>
                <c:pt idx="468">
                  <c:v>-40090.795717766807</c:v>
                </c:pt>
                <c:pt idx="469">
                  <c:v>-39270.060695663669</c:v>
                </c:pt>
                <c:pt idx="470">
                  <c:v>-39487.521191479143</c:v>
                </c:pt>
                <c:pt idx="471">
                  <c:v>-38680.386221438675</c:v>
                </c:pt>
                <c:pt idx="472">
                  <c:v>-37342.45517674955</c:v>
                </c:pt>
                <c:pt idx="473">
                  <c:v>-36539.196905281213</c:v>
                </c:pt>
                <c:pt idx="474">
                  <c:v>-36777.946343506541</c:v>
                </c:pt>
                <c:pt idx="475">
                  <c:v>-36026.70830599148</c:v>
                </c:pt>
                <c:pt idx="476">
                  <c:v>-36320.520795521355</c:v>
                </c:pt>
                <c:pt idx="477">
                  <c:v>-36619.239924535665</c:v>
                </c:pt>
                <c:pt idx="478">
                  <c:v>-36972.722796268143</c:v>
                </c:pt>
                <c:pt idx="479">
                  <c:v>-37286.008738360964</c:v>
                </c:pt>
                <c:pt idx="480">
                  <c:v>28772.76391206187</c:v>
                </c:pt>
                <c:pt idx="481">
                  <c:v>29973.754908700081</c:v>
                </c:pt>
                <c:pt idx="482">
                  <c:v>31197.692733329262</c:v>
                </c:pt>
                <c:pt idx="483">
                  <c:v>32457.763740062201</c:v>
                </c:pt>
                <c:pt idx="484">
                  <c:v>33756.506286849457</c:v>
                </c:pt>
                <c:pt idx="485">
                  <c:v>35157.79116714398</c:v>
                </c:pt>
                <c:pt idx="486">
                  <c:v>36598.076061695705</c:v>
                </c:pt>
                <c:pt idx="487">
                  <c:v>35249.945987584186</c:v>
                </c:pt>
                <c:pt idx="488">
                  <c:v>33541.484952578881</c:v>
                </c:pt>
                <c:pt idx="489">
                  <c:v>31518.856155015623</c:v>
                </c:pt>
                <c:pt idx="490">
                  <c:v>29493.627351862029</c:v>
                </c:pt>
                <c:pt idx="491">
                  <c:v>27465.816501819751</c:v>
                </c:pt>
                <c:pt idx="492">
                  <c:v>25434.723075376671</c:v>
                </c:pt>
                <c:pt idx="493">
                  <c:v>23400.610681642836</c:v>
                </c:pt>
                <c:pt idx="494">
                  <c:v>21363.742929727512</c:v>
                </c:pt>
                <c:pt idx="495">
                  <c:v>19324.242644835871</c:v>
                </c:pt>
                <c:pt idx="496">
                  <c:v>17282.124227548338</c:v>
                </c:pt>
                <c:pt idx="497">
                  <c:v>15237.319064972897</c:v>
                </c:pt>
                <c:pt idx="498">
                  <c:v>13189.747701754817</c:v>
                </c:pt>
                <c:pt idx="499">
                  <c:v>11139.225984137805</c:v>
                </c:pt>
                <c:pt idx="500">
                  <c:v>9085.6961416935264</c:v>
                </c:pt>
                <c:pt idx="501">
                  <c:v>7029.1256470340504</c:v>
                </c:pt>
                <c:pt idx="502">
                  <c:v>4969.4098017595643</c:v>
                </c:pt>
                <c:pt idx="503">
                  <c:v>2906.3680102363655</c:v>
                </c:pt>
                <c:pt idx="504">
                  <c:v>839.61028002976354</c:v>
                </c:pt>
                <c:pt idx="505">
                  <c:v>-1231.2859086777935</c:v>
                </c:pt>
                <c:pt idx="506">
                  <c:v>-3306.4360967503858</c:v>
                </c:pt>
                <c:pt idx="507">
                  <c:v>-2100.4185976019689</c:v>
                </c:pt>
                <c:pt idx="508">
                  <c:v>-3536.5711934697206</c:v>
                </c:pt>
                <c:pt idx="509">
                  <c:v>-3994.7740879096364</c:v>
                </c:pt>
                <c:pt idx="510">
                  <c:v>-2011.7528155168577</c:v>
                </c:pt>
                <c:pt idx="511">
                  <c:v>-24.889792909640391</c:v>
                </c:pt>
                <c:pt idx="512">
                  <c:v>1938.8720917319788</c:v>
                </c:pt>
                <c:pt idx="513">
                  <c:v>3875.5328844523847</c:v>
                </c:pt>
                <c:pt idx="514">
                  <c:v>5771.1932104596717</c:v>
                </c:pt>
                <c:pt idx="515">
                  <c:v>7616.701333498786</c:v>
                </c:pt>
                <c:pt idx="516">
                  <c:v>9410.5172687917529</c:v>
                </c:pt>
                <c:pt idx="517">
                  <c:v>11153.587169983706</c:v>
                </c:pt>
                <c:pt idx="518">
                  <c:v>12848.284514698264</c:v>
                </c:pt>
                <c:pt idx="519">
                  <c:v>13671.954787581357</c:v>
                </c:pt>
                <c:pt idx="520">
                  <c:v>13289.538583746238</c:v>
                </c:pt>
                <c:pt idx="521">
                  <c:v>12894.24182718227</c:v>
                </c:pt>
                <c:pt idx="522">
                  <c:v>12487.438328493789</c:v>
                </c:pt>
                <c:pt idx="523">
                  <c:v>12070.722945624388</c:v>
                </c:pt>
                <c:pt idx="524">
                  <c:v>11645.626294803867</c:v>
                </c:pt>
                <c:pt idx="525">
                  <c:v>11212.713661510823</c:v>
                </c:pt>
                <c:pt idx="526">
                  <c:v>10773.272557298342</c:v>
                </c:pt>
                <c:pt idx="527">
                  <c:v>10328.772500442612</c:v>
                </c:pt>
                <c:pt idx="528">
                  <c:v>9881.0611134295941</c:v>
                </c:pt>
                <c:pt idx="529">
                  <c:v>9592.9314652257417</c:v>
                </c:pt>
                <c:pt idx="530">
                  <c:v>9299.1189756958684</c:v>
                </c:pt>
              </c:numCache>
            </c:numRef>
          </c:yVal>
          <c:smooth val="1"/>
          <c:extLst>
            <c:ext xmlns:c16="http://schemas.microsoft.com/office/drawing/2014/chart" uri="{C3380CC4-5D6E-409C-BE32-E72D297353CC}">
              <c16:uniqueId val="{00000000-88C6-C241-9ECE-07838F1574B3}"/>
            </c:ext>
          </c:extLst>
        </c:ser>
        <c:dLbls>
          <c:showLegendKey val="0"/>
          <c:showVal val="0"/>
          <c:showCatName val="0"/>
          <c:showSerName val="0"/>
          <c:showPercent val="0"/>
          <c:showBubbleSize val="0"/>
        </c:dLbls>
        <c:axId val="1555655039"/>
        <c:axId val="1438671471"/>
      </c:scatterChart>
      <c:valAx>
        <c:axId val="155565503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671471"/>
        <c:crosses val="autoZero"/>
        <c:crossBetween val="midCat"/>
      </c:valAx>
      <c:valAx>
        <c:axId val="143867147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5565503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Acceleration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Change in velocity</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5.2555152727264334</c:v>
                </c:pt>
                <c:pt idx="38">
                  <c:v>5.4524366435989888</c:v>
                </c:pt>
                <c:pt idx="39">
                  <c:v>5.6698718929611793</c:v>
                </c:pt>
                <c:pt idx="40">
                  <c:v>5.9157003663222598</c:v>
                </c:pt>
                <c:pt idx="41">
                  <c:v>6.203574541651764</c:v>
                </c:pt>
                <c:pt idx="42">
                  <c:v>6.6932526815888655</c:v>
                </c:pt>
                <c:pt idx="43">
                  <c:v>7.2085862720653608</c:v>
                </c:pt>
                <c:pt idx="44">
                  <c:v>7.7263715039514684</c:v>
                </c:pt>
                <c:pt idx="45">
                  <c:v>8.2472690784333622</c:v>
                </c:pt>
                <c:pt idx="46">
                  <c:v>8.7710073045670605</c:v>
                </c:pt>
                <c:pt idx="47">
                  <c:v>9.297657366745181</c:v>
                </c:pt>
                <c:pt idx="48">
                  <c:v>9.8265026239034938</c:v>
                </c:pt>
                <c:pt idx="49">
                  <c:v>10.358051382579831</c:v>
                </c:pt>
                <c:pt idx="50">
                  <c:v>10.890900157130085</c:v>
                </c:pt>
                <c:pt idx="51">
                  <c:v>11.355067327053314</c:v>
                </c:pt>
                <c:pt idx="52">
                  <c:v>11.771062917611582</c:v>
                </c:pt>
                <c:pt idx="53">
                  <c:v>12.150361996688224</c:v>
                </c:pt>
                <c:pt idx="54">
                  <c:v>12.501315831093812</c:v>
                </c:pt>
                <c:pt idx="55">
                  <c:v>12.829988257625953</c:v>
                </c:pt>
                <c:pt idx="56">
                  <c:v>13.140659342402618</c:v>
                </c:pt>
                <c:pt idx="57">
                  <c:v>13.436102461777297</c:v>
                </c:pt>
                <c:pt idx="58">
                  <c:v>13.718386489212309</c:v>
                </c:pt>
                <c:pt idx="59">
                  <c:v>13.989173340123255</c:v>
                </c:pt>
                <c:pt idx="60">
                  <c:v>14.249859956247716</c:v>
                </c:pt>
                <c:pt idx="61">
                  <c:v>14.501687131256073</c:v>
                </c:pt>
                <c:pt idx="62">
                  <c:v>14.74556150358489</c:v>
                </c:pt>
                <c:pt idx="63">
                  <c:v>14.982342175794422</c:v>
                </c:pt>
                <c:pt idx="64">
                  <c:v>15.21276411046073</c:v>
                </c:pt>
                <c:pt idx="65">
                  <c:v>15.437391058940023</c:v>
                </c:pt>
                <c:pt idx="66">
                  <c:v>15.65674301969395</c:v>
                </c:pt>
                <c:pt idx="67">
                  <c:v>15.871143272458182</c:v>
                </c:pt>
                <c:pt idx="68">
                  <c:v>16.081098050180746</c:v>
                </c:pt>
                <c:pt idx="69">
                  <c:v>16.313141515280506</c:v>
                </c:pt>
                <c:pt idx="70">
                  <c:v>16.575881108264305</c:v>
                </c:pt>
                <c:pt idx="71">
                  <c:v>16.885309274414016</c:v>
                </c:pt>
                <c:pt idx="72">
                  <c:v>17.390716406576789</c:v>
                </c:pt>
                <c:pt idx="73">
                  <c:v>17.952607198742456</c:v>
                </c:pt>
                <c:pt idx="74">
                  <c:v>18.439979605338024</c:v>
                </c:pt>
                <c:pt idx="75">
                  <c:v>18.876759367508736</c:v>
                </c:pt>
                <c:pt idx="76">
                  <c:v>19.27640184127868</c:v>
                </c:pt>
                <c:pt idx="77">
                  <c:v>19.64732243094009</c:v>
                </c:pt>
                <c:pt idx="78">
                  <c:v>19.995076500866311</c:v>
                </c:pt>
                <c:pt idx="79">
                  <c:v>20.323730548357045</c:v>
                </c:pt>
                <c:pt idx="80">
                  <c:v>20.636365697314822</c:v>
                </c:pt>
                <c:pt idx="81">
                  <c:v>20.935080789279034</c:v>
                </c:pt>
                <c:pt idx="82">
                  <c:v>21.221737974624485</c:v>
                </c:pt>
                <c:pt idx="83">
                  <c:v>21.497754512792579</c:v>
                </c:pt>
                <c:pt idx="84">
                  <c:v>21.764330810426298</c:v>
                </c:pt>
                <c:pt idx="85">
                  <c:v>22.022496263408886</c:v>
                </c:pt>
                <c:pt idx="86">
                  <c:v>22.273089192762136</c:v>
                </c:pt>
                <c:pt idx="87">
                  <c:v>22.516889329294582</c:v>
                </c:pt>
                <c:pt idx="88">
                  <c:v>22.754316202787425</c:v>
                </c:pt>
                <c:pt idx="89">
                  <c:v>22.985329477925639</c:v>
                </c:pt>
                <c:pt idx="90">
                  <c:v>23.2109875158453</c:v>
                </c:pt>
                <c:pt idx="91">
                  <c:v>23.431760207258062</c:v>
                </c:pt>
                <c:pt idx="92">
                  <c:v>23.648019056427138</c:v>
                </c:pt>
                <c:pt idx="93">
                  <c:v>23.865032870364512</c:v>
                </c:pt>
                <c:pt idx="94">
                  <c:v>24.080430744332283</c:v>
                </c:pt>
                <c:pt idx="95">
                  <c:v>24.294289198402961</c:v>
                </c:pt>
                <c:pt idx="96">
                  <c:v>24.50667535426026</c:v>
                </c:pt>
                <c:pt idx="97">
                  <c:v>24.717593495900424</c:v>
                </c:pt>
                <c:pt idx="98">
                  <c:v>24.9269760373077</c:v>
                </c:pt>
                <c:pt idx="99">
                  <c:v>25.134628941610149</c:v>
                </c:pt>
                <c:pt idx="100">
                  <c:v>25.340550074581945</c:v>
                </c:pt>
                <c:pt idx="101">
                  <c:v>25.544892134674129</c:v>
                </c:pt>
                <c:pt idx="102">
                  <c:v>25.747748176352339</c:v>
                </c:pt>
                <c:pt idx="103">
                  <c:v>25.949167394468596</c:v>
                </c:pt>
                <c:pt idx="104">
                  <c:v>26.149225008676023</c:v>
                </c:pt>
                <c:pt idx="105">
                  <c:v>26.348012533621169</c:v>
                </c:pt>
                <c:pt idx="106">
                  <c:v>26.545598497633751</c:v>
                </c:pt>
                <c:pt idx="107">
                  <c:v>26.742082261029395</c:v>
                </c:pt>
                <c:pt idx="108">
                  <c:v>26.937540805252674</c:v>
                </c:pt>
                <c:pt idx="109">
                  <c:v>27.132012705629219</c:v>
                </c:pt>
                <c:pt idx="110">
                  <c:v>27.325576731231045</c:v>
                </c:pt>
                <c:pt idx="111">
                  <c:v>27.518251288009573</c:v>
                </c:pt>
                <c:pt idx="112">
                  <c:v>27.710119740993889</c:v>
                </c:pt>
                <c:pt idx="113">
                  <c:v>27.901327051851059</c:v>
                </c:pt>
                <c:pt idx="114">
                  <c:v>28.106696119269035</c:v>
                </c:pt>
                <c:pt idx="115">
                  <c:v>28.329616615601481</c:v>
                </c:pt>
                <c:pt idx="116">
                  <c:v>28.575089814233088</c:v>
                </c:pt>
                <c:pt idx="117">
                  <c:v>28.81495295658388</c:v>
                </c:pt>
                <c:pt idx="118">
                  <c:v>29.049484860770871</c:v>
                </c:pt>
                <c:pt idx="119">
                  <c:v>29.284769462431235</c:v>
                </c:pt>
                <c:pt idx="120">
                  <c:v>29.518111525087317</c:v>
                </c:pt>
                <c:pt idx="121">
                  <c:v>29.749424415145654</c:v>
                </c:pt>
                <c:pt idx="122">
                  <c:v>29.978649076622322</c:v>
                </c:pt>
                <c:pt idx="123">
                  <c:v>30.205463654403662</c:v>
                </c:pt>
                <c:pt idx="124">
                  <c:v>30.430040933953492</c:v>
                </c:pt>
                <c:pt idx="125">
                  <c:v>30.652546501935134</c:v>
                </c:pt>
                <c:pt idx="126">
                  <c:v>30.872920829933346</c:v>
                </c:pt>
                <c:pt idx="127">
                  <c:v>31.091214946203035</c:v>
                </c:pt>
                <c:pt idx="128">
                  <c:v>31.307640202526109</c:v>
                </c:pt>
                <c:pt idx="129">
                  <c:v>31.52231888249079</c:v>
                </c:pt>
                <c:pt idx="130">
                  <c:v>31.735340378270468</c:v>
                </c:pt>
                <c:pt idx="131">
                  <c:v>31.946789099204821</c:v>
                </c:pt>
                <c:pt idx="132">
                  <c:v>32.156814431841902</c:v>
                </c:pt>
                <c:pt idx="133">
                  <c:v>32.365495731913285</c:v>
                </c:pt>
                <c:pt idx="134">
                  <c:v>32.572938332637172</c:v>
                </c:pt>
                <c:pt idx="135">
                  <c:v>32.779225690782184</c:v>
                </c:pt>
                <c:pt idx="136">
                  <c:v>32.984406853068855</c:v>
                </c:pt>
                <c:pt idx="137">
                  <c:v>33.188481512975969</c:v>
                </c:pt>
                <c:pt idx="138">
                  <c:v>33.408392062320949</c:v>
                </c:pt>
                <c:pt idx="139">
                  <c:v>33.648375391537868</c:v>
                </c:pt>
                <c:pt idx="140">
                  <c:v>33.914970710913408</c:v>
                </c:pt>
                <c:pt idx="141">
                  <c:v>34.218953776384112</c:v>
                </c:pt>
                <c:pt idx="142">
                  <c:v>34.58099821729482</c:v>
                </c:pt>
                <c:pt idx="143">
                  <c:v>34.925036559868687</c:v>
                </c:pt>
                <c:pt idx="144">
                  <c:v>35.253486860639839</c:v>
                </c:pt>
                <c:pt idx="145">
                  <c:v>35.568260176824182</c:v>
                </c:pt>
                <c:pt idx="146">
                  <c:v>35.870821737896954</c:v>
                </c:pt>
                <c:pt idx="147">
                  <c:v>36.162444570285075</c:v>
                </c:pt>
                <c:pt idx="148">
                  <c:v>36.444273113608865</c:v>
                </c:pt>
                <c:pt idx="149">
                  <c:v>36.717249378534405</c:v>
                </c:pt>
                <c:pt idx="150">
                  <c:v>36.982233162728406</c:v>
                </c:pt>
                <c:pt idx="151">
                  <c:v>37.239945802258895</c:v>
                </c:pt>
                <c:pt idx="152">
                  <c:v>37.490984167610506</c:v>
                </c:pt>
                <c:pt idx="153">
                  <c:v>37.742378377194896</c:v>
                </c:pt>
                <c:pt idx="154">
                  <c:v>37.990958858549696</c:v>
                </c:pt>
                <c:pt idx="155">
                  <c:v>38.236861211409817</c:v>
                </c:pt>
                <c:pt idx="156">
                  <c:v>38.48029215018525</c:v>
                </c:pt>
                <c:pt idx="157">
                  <c:v>38.72130194496804</c:v>
                </c:pt>
                <c:pt idx="158">
                  <c:v>38.959986832493371</c:v>
                </c:pt>
                <c:pt idx="159">
                  <c:v>39.221774664261453</c:v>
                </c:pt>
                <c:pt idx="160">
                  <c:v>39.489940680885709</c:v>
                </c:pt>
                <c:pt idx="161">
                  <c:v>39.76485686372137</c:v>
                </c:pt>
                <c:pt idx="162">
                  <c:v>40.043629326728627</c:v>
                </c:pt>
                <c:pt idx="163">
                  <c:v>40.326467154806942</c:v>
                </c:pt>
                <c:pt idx="164">
                  <c:v>40.610078590012868</c:v>
                </c:pt>
                <c:pt idx="165">
                  <c:v>40.894212030266409</c:v>
                </c:pt>
                <c:pt idx="166">
                  <c:v>41.178710712295384</c:v>
                </c:pt>
                <c:pt idx="167">
                  <c:v>41.463572113309795</c:v>
                </c:pt>
                <c:pt idx="168">
                  <c:v>41.748894641806807</c:v>
                </c:pt>
                <c:pt idx="169">
                  <c:v>42.034641266689363</c:v>
                </c:pt>
                <c:pt idx="170">
                  <c:v>42.320774956860504</c:v>
                </c:pt>
                <c:pt idx="171">
                  <c:v>42.607278458166562</c:v>
                </c:pt>
                <c:pt idx="172">
                  <c:v>42.894149747652826</c:v>
                </c:pt>
                <c:pt idx="173">
                  <c:v>43.181398463873379</c:v>
                </c:pt>
                <c:pt idx="174">
                  <c:v>43.469035768502224</c:v>
                </c:pt>
                <c:pt idx="175">
                  <c:v>43.757087530962558</c:v>
                </c:pt>
                <c:pt idx="176">
                  <c:v>44.045561866688395</c:v>
                </c:pt>
                <c:pt idx="177">
                  <c:v>44.334463345039488</c:v>
                </c:pt>
                <c:pt idx="178">
                  <c:v>44.623806673764769</c:v>
                </c:pt>
                <c:pt idx="179">
                  <c:v>44.913617222451954</c:v>
                </c:pt>
                <c:pt idx="180">
                  <c:v>45.203949776186811</c:v>
                </c:pt>
                <c:pt idx="181">
                  <c:v>45.494863689414146</c:v>
                </c:pt>
                <c:pt idx="182">
                  <c:v>45.786375193003032</c:v>
                </c:pt>
                <c:pt idx="183">
                  <c:v>46.073681516762527</c:v>
                </c:pt>
                <c:pt idx="184">
                  <c:v>46.352422549766104</c:v>
                </c:pt>
                <c:pt idx="185">
                  <c:v>46.623384852868391</c:v>
                </c:pt>
                <c:pt idx="186">
                  <c:v>46.887204202175859</c:v>
                </c:pt>
                <c:pt idx="187">
                  <c:v>47.151534654443182</c:v>
                </c:pt>
                <c:pt idx="188">
                  <c:v>47.412791752293586</c:v>
                </c:pt>
                <c:pt idx="189">
                  <c:v>47.670443345485161</c:v>
                </c:pt>
                <c:pt idx="190">
                  <c:v>47.922640273817535</c:v>
                </c:pt>
                <c:pt idx="191">
                  <c:v>48.168164998609988</c:v>
                </c:pt>
                <c:pt idx="192">
                  <c:v>48.406812641686109</c:v>
                </c:pt>
                <c:pt idx="193">
                  <c:v>48.638709078467656</c:v>
                </c:pt>
                <c:pt idx="194">
                  <c:v>48.864170074262326</c:v>
                </c:pt>
                <c:pt idx="195">
                  <c:v>49.079466193186008</c:v>
                </c:pt>
                <c:pt idx="196">
                  <c:v>49.288877308072955</c:v>
                </c:pt>
                <c:pt idx="197">
                  <c:v>49.492713722981222</c:v>
                </c:pt>
                <c:pt idx="198">
                  <c:v>49.691154753818132</c:v>
                </c:pt>
                <c:pt idx="199">
                  <c:v>49.884235272627876</c:v>
                </c:pt>
                <c:pt idx="200">
                  <c:v>50.071997312959049</c:v>
                </c:pt>
                <c:pt idx="201">
                  <c:v>50.254849351251032</c:v>
                </c:pt>
                <c:pt idx="202">
                  <c:v>50.432846482468001</c:v>
                </c:pt>
                <c:pt idx="203">
                  <c:v>50.605957810142037</c:v>
                </c:pt>
                <c:pt idx="204">
                  <c:v>50.783900085511952</c:v>
                </c:pt>
                <c:pt idx="205">
                  <c:v>50.961116474210392</c:v>
                </c:pt>
                <c:pt idx="206">
                  <c:v>51.139843053222172</c:v>
                </c:pt>
                <c:pt idx="207">
                  <c:v>51.324041437954939</c:v>
                </c:pt>
                <c:pt idx="208">
                  <c:v>51.514056210424428</c:v>
                </c:pt>
                <c:pt idx="209">
                  <c:v>51.710356691292958</c:v>
                </c:pt>
                <c:pt idx="210">
                  <c:v>51.990356691292959</c:v>
                </c:pt>
                <c:pt idx="211">
                  <c:v>52.27035669129296</c:v>
                </c:pt>
                <c:pt idx="212">
                  <c:v>52.554490131546501</c:v>
                </c:pt>
                <c:pt idx="213">
                  <c:v>52.838988813575476</c:v>
                </c:pt>
                <c:pt idx="214">
                  <c:v>53.123850214589886</c:v>
                </c:pt>
                <c:pt idx="215">
                  <c:v>53.409172743086899</c:v>
                </c:pt>
                <c:pt idx="216">
                  <c:v>53.694919367969455</c:v>
                </c:pt>
                <c:pt idx="217">
                  <c:v>53.981053058140596</c:v>
                </c:pt>
                <c:pt idx="218">
                  <c:v>54.267556559446653</c:v>
                </c:pt>
                <c:pt idx="219">
                  <c:v>54.554427848932917</c:v>
                </c:pt>
                <c:pt idx="220">
                  <c:v>54.834427848932918</c:v>
                </c:pt>
                <c:pt idx="221">
                  <c:v>55.118561289186459</c:v>
                </c:pt>
                <c:pt idx="222">
                  <c:v>55.403059971215434</c:v>
                </c:pt>
                <c:pt idx="223">
                  <c:v>55.687921372229845</c:v>
                </c:pt>
                <c:pt idx="224">
                  <c:v>55.973243900726857</c:v>
                </c:pt>
                <c:pt idx="225">
                  <c:v>56.258990525609413</c:v>
                </c:pt>
                <c:pt idx="226">
                  <c:v>56.545124215780554</c:v>
                </c:pt>
                <c:pt idx="227">
                  <c:v>56.831627717086612</c:v>
                </c:pt>
                <c:pt idx="228">
                  <c:v>57.118499006572875</c:v>
                </c:pt>
                <c:pt idx="229">
                  <c:v>57.405747722793429</c:v>
                </c:pt>
                <c:pt idx="230">
                  <c:v>57.693385027422273</c:v>
                </c:pt>
                <c:pt idx="231">
                  <c:v>57.981436789882608</c:v>
                </c:pt>
                <c:pt idx="232">
                  <c:v>58.269911125608445</c:v>
                </c:pt>
                <c:pt idx="233">
                  <c:v>58.558812603959538</c:v>
                </c:pt>
                <c:pt idx="234">
                  <c:v>58.848155932684818</c:v>
                </c:pt>
                <c:pt idx="235">
                  <c:v>59.137966481372004</c:v>
                </c:pt>
                <c:pt idx="236">
                  <c:v>59.428299035106861</c:v>
                </c:pt>
                <c:pt idx="237">
                  <c:v>59.719212948334196</c:v>
                </c:pt>
                <c:pt idx="238">
                  <c:v>60.010724451923082</c:v>
                </c:pt>
                <c:pt idx="239">
                  <c:v>60.298030775682577</c:v>
                </c:pt>
                <c:pt idx="240">
                  <c:v>60.576771808686154</c:v>
                </c:pt>
                <c:pt idx="241">
                  <c:v>60.847734111788441</c:v>
                </c:pt>
                <c:pt idx="242">
                  <c:v>61.111553461095909</c:v>
                </c:pt>
                <c:pt idx="243">
                  <c:v>61.375883913363232</c:v>
                </c:pt>
                <c:pt idx="244">
                  <c:v>61.637141011213636</c:v>
                </c:pt>
                <c:pt idx="245">
                  <c:v>61.894792604405211</c:v>
                </c:pt>
                <c:pt idx="246">
                  <c:v>62.146989532737585</c:v>
                </c:pt>
                <c:pt idx="247">
                  <c:v>62.392514257530038</c:v>
                </c:pt>
                <c:pt idx="248">
                  <c:v>62.631161900606159</c:v>
                </c:pt>
                <c:pt idx="249">
                  <c:v>62.863058337387706</c:v>
                </c:pt>
                <c:pt idx="250">
                  <c:v>63.088519333182376</c:v>
                </c:pt>
                <c:pt idx="251">
                  <c:v>63.303815452106058</c:v>
                </c:pt>
                <c:pt idx="252">
                  <c:v>63.513226566993005</c:v>
                </c:pt>
                <c:pt idx="253">
                  <c:v>63.717062981901272</c:v>
                </c:pt>
                <c:pt idx="254">
                  <c:v>63.915504012738182</c:v>
                </c:pt>
                <c:pt idx="255">
                  <c:v>64.108584531547933</c:v>
                </c:pt>
                <c:pt idx="256">
                  <c:v>64.296346571879113</c:v>
                </c:pt>
                <c:pt idx="257">
                  <c:v>64.479198610171096</c:v>
                </c:pt>
                <c:pt idx="258">
                  <c:v>64.657195741388065</c:v>
                </c:pt>
                <c:pt idx="259">
                  <c:v>64.830307069062101</c:v>
                </c:pt>
                <c:pt idx="260">
                  <c:v>64.998360048545138</c:v>
                </c:pt>
                <c:pt idx="261">
                  <c:v>65.161430698817469</c:v>
                </c:pt>
                <c:pt idx="262">
                  <c:v>65.320058852168501</c:v>
                </c:pt>
                <c:pt idx="263">
                  <c:v>65.474389461113404</c:v>
                </c:pt>
                <c:pt idx="264">
                  <c:v>65.624295689799055</c:v>
                </c:pt>
                <c:pt idx="265">
                  <c:v>65.769698437528731</c:v>
                </c:pt>
                <c:pt idx="266">
                  <c:v>69.546388903024848</c:v>
                </c:pt>
                <c:pt idx="267">
                  <c:v>72.784530783092507</c:v>
                </c:pt>
                <c:pt idx="268">
                  <c:v>72.881431570798057</c:v>
                </c:pt>
                <c:pt idx="269">
                  <c:v>73.004702771439298</c:v>
                </c:pt>
                <c:pt idx="270">
                  <c:v>73.134574147511202</c:v>
                </c:pt>
                <c:pt idx="271">
                  <c:v>73.288844527917917</c:v>
                </c:pt>
                <c:pt idx="272">
                  <c:v>73.454944256399585</c:v>
                </c:pt>
                <c:pt idx="273">
                  <c:v>73.734944256399586</c:v>
                </c:pt>
                <c:pt idx="274">
                  <c:v>73.996978429077856</c:v>
                </c:pt>
                <c:pt idx="275">
                  <c:v>74.281477111106824</c:v>
                </c:pt>
                <c:pt idx="276">
                  <c:v>74.566338512121234</c:v>
                </c:pt>
                <c:pt idx="277">
                  <c:v>74.851661040618254</c:v>
                </c:pt>
                <c:pt idx="278">
                  <c:v>75.137407665500803</c:v>
                </c:pt>
                <c:pt idx="279">
                  <c:v>75.423541355671944</c:v>
                </c:pt>
                <c:pt idx="280">
                  <c:v>75.710044856978001</c:v>
                </c:pt>
                <c:pt idx="281">
                  <c:v>75.996916146464258</c:v>
                </c:pt>
                <c:pt idx="282">
                  <c:v>76.284164862684804</c:v>
                </c:pt>
                <c:pt idx="283">
                  <c:v>76.571802167313649</c:v>
                </c:pt>
                <c:pt idx="284">
                  <c:v>76.859853929773976</c:v>
                </c:pt>
                <c:pt idx="285">
                  <c:v>77.148328265499813</c:v>
                </c:pt>
                <c:pt idx="286">
                  <c:v>77.437229743850907</c:v>
                </c:pt>
                <c:pt idx="287">
                  <c:v>77.726573072576187</c:v>
                </c:pt>
                <c:pt idx="288">
                  <c:v>78.016383621263373</c:v>
                </c:pt>
                <c:pt idx="289">
                  <c:v>78.306716174998229</c:v>
                </c:pt>
                <c:pt idx="290">
                  <c:v>78.597630088225557</c:v>
                </c:pt>
                <c:pt idx="291">
                  <c:v>78.88914159181445</c:v>
                </c:pt>
                <c:pt idx="292">
                  <c:v>79.176447915573945</c:v>
                </c:pt>
                <c:pt idx="293">
                  <c:v>79.455188948577529</c:v>
                </c:pt>
                <c:pt idx="294">
                  <c:v>79.726151251679809</c:v>
                </c:pt>
                <c:pt idx="295">
                  <c:v>79.989970600987277</c:v>
                </c:pt>
                <c:pt idx="296">
                  <c:v>80.254301053254594</c:v>
                </c:pt>
                <c:pt idx="297">
                  <c:v>80.515558151104997</c:v>
                </c:pt>
                <c:pt idx="298">
                  <c:v>80.773209744296565</c:v>
                </c:pt>
                <c:pt idx="299">
                  <c:v>81.025406672628947</c:v>
                </c:pt>
                <c:pt idx="300">
                  <c:v>81.270931397421407</c:v>
                </c:pt>
                <c:pt idx="301">
                  <c:v>81.509579040497528</c:v>
                </c:pt>
                <c:pt idx="302">
                  <c:v>81.741475477279067</c:v>
                </c:pt>
                <c:pt idx="303">
                  <c:v>81.96693647307373</c:v>
                </c:pt>
                <c:pt idx="304">
                  <c:v>82.182232591997419</c:v>
                </c:pt>
                <c:pt idx="305">
                  <c:v>82.391643706884366</c:v>
                </c:pt>
                <c:pt idx="306">
                  <c:v>82.595480121792633</c:v>
                </c:pt>
                <c:pt idx="307">
                  <c:v>82.793921152629537</c:v>
                </c:pt>
                <c:pt idx="308">
                  <c:v>82.987001671439288</c:v>
                </c:pt>
                <c:pt idx="309">
                  <c:v>83.174763711770467</c:v>
                </c:pt>
                <c:pt idx="310">
                  <c:v>83.35761575006245</c:v>
                </c:pt>
                <c:pt idx="311">
                  <c:v>83.53561288127942</c:v>
                </c:pt>
                <c:pt idx="312">
                  <c:v>83.708724208953456</c:v>
                </c:pt>
                <c:pt idx="313">
                  <c:v>83.876777188436492</c:v>
                </c:pt>
                <c:pt idx="314">
                  <c:v>84.039847838708823</c:v>
                </c:pt>
                <c:pt idx="315">
                  <c:v>84.198475992059855</c:v>
                </c:pt>
                <c:pt idx="316">
                  <c:v>84.352806601004758</c:v>
                </c:pt>
                <c:pt idx="317">
                  <c:v>84.504145800316749</c:v>
                </c:pt>
                <c:pt idx="318">
                  <c:v>84.655832535533335</c:v>
                </c:pt>
                <c:pt idx="319">
                  <c:v>89.632177619481155</c:v>
                </c:pt>
                <c:pt idx="320">
                  <c:v>110.47239193857871</c:v>
                </c:pt>
                <c:pt idx="321">
                  <c:v>110.61353595113357</c:v>
                </c:pt>
                <c:pt idx="322">
                  <c:v>110.75625104802587</c:v>
                </c:pt>
                <c:pt idx="323">
                  <c:v>110.90056462179834</c:v>
                </c:pt>
                <c:pt idx="324">
                  <c:v>111.05056462179834</c:v>
                </c:pt>
                <c:pt idx="325">
                  <c:v>111.1978631011384</c:v>
                </c:pt>
                <c:pt idx="326">
                  <c:v>111.38239310113839</c:v>
                </c:pt>
                <c:pt idx="327">
                  <c:v>111.66652654139193</c:v>
                </c:pt>
                <c:pt idx="328">
                  <c:v>111.9510252234209</c:v>
                </c:pt>
                <c:pt idx="329">
                  <c:v>112.23588662443531</c:v>
                </c:pt>
                <c:pt idx="330">
                  <c:v>112.52120915293233</c:v>
                </c:pt>
                <c:pt idx="331">
                  <c:v>112.80695577781488</c:v>
                </c:pt>
                <c:pt idx="332">
                  <c:v>113.09308946798602</c:v>
                </c:pt>
                <c:pt idx="333">
                  <c:v>113.37959296929208</c:v>
                </c:pt>
                <c:pt idx="334">
                  <c:v>113.66646425877833</c:v>
                </c:pt>
                <c:pt idx="335">
                  <c:v>113.95371297499888</c:v>
                </c:pt>
                <c:pt idx="336">
                  <c:v>114.24135027962772</c:v>
                </c:pt>
                <c:pt idx="337">
                  <c:v>114.52940204208805</c:v>
                </c:pt>
                <c:pt idx="338">
                  <c:v>114.81787637781389</c:v>
                </c:pt>
                <c:pt idx="339">
                  <c:v>115.10677785616498</c:v>
                </c:pt>
                <c:pt idx="340">
                  <c:v>115.39612118489026</c:v>
                </c:pt>
                <c:pt idx="341">
                  <c:v>115.68593173357745</c:v>
                </c:pt>
                <c:pt idx="342">
                  <c:v>115.9762642873123</c:v>
                </c:pt>
                <c:pt idx="343">
                  <c:v>116.26717820053963</c:v>
                </c:pt>
                <c:pt idx="344">
                  <c:v>116.55868970412853</c:v>
                </c:pt>
                <c:pt idx="345">
                  <c:v>116.84599602788802</c:v>
                </c:pt>
                <c:pt idx="346">
                  <c:v>117.1247370608916</c:v>
                </c:pt>
                <c:pt idx="347">
                  <c:v>117.39569936399388</c:v>
                </c:pt>
                <c:pt idx="348">
                  <c:v>117.65951871330135</c:v>
                </c:pt>
                <c:pt idx="349">
                  <c:v>117.92384916556867</c:v>
                </c:pt>
                <c:pt idx="350">
                  <c:v>118.18510626341907</c:v>
                </c:pt>
                <c:pt idx="351">
                  <c:v>118.44275785661064</c:v>
                </c:pt>
                <c:pt idx="352">
                  <c:v>118.69495478494302</c:v>
                </c:pt>
                <c:pt idx="353">
                  <c:v>118.94047950973548</c:v>
                </c:pt>
                <c:pt idx="354">
                  <c:v>119.1791271528116</c:v>
                </c:pt>
                <c:pt idx="355">
                  <c:v>119.41102358959314</c:v>
                </c:pt>
                <c:pt idx="356">
                  <c:v>119.63648458538781</c:v>
                </c:pt>
                <c:pt idx="357">
                  <c:v>119.85178070431149</c:v>
                </c:pt>
                <c:pt idx="358">
                  <c:v>120.06119181919844</c:v>
                </c:pt>
                <c:pt idx="359">
                  <c:v>120.26502823410671</c:v>
                </c:pt>
                <c:pt idx="360">
                  <c:v>120.46346926494361</c:v>
                </c:pt>
                <c:pt idx="361">
                  <c:v>120.65654978375336</c:v>
                </c:pt>
                <c:pt idx="362">
                  <c:v>120.84431182408454</c:v>
                </c:pt>
                <c:pt idx="363">
                  <c:v>121.02716386237653</c:v>
                </c:pt>
                <c:pt idx="364">
                  <c:v>121.20516099359349</c:v>
                </c:pt>
                <c:pt idx="365">
                  <c:v>121.37827232126753</c:v>
                </c:pt>
                <c:pt idx="366">
                  <c:v>121.54632530075057</c:v>
                </c:pt>
                <c:pt idx="367">
                  <c:v>121.7093959510229</c:v>
                </c:pt>
                <c:pt idx="368">
                  <c:v>121.86802410437393</c:v>
                </c:pt>
                <c:pt idx="369">
                  <c:v>122.02235471331883</c:v>
                </c:pt>
                <c:pt idx="370">
                  <c:v>122.17226094200448</c:v>
                </c:pt>
                <c:pt idx="371">
                  <c:v>122.31766368973416</c:v>
                </c:pt>
                <c:pt idx="372">
                  <c:v>121.88017991798355</c:v>
                </c:pt>
                <c:pt idx="373">
                  <c:v>122.03224776737423</c:v>
                </c:pt>
                <c:pt idx="374">
                  <c:v>122.18538858266099</c:v>
                </c:pt>
                <c:pt idx="375">
                  <c:v>122.34192030210112</c:v>
                </c:pt>
                <c:pt idx="376">
                  <c:v>122.50570242113908</c:v>
                </c:pt>
                <c:pt idx="377">
                  <c:v>122.67232803531887</c:v>
                </c:pt>
                <c:pt idx="378">
                  <c:v>122.84397397121103</c:v>
                </c:pt>
                <c:pt idx="379">
                  <c:v>123.02512187218032</c:v>
                </c:pt>
                <c:pt idx="380">
                  <c:v>123.2165743239746</c:v>
                </c:pt>
                <c:pt idx="381">
                  <c:v>123.41578202563397</c:v>
                </c:pt>
                <c:pt idx="382">
                  <c:v>123.61981100376462</c:v>
                </c:pt>
                <c:pt idx="383">
                  <c:v>123.77981100376462</c:v>
                </c:pt>
                <c:pt idx="384">
                  <c:v>124.01981100376462</c:v>
                </c:pt>
                <c:pt idx="385">
                  <c:v>124.30394444401816</c:v>
                </c:pt>
                <c:pt idx="386">
                  <c:v>124.58844312604712</c:v>
                </c:pt>
                <c:pt idx="387">
                  <c:v>124.87330452706153</c:v>
                </c:pt>
                <c:pt idx="388">
                  <c:v>125.15862705555855</c:v>
                </c:pt>
                <c:pt idx="389">
                  <c:v>125.4443736804411</c:v>
                </c:pt>
                <c:pt idx="390">
                  <c:v>125.73050737061224</c:v>
                </c:pt>
                <c:pt idx="391">
                  <c:v>126.0170108719183</c:v>
                </c:pt>
                <c:pt idx="392">
                  <c:v>126.30388216140456</c:v>
                </c:pt>
                <c:pt idx="393">
                  <c:v>126.5911308776251</c:v>
                </c:pt>
                <c:pt idx="394">
                  <c:v>126.87876818225395</c:v>
                </c:pt>
                <c:pt idx="395">
                  <c:v>127.16681994471428</c:v>
                </c:pt>
                <c:pt idx="396">
                  <c:v>127.45529428044011</c:v>
                </c:pt>
                <c:pt idx="397">
                  <c:v>127.74419575879121</c:v>
                </c:pt>
                <c:pt idx="398">
                  <c:v>128.03353908751649</c:v>
                </c:pt>
                <c:pt idx="399">
                  <c:v>128.32334963620369</c:v>
                </c:pt>
                <c:pt idx="400">
                  <c:v>128.61368218993854</c:v>
                </c:pt>
                <c:pt idx="401">
                  <c:v>128.90459610316589</c:v>
                </c:pt>
                <c:pt idx="402">
                  <c:v>129.19610760675477</c:v>
                </c:pt>
                <c:pt idx="403">
                  <c:v>129.48341393051427</c:v>
                </c:pt>
                <c:pt idx="404">
                  <c:v>129.76215496351784</c:v>
                </c:pt>
                <c:pt idx="405">
                  <c:v>130.03311726662014</c:v>
                </c:pt>
                <c:pt idx="406">
                  <c:v>130.29693661592759</c:v>
                </c:pt>
                <c:pt idx="407">
                  <c:v>130.56126706819492</c:v>
                </c:pt>
                <c:pt idx="408">
                  <c:v>130.82252416604533</c:v>
                </c:pt>
                <c:pt idx="409">
                  <c:v>131.08017575923691</c:v>
                </c:pt>
                <c:pt idx="410">
                  <c:v>131.33237268756929</c:v>
                </c:pt>
                <c:pt idx="411">
                  <c:v>131.57789741236175</c:v>
                </c:pt>
                <c:pt idx="412">
                  <c:v>131.81654505543787</c:v>
                </c:pt>
                <c:pt idx="413">
                  <c:v>132.04844149221941</c:v>
                </c:pt>
                <c:pt idx="414">
                  <c:v>132.27390248801407</c:v>
                </c:pt>
                <c:pt idx="415">
                  <c:v>132.48919860693775</c:v>
                </c:pt>
                <c:pt idx="416">
                  <c:v>132.69860972182468</c:v>
                </c:pt>
                <c:pt idx="417">
                  <c:v>132.90244613673295</c:v>
                </c:pt>
                <c:pt idx="418">
                  <c:v>133.10088716756985</c:v>
                </c:pt>
                <c:pt idx="419">
                  <c:v>133.2939676863796</c:v>
                </c:pt>
                <c:pt idx="420">
                  <c:v>133.48172972671077</c:v>
                </c:pt>
                <c:pt idx="421">
                  <c:v>133.66458176500277</c:v>
                </c:pt>
                <c:pt idx="422">
                  <c:v>133.84257889621975</c:v>
                </c:pt>
                <c:pt idx="423">
                  <c:v>134.01569022389378</c:v>
                </c:pt>
                <c:pt idx="424">
                  <c:v>134.18374320337682</c:v>
                </c:pt>
                <c:pt idx="425">
                  <c:v>134.34681385364914</c:v>
                </c:pt>
                <c:pt idx="426">
                  <c:v>134.50544200700017</c:v>
                </c:pt>
                <c:pt idx="427">
                  <c:v>134.65977261594509</c:v>
                </c:pt>
                <c:pt idx="428">
                  <c:v>134.81523924796559</c:v>
                </c:pt>
                <c:pt idx="429">
                  <c:v>134.96973499679731</c:v>
                </c:pt>
                <c:pt idx="430">
                  <c:v>143.90360562232001</c:v>
                </c:pt>
                <c:pt idx="431">
                  <c:v>144.06734959224778</c:v>
                </c:pt>
                <c:pt idx="432">
                  <c:v>144.23962577145826</c:v>
                </c:pt>
                <c:pt idx="433">
                  <c:v>144.42536928854011</c:v>
                </c:pt>
                <c:pt idx="434">
                  <c:v>144.6706692885401</c:v>
                </c:pt>
                <c:pt idx="435">
                  <c:v>144.85966928854009</c:v>
                </c:pt>
                <c:pt idx="436">
                  <c:v>145.14380272879362</c:v>
                </c:pt>
                <c:pt idx="437">
                  <c:v>145.4283014108226</c:v>
                </c:pt>
                <c:pt idx="438">
                  <c:v>145.71316281183701</c:v>
                </c:pt>
                <c:pt idx="439">
                  <c:v>145.99848534033401</c:v>
                </c:pt>
                <c:pt idx="440">
                  <c:v>146.28423196521658</c:v>
                </c:pt>
                <c:pt idx="441">
                  <c:v>146.57036565538772</c:v>
                </c:pt>
                <c:pt idx="442">
                  <c:v>146.85686915669379</c:v>
                </c:pt>
                <c:pt idx="443">
                  <c:v>147.14374044618006</c:v>
                </c:pt>
                <c:pt idx="444">
                  <c:v>147.43098916240061</c:v>
                </c:pt>
                <c:pt idx="445">
                  <c:v>147.71862646702945</c:v>
                </c:pt>
                <c:pt idx="446">
                  <c:v>148.00667822948978</c:v>
                </c:pt>
                <c:pt idx="447">
                  <c:v>148.2951525652156</c:v>
                </c:pt>
                <c:pt idx="448">
                  <c:v>148.58405404356671</c:v>
                </c:pt>
                <c:pt idx="449">
                  <c:v>148.873397372292</c:v>
                </c:pt>
                <c:pt idx="450">
                  <c:v>149.1632079209792</c:v>
                </c:pt>
                <c:pt idx="451">
                  <c:v>149.45354047471406</c:v>
                </c:pt>
                <c:pt idx="452">
                  <c:v>149.7444543879414</c:v>
                </c:pt>
                <c:pt idx="453">
                  <c:v>150.03596589153028</c:v>
                </c:pt>
                <c:pt idx="454">
                  <c:v>150.32327221528979</c:v>
                </c:pt>
                <c:pt idx="455">
                  <c:v>150.60201324829336</c:v>
                </c:pt>
                <c:pt idx="456">
                  <c:v>150.87297555139565</c:v>
                </c:pt>
                <c:pt idx="457">
                  <c:v>151.13679490070311</c:v>
                </c:pt>
                <c:pt idx="458">
                  <c:v>151.40112535297044</c:v>
                </c:pt>
                <c:pt idx="459">
                  <c:v>151.66238245082084</c:v>
                </c:pt>
                <c:pt idx="460">
                  <c:v>151.92003404401243</c:v>
                </c:pt>
                <c:pt idx="461">
                  <c:v>152.17223097234481</c:v>
                </c:pt>
                <c:pt idx="462">
                  <c:v>152.41775569713727</c:v>
                </c:pt>
                <c:pt idx="463">
                  <c:v>152.65640334021339</c:v>
                </c:pt>
                <c:pt idx="464">
                  <c:v>152.88829977699493</c:v>
                </c:pt>
                <c:pt idx="465">
                  <c:v>153.11376077278959</c:v>
                </c:pt>
                <c:pt idx="466">
                  <c:v>153.32905689171326</c:v>
                </c:pt>
                <c:pt idx="467">
                  <c:v>153.5384680066002</c:v>
                </c:pt>
                <c:pt idx="468">
                  <c:v>153.74230442150846</c:v>
                </c:pt>
                <c:pt idx="469">
                  <c:v>153.94074545234537</c:v>
                </c:pt>
                <c:pt idx="470">
                  <c:v>154.13382597115512</c:v>
                </c:pt>
                <c:pt idx="471">
                  <c:v>154.32158801148628</c:v>
                </c:pt>
                <c:pt idx="472">
                  <c:v>154.50444004977828</c:v>
                </c:pt>
                <c:pt idx="473">
                  <c:v>154.68243718099527</c:v>
                </c:pt>
                <c:pt idx="474">
                  <c:v>154.8555485086693</c:v>
                </c:pt>
                <c:pt idx="475">
                  <c:v>155.02360148815234</c:v>
                </c:pt>
                <c:pt idx="476">
                  <c:v>155.18667213842465</c:v>
                </c:pt>
                <c:pt idx="477">
                  <c:v>155.34530029177569</c:v>
                </c:pt>
                <c:pt idx="478">
                  <c:v>155.4996309007206</c:v>
                </c:pt>
                <c:pt idx="479">
                  <c:v>155.64953712940624</c:v>
                </c:pt>
                <c:pt idx="480">
                  <c:v>155.7949398771359</c:v>
                </c:pt>
                <c:pt idx="481">
                  <c:v>171.92592524853075</c:v>
                </c:pt>
                <c:pt idx="482">
                  <c:v>172.08570400010959</c:v>
                </c:pt>
                <c:pt idx="483">
                  <c:v>172.24853557684645</c:v>
                </c:pt>
                <c:pt idx="484">
                  <c:v>172.41617427931803</c:v>
                </c:pt>
                <c:pt idx="485">
                  <c:v>172.58895780836102</c:v>
                </c:pt>
                <c:pt idx="486">
                  <c:v>172.77538347633563</c:v>
                </c:pt>
                <c:pt idx="487">
                  <c:v>172.9669976707913</c:v>
                </c:pt>
                <c:pt idx="488">
                  <c:v>173.14699767079131</c:v>
                </c:pt>
                <c:pt idx="489">
                  <c:v>173.38699767079132</c:v>
                </c:pt>
                <c:pt idx="490">
                  <c:v>173.67113111104484</c:v>
                </c:pt>
                <c:pt idx="491">
                  <c:v>173.95562979307383</c:v>
                </c:pt>
                <c:pt idx="492">
                  <c:v>174.24049119408824</c:v>
                </c:pt>
                <c:pt idx="493">
                  <c:v>174.52581372258524</c:v>
                </c:pt>
                <c:pt idx="494">
                  <c:v>174.8115603474678</c:v>
                </c:pt>
                <c:pt idx="495">
                  <c:v>175.09769403763895</c:v>
                </c:pt>
                <c:pt idx="496">
                  <c:v>175.38419753894502</c:v>
                </c:pt>
                <c:pt idx="497">
                  <c:v>175.67106882843129</c:v>
                </c:pt>
                <c:pt idx="498">
                  <c:v>175.95831754465183</c:v>
                </c:pt>
                <c:pt idx="499">
                  <c:v>176.24595484928068</c:v>
                </c:pt>
                <c:pt idx="500">
                  <c:v>176.53400661174101</c:v>
                </c:pt>
                <c:pt idx="501">
                  <c:v>176.82248094746683</c:v>
                </c:pt>
                <c:pt idx="502">
                  <c:v>177.11138242581794</c:v>
                </c:pt>
                <c:pt idx="503">
                  <c:v>177.40072575454323</c:v>
                </c:pt>
                <c:pt idx="504">
                  <c:v>177.69053630323043</c:v>
                </c:pt>
                <c:pt idx="505">
                  <c:v>177.98086885696529</c:v>
                </c:pt>
                <c:pt idx="506">
                  <c:v>178.27178277019263</c:v>
                </c:pt>
                <c:pt idx="507">
                  <c:v>178.56329427378151</c:v>
                </c:pt>
                <c:pt idx="508">
                  <c:v>178.85060059754102</c:v>
                </c:pt>
                <c:pt idx="509">
                  <c:v>179.12934163054459</c:v>
                </c:pt>
                <c:pt idx="510">
                  <c:v>179.40030393364688</c:v>
                </c:pt>
                <c:pt idx="511">
                  <c:v>179.66412328295434</c:v>
                </c:pt>
                <c:pt idx="512">
                  <c:v>179.92845373522167</c:v>
                </c:pt>
                <c:pt idx="513">
                  <c:v>180.18971083307207</c:v>
                </c:pt>
                <c:pt idx="514">
                  <c:v>180.44736242626365</c:v>
                </c:pt>
                <c:pt idx="515">
                  <c:v>180.69955935459603</c:v>
                </c:pt>
                <c:pt idx="516">
                  <c:v>180.94508407938849</c:v>
                </c:pt>
                <c:pt idx="517">
                  <c:v>181.18373172246461</c:v>
                </c:pt>
                <c:pt idx="518">
                  <c:v>181.41562815924615</c:v>
                </c:pt>
                <c:pt idx="519">
                  <c:v>181.64108915504082</c:v>
                </c:pt>
                <c:pt idx="520">
                  <c:v>181.85638527396449</c:v>
                </c:pt>
                <c:pt idx="521">
                  <c:v>182.06579638885142</c:v>
                </c:pt>
                <c:pt idx="522">
                  <c:v>182.26963280375969</c:v>
                </c:pt>
                <c:pt idx="523">
                  <c:v>182.46807383459659</c:v>
                </c:pt>
                <c:pt idx="524">
                  <c:v>182.66115435340635</c:v>
                </c:pt>
                <c:pt idx="525">
                  <c:v>182.84891639373751</c:v>
                </c:pt>
                <c:pt idx="526">
                  <c:v>183.03176843202951</c:v>
                </c:pt>
                <c:pt idx="527">
                  <c:v>183.20976556324649</c:v>
                </c:pt>
                <c:pt idx="528">
                  <c:v>183.38287689092053</c:v>
                </c:pt>
                <c:pt idx="529">
                  <c:v>183.55092987040356</c:v>
                </c:pt>
                <c:pt idx="530">
                  <c:v>183.71400052067588</c:v>
                </c:pt>
                <c:pt idx="531">
                  <c:v>183.87262867402691</c:v>
                </c:pt>
              </c:numCache>
            </c:numRef>
          </c:xVal>
          <c:yVal>
            <c:numRef>
              <c:f>Data!$AG$2:$AG$533</c:f>
              <c:numCache>
                <c:formatCode>General</c:formatCode>
                <c:ptCount val="532"/>
                <c:pt idx="1">
                  <c:v>0</c:v>
                </c:pt>
                <c:pt idx="2">
                  <c:v>0.99165834023029442</c:v>
                </c:pt>
                <c:pt idx="3">
                  <c:v>0.99133712671196872</c:v>
                </c:pt>
                <c:pt idx="4">
                  <c:v>0.99106868181867447</c:v>
                </c:pt>
                <c:pt idx="5">
                  <c:v>0.99077717562065337</c:v>
                </c:pt>
                <c:pt idx="6">
                  <c:v>0.99054445324871854</c:v>
                </c:pt>
                <c:pt idx="7">
                  <c:v>0.46375060609462943</c:v>
                </c:pt>
                <c:pt idx="8">
                  <c:v>0.46373121739605883</c:v>
                </c:pt>
                <c:pt idx="9">
                  <c:v>0.46370900154729977</c:v>
                </c:pt>
                <c:pt idx="10">
                  <c:v>0.46368883040681197</c:v>
                </c:pt>
                <c:pt idx="11">
                  <c:v>0.4636693984910561</c:v>
                </c:pt>
                <c:pt idx="12">
                  <c:v>0.46364816052968977</c:v>
                </c:pt>
                <c:pt idx="13">
                  <c:v>0.46363227111614752</c:v>
                </c:pt>
                <c:pt idx="14">
                  <c:v>0.46361191388208145</c:v>
                </c:pt>
                <c:pt idx="15">
                  <c:v>0.46359879796916936</c:v>
                </c:pt>
                <c:pt idx="16">
                  <c:v>0.46358028428917047</c:v>
                </c:pt>
                <c:pt idx="17">
                  <c:v>0.46356696835873279</c:v>
                </c:pt>
                <c:pt idx="18">
                  <c:v>0.46355008508975687</c:v>
                </c:pt>
                <c:pt idx="19">
                  <c:v>0.46353635745158372</c:v>
                </c:pt>
                <c:pt idx="20">
                  <c:v>0.46352144050897193</c:v>
                </c:pt>
                <c:pt idx="21">
                  <c:v>0.46350699389431865</c:v>
                </c:pt>
                <c:pt idx="22">
                  <c:v>0.46351599337948757</c:v>
                </c:pt>
                <c:pt idx="23">
                  <c:v>0.46353447531743164</c:v>
                </c:pt>
                <c:pt idx="24">
                  <c:v>0.46353371386032455</c:v>
                </c:pt>
                <c:pt idx="25">
                  <c:v>0.46354740218990004</c:v>
                </c:pt>
                <c:pt idx="26">
                  <c:v>0.46353165636743732</c:v>
                </c:pt>
                <c:pt idx="27">
                  <c:v>0.46351821054889336</c:v>
                </c:pt>
                <c:pt idx="28">
                  <c:v>0.46350406283486023</c:v>
                </c:pt>
                <c:pt idx="29">
                  <c:v>0.46349259125430936</c:v>
                </c:pt>
                <c:pt idx="30">
                  <c:v>0.46348118199755123</c:v>
                </c:pt>
                <c:pt idx="31">
                  <c:v>0.46347127925709086</c:v>
                </c:pt>
                <c:pt idx="32">
                  <c:v>0.10006752633545203</c:v>
                </c:pt>
                <c:pt idx="33">
                  <c:v>0.463467901456798</c:v>
                </c:pt>
                <c:pt idx="34">
                  <c:v>0.46346133911054571</c:v>
                </c:pt>
                <c:pt idx="35">
                  <c:v>-3.592791637802137</c:v>
                </c:pt>
                <c:pt idx="36">
                  <c:v>-3.0668166477451688</c:v>
                </c:pt>
                <c:pt idx="37">
                  <c:v>-4.977431909031524</c:v>
                </c:pt>
                <c:pt idx="38">
                  <c:v>-3.3938300695747463</c:v>
                </c:pt>
                <c:pt idx="39">
                  <c:v>-3.3672337618386967</c:v>
                </c:pt>
                <c:pt idx="40">
                  <c:v>-3.3278659655071201</c:v>
                </c:pt>
                <c:pt idx="41">
                  <c:v>-3.2644512092021141</c:v>
                </c:pt>
                <c:pt idx="42">
                  <c:v>-4.7821036246830788</c:v>
                </c:pt>
                <c:pt idx="43">
                  <c:v>-0.29107359343935801</c:v>
                </c:pt>
                <c:pt idx="44">
                  <c:v>9.5897628953899618E-3</c:v>
                </c:pt>
                <c:pt idx="45">
                  <c:v>0</c:v>
                </c:pt>
                <c:pt idx="46">
                  <c:v>0</c:v>
                </c:pt>
                <c:pt idx="47">
                  <c:v>0</c:v>
                </c:pt>
                <c:pt idx="48">
                  <c:v>0</c:v>
                </c:pt>
                <c:pt idx="49">
                  <c:v>0</c:v>
                </c:pt>
                <c:pt idx="50">
                  <c:v>0</c:v>
                </c:pt>
                <c:pt idx="51">
                  <c:v>1.0510643714700243</c:v>
                </c:pt>
                <c:pt idx="52">
                  <c:v>1.0360545708245648</c:v>
                </c:pt>
                <c:pt idx="53">
                  <c:v>1.0263423774317728</c:v>
                </c:pt>
                <c:pt idx="54">
                  <c:v>1.0196356853407871</c:v>
                </c:pt>
                <c:pt idx="55">
                  <c:v>1.0147684922336611</c:v>
                </c:pt>
                <c:pt idx="56">
                  <c:v>1.0110789023349573</c:v>
                </c:pt>
                <c:pt idx="57">
                  <c:v>1.0081556255994137</c:v>
                </c:pt>
                <c:pt idx="58">
                  <c:v>1.0057769554219151</c:v>
                </c:pt>
                <c:pt idx="59">
                  <c:v>1.0038053976988013</c:v>
                </c:pt>
                <c:pt idx="60">
                  <c:v>1.0021488566410151</c:v>
                </c:pt>
                <c:pt idx="61">
                  <c:v>1.0007446277045657</c:v>
                </c:pt>
                <c:pt idx="62">
                  <c:v>0.99953135694493389</c:v>
                </c:pt>
                <c:pt idx="63">
                  <c:v>0.99847895140339815</c:v>
                </c:pt>
                <c:pt idx="64">
                  <c:v>0.99755814730874159</c:v>
                </c:pt>
                <c:pt idx="65">
                  <c:v>0.99674186427779099</c:v>
                </c:pt>
                <c:pt idx="66">
                  <c:v>0.99601521688177741</c:v>
                </c:pt>
                <c:pt idx="67">
                  <c:v>0.99535656590525989</c:v>
                </c:pt>
                <c:pt idx="68">
                  <c:v>0.99476939029789913</c:v>
                </c:pt>
                <c:pt idx="69">
                  <c:v>-3.3619541872023739</c:v>
                </c:pt>
                <c:pt idx="70">
                  <c:v>-3.3203957241897721</c:v>
                </c:pt>
                <c:pt idx="71">
                  <c:v>-3.2519793715286269</c:v>
                </c:pt>
                <c:pt idx="72">
                  <c:v>-4.4545309754080158</c:v>
                </c:pt>
                <c:pt idx="73">
                  <c:v>-0.61405982658236535</c:v>
                </c:pt>
                <c:pt idx="74">
                  <c:v>1.0544533831195342</c:v>
                </c:pt>
                <c:pt idx="75">
                  <c:v>1.0383247126202306</c:v>
                </c:pt>
                <c:pt idx="76">
                  <c:v>1.0281522453860448</c:v>
                </c:pt>
                <c:pt idx="77">
                  <c:v>1.0211469027988906</c:v>
                </c:pt>
                <c:pt idx="78">
                  <c:v>1.0160161320691083</c:v>
                </c:pt>
                <c:pt idx="79">
                  <c:v>1.0121042667389288</c:v>
                </c:pt>
                <c:pt idx="80">
                  <c:v>1.0090286005204714</c:v>
                </c:pt>
                <c:pt idx="81">
                  <c:v>1.0065267778677629</c:v>
                </c:pt>
                <c:pt idx="82">
                  <c:v>1.0044665216829292</c:v>
                </c:pt>
                <c:pt idx="83">
                  <c:v>1.0027351289598359</c:v>
                </c:pt>
                <c:pt idx="84">
                  <c:v>1.0012624106526449</c:v>
                </c:pt>
                <c:pt idx="85">
                  <c:v>0.99999677707754231</c:v>
                </c:pt>
                <c:pt idx="86">
                  <c:v>0.99889594521727132</c:v>
                </c:pt>
                <c:pt idx="87">
                  <c:v>0.99793400971972712</c:v>
                </c:pt>
                <c:pt idx="88">
                  <c:v>0.99707140029021102</c:v>
                </c:pt>
                <c:pt idx="89">
                  <c:v>0.99626894789929132</c:v>
                </c:pt>
                <c:pt idx="90">
                  <c:v>0.9955830619106536</c:v>
                </c:pt>
                <c:pt idx="91">
                  <c:v>0.99496817593787479</c:v>
                </c:pt>
                <c:pt idx="92">
                  <c:v>0.99441166698775496</c:v>
                </c:pt>
                <c:pt idx="93">
                  <c:v>0</c:v>
                </c:pt>
                <c:pt idx="94">
                  <c:v>0.46457513433527114</c:v>
                </c:pt>
                <c:pt idx="95">
                  <c:v>0.46452918641625429</c:v>
                </c:pt>
                <c:pt idx="96">
                  <c:v>0.4644852051147032</c:v>
                </c:pt>
                <c:pt idx="97">
                  <c:v>0.46444238965616091</c:v>
                </c:pt>
                <c:pt idx="98">
                  <c:v>0.46439987908563074</c:v>
                </c:pt>
                <c:pt idx="99">
                  <c:v>0.46435624431760597</c:v>
                </c:pt>
                <c:pt idx="100">
                  <c:v>0.46431366151675729</c:v>
                </c:pt>
                <c:pt idx="101">
                  <c:v>0.46427379080223091</c:v>
                </c:pt>
                <c:pt idx="102">
                  <c:v>0.46423587750096446</c:v>
                </c:pt>
                <c:pt idx="103">
                  <c:v>0.46419937430628</c:v>
                </c:pt>
                <c:pt idx="104">
                  <c:v>0.46416450673035292</c:v>
                </c:pt>
                <c:pt idx="105">
                  <c:v>0.46413138737585857</c:v>
                </c:pt>
                <c:pt idx="106">
                  <c:v>0.4640997123490701</c:v>
                </c:pt>
                <c:pt idx="107">
                  <c:v>0.46406975127241457</c:v>
                </c:pt>
                <c:pt idx="108">
                  <c:v>0.46404121414786226</c:v>
                </c:pt>
                <c:pt idx="109">
                  <c:v>0.4640136603734823</c:v>
                </c:pt>
                <c:pt idx="110">
                  <c:v>0.46398746440257949</c:v>
                </c:pt>
                <c:pt idx="111">
                  <c:v>0.46396197548161477</c:v>
                </c:pt>
                <c:pt idx="112">
                  <c:v>0.46393781799822736</c:v>
                </c:pt>
                <c:pt idx="113">
                  <c:v>0.46391555754023817</c:v>
                </c:pt>
                <c:pt idx="114">
                  <c:v>-3.4142072423525249</c:v>
                </c:pt>
                <c:pt idx="115">
                  <c:v>-3.3954637721688865</c:v>
                </c:pt>
                <c:pt idx="116">
                  <c:v>-3.3697697444622317</c:v>
                </c:pt>
                <c:pt idx="117">
                  <c:v>0.99600432177769438</c:v>
                </c:pt>
                <c:pt idx="118">
                  <c:v>0.99535103856303242</c:v>
                </c:pt>
                <c:pt idx="119">
                  <c:v>0</c:v>
                </c:pt>
                <c:pt idx="120">
                  <c:v>0.46476889829248763</c:v>
                </c:pt>
                <c:pt idx="121">
                  <c:v>0.46471300252676129</c:v>
                </c:pt>
                <c:pt idx="122">
                  <c:v>0.46465800271589064</c:v>
                </c:pt>
                <c:pt idx="123">
                  <c:v>0.46460087726501137</c:v>
                </c:pt>
                <c:pt idx="124">
                  <c:v>0.46454726909060057</c:v>
                </c:pt>
                <c:pt idx="125">
                  <c:v>0.46449694288186677</c:v>
                </c:pt>
                <c:pt idx="126">
                  <c:v>0.46444728549973419</c:v>
                </c:pt>
                <c:pt idx="127">
                  <c:v>0.46439946891828354</c:v>
                </c:pt>
                <c:pt idx="128">
                  <c:v>0.46435514024599561</c:v>
                </c:pt>
                <c:pt idx="129">
                  <c:v>0.46431320983778068</c:v>
                </c:pt>
                <c:pt idx="130">
                  <c:v>0.46427323589795871</c:v>
                </c:pt>
                <c:pt idx="131">
                  <c:v>0.46423509048538864</c:v>
                </c:pt>
                <c:pt idx="132">
                  <c:v>0.46419937598330269</c:v>
                </c:pt>
                <c:pt idx="133">
                  <c:v>0.46416528434145615</c:v>
                </c:pt>
                <c:pt idx="134">
                  <c:v>0.46413302013058105</c:v>
                </c:pt>
                <c:pt idx="135">
                  <c:v>0.46410229788560808</c:v>
                </c:pt>
                <c:pt idx="136">
                  <c:v>0.4640727205462491</c:v>
                </c:pt>
                <c:pt idx="137">
                  <c:v>0.46404376131131336</c:v>
                </c:pt>
                <c:pt idx="138">
                  <c:v>-3.4059135717257636</c:v>
                </c:pt>
                <c:pt idx="139">
                  <c:v>-3.3843877713589996</c:v>
                </c:pt>
                <c:pt idx="140">
                  <c:v>-3.3539774383401655</c:v>
                </c:pt>
                <c:pt idx="141">
                  <c:v>-3.3079481536046802</c:v>
                </c:pt>
                <c:pt idx="142">
                  <c:v>-3.2302050770849378</c:v>
                </c:pt>
                <c:pt idx="143">
                  <c:v>1.0090429707636461</c:v>
                </c:pt>
                <c:pt idx="144">
                  <c:v>1.0065194394068073</c:v>
                </c:pt>
                <c:pt idx="145">
                  <c:v>1.0044310736772679</c:v>
                </c:pt>
                <c:pt idx="146">
                  <c:v>1.0026689094629857</c:v>
                </c:pt>
                <c:pt idx="147">
                  <c:v>1.0011658810281951</c:v>
                </c:pt>
                <c:pt idx="148">
                  <c:v>0.99987376556482388</c:v>
                </c:pt>
                <c:pt idx="149">
                  <c:v>0.99875004125326494</c:v>
                </c:pt>
                <c:pt idx="150">
                  <c:v>0.99776720739033631</c:v>
                </c:pt>
                <c:pt idx="151">
                  <c:v>0.99689968716411037</c:v>
                </c:pt>
                <c:pt idx="152">
                  <c:v>0.99612697641135772</c:v>
                </c:pt>
                <c:pt idx="153">
                  <c:v>0</c:v>
                </c:pt>
                <c:pt idx="154">
                  <c:v>0.46491692828302739</c:v>
                </c:pt>
                <c:pt idx="155">
                  <c:v>0.46485027362410108</c:v>
                </c:pt>
                <c:pt idx="156">
                  <c:v>0.46478796891494595</c:v>
                </c:pt>
                <c:pt idx="157">
                  <c:v>0.46472805229598391</c:v>
                </c:pt>
                <c:pt idx="158">
                  <c:v>0.4646709203757568</c:v>
                </c:pt>
                <c:pt idx="159">
                  <c:v>-3.2389761028524506</c:v>
                </c:pt>
                <c:pt idx="160">
                  <c:v>-0.74580665558466952</c:v>
                </c:pt>
                <c:pt idx="161">
                  <c:v>-0.72749446008260055</c:v>
                </c:pt>
                <c:pt idx="162">
                  <c:v>-0.3587154876103924</c:v>
                </c:pt>
                <c:pt idx="163">
                  <c:v>-0.35355949619408811</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0.48583232983555813</c:v>
                </c:pt>
                <c:pt idx="184">
                  <c:v>0.99850132502112121</c:v>
                </c:pt>
                <c:pt idx="185">
                  <c:v>0.99756232368334319</c:v>
                </c:pt>
                <c:pt idx="186">
                  <c:v>0.99672806717157847</c:v>
                </c:pt>
                <c:pt idx="187">
                  <c:v>0</c:v>
                </c:pt>
                <c:pt idx="188">
                  <c:v>0.46504156218907089</c:v>
                </c:pt>
                <c:pt idx="189">
                  <c:v>0.46496144032776188</c:v>
                </c:pt>
                <c:pt idx="190">
                  <c:v>0.46486308932181103</c:v>
                </c:pt>
                <c:pt idx="191">
                  <c:v>0.46475439741965652</c:v>
                </c:pt>
                <c:pt idx="192">
                  <c:v>0.46464691921087209</c:v>
                </c:pt>
                <c:pt idx="193">
                  <c:v>0.46454412310605164</c:v>
                </c:pt>
                <c:pt idx="194">
                  <c:v>0.46444777612767218</c:v>
                </c:pt>
                <c:pt idx="195">
                  <c:v>1.3219867176109363</c:v>
                </c:pt>
                <c:pt idx="196">
                  <c:v>0.46419077987369117</c:v>
                </c:pt>
                <c:pt idx="197">
                  <c:v>0.46411356628684747</c:v>
                </c:pt>
                <c:pt idx="198">
                  <c:v>0.46404009438181998</c:v>
                </c:pt>
                <c:pt idx="199">
                  <c:v>0.46396874236501662</c:v>
                </c:pt>
                <c:pt idx="200">
                  <c:v>0.46389947355671785</c:v>
                </c:pt>
                <c:pt idx="201">
                  <c:v>0.46383580839443328</c:v>
                </c:pt>
                <c:pt idx="202">
                  <c:v>0.46377407049154534</c:v>
                </c:pt>
                <c:pt idx="203">
                  <c:v>0.46371333492990713</c:v>
                </c:pt>
                <c:pt idx="204">
                  <c:v>-3.0345122289592403</c:v>
                </c:pt>
                <c:pt idx="205">
                  <c:v>-1.1285637940649342</c:v>
                </c:pt>
                <c:pt idx="206">
                  <c:v>-1.678541611766833</c:v>
                </c:pt>
                <c:pt idx="207">
                  <c:v>-2.7144646285872098</c:v>
                </c:pt>
                <c:pt idx="208">
                  <c:v>-2.6313743584345781</c:v>
                </c:pt>
                <c:pt idx="209">
                  <c:v>-2.54711551284923</c:v>
                </c:pt>
                <c:pt idx="210">
                  <c:v>-0.71428571428571164</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0.48583232983555813</c:v>
                </c:pt>
                <c:pt idx="240">
                  <c:v>0.99850132502112121</c:v>
                </c:pt>
                <c:pt idx="241">
                  <c:v>0.99756232368334319</c:v>
                </c:pt>
                <c:pt idx="242">
                  <c:v>0.99672806717157847</c:v>
                </c:pt>
                <c:pt idx="243">
                  <c:v>0</c:v>
                </c:pt>
                <c:pt idx="244">
                  <c:v>0.46504156218907089</c:v>
                </c:pt>
                <c:pt idx="245">
                  <c:v>0.46496144032776188</c:v>
                </c:pt>
                <c:pt idx="246">
                  <c:v>0.46486308932181103</c:v>
                </c:pt>
                <c:pt idx="247">
                  <c:v>0.46475439741965652</c:v>
                </c:pt>
                <c:pt idx="248">
                  <c:v>0.46464691921087209</c:v>
                </c:pt>
                <c:pt idx="249">
                  <c:v>0.46454412310605164</c:v>
                </c:pt>
                <c:pt idx="250">
                  <c:v>0.46444777612767218</c:v>
                </c:pt>
                <c:pt idx="251">
                  <c:v>1.3219867176109363</c:v>
                </c:pt>
                <c:pt idx="252">
                  <c:v>0.46419077987369117</c:v>
                </c:pt>
                <c:pt idx="253">
                  <c:v>0.46411356628684747</c:v>
                </c:pt>
                <c:pt idx="254">
                  <c:v>0.46404009438181998</c:v>
                </c:pt>
                <c:pt idx="255">
                  <c:v>0.46396874236501662</c:v>
                </c:pt>
                <c:pt idx="256">
                  <c:v>0.46389947355671785</c:v>
                </c:pt>
                <c:pt idx="257">
                  <c:v>0.46383580839443328</c:v>
                </c:pt>
                <c:pt idx="258">
                  <c:v>0.46377407049154534</c:v>
                </c:pt>
                <c:pt idx="259">
                  <c:v>0.46371333492990713</c:v>
                </c:pt>
                <c:pt idx="260">
                  <c:v>0.46365217447760393</c:v>
                </c:pt>
                <c:pt idx="261">
                  <c:v>0.46359295813805207</c:v>
                </c:pt>
                <c:pt idx="262">
                  <c:v>0.46354002558269219</c:v>
                </c:pt>
                <c:pt idx="263">
                  <c:v>0.46348944424911731</c:v>
                </c:pt>
                <c:pt idx="264">
                  <c:v>0.46343857386400006</c:v>
                </c:pt>
                <c:pt idx="265">
                  <c:v>0.46338784667517796</c:v>
                </c:pt>
                <c:pt idx="266">
                  <c:v>-7.2919888226040619E-2</c:v>
                </c:pt>
                <c:pt idx="267">
                  <c:v>0</c:v>
                </c:pt>
                <c:pt idx="268">
                  <c:v>-2.063966710030555</c:v>
                </c:pt>
                <c:pt idx="269">
                  <c:v>-1.6224389716302232</c:v>
                </c:pt>
                <c:pt idx="270">
                  <c:v>-3.0799704453624583</c:v>
                </c:pt>
                <c:pt idx="271">
                  <c:v>-3.2410628578331608</c:v>
                </c:pt>
                <c:pt idx="272">
                  <c:v>-1.2040958876225614</c:v>
                </c:pt>
                <c:pt idx="273">
                  <c:v>1.0714285714285738</c:v>
                </c:pt>
                <c:pt idx="274">
                  <c:v>-3.8162961333590477</c:v>
                </c:pt>
                <c:pt idx="275">
                  <c:v>-2.4604683403373926</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0.48583232983555813</c:v>
                </c:pt>
                <c:pt idx="293">
                  <c:v>0.99850132502112121</c:v>
                </c:pt>
                <c:pt idx="294">
                  <c:v>0.99756232368334319</c:v>
                </c:pt>
                <c:pt idx="295">
                  <c:v>0.99672806717157847</c:v>
                </c:pt>
                <c:pt idx="296">
                  <c:v>0</c:v>
                </c:pt>
                <c:pt idx="297">
                  <c:v>0.46504156218907089</c:v>
                </c:pt>
                <c:pt idx="298">
                  <c:v>0.46496144032776188</c:v>
                </c:pt>
                <c:pt idx="299">
                  <c:v>0.46486308932181103</c:v>
                </c:pt>
                <c:pt idx="300">
                  <c:v>0.46475439741965652</c:v>
                </c:pt>
                <c:pt idx="301">
                  <c:v>0.46464691921087209</c:v>
                </c:pt>
                <c:pt idx="302">
                  <c:v>0.46454412310605164</c:v>
                </c:pt>
                <c:pt idx="303">
                  <c:v>0.46444777612767218</c:v>
                </c:pt>
                <c:pt idx="304">
                  <c:v>1.3219867176109363</c:v>
                </c:pt>
                <c:pt idx="305">
                  <c:v>0.46419077987369117</c:v>
                </c:pt>
                <c:pt idx="306">
                  <c:v>0.46411356628684747</c:v>
                </c:pt>
                <c:pt idx="307">
                  <c:v>0.46404009438181998</c:v>
                </c:pt>
                <c:pt idx="308">
                  <c:v>0.46396874236501662</c:v>
                </c:pt>
                <c:pt idx="309">
                  <c:v>0.46389947355671785</c:v>
                </c:pt>
                <c:pt idx="310">
                  <c:v>0.46383580839443328</c:v>
                </c:pt>
                <c:pt idx="311">
                  <c:v>0.46377407049154534</c:v>
                </c:pt>
                <c:pt idx="312">
                  <c:v>0.46371333492990713</c:v>
                </c:pt>
                <c:pt idx="313">
                  <c:v>0.46365217447760393</c:v>
                </c:pt>
                <c:pt idx="314">
                  <c:v>0.46359295813805207</c:v>
                </c:pt>
                <c:pt idx="315">
                  <c:v>0.46354002558269219</c:v>
                </c:pt>
                <c:pt idx="316">
                  <c:v>0.46348944424911731</c:v>
                </c:pt>
                <c:pt idx="317">
                  <c:v>-0.25469707634934674</c:v>
                </c:pt>
                <c:pt idx="318">
                  <c:v>-1.977760280565289</c:v>
                </c:pt>
                <c:pt idx="319">
                  <c:v>-0.50237673590287046</c:v>
                </c:pt>
                <c:pt idx="320">
                  <c:v>-9.5968302886752614E-3</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0.48583232983555813</c:v>
                </c:pt>
                <c:pt idx="346">
                  <c:v>0.99850132502112121</c:v>
                </c:pt>
                <c:pt idx="347">
                  <c:v>0.99756232368334319</c:v>
                </c:pt>
                <c:pt idx="348">
                  <c:v>0.99672806717157847</c:v>
                </c:pt>
                <c:pt idx="349">
                  <c:v>0</c:v>
                </c:pt>
                <c:pt idx="350">
                  <c:v>0.46504156218907089</c:v>
                </c:pt>
                <c:pt idx="351">
                  <c:v>0.46496144032776188</c:v>
                </c:pt>
                <c:pt idx="352">
                  <c:v>0.46486308932181103</c:v>
                </c:pt>
                <c:pt idx="353">
                  <c:v>0.46475439741965652</c:v>
                </c:pt>
                <c:pt idx="354">
                  <c:v>0.46464691921087209</c:v>
                </c:pt>
                <c:pt idx="355">
                  <c:v>0.46454412310605164</c:v>
                </c:pt>
                <c:pt idx="356">
                  <c:v>0.46444777612767218</c:v>
                </c:pt>
                <c:pt idx="357">
                  <c:v>1.3219867176109363</c:v>
                </c:pt>
                <c:pt idx="358">
                  <c:v>0.46419077987369117</c:v>
                </c:pt>
                <c:pt idx="359">
                  <c:v>0.46411356628684747</c:v>
                </c:pt>
                <c:pt idx="360">
                  <c:v>0.46404009438181998</c:v>
                </c:pt>
                <c:pt idx="361">
                  <c:v>0.46396874236501662</c:v>
                </c:pt>
                <c:pt idx="362">
                  <c:v>0.46389947355671785</c:v>
                </c:pt>
                <c:pt idx="363">
                  <c:v>0.46383580839443328</c:v>
                </c:pt>
                <c:pt idx="364">
                  <c:v>0.46377407049154534</c:v>
                </c:pt>
                <c:pt idx="365">
                  <c:v>0.46371333492990713</c:v>
                </c:pt>
                <c:pt idx="366">
                  <c:v>0.46365217447760393</c:v>
                </c:pt>
                <c:pt idx="367">
                  <c:v>0.46359295813805207</c:v>
                </c:pt>
                <c:pt idx="368">
                  <c:v>0.46354002558269219</c:v>
                </c:pt>
                <c:pt idx="369">
                  <c:v>0.46348944424911731</c:v>
                </c:pt>
                <c:pt idx="370">
                  <c:v>0.46343857386400006</c:v>
                </c:pt>
                <c:pt idx="371">
                  <c:v>0.46338784667517796</c:v>
                </c:pt>
                <c:pt idx="372">
                  <c:v>0.17233975629914169</c:v>
                </c:pt>
                <c:pt idx="373">
                  <c:v>0</c:v>
                </c:pt>
                <c:pt idx="374">
                  <c:v>-0.65299378100310534</c:v>
                </c:pt>
                <c:pt idx="375">
                  <c:v>-1.9165444618703276</c:v>
                </c:pt>
                <c:pt idx="376">
                  <c:v>-3.0528363104407723</c:v>
                </c:pt>
                <c:pt idx="377">
                  <c:v>-1.2002956507287035</c:v>
                </c:pt>
                <c:pt idx="378">
                  <c:v>-1.7477838810496498</c:v>
                </c:pt>
                <c:pt idx="379">
                  <c:v>-2.760175510312818</c:v>
                </c:pt>
                <c:pt idx="380">
                  <c:v>-2.6116145043536889</c:v>
                </c:pt>
                <c:pt idx="381">
                  <c:v>-1.003977247536229</c:v>
                </c:pt>
                <c:pt idx="382">
                  <c:v>-0.98025291226979117</c:v>
                </c:pt>
                <c:pt idx="383">
                  <c:v>-1.8749999999999933</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0.48583232983555813</c:v>
                </c:pt>
                <c:pt idx="404">
                  <c:v>0.99850132502112121</c:v>
                </c:pt>
                <c:pt idx="405">
                  <c:v>0.99756232368334319</c:v>
                </c:pt>
                <c:pt idx="406">
                  <c:v>0.99672806717157847</c:v>
                </c:pt>
                <c:pt idx="407">
                  <c:v>0</c:v>
                </c:pt>
                <c:pt idx="408">
                  <c:v>0.46504156218907089</c:v>
                </c:pt>
                <c:pt idx="409">
                  <c:v>0.46496144032776188</c:v>
                </c:pt>
                <c:pt idx="410">
                  <c:v>0.46486308932181103</c:v>
                </c:pt>
                <c:pt idx="411">
                  <c:v>0.46475439741965652</c:v>
                </c:pt>
                <c:pt idx="412">
                  <c:v>0.46464691921087209</c:v>
                </c:pt>
                <c:pt idx="413">
                  <c:v>0.46454412310605164</c:v>
                </c:pt>
                <c:pt idx="414">
                  <c:v>0.46444777612767218</c:v>
                </c:pt>
                <c:pt idx="415">
                  <c:v>1.3219867176109363</c:v>
                </c:pt>
                <c:pt idx="416">
                  <c:v>0.46419077987369117</c:v>
                </c:pt>
                <c:pt idx="417">
                  <c:v>0.46411356628684747</c:v>
                </c:pt>
                <c:pt idx="418">
                  <c:v>0.46404009438181998</c:v>
                </c:pt>
                <c:pt idx="419">
                  <c:v>0.46396874236501662</c:v>
                </c:pt>
                <c:pt idx="420">
                  <c:v>0.46389947355671785</c:v>
                </c:pt>
                <c:pt idx="421">
                  <c:v>0.46383580839443328</c:v>
                </c:pt>
                <c:pt idx="422">
                  <c:v>0.46377407049154534</c:v>
                </c:pt>
                <c:pt idx="423">
                  <c:v>0.46371333492990713</c:v>
                </c:pt>
                <c:pt idx="424">
                  <c:v>0.46365217447760393</c:v>
                </c:pt>
                <c:pt idx="425">
                  <c:v>0.46359295813805207</c:v>
                </c:pt>
                <c:pt idx="426">
                  <c:v>0.46354002558269219</c:v>
                </c:pt>
                <c:pt idx="427">
                  <c:v>0.46348944424911731</c:v>
                </c:pt>
                <c:pt idx="428">
                  <c:v>-2.1776097365844307</c:v>
                </c:pt>
                <c:pt idx="429">
                  <c:v>-1.2945340018245453</c:v>
                </c:pt>
                <c:pt idx="430">
                  <c:v>-3.3580069890753406E-2</c:v>
                </c:pt>
                <c:pt idx="431">
                  <c:v>-1.8321285365950011</c:v>
                </c:pt>
                <c:pt idx="432">
                  <c:v>-2.9023165146303445</c:v>
                </c:pt>
                <c:pt idx="433">
                  <c:v>-3.7686375869126594</c:v>
                </c:pt>
                <c:pt idx="434">
                  <c:v>-2.8536485935589049</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0.48583232983555813</c:v>
                </c:pt>
                <c:pt idx="455">
                  <c:v>0.99850132502112121</c:v>
                </c:pt>
                <c:pt idx="456">
                  <c:v>0.99756232368334319</c:v>
                </c:pt>
                <c:pt idx="457">
                  <c:v>0.99672806717157847</c:v>
                </c:pt>
                <c:pt idx="458">
                  <c:v>0</c:v>
                </c:pt>
                <c:pt idx="459">
                  <c:v>0.46504156218907089</c:v>
                </c:pt>
                <c:pt idx="460">
                  <c:v>0.46496144032776188</c:v>
                </c:pt>
                <c:pt idx="461">
                  <c:v>0.46486308932181103</c:v>
                </c:pt>
                <c:pt idx="462">
                  <c:v>0.46475439741965652</c:v>
                </c:pt>
                <c:pt idx="463">
                  <c:v>0.46464691921087209</c:v>
                </c:pt>
                <c:pt idx="464">
                  <c:v>0.46454412310605164</c:v>
                </c:pt>
                <c:pt idx="465">
                  <c:v>0.46444777612767218</c:v>
                </c:pt>
                <c:pt idx="466">
                  <c:v>1.3219867176109363</c:v>
                </c:pt>
                <c:pt idx="467">
                  <c:v>0.46419077987369117</c:v>
                </c:pt>
                <c:pt idx="468">
                  <c:v>0.46411356628684747</c:v>
                </c:pt>
                <c:pt idx="469">
                  <c:v>0.46404009438181998</c:v>
                </c:pt>
                <c:pt idx="470">
                  <c:v>0.46396874236501662</c:v>
                </c:pt>
                <c:pt idx="471">
                  <c:v>0.46389947355671785</c:v>
                </c:pt>
                <c:pt idx="472">
                  <c:v>0.46383580839443328</c:v>
                </c:pt>
                <c:pt idx="473">
                  <c:v>0.46377407049154534</c:v>
                </c:pt>
                <c:pt idx="474">
                  <c:v>0.46371333492990713</c:v>
                </c:pt>
                <c:pt idx="475">
                  <c:v>0.46365217447760393</c:v>
                </c:pt>
                <c:pt idx="476">
                  <c:v>0.46359295813805207</c:v>
                </c:pt>
                <c:pt idx="477">
                  <c:v>0.46354002558269219</c:v>
                </c:pt>
                <c:pt idx="478">
                  <c:v>0.46348944424911731</c:v>
                </c:pt>
                <c:pt idx="479">
                  <c:v>0.46343857386400006</c:v>
                </c:pt>
                <c:pt idx="480">
                  <c:v>0.46338784667517796</c:v>
                </c:pt>
                <c:pt idx="481">
                  <c:v>-2.9470973760310448E-2</c:v>
                </c:pt>
                <c:pt idx="482">
                  <c:v>-1.8775963451683084</c:v>
                </c:pt>
                <c:pt idx="483">
                  <c:v>-1.2282629942421754</c:v>
                </c:pt>
                <c:pt idx="484">
                  <c:v>-1.7895628848048544</c:v>
                </c:pt>
                <c:pt idx="485">
                  <c:v>-1.7362766095914437</c:v>
                </c:pt>
                <c:pt idx="486">
                  <c:v>-3.7548477503394349</c:v>
                </c:pt>
                <c:pt idx="487">
                  <c:v>-1.043764010114949</c:v>
                </c:pt>
                <c:pt idx="488">
                  <c:v>-2.7777777777777777</c:v>
                </c:pt>
                <c:pt idx="489">
                  <c:v>-0.83333333333333037</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0.48583232983555813</c:v>
                </c:pt>
                <c:pt idx="509">
                  <c:v>0.99850132502112121</c:v>
                </c:pt>
                <c:pt idx="510">
                  <c:v>0.99756232368334319</c:v>
                </c:pt>
                <c:pt idx="511">
                  <c:v>0.99672806717157847</c:v>
                </c:pt>
                <c:pt idx="512">
                  <c:v>0</c:v>
                </c:pt>
                <c:pt idx="513">
                  <c:v>0.46504156218907089</c:v>
                </c:pt>
                <c:pt idx="514">
                  <c:v>0.46496144032776188</c:v>
                </c:pt>
                <c:pt idx="515">
                  <c:v>0.46486308932181103</c:v>
                </c:pt>
                <c:pt idx="516">
                  <c:v>0.46475439741965652</c:v>
                </c:pt>
                <c:pt idx="517">
                  <c:v>0.46464691921087209</c:v>
                </c:pt>
                <c:pt idx="518">
                  <c:v>0.46454412310605164</c:v>
                </c:pt>
                <c:pt idx="519">
                  <c:v>0.46444777612767218</c:v>
                </c:pt>
                <c:pt idx="520">
                  <c:v>1.3219867176109363</c:v>
                </c:pt>
                <c:pt idx="521">
                  <c:v>0.46419077987369117</c:v>
                </c:pt>
                <c:pt idx="522">
                  <c:v>0.46411356628684747</c:v>
                </c:pt>
                <c:pt idx="523">
                  <c:v>0.46404009438181998</c:v>
                </c:pt>
                <c:pt idx="524">
                  <c:v>0.46396874236501662</c:v>
                </c:pt>
                <c:pt idx="525">
                  <c:v>0.46389947355671785</c:v>
                </c:pt>
                <c:pt idx="526">
                  <c:v>0.46383580839443328</c:v>
                </c:pt>
                <c:pt idx="527">
                  <c:v>0.46377407049154534</c:v>
                </c:pt>
                <c:pt idx="528">
                  <c:v>0.46371333492990713</c:v>
                </c:pt>
                <c:pt idx="529">
                  <c:v>0.46365217447760393</c:v>
                </c:pt>
                <c:pt idx="530">
                  <c:v>0.46359295813805207</c:v>
                </c:pt>
                <c:pt idx="531">
                  <c:v>0.46354002558269219</c:v>
                </c:pt>
              </c:numCache>
            </c:numRef>
          </c:yVal>
          <c:smooth val="1"/>
          <c:extLst>
            <c:ext xmlns:c16="http://schemas.microsoft.com/office/drawing/2014/chart" uri="{C3380CC4-5D6E-409C-BE32-E72D297353CC}">
              <c16:uniqueId val="{00000000-99A9-D34B-B7EE-1F62D02FF4FA}"/>
            </c:ext>
          </c:extLst>
        </c:ser>
        <c:dLbls>
          <c:showLegendKey val="0"/>
          <c:showVal val="0"/>
          <c:showCatName val="0"/>
          <c:showSerName val="0"/>
          <c:showPercent val="0"/>
          <c:showBubbleSize val="0"/>
        </c:dLbls>
        <c:axId val="2124869759"/>
        <c:axId val="2112487327"/>
      </c:scatterChart>
      <c:valAx>
        <c:axId val="2124869759"/>
        <c:scaling>
          <c:orientation val="minMax"/>
          <c:max val="2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2487327"/>
        <c:crosses val="autoZero"/>
        <c:crossBetween val="midCat"/>
      </c:valAx>
      <c:valAx>
        <c:axId val="2112487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486975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Resistive Forces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Aero Forces</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5.2555152727264334</c:v>
                </c:pt>
                <c:pt idx="38">
                  <c:v>5.4524366435989888</c:v>
                </c:pt>
                <c:pt idx="39">
                  <c:v>5.6698718929611793</c:v>
                </c:pt>
                <c:pt idx="40">
                  <c:v>5.9157003663222598</c:v>
                </c:pt>
                <c:pt idx="41">
                  <c:v>6.203574541651764</c:v>
                </c:pt>
                <c:pt idx="42">
                  <c:v>6.6932526815888655</c:v>
                </c:pt>
                <c:pt idx="43">
                  <c:v>7.2085862720653608</c:v>
                </c:pt>
                <c:pt idx="44">
                  <c:v>7.7263715039514684</c:v>
                </c:pt>
                <c:pt idx="45">
                  <c:v>8.2472690784333622</c:v>
                </c:pt>
                <c:pt idx="46">
                  <c:v>8.7710073045670605</c:v>
                </c:pt>
                <c:pt idx="47">
                  <c:v>9.297657366745181</c:v>
                </c:pt>
                <c:pt idx="48">
                  <c:v>9.8265026239034938</c:v>
                </c:pt>
                <c:pt idx="49">
                  <c:v>10.358051382579831</c:v>
                </c:pt>
                <c:pt idx="50">
                  <c:v>10.890900157130085</c:v>
                </c:pt>
                <c:pt idx="51">
                  <c:v>11.355067327053314</c:v>
                </c:pt>
                <c:pt idx="52">
                  <c:v>11.771062917611582</c:v>
                </c:pt>
                <c:pt idx="53">
                  <c:v>12.150361996688224</c:v>
                </c:pt>
                <c:pt idx="54">
                  <c:v>12.501315831093812</c:v>
                </c:pt>
                <c:pt idx="55">
                  <c:v>12.829988257625953</c:v>
                </c:pt>
                <c:pt idx="56">
                  <c:v>13.140659342402618</c:v>
                </c:pt>
                <c:pt idx="57">
                  <c:v>13.436102461777297</c:v>
                </c:pt>
                <c:pt idx="58">
                  <c:v>13.718386489212309</c:v>
                </c:pt>
                <c:pt idx="59">
                  <c:v>13.989173340123255</c:v>
                </c:pt>
                <c:pt idx="60">
                  <c:v>14.249859956247716</c:v>
                </c:pt>
                <c:pt idx="61">
                  <c:v>14.501687131256073</c:v>
                </c:pt>
                <c:pt idx="62">
                  <c:v>14.74556150358489</c:v>
                </c:pt>
                <c:pt idx="63">
                  <c:v>14.982342175794422</c:v>
                </c:pt>
                <c:pt idx="64">
                  <c:v>15.21276411046073</c:v>
                </c:pt>
                <c:pt idx="65">
                  <c:v>15.437391058940023</c:v>
                </c:pt>
                <c:pt idx="66">
                  <c:v>15.65674301969395</c:v>
                </c:pt>
                <c:pt idx="67">
                  <c:v>15.871143272458182</c:v>
                </c:pt>
                <c:pt idx="68">
                  <c:v>16.081098050180746</c:v>
                </c:pt>
                <c:pt idx="69">
                  <c:v>16.313141515280506</c:v>
                </c:pt>
                <c:pt idx="70">
                  <c:v>16.575881108264305</c:v>
                </c:pt>
                <c:pt idx="71">
                  <c:v>16.885309274414016</c:v>
                </c:pt>
                <c:pt idx="72">
                  <c:v>17.390716406576789</c:v>
                </c:pt>
                <c:pt idx="73">
                  <c:v>17.952607198742456</c:v>
                </c:pt>
                <c:pt idx="74">
                  <c:v>18.439979605338024</c:v>
                </c:pt>
                <c:pt idx="75">
                  <c:v>18.876759367508736</c:v>
                </c:pt>
                <c:pt idx="76">
                  <c:v>19.27640184127868</c:v>
                </c:pt>
                <c:pt idx="77">
                  <c:v>19.64732243094009</c:v>
                </c:pt>
                <c:pt idx="78">
                  <c:v>19.995076500866311</c:v>
                </c:pt>
                <c:pt idx="79">
                  <c:v>20.323730548357045</c:v>
                </c:pt>
                <c:pt idx="80">
                  <c:v>20.636365697314822</c:v>
                </c:pt>
                <c:pt idx="81">
                  <c:v>20.935080789279034</c:v>
                </c:pt>
                <c:pt idx="82">
                  <c:v>21.221737974624485</c:v>
                </c:pt>
                <c:pt idx="83">
                  <c:v>21.497754512792579</c:v>
                </c:pt>
                <c:pt idx="84">
                  <c:v>21.764330810426298</c:v>
                </c:pt>
                <c:pt idx="85">
                  <c:v>22.022496263408886</c:v>
                </c:pt>
                <c:pt idx="86">
                  <c:v>22.273089192762136</c:v>
                </c:pt>
                <c:pt idx="87">
                  <c:v>22.516889329294582</c:v>
                </c:pt>
                <c:pt idx="88">
                  <c:v>22.754316202787425</c:v>
                </c:pt>
                <c:pt idx="89">
                  <c:v>22.985329477925639</c:v>
                </c:pt>
                <c:pt idx="90">
                  <c:v>23.2109875158453</c:v>
                </c:pt>
                <c:pt idx="91">
                  <c:v>23.431760207258062</c:v>
                </c:pt>
                <c:pt idx="92">
                  <c:v>23.648019056427138</c:v>
                </c:pt>
                <c:pt idx="93">
                  <c:v>23.865032870364512</c:v>
                </c:pt>
                <c:pt idx="94">
                  <c:v>24.080430744332283</c:v>
                </c:pt>
                <c:pt idx="95">
                  <c:v>24.294289198402961</c:v>
                </c:pt>
                <c:pt idx="96">
                  <c:v>24.50667535426026</c:v>
                </c:pt>
                <c:pt idx="97">
                  <c:v>24.717593495900424</c:v>
                </c:pt>
                <c:pt idx="98">
                  <c:v>24.9269760373077</c:v>
                </c:pt>
                <c:pt idx="99">
                  <c:v>25.134628941610149</c:v>
                </c:pt>
                <c:pt idx="100">
                  <c:v>25.340550074581945</c:v>
                </c:pt>
                <c:pt idx="101">
                  <c:v>25.544892134674129</c:v>
                </c:pt>
                <c:pt idx="102">
                  <c:v>25.747748176352339</c:v>
                </c:pt>
                <c:pt idx="103">
                  <c:v>25.949167394468596</c:v>
                </c:pt>
                <c:pt idx="104">
                  <c:v>26.149225008676023</c:v>
                </c:pt>
                <c:pt idx="105">
                  <c:v>26.348012533621169</c:v>
                </c:pt>
                <c:pt idx="106">
                  <c:v>26.545598497633751</c:v>
                </c:pt>
                <c:pt idx="107">
                  <c:v>26.742082261029395</c:v>
                </c:pt>
                <c:pt idx="108">
                  <c:v>26.937540805252674</c:v>
                </c:pt>
                <c:pt idx="109">
                  <c:v>27.132012705629219</c:v>
                </c:pt>
                <c:pt idx="110">
                  <c:v>27.325576731231045</c:v>
                </c:pt>
                <c:pt idx="111">
                  <c:v>27.518251288009573</c:v>
                </c:pt>
                <c:pt idx="112">
                  <c:v>27.710119740993889</c:v>
                </c:pt>
                <c:pt idx="113">
                  <c:v>27.901327051851059</c:v>
                </c:pt>
                <c:pt idx="114">
                  <c:v>28.106696119269035</c:v>
                </c:pt>
                <c:pt idx="115">
                  <c:v>28.329616615601481</c:v>
                </c:pt>
                <c:pt idx="116">
                  <c:v>28.575089814233088</c:v>
                </c:pt>
                <c:pt idx="117">
                  <c:v>28.81495295658388</c:v>
                </c:pt>
                <c:pt idx="118">
                  <c:v>29.049484860770871</c:v>
                </c:pt>
                <c:pt idx="119">
                  <c:v>29.284769462431235</c:v>
                </c:pt>
                <c:pt idx="120">
                  <c:v>29.518111525087317</c:v>
                </c:pt>
                <c:pt idx="121">
                  <c:v>29.749424415145654</c:v>
                </c:pt>
                <c:pt idx="122">
                  <c:v>29.978649076622322</c:v>
                </c:pt>
                <c:pt idx="123">
                  <c:v>30.205463654403662</c:v>
                </c:pt>
                <c:pt idx="124">
                  <c:v>30.430040933953492</c:v>
                </c:pt>
                <c:pt idx="125">
                  <c:v>30.652546501935134</c:v>
                </c:pt>
                <c:pt idx="126">
                  <c:v>30.872920829933346</c:v>
                </c:pt>
                <c:pt idx="127">
                  <c:v>31.091214946203035</c:v>
                </c:pt>
                <c:pt idx="128">
                  <c:v>31.307640202526109</c:v>
                </c:pt>
                <c:pt idx="129">
                  <c:v>31.52231888249079</c:v>
                </c:pt>
                <c:pt idx="130">
                  <c:v>31.735340378270468</c:v>
                </c:pt>
                <c:pt idx="131">
                  <c:v>31.946789099204821</c:v>
                </c:pt>
                <c:pt idx="132">
                  <c:v>32.156814431841902</c:v>
                </c:pt>
                <c:pt idx="133">
                  <c:v>32.365495731913285</c:v>
                </c:pt>
                <c:pt idx="134">
                  <c:v>32.572938332637172</c:v>
                </c:pt>
                <c:pt idx="135">
                  <c:v>32.779225690782184</c:v>
                </c:pt>
                <c:pt idx="136">
                  <c:v>32.984406853068855</c:v>
                </c:pt>
                <c:pt idx="137">
                  <c:v>33.188481512975969</c:v>
                </c:pt>
                <c:pt idx="138">
                  <c:v>33.408392062320949</c:v>
                </c:pt>
                <c:pt idx="139">
                  <c:v>33.648375391537868</c:v>
                </c:pt>
                <c:pt idx="140">
                  <c:v>33.914970710913408</c:v>
                </c:pt>
                <c:pt idx="141">
                  <c:v>34.218953776384112</c:v>
                </c:pt>
                <c:pt idx="142">
                  <c:v>34.58099821729482</c:v>
                </c:pt>
                <c:pt idx="143">
                  <c:v>34.925036559868687</c:v>
                </c:pt>
                <c:pt idx="144">
                  <c:v>35.253486860639839</c:v>
                </c:pt>
                <c:pt idx="145">
                  <c:v>35.568260176824182</c:v>
                </c:pt>
                <c:pt idx="146">
                  <c:v>35.870821737896954</c:v>
                </c:pt>
                <c:pt idx="147">
                  <c:v>36.162444570285075</c:v>
                </c:pt>
                <c:pt idx="148">
                  <c:v>36.444273113608865</c:v>
                </c:pt>
                <c:pt idx="149">
                  <c:v>36.717249378534405</c:v>
                </c:pt>
                <c:pt idx="150">
                  <c:v>36.982233162728406</c:v>
                </c:pt>
                <c:pt idx="151">
                  <c:v>37.239945802258895</c:v>
                </c:pt>
                <c:pt idx="152">
                  <c:v>37.490984167610506</c:v>
                </c:pt>
                <c:pt idx="153">
                  <c:v>37.742378377194896</c:v>
                </c:pt>
                <c:pt idx="154">
                  <c:v>37.990958858549696</c:v>
                </c:pt>
                <c:pt idx="155">
                  <c:v>38.236861211409817</c:v>
                </c:pt>
                <c:pt idx="156">
                  <c:v>38.48029215018525</c:v>
                </c:pt>
                <c:pt idx="157">
                  <c:v>38.72130194496804</c:v>
                </c:pt>
                <c:pt idx="158">
                  <c:v>38.959986832493371</c:v>
                </c:pt>
                <c:pt idx="159">
                  <c:v>39.221774664261453</c:v>
                </c:pt>
                <c:pt idx="160">
                  <c:v>39.489940680885709</c:v>
                </c:pt>
                <c:pt idx="161">
                  <c:v>39.76485686372137</c:v>
                </c:pt>
                <c:pt idx="162">
                  <c:v>40.043629326728627</c:v>
                </c:pt>
                <c:pt idx="163">
                  <c:v>40.326467154806942</c:v>
                </c:pt>
                <c:pt idx="164">
                  <c:v>40.610078590012868</c:v>
                </c:pt>
                <c:pt idx="165">
                  <c:v>40.894212030266409</c:v>
                </c:pt>
                <c:pt idx="166">
                  <c:v>41.178710712295384</c:v>
                </c:pt>
                <c:pt idx="167">
                  <c:v>41.463572113309795</c:v>
                </c:pt>
                <c:pt idx="168">
                  <c:v>41.748894641806807</c:v>
                </c:pt>
                <c:pt idx="169">
                  <c:v>42.034641266689363</c:v>
                </c:pt>
                <c:pt idx="170">
                  <c:v>42.320774956860504</c:v>
                </c:pt>
                <c:pt idx="171">
                  <c:v>42.607278458166562</c:v>
                </c:pt>
                <c:pt idx="172">
                  <c:v>42.894149747652826</c:v>
                </c:pt>
                <c:pt idx="173">
                  <c:v>43.181398463873379</c:v>
                </c:pt>
                <c:pt idx="174">
                  <c:v>43.469035768502224</c:v>
                </c:pt>
                <c:pt idx="175">
                  <c:v>43.757087530962558</c:v>
                </c:pt>
                <c:pt idx="176">
                  <c:v>44.045561866688395</c:v>
                </c:pt>
                <c:pt idx="177">
                  <c:v>44.334463345039488</c:v>
                </c:pt>
                <c:pt idx="178">
                  <c:v>44.623806673764769</c:v>
                </c:pt>
                <c:pt idx="179">
                  <c:v>44.913617222451954</c:v>
                </c:pt>
                <c:pt idx="180">
                  <c:v>45.203949776186811</c:v>
                </c:pt>
                <c:pt idx="181">
                  <c:v>45.494863689414146</c:v>
                </c:pt>
                <c:pt idx="182">
                  <c:v>45.786375193003032</c:v>
                </c:pt>
                <c:pt idx="183">
                  <c:v>46.073681516762527</c:v>
                </c:pt>
                <c:pt idx="184">
                  <c:v>46.352422549766104</c:v>
                </c:pt>
                <c:pt idx="185">
                  <c:v>46.623384852868391</c:v>
                </c:pt>
                <c:pt idx="186">
                  <c:v>46.887204202175859</c:v>
                </c:pt>
                <c:pt idx="187">
                  <c:v>47.151534654443182</c:v>
                </c:pt>
                <c:pt idx="188">
                  <c:v>47.412791752293586</c:v>
                </c:pt>
                <c:pt idx="189">
                  <c:v>47.670443345485161</c:v>
                </c:pt>
                <c:pt idx="190">
                  <c:v>47.922640273817535</c:v>
                </c:pt>
                <c:pt idx="191">
                  <c:v>48.168164998609988</c:v>
                </c:pt>
                <c:pt idx="192">
                  <c:v>48.406812641686109</c:v>
                </c:pt>
                <c:pt idx="193">
                  <c:v>48.638709078467656</c:v>
                </c:pt>
                <c:pt idx="194">
                  <c:v>48.864170074262326</c:v>
                </c:pt>
                <c:pt idx="195">
                  <c:v>49.079466193186008</c:v>
                </c:pt>
                <c:pt idx="196">
                  <c:v>49.288877308072955</c:v>
                </c:pt>
                <c:pt idx="197">
                  <c:v>49.492713722981222</c:v>
                </c:pt>
                <c:pt idx="198">
                  <c:v>49.691154753818132</c:v>
                </c:pt>
                <c:pt idx="199">
                  <c:v>49.884235272627876</c:v>
                </c:pt>
                <c:pt idx="200">
                  <c:v>50.071997312959049</c:v>
                </c:pt>
                <c:pt idx="201">
                  <c:v>50.254849351251032</c:v>
                </c:pt>
                <c:pt idx="202">
                  <c:v>50.432846482468001</c:v>
                </c:pt>
                <c:pt idx="203">
                  <c:v>50.605957810142037</c:v>
                </c:pt>
                <c:pt idx="204">
                  <c:v>50.783900085511952</c:v>
                </c:pt>
                <c:pt idx="205">
                  <c:v>50.961116474210392</c:v>
                </c:pt>
                <c:pt idx="206">
                  <c:v>51.139843053222172</c:v>
                </c:pt>
                <c:pt idx="207">
                  <c:v>51.324041437954939</c:v>
                </c:pt>
                <c:pt idx="208">
                  <c:v>51.514056210424428</c:v>
                </c:pt>
                <c:pt idx="209">
                  <c:v>51.710356691292958</c:v>
                </c:pt>
                <c:pt idx="210">
                  <c:v>51.990356691292959</c:v>
                </c:pt>
                <c:pt idx="211">
                  <c:v>52.27035669129296</c:v>
                </c:pt>
                <c:pt idx="212">
                  <c:v>52.554490131546501</c:v>
                </c:pt>
                <c:pt idx="213">
                  <c:v>52.838988813575476</c:v>
                </c:pt>
                <c:pt idx="214">
                  <c:v>53.123850214589886</c:v>
                </c:pt>
                <c:pt idx="215">
                  <c:v>53.409172743086899</c:v>
                </c:pt>
                <c:pt idx="216">
                  <c:v>53.694919367969455</c:v>
                </c:pt>
                <c:pt idx="217">
                  <c:v>53.981053058140596</c:v>
                </c:pt>
                <c:pt idx="218">
                  <c:v>54.267556559446653</c:v>
                </c:pt>
                <c:pt idx="219">
                  <c:v>54.554427848932917</c:v>
                </c:pt>
                <c:pt idx="220">
                  <c:v>54.834427848932918</c:v>
                </c:pt>
                <c:pt idx="221">
                  <c:v>55.118561289186459</c:v>
                </c:pt>
                <c:pt idx="222">
                  <c:v>55.403059971215434</c:v>
                </c:pt>
                <c:pt idx="223">
                  <c:v>55.687921372229845</c:v>
                </c:pt>
                <c:pt idx="224">
                  <c:v>55.973243900726857</c:v>
                </c:pt>
                <c:pt idx="225">
                  <c:v>56.258990525609413</c:v>
                </c:pt>
                <c:pt idx="226">
                  <c:v>56.545124215780554</c:v>
                </c:pt>
                <c:pt idx="227">
                  <c:v>56.831627717086612</c:v>
                </c:pt>
                <c:pt idx="228">
                  <c:v>57.118499006572875</c:v>
                </c:pt>
                <c:pt idx="229">
                  <c:v>57.405747722793429</c:v>
                </c:pt>
                <c:pt idx="230">
                  <c:v>57.693385027422273</c:v>
                </c:pt>
                <c:pt idx="231">
                  <c:v>57.981436789882608</c:v>
                </c:pt>
                <c:pt idx="232">
                  <c:v>58.269911125608445</c:v>
                </c:pt>
                <c:pt idx="233">
                  <c:v>58.558812603959538</c:v>
                </c:pt>
                <c:pt idx="234">
                  <c:v>58.848155932684818</c:v>
                </c:pt>
                <c:pt idx="235">
                  <c:v>59.137966481372004</c:v>
                </c:pt>
                <c:pt idx="236">
                  <c:v>59.428299035106861</c:v>
                </c:pt>
                <c:pt idx="237">
                  <c:v>59.719212948334196</c:v>
                </c:pt>
                <c:pt idx="238">
                  <c:v>60.010724451923082</c:v>
                </c:pt>
                <c:pt idx="239">
                  <c:v>60.298030775682577</c:v>
                </c:pt>
                <c:pt idx="240">
                  <c:v>60.576771808686154</c:v>
                </c:pt>
                <c:pt idx="241">
                  <c:v>60.847734111788441</c:v>
                </c:pt>
                <c:pt idx="242">
                  <c:v>61.111553461095909</c:v>
                </c:pt>
                <c:pt idx="243">
                  <c:v>61.375883913363232</c:v>
                </c:pt>
                <c:pt idx="244">
                  <c:v>61.637141011213636</c:v>
                </c:pt>
                <c:pt idx="245">
                  <c:v>61.894792604405211</c:v>
                </c:pt>
                <c:pt idx="246">
                  <c:v>62.146989532737585</c:v>
                </c:pt>
                <c:pt idx="247">
                  <c:v>62.392514257530038</c:v>
                </c:pt>
                <c:pt idx="248">
                  <c:v>62.631161900606159</c:v>
                </c:pt>
                <c:pt idx="249">
                  <c:v>62.863058337387706</c:v>
                </c:pt>
                <c:pt idx="250">
                  <c:v>63.088519333182376</c:v>
                </c:pt>
                <c:pt idx="251">
                  <c:v>63.303815452106058</c:v>
                </c:pt>
                <c:pt idx="252">
                  <c:v>63.513226566993005</c:v>
                </c:pt>
                <c:pt idx="253">
                  <c:v>63.717062981901272</c:v>
                </c:pt>
                <c:pt idx="254">
                  <c:v>63.915504012738182</c:v>
                </c:pt>
                <c:pt idx="255">
                  <c:v>64.108584531547933</c:v>
                </c:pt>
                <c:pt idx="256">
                  <c:v>64.296346571879113</c:v>
                </c:pt>
                <c:pt idx="257">
                  <c:v>64.479198610171096</c:v>
                </c:pt>
                <c:pt idx="258">
                  <c:v>64.657195741388065</c:v>
                </c:pt>
                <c:pt idx="259">
                  <c:v>64.830307069062101</c:v>
                </c:pt>
                <c:pt idx="260">
                  <c:v>64.998360048545138</c:v>
                </c:pt>
                <c:pt idx="261">
                  <c:v>65.161430698817469</c:v>
                </c:pt>
                <c:pt idx="262">
                  <c:v>65.320058852168501</c:v>
                </c:pt>
                <c:pt idx="263">
                  <c:v>65.474389461113404</c:v>
                </c:pt>
                <c:pt idx="264">
                  <c:v>65.624295689799055</c:v>
                </c:pt>
                <c:pt idx="265">
                  <c:v>65.769698437528731</c:v>
                </c:pt>
                <c:pt idx="266">
                  <c:v>69.546388903024848</c:v>
                </c:pt>
                <c:pt idx="267">
                  <c:v>72.784530783092507</c:v>
                </c:pt>
                <c:pt idx="268">
                  <c:v>72.881431570798057</c:v>
                </c:pt>
                <c:pt idx="269">
                  <c:v>73.004702771439298</c:v>
                </c:pt>
                <c:pt idx="270">
                  <c:v>73.134574147511202</c:v>
                </c:pt>
                <c:pt idx="271">
                  <c:v>73.288844527917917</c:v>
                </c:pt>
                <c:pt idx="272">
                  <c:v>73.454944256399585</c:v>
                </c:pt>
                <c:pt idx="273">
                  <c:v>73.734944256399586</c:v>
                </c:pt>
                <c:pt idx="274">
                  <c:v>73.996978429077856</c:v>
                </c:pt>
                <c:pt idx="275">
                  <c:v>74.281477111106824</c:v>
                </c:pt>
                <c:pt idx="276">
                  <c:v>74.566338512121234</c:v>
                </c:pt>
                <c:pt idx="277">
                  <c:v>74.851661040618254</c:v>
                </c:pt>
                <c:pt idx="278">
                  <c:v>75.137407665500803</c:v>
                </c:pt>
                <c:pt idx="279">
                  <c:v>75.423541355671944</c:v>
                </c:pt>
                <c:pt idx="280">
                  <c:v>75.710044856978001</c:v>
                </c:pt>
                <c:pt idx="281">
                  <c:v>75.996916146464258</c:v>
                </c:pt>
                <c:pt idx="282">
                  <c:v>76.284164862684804</c:v>
                </c:pt>
                <c:pt idx="283">
                  <c:v>76.571802167313649</c:v>
                </c:pt>
                <c:pt idx="284">
                  <c:v>76.859853929773976</c:v>
                </c:pt>
                <c:pt idx="285">
                  <c:v>77.148328265499813</c:v>
                </c:pt>
                <c:pt idx="286">
                  <c:v>77.437229743850907</c:v>
                </c:pt>
                <c:pt idx="287">
                  <c:v>77.726573072576187</c:v>
                </c:pt>
                <c:pt idx="288">
                  <c:v>78.016383621263373</c:v>
                </c:pt>
                <c:pt idx="289">
                  <c:v>78.306716174998229</c:v>
                </c:pt>
                <c:pt idx="290">
                  <c:v>78.597630088225557</c:v>
                </c:pt>
                <c:pt idx="291">
                  <c:v>78.88914159181445</c:v>
                </c:pt>
                <c:pt idx="292">
                  <c:v>79.176447915573945</c:v>
                </c:pt>
                <c:pt idx="293">
                  <c:v>79.455188948577529</c:v>
                </c:pt>
                <c:pt idx="294">
                  <c:v>79.726151251679809</c:v>
                </c:pt>
                <c:pt idx="295">
                  <c:v>79.989970600987277</c:v>
                </c:pt>
                <c:pt idx="296">
                  <c:v>80.254301053254594</c:v>
                </c:pt>
                <c:pt idx="297">
                  <c:v>80.515558151104997</c:v>
                </c:pt>
                <c:pt idx="298">
                  <c:v>80.773209744296565</c:v>
                </c:pt>
                <c:pt idx="299">
                  <c:v>81.025406672628947</c:v>
                </c:pt>
                <c:pt idx="300">
                  <c:v>81.270931397421407</c:v>
                </c:pt>
                <c:pt idx="301">
                  <c:v>81.509579040497528</c:v>
                </c:pt>
                <c:pt idx="302">
                  <c:v>81.741475477279067</c:v>
                </c:pt>
                <c:pt idx="303">
                  <c:v>81.96693647307373</c:v>
                </c:pt>
                <c:pt idx="304">
                  <c:v>82.182232591997419</c:v>
                </c:pt>
                <c:pt idx="305">
                  <c:v>82.391643706884366</c:v>
                </c:pt>
                <c:pt idx="306">
                  <c:v>82.595480121792633</c:v>
                </c:pt>
                <c:pt idx="307">
                  <c:v>82.793921152629537</c:v>
                </c:pt>
                <c:pt idx="308">
                  <c:v>82.987001671439288</c:v>
                </c:pt>
                <c:pt idx="309">
                  <c:v>83.174763711770467</c:v>
                </c:pt>
                <c:pt idx="310">
                  <c:v>83.35761575006245</c:v>
                </c:pt>
                <c:pt idx="311">
                  <c:v>83.53561288127942</c:v>
                </c:pt>
                <c:pt idx="312">
                  <c:v>83.708724208953456</c:v>
                </c:pt>
                <c:pt idx="313">
                  <c:v>83.876777188436492</c:v>
                </c:pt>
                <c:pt idx="314">
                  <c:v>84.039847838708823</c:v>
                </c:pt>
                <c:pt idx="315">
                  <c:v>84.198475992059855</c:v>
                </c:pt>
                <c:pt idx="316">
                  <c:v>84.352806601004758</c:v>
                </c:pt>
                <c:pt idx="317">
                  <c:v>84.504145800316749</c:v>
                </c:pt>
                <c:pt idx="318">
                  <c:v>84.655832535533335</c:v>
                </c:pt>
                <c:pt idx="319">
                  <c:v>89.632177619481155</c:v>
                </c:pt>
                <c:pt idx="320">
                  <c:v>110.47239193857871</c:v>
                </c:pt>
                <c:pt idx="321">
                  <c:v>110.61353595113357</c:v>
                </c:pt>
                <c:pt idx="322">
                  <c:v>110.75625104802587</c:v>
                </c:pt>
                <c:pt idx="323">
                  <c:v>110.90056462179834</c:v>
                </c:pt>
                <c:pt idx="324">
                  <c:v>111.05056462179834</c:v>
                </c:pt>
                <c:pt idx="325">
                  <c:v>111.1978631011384</c:v>
                </c:pt>
                <c:pt idx="326">
                  <c:v>111.38239310113839</c:v>
                </c:pt>
                <c:pt idx="327">
                  <c:v>111.66652654139193</c:v>
                </c:pt>
                <c:pt idx="328">
                  <c:v>111.9510252234209</c:v>
                </c:pt>
                <c:pt idx="329">
                  <c:v>112.23588662443531</c:v>
                </c:pt>
                <c:pt idx="330">
                  <c:v>112.52120915293233</c:v>
                </c:pt>
                <c:pt idx="331">
                  <c:v>112.80695577781488</c:v>
                </c:pt>
                <c:pt idx="332">
                  <c:v>113.09308946798602</c:v>
                </c:pt>
                <c:pt idx="333">
                  <c:v>113.37959296929208</c:v>
                </c:pt>
                <c:pt idx="334">
                  <c:v>113.66646425877833</c:v>
                </c:pt>
                <c:pt idx="335">
                  <c:v>113.95371297499888</c:v>
                </c:pt>
                <c:pt idx="336">
                  <c:v>114.24135027962772</c:v>
                </c:pt>
                <c:pt idx="337">
                  <c:v>114.52940204208805</c:v>
                </c:pt>
                <c:pt idx="338">
                  <c:v>114.81787637781389</c:v>
                </c:pt>
                <c:pt idx="339">
                  <c:v>115.10677785616498</c:v>
                </c:pt>
                <c:pt idx="340">
                  <c:v>115.39612118489026</c:v>
                </c:pt>
                <c:pt idx="341">
                  <c:v>115.68593173357745</c:v>
                </c:pt>
                <c:pt idx="342">
                  <c:v>115.9762642873123</c:v>
                </c:pt>
                <c:pt idx="343">
                  <c:v>116.26717820053963</c:v>
                </c:pt>
                <c:pt idx="344">
                  <c:v>116.55868970412853</c:v>
                </c:pt>
                <c:pt idx="345">
                  <c:v>116.84599602788802</c:v>
                </c:pt>
                <c:pt idx="346">
                  <c:v>117.1247370608916</c:v>
                </c:pt>
                <c:pt idx="347">
                  <c:v>117.39569936399388</c:v>
                </c:pt>
                <c:pt idx="348">
                  <c:v>117.65951871330135</c:v>
                </c:pt>
                <c:pt idx="349">
                  <c:v>117.92384916556867</c:v>
                </c:pt>
                <c:pt idx="350">
                  <c:v>118.18510626341907</c:v>
                </c:pt>
                <c:pt idx="351">
                  <c:v>118.44275785661064</c:v>
                </c:pt>
                <c:pt idx="352">
                  <c:v>118.69495478494302</c:v>
                </c:pt>
                <c:pt idx="353">
                  <c:v>118.94047950973548</c:v>
                </c:pt>
                <c:pt idx="354">
                  <c:v>119.1791271528116</c:v>
                </c:pt>
                <c:pt idx="355">
                  <c:v>119.41102358959314</c:v>
                </c:pt>
                <c:pt idx="356">
                  <c:v>119.63648458538781</c:v>
                </c:pt>
                <c:pt idx="357">
                  <c:v>119.85178070431149</c:v>
                </c:pt>
                <c:pt idx="358">
                  <c:v>120.06119181919844</c:v>
                </c:pt>
                <c:pt idx="359">
                  <c:v>120.26502823410671</c:v>
                </c:pt>
                <c:pt idx="360">
                  <c:v>120.46346926494361</c:v>
                </c:pt>
                <c:pt idx="361">
                  <c:v>120.65654978375336</c:v>
                </c:pt>
                <c:pt idx="362">
                  <c:v>120.84431182408454</c:v>
                </c:pt>
                <c:pt idx="363">
                  <c:v>121.02716386237653</c:v>
                </c:pt>
                <c:pt idx="364">
                  <c:v>121.20516099359349</c:v>
                </c:pt>
                <c:pt idx="365">
                  <c:v>121.37827232126753</c:v>
                </c:pt>
                <c:pt idx="366">
                  <c:v>121.54632530075057</c:v>
                </c:pt>
                <c:pt idx="367">
                  <c:v>121.7093959510229</c:v>
                </c:pt>
                <c:pt idx="368">
                  <c:v>121.86802410437393</c:v>
                </c:pt>
                <c:pt idx="369">
                  <c:v>122.02235471331883</c:v>
                </c:pt>
                <c:pt idx="370">
                  <c:v>122.17226094200448</c:v>
                </c:pt>
                <c:pt idx="371">
                  <c:v>122.31766368973416</c:v>
                </c:pt>
                <c:pt idx="372">
                  <c:v>121.88017991798355</c:v>
                </c:pt>
                <c:pt idx="373">
                  <c:v>122.03224776737423</c:v>
                </c:pt>
                <c:pt idx="374">
                  <c:v>122.18538858266099</c:v>
                </c:pt>
                <c:pt idx="375">
                  <c:v>122.34192030210112</c:v>
                </c:pt>
                <c:pt idx="376">
                  <c:v>122.50570242113908</c:v>
                </c:pt>
                <c:pt idx="377">
                  <c:v>122.67232803531887</c:v>
                </c:pt>
                <c:pt idx="378">
                  <c:v>122.84397397121103</c:v>
                </c:pt>
                <c:pt idx="379">
                  <c:v>123.02512187218032</c:v>
                </c:pt>
                <c:pt idx="380">
                  <c:v>123.2165743239746</c:v>
                </c:pt>
                <c:pt idx="381">
                  <c:v>123.41578202563397</c:v>
                </c:pt>
                <c:pt idx="382">
                  <c:v>123.61981100376462</c:v>
                </c:pt>
                <c:pt idx="383">
                  <c:v>123.77981100376462</c:v>
                </c:pt>
                <c:pt idx="384">
                  <c:v>124.01981100376462</c:v>
                </c:pt>
                <c:pt idx="385">
                  <c:v>124.30394444401816</c:v>
                </c:pt>
                <c:pt idx="386">
                  <c:v>124.58844312604712</c:v>
                </c:pt>
                <c:pt idx="387">
                  <c:v>124.87330452706153</c:v>
                </c:pt>
                <c:pt idx="388">
                  <c:v>125.15862705555855</c:v>
                </c:pt>
                <c:pt idx="389">
                  <c:v>125.4443736804411</c:v>
                </c:pt>
                <c:pt idx="390">
                  <c:v>125.73050737061224</c:v>
                </c:pt>
                <c:pt idx="391">
                  <c:v>126.0170108719183</c:v>
                </c:pt>
                <c:pt idx="392">
                  <c:v>126.30388216140456</c:v>
                </c:pt>
                <c:pt idx="393">
                  <c:v>126.5911308776251</c:v>
                </c:pt>
                <c:pt idx="394">
                  <c:v>126.87876818225395</c:v>
                </c:pt>
                <c:pt idx="395">
                  <c:v>127.16681994471428</c:v>
                </c:pt>
                <c:pt idx="396">
                  <c:v>127.45529428044011</c:v>
                </c:pt>
                <c:pt idx="397">
                  <c:v>127.74419575879121</c:v>
                </c:pt>
                <c:pt idx="398">
                  <c:v>128.03353908751649</c:v>
                </c:pt>
                <c:pt idx="399">
                  <c:v>128.32334963620369</c:v>
                </c:pt>
                <c:pt idx="400">
                  <c:v>128.61368218993854</c:v>
                </c:pt>
                <c:pt idx="401">
                  <c:v>128.90459610316589</c:v>
                </c:pt>
                <c:pt idx="402">
                  <c:v>129.19610760675477</c:v>
                </c:pt>
                <c:pt idx="403">
                  <c:v>129.48341393051427</c:v>
                </c:pt>
                <c:pt idx="404">
                  <c:v>129.76215496351784</c:v>
                </c:pt>
                <c:pt idx="405">
                  <c:v>130.03311726662014</c:v>
                </c:pt>
                <c:pt idx="406">
                  <c:v>130.29693661592759</c:v>
                </c:pt>
                <c:pt idx="407">
                  <c:v>130.56126706819492</c:v>
                </c:pt>
                <c:pt idx="408">
                  <c:v>130.82252416604533</c:v>
                </c:pt>
                <c:pt idx="409">
                  <c:v>131.08017575923691</c:v>
                </c:pt>
                <c:pt idx="410">
                  <c:v>131.33237268756929</c:v>
                </c:pt>
                <c:pt idx="411">
                  <c:v>131.57789741236175</c:v>
                </c:pt>
                <c:pt idx="412">
                  <c:v>131.81654505543787</c:v>
                </c:pt>
                <c:pt idx="413">
                  <c:v>132.04844149221941</c:v>
                </c:pt>
                <c:pt idx="414">
                  <c:v>132.27390248801407</c:v>
                </c:pt>
                <c:pt idx="415">
                  <c:v>132.48919860693775</c:v>
                </c:pt>
                <c:pt idx="416">
                  <c:v>132.69860972182468</c:v>
                </c:pt>
                <c:pt idx="417">
                  <c:v>132.90244613673295</c:v>
                </c:pt>
                <c:pt idx="418">
                  <c:v>133.10088716756985</c:v>
                </c:pt>
                <c:pt idx="419">
                  <c:v>133.2939676863796</c:v>
                </c:pt>
                <c:pt idx="420">
                  <c:v>133.48172972671077</c:v>
                </c:pt>
                <c:pt idx="421">
                  <c:v>133.66458176500277</c:v>
                </c:pt>
                <c:pt idx="422">
                  <c:v>133.84257889621975</c:v>
                </c:pt>
                <c:pt idx="423">
                  <c:v>134.01569022389378</c:v>
                </c:pt>
                <c:pt idx="424">
                  <c:v>134.18374320337682</c:v>
                </c:pt>
                <c:pt idx="425">
                  <c:v>134.34681385364914</c:v>
                </c:pt>
                <c:pt idx="426">
                  <c:v>134.50544200700017</c:v>
                </c:pt>
                <c:pt idx="427">
                  <c:v>134.65977261594509</c:v>
                </c:pt>
                <c:pt idx="428">
                  <c:v>134.81523924796559</c:v>
                </c:pt>
                <c:pt idx="429">
                  <c:v>134.96973499679731</c:v>
                </c:pt>
                <c:pt idx="430">
                  <c:v>143.90360562232001</c:v>
                </c:pt>
                <c:pt idx="431">
                  <c:v>144.06734959224778</c:v>
                </c:pt>
                <c:pt idx="432">
                  <c:v>144.23962577145826</c:v>
                </c:pt>
                <c:pt idx="433">
                  <c:v>144.42536928854011</c:v>
                </c:pt>
                <c:pt idx="434">
                  <c:v>144.6706692885401</c:v>
                </c:pt>
                <c:pt idx="435">
                  <c:v>144.85966928854009</c:v>
                </c:pt>
                <c:pt idx="436">
                  <c:v>145.14380272879362</c:v>
                </c:pt>
                <c:pt idx="437">
                  <c:v>145.4283014108226</c:v>
                </c:pt>
                <c:pt idx="438">
                  <c:v>145.71316281183701</c:v>
                </c:pt>
                <c:pt idx="439">
                  <c:v>145.99848534033401</c:v>
                </c:pt>
                <c:pt idx="440">
                  <c:v>146.28423196521658</c:v>
                </c:pt>
                <c:pt idx="441">
                  <c:v>146.57036565538772</c:v>
                </c:pt>
                <c:pt idx="442">
                  <c:v>146.85686915669379</c:v>
                </c:pt>
                <c:pt idx="443">
                  <c:v>147.14374044618006</c:v>
                </c:pt>
                <c:pt idx="444">
                  <c:v>147.43098916240061</c:v>
                </c:pt>
                <c:pt idx="445">
                  <c:v>147.71862646702945</c:v>
                </c:pt>
                <c:pt idx="446">
                  <c:v>148.00667822948978</c:v>
                </c:pt>
                <c:pt idx="447">
                  <c:v>148.2951525652156</c:v>
                </c:pt>
                <c:pt idx="448">
                  <c:v>148.58405404356671</c:v>
                </c:pt>
                <c:pt idx="449">
                  <c:v>148.873397372292</c:v>
                </c:pt>
                <c:pt idx="450">
                  <c:v>149.1632079209792</c:v>
                </c:pt>
                <c:pt idx="451">
                  <c:v>149.45354047471406</c:v>
                </c:pt>
                <c:pt idx="452">
                  <c:v>149.7444543879414</c:v>
                </c:pt>
                <c:pt idx="453">
                  <c:v>150.03596589153028</c:v>
                </c:pt>
                <c:pt idx="454">
                  <c:v>150.32327221528979</c:v>
                </c:pt>
                <c:pt idx="455">
                  <c:v>150.60201324829336</c:v>
                </c:pt>
                <c:pt idx="456">
                  <c:v>150.87297555139565</c:v>
                </c:pt>
                <c:pt idx="457">
                  <c:v>151.13679490070311</c:v>
                </c:pt>
                <c:pt idx="458">
                  <c:v>151.40112535297044</c:v>
                </c:pt>
                <c:pt idx="459">
                  <c:v>151.66238245082084</c:v>
                </c:pt>
                <c:pt idx="460">
                  <c:v>151.92003404401243</c:v>
                </c:pt>
                <c:pt idx="461">
                  <c:v>152.17223097234481</c:v>
                </c:pt>
                <c:pt idx="462">
                  <c:v>152.41775569713727</c:v>
                </c:pt>
                <c:pt idx="463">
                  <c:v>152.65640334021339</c:v>
                </c:pt>
                <c:pt idx="464">
                  <c:v>152.88829977699493</c:v>
                </c:pt>
                <c:pt idx="465">
                  <c:v>153.11376077278959</c:v>
                </c:pt>
                <c:pt idx="466">
                  <c:v>153.32905689171326</c:v>
                </c:pt>
                <c:pt idx="467">
                  <c:v>153.5384680066002</c:v>
                </c:pt>
                <c:pt idx="468">
                  <c:v>153.74230442150846</c:v>
                </c:pt>
                <c:pt idx="469">
                  <c:v>153.94074545234537</c:v>
                </c:pt>
                <c:pt idx="470">
                  <c:v>154.13382597115512</c:v>
                </c:pt>
                <c:pt idx="471">
                  <c:v>154.32158801148628</c:v>
                </c:pt>
                <c:pt idx="472">
                  <c:v>154.50444004977828</c:v>
                </c:pt>
                <c:pt idx="473">
                  <c:v>154.68243718099527</c:v>
                </c:pt>
                <c:pt idx="474">
                  <c:v>154.8555485086693</c:v>
                </c:pt>
                <c:pt idx="475">
                  <c:v>155.02360148815234</c:v>
                </c:pt>
                <c:pt idx="476">
                  <c:v>155.18667213842465</c:v>
                </c:pt>
                <c:pt idx="477">
                  <c:v>155.34530029177569</c:v>
                </c:pt>
                <c:pt idx="478">
                  <c:v>155.4996309007206</c:v>
                </c:pt>
                <c:pt idx="479">
                  <c:v>155.64953712940624</c:v>
                </c:pt>
                <c:pt idx="480">
                  <c:v>155.7949398771359</c:v>
                </c:pt>
                <c:pt idx="481">
                  <c:v>171.92592524853075</c:v>
                </c:pt>
                <c:pt idx="482">
                  <c:v>172.08570400010959</c:v>
                </c:pt>
                <c:pt idx="483">
                  <c:v>172.24853557684645</c:v>
                </c:pt>
                <c:pt idx="484">
                  <c:v>172.41617427931803</c:v>
                </c:pt>
                <c:pt idx="485">
                  <c:v>172.58895780836102</c:v>
                </c:pt>
                <c:pt idx="486">
                  <c:v>172.77538347633563</c:v>
                </c:pt>
                <c:pt idx="487">
                  <c:v>172.9669976707913</c:v>
                </c:pt>
                <c:pt idx="488">
                  <c:v>173.14699767079131</c:v>
                </c:pt>
                <c:pt idx="489">
                  <c:v>173.38699767079132</c:v>
                </c:pt>
                <c:pt idx="490">
                  <c:v>173.67113111104484</c:v>
                </c:pt>
                <c:pt idx="491">
                  <c:v>173.95562979307383</c:v>
                </c:pt>
                <c:pt idx="492">
                  <c:v>174.24049119408824</c:v>
                </c:pt>
                <c:pt idx="493">
                  <c:v>174.52581372258524</c:v>
                </c:pt>
                <c:pt idx="494">
                  <c:v>174.8115603474678</c:v>
                </c:pt>
                <c:pt idx="495">
                  <c:v>175.09769403763895</c:v>
                </c:pt>
                <c:pt idx="496">
                  <c:v>175.38419753894502</c:v>
                </c:pt>
                <c:pt idx="497">
                  <c:v>175.67106882843129</c:v>
                </c:pt>
                <c:pt idx="498">
                  <c:v>175.95831754465183</c:v>
                </c:pt>
                <c:pt idx="499">
                  <c:v>176.24595484928068</c:v>
                </c:pt>
                <c:pt idx="500">
                  <c:v>176.53400661174101</c:v>
                </c:pt>
                <c:pt idx="501">
                  <c:v>176.82248094746683</c:v>
                </c:pt>
                <c:pt idx="502">
                  <c:v>177.11138242581794</c:v>
                </c:pt>
                <c:pt idx="503">
                  <c:v>177.40072575454323</c:v>
                </c:pt>
                <c:pt idx="504">
                  <c:v>177.69053630323043</c:v>
                </c:pt>
                <c:pt idx="505">
                  <c:v>177.98086885696529</c:v>
                </c:pt>
                <c:pt idx="506">
                  <c:v>178.27178277019263</c:v>
                </c:pt>
                <c:pt idx="507">
                  <c:v>178.56329427378151</c:v>
                </c:pt>
                <c:pt idx="508">
                  <c:v>178.85060059754102</c:v>
                </c:pt>
                <c:pt idx="509">
                  <c:v>179.12934163054459</c:v>
                </c:pt>
                <c:pt idx="510">
                  <c:v>179.40030393364688</c:v>
                </c:pt>
                <c:pt idx="511">
                  <c:v>179.66412328295434</c:v>
                </c:pt>
                <c:pt idx="512">
                  <c:v>179.92845373522167</c:v>
                </c:pt>
                <c:pt idx="513">
                  <c:v>180.18971083307207</c:v>
                </c:pt>
                <c:pt idx="514">
                  <c:v>180.44736242626365</c:v>
                </c:pt>
                <c:pt idx="515">
                  <c:v>180.69955935459603</c:v>
                </c:pt>
                <c:pt idx="516">
                  <c:v>180.94508407938849</c:v>
                </c:pt>
                <c:pt idx="517">
                  <c:v>181.18373172246461</c:v>
                </c:pt>
                <c:pt idx="518">
                  <c:v>181.41562815924615</c:v>
                </c:pt>
                <c:pt idx="519">
                  <c:v>181.64108915504082</c:v>
                </c:pt>
                <c:pt idx="520">
                  <c:v>181.85638527396449</c:v>
                </c:pt>
                <c:pt idx="521">
                  <c:v>182.06579638885142</c:v>
                </c:pt>
                <c:pt idx="522">
                  <c:v>182.26963280375969</c:v>
                </c:pt>
                <c:pt idx="523">
                  <c:v>182.46807383459659</c:v>
                </c:pt>
                <c:pt idx="524">
                  <c:v>182.66115435340635</c:v>
                </c:pt>
                <c:pt idx="525">
                  <c:v>182.84891639373751</c:v>
                </c:pt>
                <c:pt idx="526">
                  <c:v>183.03176843202951</c:v>
                </c:pt>
                <c:pt idx="527">
                  <c:v>183.20976556324649</c:v>
                </c:pt>
                <c:pt idx="528">
                  <c:v>183.38287689092053</c:v>
                </c:pt>
                <c:pt idx="529">
                  <c:v>183.55092987040356</c:v>
                </c:pt>
                <c:pt idx="530">
                  <c:v>183.71400052067588</c:v>
                </c:pt>
                <c:pt idx="531">
                  <c:v>183.87262867402691</c:v>
                </c:pt>
              </c:numCache>
            </c:numRef>
          </c:xVal>
          <c:yVal>
            <c:numRef>
              <c:f>Data!$AJ$2:$AJ$533</c:f>
            </c:numRef>
          </c:yVal>
          <c:smooth val="1"/>
          <c:extLst>
            <c:ext xmlns:c16="http://schemas.microsoft.com/office/drawing/2014/chart" uri="{C3380CC4-5D6E-409C-BE32-E72D297353CC}">
              <c16:uniqueId val="{00000000-30B6-DB4D-B34B-DD77AA754E9F}"/>
            </c:ext>
          </c:extLst>
        </c:ser>
        <c:ser>
          <c:idx val="1"/>
          <c:order val="1"/>
          <c:tx>
            <c:v>Rolling Resistance</c:v>
          </c:tx>
          <c:spPr>
            <a:ln w="19050" cap="rnd">
              <a:solidFill>
                <a:schemeClr val="accent2"/>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5.2555152727264334</c:v>
                </c:pt>
                <c:pt idx="38">
                  <c:v>5.4524366435989888</c:v>
                </c:pt>
                <c:pt idx="39">
                  <c:v>5.6698718929611793</c:v>
                </c:pt>
                <c:pt idx="40">
                  <c:v>5.9157003663222598</c:v>
                </c:pt>
                <c:pt idx="41">
                  <c:v>6.203574541651764</c:v>
                </c:pt>
                <c:pt idx="42">
                  <c:v>6.6932526815888655</c:v>
                </c:pt>
                <c:pt idx="43">
                  <c:v>7.2085862720653608</c:v>
                </c:pt>
                <c:pt idx="44">
                  <c:v>7.7263715039514684</c:v>
                </c:pt>
                <c:pt idx="45">
                  <c:v>8.2472690784333622</c:v>
                </c:pt>
                <c:pt idx="46">
                  <c:v>8.7710073045670605</c:v>
                </c:pt>
                <c:pt idx="47">
                  <c:v>9.297657366745181</c:v>
                </c:pt>
                <c:pt idx="48">
                  <c:v>9.8265026239034938</c:v>
                </c:pt>
                <c:pt idx="49">
                  <c:v>10.358051382579831</c:v>
                </c:pt>
                <c:pt idx="50">
                  <c:v>10.890900157130085</c:v>
                </c:pt>
                <c:pt idx="51">
                  <c:v>11.355067327053314</c:v>
                </c:pt>
                <c:pt idx="52">
                  <c:v>11.771062917611582</c:v>
                </c:pt>
                <c:pt idx="53">
                  <c:v>12.150361996688224</c:v>
                </c:pt>
                <c:pt idx="54">
                  <c:v>12.501315831093812</c:v>
                </c:pt>
                <c:pt idx="55">
                  <c:v>12.829988257625953</c:v>
                </c:pt>
                <c:pt idx="56">
                  <c:v>13.140659342402618</c:v>
                </c:pt>
                <c:pt idx="57">
                  <c:v>13.436102461777297</c:v>
                </c:pt>
                <c:pt idx="58">
                  <c:v>13.718386489212309</c:v>
                </c:pt>
                <c:pt idx="59">
                  <c:v>13.989173340123255</c:v>
                </c:pt>
                <c:pt idx="60">
                  <c:v>14.249859956247716</c:v>
                </c:pt>
                <c:pt idx="61">
                  <c:v>14.501687131256073</c:v>
                </c:pt>
                <c:pt idx="62">
                  <c:v>14.74556150358489</c:v>
                </c:pt>
                <c:pt idx="63">
                  <c:v>14.982342175794422</c:v>
                </c:pt>
                <c:pt idx="64">
                  <c:v>15.21276411046073</c:v>
                </c:pt>
                <c:pt idx="65">
                  <c:v>15.437391058940023</c:v>
                </c:pt>
                <c:pt idx="66">
                  <c:v>15.65674301969395</c:v>
                </c:pt>
                <c:pt idx="67">
                  <c:v>15.871143272458182</c:v>
                </c:pt>
                <c:pt idx="68">
                  <c:v>16.081098050180746</c:v>
                </c:pt>
                <c:pt idx="69">
                  <c:v>16.313141515280506</c:v>
                </c:pt>
                <c:pt idx="70">
                  <c:v>16.575881108264305</c:v>
                </c:pt>
                <c:pt idx="71">
                  <c:v>16.885309274414016</c:v>
                </c:pt>
                <c:pt idx="72">
                  <c:v>17.390716406576789</c:v>
                </c:pt>
                <c:pt idx="73">
                  <c:v>17.952607198742456</c:v>
                </c:pt>
                <c:pt idx="74">
                  <c:v>18.439979605338024</c:v>
                </c:pt>
                <c:pt idx="75">
                  <c:v>18.876759367508736</c:v>
                </c:pt>
                <c:pt idx="76">
                  <c:v>19.27640184127868</c:v>
                </c:pt>
                <c:pt idx="77">
                  <c:v>19.64732243094009</c:v>
                </c:pt>
                <c:pt idx="78">
                  <c:v>19.995076500866311</c:v>
                </c:pt>
                <c:pt idx="79">
                  <c:v>20.323730548357045</c:v>
                </c:pt>
                <c:pt idx="80">
                  <c:v>20.636365697314822</c:v>
                </c:pt>
                <c:pt idx="81">
                  <c:v>20.935080789279034</c:v>
                </c:pt>
                <c:pt idx="82">
                  <c:v>21.221737974624485</c:v>
                </c:pt>
                <c:pt idx="83">
                  <c:v>21.497754512792579</c:v>
                </c:pt>
                <c:pt idx="84">
                  <c:v>21.764330810426298</c:v>
                </c:pt>
                <c:pt idx="85">
                  <c:v>22.022496263408886</c:v>
                </c:pt>
                <c:pt idx="86">
                  <c:v>22.273089192762136</c:v>
                </c:pt>
                <c:pt idx="87">
                  <c:v>22.516889329294582</c:v>
                </c:pt>
                <c:pt idx="88">
                  <c:v>22.754316202787425</c:v>
                </c:pt>
                <c:pt idx="89">
                  <c:v>22.985329477925639</c:v>
                </c:pt>
                <c:pt idx="90">
                  <c:v>23.2109875158453</c:v>
                </c:pt>
                <c:pt idx="91">
                  <c:v>23.431760207258062</c:v>
                </c:pt>
                <c:pt idx="92">
                  <c:v>23.648019056427138</c:v>
                </c:pt>
                <c:pt idx="93">
                  <c:v>23.865032870364512</c:v>
                </c:pt>
                <c:pt idx="94">
                  <c:v>24.080430744332283</c:v>
                </c:pt>
                <c:pt idx="95">
                  <c:v>24.294289198402961</c:v>
                </c:pt>
                <c:pt idx="96">
                  <c:v>24.50667535426026</c:v>
                </c:pt>
                <c:pt idx="97">
                  <c:v>24.717593495900424</c:v>
                </c:pt>
                <c:pt idx="98">
                  <c:v>24.9269760373077</c:v>
                </c:pt>
                <c:pt idx="99">
                  <c:v>25.134628941610149</c:v>
                </c:pt>
                <c:pt idx="100">
                  <c:v>25.340550074581945</c:v>
                </c:pt>
                <c:pt idx="101">
                  <c:v>25.544892134674129</c:v>
                </c:pt>
                <c:pt idx="102">
                  <c:v>25.747748176352339</c:v>
                </c:pt>
                <c:pt idx="103">
                  <c:v>25.949167394468596</c:v>
                </c:pt>
                <c:pt idx="104">
                  <c:v>26.149225008676023</c:v>
                </c:pt>
                <c:pt idx="105">
                  <c:v>26.348012533621169</c:v>
                </c:pt>
                <c:pt idx="106">
                  <c:v>26.545598497633751</c:v>
                </c:pt>
                <c:pt idx="107">
                  <c:v>26.742082261029395</c:v>
                </c:pt>
                <c:pt idx="108">
                  <c:v>26.937540805252674</c:v>
                </c:pt>
                <c:pt idx="109">
                  <c:v>27.132012705629219</c:v>
                </c:pt>
                <c:pt idx="110">
                  <c:v>27.325576731231045</c:v>
                </c:pt>
                <c:pt idx="111">
                  <c:v>27.518251288009573</c:v>
                </c:pt>
                <c:pt idx="112">
                  <c:v>27.710119740993889</c:v>
                </c:pt>
                <c:pt idx="113">
                  <c:v>27.901327051851059</c:v>
                </c:pt>
                <c:pt idx="114">
                  <c:v>28.106696119269035</c:v>
                </c:pt>
                <c:pt idx="115">
                  <c:v>28.329616615601481</c:v>
                </c:pt>
                <c:pt idx="116">
                  <c:v>28.575089814233088</c:v>
                </c:pt>
                <c:pt idx="117">
                  <c:v>28.81495295658388</c:v>
                </c:pt>
                <c:pt idx="118">
                  <c:v>29.049484860770871</c:v>
                </c:pt>
                <c:pt idx="119">
                  <c:v>29.284769462431235</c:v>
                </c:pt>
                <c:pt idx="120">
                  <c:v>29.518111525087317</c:v>
                </c:pt>
                <c:pt idx="121">
                  <c:v>29.749424415145654</c:v>
                </c:pt>
                <c:pt idx="122">
                  <c:v>29.978649076622322</c:v>
                </c:pt>
                <c:pt idx="123">
                  <c:v>30.205463654403662</c:v>
                </c:pt>
                <c:pt idx="124">
                  <c:v>30.430040933953492</c:v>
                </c:pt>
                <c:pt idx="125">
                  <c:v>30.652546501935134</c:v>
                </c:pt>
                <c:pt idx="126">
                  <c:v>30.872920829933346</c:v>
                </c:pt>
                <c:pt idx="127">
                  <c:v>31.091214946203035</c:v>
                </c:pt>
                <c:pt idx="128">
                  <c:v>31.307640202526109</c:v>
                </c:pt>
                <c:pt idx="129">
                  <c:v>31.52231888249079</c:v>
                </c:pt>
                <c:pt idx="130">
                  <c:v>31.735340378270468</c:v>
                </c:pt>
                <c:pt idx="131">
                  <c:v>31.946789099204821</c:v>
                </c:pt>
                <c:pt idx="132">
                  <c:v>32.156814431841902</c:v>
                </c:pt>
                <c:pt idx="133">
                  <c:v>32.365495731913285</c:v>
                </c:pt>
                <c:pt idx="134">
                  <c:v>32.572938332637172</c:v>
                </c:pt>
                <c:pt idx="135">
                  <c:v>32.779225690782184</c:v>
                </c:pt>
                <c:pt idx="136">
                  <c:v>32.984406853068855</c:v>
                </c:pt>
                <c:pt idx="137">
                  <c:v>33.188481512975969</c:v>
                </c:pt>
                <c:pt idx="138">
                  <c:v>33.408392062320949</c:v>
                </c:pt>
                <c:pt idx="139">
                  <c:v>33.648375391537868</c:v>
                </c:pt>
                <c:pt idx="140">
                  <c:v>33.914970710913408</c:v>
                </c:pt>
                <c:pt idx="141">
                  <c:v>34.218953776384112</c:v>
                </c:pt>
                <c:pt idx="142">
                  <c:v>34.58099821729482</c:v>
                </c:pt>
                <c:pt idx="143">
                  <c:v>34.925036559868687</c:v>
                </c:pt>
                <c:pt idx="144">
                  <c:v>35.253486860639839</c:v>
                </c:pt>
                <c:pt idx="145">
                  <c:v>35.568260176824182</c:v>
                </c:pt>
                <c:pt idx="146">
                  <c:v>35.870821737896954</c:v>
                </c:pt>
                <c:pt idx="147">
                  <c:v>36.162444570285075</c:v>
                </c:pt>
                <c:pt idx="148">
                  <c:v>36.444273113608865</c:v>
                </c:pt>
                <c:pt idx="149">
                  <c:v>36.717249378534405</c:v>
                </c:pt>
                <c:pt idx="150">
                  <c:v>36.982233162728406</c:v>
                </c:pt>
                <c:pt idx="151">
                  <c:v>37.239945802258895</c:v>
                </c:pt>
                <c:pt idx="152">
                  <c:v>37.490984167610506</c:v>
                </c:pt>
                <c:pt idx="153">
                  <c:v>37.742378377194896</c:v>
                </c:pt>
                <c:pt idx="154">
                  <c:v>37.990958858549696</c:v>
                </c:pt>
                <c:pt idx="155">
                  <c:v>38.236861211409817</c:v>
                </c:pt>
                <c:pt idx="156">
                  <c:v>38.48029215018525</c:v>
                </c:pt>
                <c:pt idx="157">
                  <c:v>38.72130194496804</c:v>
                </c:pt>
                <c:pt idx="158">
                  <c:v>38.959986832493371</c:v>
                </c:pt>
                <c:pt idx="159">
                  <c:v>39.221774664261453</c:v>
                </c:pt>
                <c:pt idx="160">
                  <c:v>39.489940680885709</c:v>
                </c:pt>
                <c:pt idx="161">
                  <c:v>39.76485686372137</c:v>
                </c:pt>
                <c:pt idx="162">
                  <c:v>40.043629326728627</c:v>
                </c:pt>
                <c:pt idx="163">
                  <c:v>40.326467154806942</c:v>
                </c:pt>
                <c:pt idx="164">
                  <c:v>40.610078590012868</c:v>
                </c:pt>
                <c:pt idx="165">
                  <c:v>40.894212030266409</c:v>
                </c:pt>
                <c:pt idx="166">
                  <c:v>41.178710712295384</c:v>
                </c:pt>
                <c:pt idx="167">
                  <c:v>41.463572113309795</c:v>
                </c:pt>
                <c:pt idx="168">
                  <c:v>41.748894641806807</c:v>
                </c:pt>
                <c:pt idx="169">
                  <c:v>42.034641266689363</c:v>
                </c:pt>
                <c:pt idx="170">
                  <c:v>42.320774956860504</c:v>
                </c:pt>
                <c:pt idx="171">
                  <c:v>42.607278458166562</c:v>
                </c:pt>
                <c:pt idx="172">
                  <c:v>42.894149747652826</c:v>
                </c:pt>
                <c:pt idx="173">
                  <c:v>43.181398463873379</c:v>
                </c:pt>
                <c:pt idx="174">
                  <c:v>43.469035768502224</c:v>
                </c:pt>
                <c:pt idx="175">
                  <c:v>43.757087530962558</c:v>
                </c:pt>
                <c:pt idx="176">
                  <c:v>44.045561866688395</c:v>
                </c:pt>
                <c:pt idx="177">
                  <c:v>44.334463345039488</c:v>
                </c:pt>
                <c:pt idx="178">
                  <c:v>44.623806673764769</c:v>
                </c:pt>
                <c:pt idx="179">
                  <c:v>44.913617222451954</c:v>
                </c:pt>
                <c:pt idx="180">
                  <c:v>45.203949776186811</c:v>
                </c:pt>
                <c:pt idx="181">
                  <c:v>45.494863689414146</c:v>
                </c:pt>
                <c:pt idx="182">
                  <c:v>45.786375193003032</c:v>
                </c:pt>
                <c:pt idx="183">
                  <c:v>46.073681516762527</c:v>
                </c:pt>
                <c:pt idx="184">
                  <c:v>46.352422549766104</c:v>
                </c:pt>
                <c:pt idx="185">
                  <c:v>46.623384852868391</c:v>
                </c:pt>
                <c:pt idx="186">
                  <c:v>46.887204202175859</c:v>
                </c:pt>
                <c:pt idx="187">
                  <c:v>47.151534654443182</c:v>
                </c:pt>
                <c:pt idx="188">
                  <c:v>47.412791752293586</c:v>
                </c:pt>
                <c:pt idx="189">
                  <c:v>47.670443345485161</c:v>
                </c:pt>
                <c:pt idx="190">
                  <c:v>47.922640273817535</c:v>
                </c:pt>
                <c:pt idx="191">
                  <c:v>48.168164998609988</c:v>
                </c:pt>
                <c:pt idx="192">
                  <c:v>48.406812641686109</c:v>
                </c:pt>
                <c:pt idx="193">
                  <c:v>48.638709078467656</c:v>
                </c:pt>
                <c:pt idx="194">
                  <c:v>48.864170074262326</c:v>
                </c:pt>
                <c:pt idx="195">
                  <c:v>49.079466193186008</c:v>
                </c:pt>
                <c:pt idx="196">
                  <c:v>49.288877308072955</c:v>
                </c:pt>
                <c:pt idx="197">
                  <c:v>49.492713722981222</c:v>
                </c:pt>
                <c:pt idx="198">
                  <c:v>49.691154753818132</c:v>
                </c:pt>
                <c:pt idx="199">
                  <c:v>49.884235272627876</c:v>
                </c:pt>
                <c:pt idx="200">
                  <c:v>50.071997312959049</c:v>
                </c:pt>
                <c:pt idx="201">
                  <c:v>50.254849351251032</c:v>
                </c:pt>
                <c:pt idx="202">
                  <c:v>50.432846482468001</c:v>
                </c:pt>
                <c:pt idx="203">
                  <c:v>50.605957810142037</c:v>
                </c:pt>
                <c:pt idx="204">
                  <c:v>50.783900085511952</c:v>
                </c:pt>
                <c:pt idx="205">
                  <c:v>50.961116474210392</c:v>
                </c:pt>
                <c:pt idx="206">
                  <c:v>51.139843053222172</c:v>
                </c:pt>
                <c:pt idx="207">
                  <c:v>51.324041437954939</c:v>
                </c:pt>
                <c:pt idx="208">
                  <c:v>51.514056210424428</c:v>
                </c:pt>
                <c:pt idx="209">
                  <c:v>51.710356691292958</c:v>
                </c:pt>
                <c:pt idx="210">
                  <c:v>51.990356691292959</c:v>
                </c:pt>
                <c:pt idx="211">
                  <c:v>52.27035669129296</c:v>
                </c:pt>
                <c:pt idx="212">
                  <c:v>52.554490131546501</c:v>
                </c:pt>
                <c:pt idx="213">
                  <c:v>52.838988813575476</c:v>
                </c:pt>
                <c:pt idx="214">
                  <c:v>53.123850214589886</c:v>
                </c:pt>
                <c:pt idx="215">
                  <c:v>53.409172743086899</c:v>
                </c:pt>
                <c:pt idx="216">
                  <c:v>53.694919367969455</c:v>
                </c:pt>
                <c:pt idx="217">
                  <c:v>53.981053058140596</c:v>
                </c:pt>
                <c:pt idx="218">
                  <c:v>54.267556559446653</c:v>
                </c:pt>
                <c:pt idx="219">
                  <c:v>54.554427848932917</c:v>
                </c:pt>
                <c:pt idx="220">
                  <c:v>54.834427848932918</c:v>
                </c:pt>
                <c:pt idx="221">
                  <c:v>55.118561289186459</c:v>
                </c:pt>
                <c:pt idx="222">
                  <c:v>55.403059971215434</c:v>
                </c:pt>
                <c:pt idx="223">
                  <c:v>55.687921372229845</c:v>
                </c:pt>
                <c:pt idx="224">
                  <c:v>55.973243900726857</c:v>
                </c:pt>
                <c:pt idx="225">
                  <c:v>56.258990525609413</c:v>
                </c:pt>
                <c:pt idx="226">
                  <c:v>56.545124215780554</c:v>
                </c:pt>
                <c:pt idx="227">
                  <c:v>56.831627717086612</c:v>
                </c:pt>
                <c:pt idx="228">
                  <c:v>57.118499006572875</c:v>
                </c:pt>
                <c:pt idx="229">
                  <c:v>57.405747722793429</c:v>
                </c:pt>
                <c:pt idx="230">
                  <c:v>57.693385027422273</c:v>
                </c:pt>
                <c:pt idx="231">
                  <c:v>57.981436789882608</c:v>
                </c:pt>
                <c:pt idx="232">
                  <c:v>58.269911125608445</c:v>
                </c:pt>
                <c:pt idx="233">
                  <c:v>58.558812603959538</c:v>
                </c:pt>
                <c:pt idx="234">
                  <c:v>58.848155932684818</c:v>
                </c:pt>
                <c:pt idx="235">
                  <c:v>59.137966481372004</c:v>
                </c:pt>
                <c:pt idx="236">
                  <c:v>59.428299035106861</c:v>
                </c:pt>
                <c:pt idx="237">
                  <c:v>59.719212948334196</c:v>
                </c:pt>
                <c:pt idx="238">
                  <c:v>60.010724451923082</c:v>
                </c:pt>
                <c:pt idx="239">
                  <c:v>60.298030775682577</c:v>
                </c:pt>
                <c:pt idx="240">
                  <c:v>60.576771808686154</c:v>
                </c:pt>
                <c:pt idx="241">
                  <c:v>60.847734111788441</c:v>
                </c:pt>
                <c:pt idx="242">
                  <c:v>61.111553461095909</c:v>
                </c:pt>
                <c:pt idx="243">
                  <c:v>61.375883913363232</c:v>
                </c:pt>
                <c:pt idx="244">
                  <c:v>61.637141011213636</c:v>
                </c:pt>
                <c:pt idx="245">
                  <c:v>61.894792604405211</c:v>
                </c:pt>
                <c:pt idx="246">
                  <c:v>62.146989532737585</c:v>
                </c:pt>
                <c:pt idx="247">
                  <c:v>62.392514257530038</c:v>
                </c:pt>
                <c:pt idx="248">
                  <c:v>62.631161900606159</c:v>
                </c:pt>
                <c:pt idx="249">
                  <c:v>62.863058337387706</c:v>
                </c:pt>
                <c:pt idx="250">
                  <c:v>63.088519333182376</c:v>
                </c:pt>
                <c:pt idx="251">
                  <c:v>63.303815452106058</c:v>
                </c:pt>
                <c:pt idx="252">
                  <c:v>63.513226566993005</c:v>
                </c:pt>
                <c:pt idx="253">
                  <c:v>63.717062981901272</c:v>
                </c:pt>
                <c:pt idx="254">
                  <c:v>63.915504012738182</c:v>
                </c:pt>
                <c:pt idx="255">
                  <c:v>64.108584531547933</c:v>
                </c:pt>
                <c:pt idx="256">
                  <c:v>64.296346571879113</c:v>
                </c:pt>
                <c:pt idx="257">
                  <c:v>64.479198610171096</c:v>
                </c:pt>
                <c:pt idx="258">
                  <c:v>64.657195741388065</c:v>
                </c:pt>
                <c:pt idx="259">
                  <c:v>64.830307069062101</c:v>
                </c:pt>
                <c:pt idx="260">
                  <c:v>64.998360048545138</c:v>
                </c:pt>
                <c:pt idx="261">
                  <c:v>65.161430698817469</c:v>
                </c:pt>
                <c:pt idx="262">
                  <c:v>65.320058852168501</c:v>
                </c:pt>
                <c:pt idx="263">
                  <c:v>65.474389461113404</c:v>
                </c:pt>
                <c:pt idx="264">
                  <c:v>65.624295689799055</c:v>
                </c:pt>
                <c:pt idx="265">
                  <c:v>65.769698437528731</c:v>
                </c:pt>
                <c:pt idx="266">
                  <c:v>69.546388903024848</c:v>
                </c:pt>
                <c:pt idx="267">
                  <c:v>72.784530783092507</c:v>
                </c:pt>
                <c:pt idx="268">
                  <c:v>72.881431570798057</c:v>
                </c:pt>
                <c:pt idx="269">
                  <c:v>73.004702771439298</c:v>
                </c:pt>
                <c:pt idx="270">
                  <c:v>73.134574147511202</c:v>
                </c:pt>
                <c:pt idx="271">
                  <c:v>73.288844527917917</c:v>
                </c:pt>
                <c:pt idx="272">
                  <c:v>73.454944256399585</c:v>
                </c:pt>
                <c:pt idx="273">
                  <c:v>73.734944256399586</c:v>
                </c:pt>
                <c:pt idx="274">
                  <c:v>73.996978429077856</c:v>
                </c:pt>
                <c:pt idx="275">
                  <c:v>74.281477111106824</c:v>
                </c:pt>
                <c:pt idx="276">
                  <c:v>74.566338512121234</c:v>
                </c:pt>
                <c:pt idx="277">
                  <c:v>74.851661040618254</c:v>
                </c:pt>
                <c:pt idx="278">
                  <c:v>75.137407665500803</c:v>
                </c:pt>
                <c:pt idx="279">
                  <c:v>75.423541355671944</c:v>
                </c:pt>
                <c:pt idx="280">
                  <c:v>75.710044856978001</c:v>
                </c:pt>
                <c:pt idx="281">
                  <c:v>75.996916146464258</c:v>
                </c:pt>
                <c:pt idx="282">
                  <c:v>76.284164862684804</c:v>
                </c:pt>
                <c:pt idx="283">
                  <c:v>76.571802167313649</c:v>
                </c:pt>
                <c:pt idx="284">
                  <c:v>76.859853929773976</c:v>
                </c:pt>
                <c:pt idx="285">
                  <c:v>77.148328265499813</c:v>
                </c:pt>
                <c:pt idx="286">
                  <c:v>77.437229743850907</c:v>
                </c:pt>
                <c:pt idx="287">
                  <c:v>77.726573072576187</c:v>
                </c:pt>
                <c:pt idx="288">
                  <c:v>78.016383621263373</c:v>
                </c:pt>
                <c:pt idx="289">
                  <c:v>78.306716174998229</c:v>
                </c:pt>
                <c:pt idx="290">
                  <c:v>78.597630088225557</c:v>
                </c:pt>
                <c:pt idx="291">
                  <c:v>78.88914159181445</c:v>
                </c:pt>
                <c:pt idx="292">
                  <c:v>79.176447915573945</c:v>
                </c:pt>
                <c:pt idx="293">
                  <c:v>79.455188948577529</c:v>
                </c:pt>
                <c:pt idx="294">
                  <c:v>79.726151251679809</c:v>
                </c:pt>
                <c:pt idx="295">
                  <c:v>79.989970600987277</c:v>
                </c:pt>
                <c:pt idx="296">
                  <c:v>80.254301053254594</c:v>
                </c:pt>
                <c:pt idx="297">
                  <c:v>80.515558151104997</c:v>
                </c:pt>
                <c:pt idx="298">
                  <c:v>80.773209744296565</c:v>
                </c:pt>
                <c:pt idx="299">
                  <c:v>81.025406672628947</c:v>
                </c:pt>
                <c:pt idx="300">
                  <c:v>81.270931397421407</c:v>
                </c:pt>
                <c:pt idx="301">
                  <c:v>81.509579040497528</c:v>
                </c:pt>
                <c:pt idx="302">
                  <c:v>81.741475477279067</c:v>
                </c:pt>
                <c:pt idx="303">
                  <c:v>81.96693647307373</c:v>
                </c:pt>
                <c:pt idx="304">
                  <c:v>82.182232591997419</c:v>
                </c:pt>
                <c:pt idx="305">
                  <c:v>82.391643706884366</c:v>
                </c:pt>
                <c:pt idx="306">
                  <c:v>82.595480121792633</c:v>
                </c:pt>
                <c:pt idx="307">
                  <c:v>82.793921152629537</c:v>
                </c:pt>
                <c:pt idx="308">
                  <c:v>82.987001671439288</c:v>
                </c:pt>
                <c:pt idx="309">
                  <c:v>83.174763711770467</c:v>
                </c:pt>
                <c:pt idx="310">
                  <c:v>83.35761575006245</c:v>
                </c:pt>
                <c:pt idx="311">
                  <c:v>83.53561288127942</c:v>
                </c:pt>
                <c:pt idx="312">
                  <c:v>83.708724208953456</c:v>
                </c:pt>
                <c:pt idx="313">
                  <c:v>83.876777188436492</c:v>
                </c:pt>
                <c:pt idx="314">
                  <c:v>84.039847838708823</c:v>
                </c:pt>
                <c:pt idx="315">
                  <c:v>84.198475992059855</c:v>
                </c:pt>
                <c:pt idx="316">
                  <c:v>84.352806601004758</c:v>
                </c:pt>
                <c:pt idx="317">
                  <c:v>84.504145800316749</c:v>
                </c:pt>
                <c:pt idx="318">
                  <c:v>84.655832535533335</c:v>
                </c:pt>
                <c:pt idx="319">
                  <c:v>89.632177619481155</c:v>
                </c:pt>
                <c:pt idx="320">
                  <c:v>110.47239193857871</c:v>
                </c:pt>
                <c:pt idx="321">
                  <c:v>110.61353595113357</c:v>
                </c:pt>
                <c:pt idx="322">
                  <c:v>110.75625104802587</c:v>
                </c:pt>
                <c:pt idx="323">
                  <c:v>110.90056462179834</c:v>
                </c:pt>
                <c:pt idx="324">
                  <c:v>111.05056462179834</c:v>
                </c:pt>
                <c:pt idx="325">
                  <c:v>111.1978631011384</c:v>
                </c:pt>
                <c:pt idx="326">
                  <c:v>111.38239310113839</c:v>
                </c:pt>
                <c:pt idx="327">
                  <c:v>111.66652654139193</c:v>
                </c:pt>
                <c:pt idx="328">
                  <c:v>111.9510252234209</c:v>
                </c:pt>
                <c:pt idx="329">
                  <c:v>112.23588662443531</c:v>
                </c:pt>
                <c:pt idx="330">
                  <c:v>112.52120915293233</c:v>
                </c:pt>
                <c:pt idx="331">
                  <c:v>112.80695577781488</c:v>
                </c:pt>
                <c:pt idx="332">
                  <c:v>113.09308946798602</c:v>
                </c:pt>
                <c:pt idx="333">
                  <c:v>113.37959296929208</c:v>
                </c:pt>
                <c:pt idx="334">
                  <c:v>113.66646425877833</c:v>
                </c:pt>
                <c:pt idx="335">
                  <c:v>113.95371297499888</c:v>
                </c:pt>
                <c:pt idx="336">
                  <c:v>114.24135027962772</c:v>
                </c:pt>
                <c:pt idx="337">
                  <c:v>114.52940204208805</c:v>
                </c:pt>
                <c:pt idx="338">
                  <c:v>114.81787637781389</c:v>
                </c:pt>
                <c:pt idx="339">
                  <c:v>115.10677785616498</c:v>
                </c:pt>
                <c:pt idx="340">
                  <c:v>115.39612118489026</c:v>
                </c:pt>
                <c:pt idx="341">
                  <c:v>115.68593173357745</c:v>
                </c:pt>
                <c:pt idx="342">
                  <c:v>115.9762642873123</c:v>
                </c:pt>
                <c:pt idx="343">
                  <c:v>116.26717820053963</c:v>
                </c:pt>
                <c:pt idx="344">
                  <c:v>116.55868970412853</c:v>
                </c:pt>
                <c:pt idx="345">
                  <c:v>116.84599602788802</c:v>
                </c:pt>
                <c:pt idx="346">
                  <c:v>117.1247370608916</c:v>
                </c:pt>
                <c:pt idx="347">
                  <c:v>117.39569936399388</c:v>
                </c:pt>
                <c:pt idx="348">
                  <c:v>117.65951871330135</c:v>
                </c:pt>
                <c:pt idx="349">
                  <c:v>117.92384916556867</c:v>
                </c:pt>
                <c:pt idx="350">
                  <c:v>118.18510626341907</c:v>
                </c:pt>
                <c:pt idx="351">
                  <c:v>118.44275785661064</c:v>
                </c:pt>
                <c:pt idx="352">
                  <c:v>118.69495478494302</c:v>
                </c:pt>
                <c:pt idx="353">
                  <c:v>118.94047950973548</c:v>
                </c:pt>
                <c:pt idx="354">
                  <c:v>119.1791271528116</c:v>
                </c:pt>
                <c:pt idx="355">
                  <c:v>119.41102358959314</c:v>
                </c:pt>
                <c:pt idx="356">
                  <c:v>119.63648458538781</c:v>
                </c:pt>
                <c:pt idx="357">
                  <c:v>119.85178070431149</c:v>
                </c:pt>
                <c:pt idx="358">
                  <c:v>120.06119181919844</c:v>
                </c:pt>
                <c:pt idx="359">
                  <c:v>120.26502823410671</c:v>
                </c:pt>
                <c:pt idx="360">
                  <c:v>120.46346926494361</c:v>
                </c:pt>
                <c:pt idx="361">
                  <c:v>120.65654978375336</c:v>
                </c:pt>
                <c:pt idx="362">
                  <c:v>120.84431182408454</c:v>
                </c:pt>
                <c:pt idx="363">
                  <c:v>121.02716386237653</c:v>
                </c:pt>
                <c:pt idx="364">
                  <c:v>121.20516099359349</c:v>
                </c:pt>
                <c:pt idx="365">
                  <c:v>121.37827232126753</c:v>
                </c:pt>
                <c:pt idx="366">
                  <c:v>121.54632530075057</c:v>
                </c:pt>
                <c:pt idx="367">
                  <c:v>121.7093959510229</c:v>
                </c:pt>
                <c:pt idx="368">
                  <c:v>121.86802410437393</c:v>
                </c:pt>
                <c:pt idx="369">
                  <c:v>122.02235471331883</c:v>
                </c:pt>
                <c:pt idx="370">
                  <c:v>122.17226094200448</c:v>
                </c:pt>
                <c:pt idx="371">
                  <c:v>122.31766368973416</c:v>
                </c:pt>
                <c:pt idx="372">
                  <c:v>121.88017991798355</c:v>
                </c:pt>
                <c:pt idx="373">
                  <c:v>122.03224776737423</c:v>
                </c:pt>
                <c:pt idx="374">
                  <c:v>122.18538858266099</c:v>
                </c:pt>
                <c:pt idx="375">
                  <c:v>122.34192030210112</c:v>
                </c:pt>
                <c:pt idx="376">
                  <c:v>122.50570242113908</c:v>
                </c:pt>
                <c:pt idx="377">
                  <c:v>122.67232803531887</c:v>
                </c:pt>
                <c:pt idx="378">
                  <c:v>122.84397397121103</c:v>
                </c:pt>
                <c:pt idx="379">
                  <c:v>123.02512187218032</c:v>
                </c:pt>
                <c:pt idx="380">
                  <c:v>123.2165743239746</c:v>
                </c:pt>
                <c:pt idx="381">
                  <c:v>123.41578202563397</c:v>
                </c:pt>
                <c:pt idx="382">
                  <c:v>123.61981100376462</c:v>
                </c:pt>
                <c:pt idx="383">
                  <c:v>123.77981100376462</c:v>
                </c:pt>
                <c:pt idx="384">
                  <c:v>124.01981100376462</c:v>
                </c:pt>
                <c:pt idx="385">
                  <c:v>124.30394444401816</c:v>
                </c:pt>
                <c:pt idx="386">
                  <c:v>124.58844312604712</c:v>
                </c:pt>
                <c:pt idx="387">
                  <c:v>124.87330452706153</c:v>
                </c:pt>
                <c:pt idx="388">
                  <c:v>125.15862705555855</c:v>
                </c:pt>
                <c:pt idx="389">
                  <c:v>125.4443736804411</c:v>
                </c:pt>
                <c:pt idx="390">
                  <c:v>125.73050737061224</c:v>
                </c:pt>
                <c:pt idx="391">
                  <c:v>126.0170108719183</c:v>
                </c:pt>
                <c:pt idx="392">
                  <c:v>126.30388216140456</c:v>
                </c:pt>
                <c:pt idx="393">
                  <c:v>126.5911308776251</c:v>
                </c:pt>
                <c:pt idx="394">
                  <c:v>126.87876818225395</c:v>
                </c:pt>
                <c:pt idx="395">
                  <c:v>127.16681994471428</c:v>
                </c:pt>
                <c:pt idx="396">
                  <c:v>127.45529428044011</c:v>
                </c:pt>
                <c:pt idx="397">
                  <c:v>127.74419575879121</c:v>
                </c:pt>
                <c:pt idx="398">
                  <c:v>128.03353908751649</c:v>
                </c:pt>
                <c:pt idx="399">
                  <c:v>128.32334963620369</c:v>
                </c:pt>
                <c:pt idx="400">
                  <c:v>128.61368218993854</c:v>
                </c:pt>
                <c:pt idx="401">
                  <c:v>128.90459610316589</c:v>
                </c:pt>
                <c:pt idx="402">
                  <c:v>129.19610760675477</c:v>
                </c:pt>
                <c:pt idx="403">
                  <c:v>129.48341393051427</c:v>
                </c:pt>
                <c:pt idx="404">
                  <c:v>129.76215496351784</c:v>
                </c:pt>
                <c:pt idx="405">
                  <c:v>130.03311726662014</c:v>
                </c:pt>
                <c:pt idx="406">
                  <c:v>130.29693661592759</c:v>
                </c:pt>
                <c:pt idx="407">
                  <c:v>130.56126706819492</c:v>
                </c:pt>
                <c:pt idx="408">
                  <c:v>130.82252416604533</c:v>
                </c:pt>
                <c:pt idx="409">
                  <c:v>131.08017575923691</c:v>
                </c:pt>
                <c:pt idx="410">
                  <c:v>131.33237268756929</c:v>
                </c:pt>
                <c:pt idx="411">
                  <c:v>131.57789741236175</c:v>
                </c:pt>
                <c:pt idx="412">
                  <c:v>131.81654505543787</c:v>
                </c:pt>
                <c:pt idx="413">
                  <c:v>132.04844149221941</c:v>
                </c:pt>
                <c:pt idx="414">
                  <c:v>132.27390248801407</c:v>
                </c:pt>
                <c:pt idx="415">
                  <c:v>132.48919860693775</c:v>
                </c:pt>
                <c:pt idx="416">
                  <c:v>132.69860972182468</c:v>
                </c:pt>
                <c:pt idx="417">
                  <c:v>132.90244613673295</c:v>
                </c:pt>
                <c:pt idx="418">
                  <c:v>133.10088716756985</c:v>
                </c:pt>
                <c:pt idx="419">
                  <c:v>133.2939676863796</c:v>
                </c:pt>
                <c:pt idx="420">
                  <c:v>133.48172972671077</c:v>
                </c:pt>
                <c:pt idx="421">
                  <c:v>133.66458176500277</c:v>
                </c:pt>
                <c:pt idx="422">
                  <c:v>133.84257889621975</c:v>
                </c:pt>
                <c:pt idx="423">
                  <c:v>134.01569022389378</c:v>
                </c:pt>
                <c:pt idx="424">
                  <c:v>134.18374320337682</c:v>
                </c:pt>
                <c:pt idx="425">
                  <c:v>134.34681385364914</c:v>
                </c:pt>
                <c:pt idx="426">
                  <c:v>134.50544200700017</c:v>
                </c:pt>
                <c:pt idx="427">
                  <c:v>134.65977261594509</c:v>
                </c:pt>
                <c:pt idx="428">
                  <c:v>134.81523924796559</c:v>
                </c:pt>
                <c:pt idx="429">
                  <c:v>134.96973499679731</c:v>
                </c:pt>
                <c:pt idx="430">
                  <c:v>143.90360562232001</c:v>
                </c:pt>
                <c:pt idx="431">
                  <c:v>144.06734959224778</c:v>
                </c:pt>
                <c:pt idx="432">
                  <c:v>144.23962577145826</c:v>
                </c:pt>
                <c:pt idx="433">
                  <c:v>144.42536928854011</c:v>
                </c:pt>
                <c:pt idx="434">
                  <c:v>144.6706692885401</c:v>
                </c:pt>
                <c:pt idx="435">
                  <c:v>144.85966928854009</c:v>
                </c:pt>
                <c:pt idx="436">
                  <c:v>145.14380272879362</c:v>
                </c:pt>
                <c:pt idx="437">
                  <c:v>145.4283014108226</c:v>
                </c:pt>
                <c:pt idx="438">
                  <c:v>145.71316281183701</c:v>
                </c:pt>
                <c:pt idx="439">
                  <c:v>145.99848534033401</c:v>
                </c:pt>
                <c:pt idx="440">
                  <c:v>146.28423196521658</c:v>
                </c:pt>
                <c:pt idx="441">
                  <c:v>146.57036565538772</c:v>
                </c:pt>
                <c:pt idx="442">
                  <c:v>146.85686915669379</c:v>
                </c:pt>
                <c:pt idx="443">
                  <c:v>147.14374044618006</c:v>
                </c:pt>
                <c:pt idx="444">
                  <c:v>147.43098916240061</c:v>
                </c:pt>
                <c:pt idx="445">
                  <c:v>147.71862646702945</c:v>
                </c:pt>
                <c:pt idx="446">
                  <c:v>148.00667822948978</c:v>
                </c:pt>
                <c:pt idx="447">
                  <c:v>148.2951525652156</c:v>
                </c:pt>
                <c:pt idx="448">
                  <c:v>148.58405404356671</c:v>
                </c:pt>
                <c:pt idx="449">
                  <c:v>148.873397372292</c:v>
                </c:pt>
                <c:pt idx="450">
                  <c:v>149.1632079209792</c:v>
                </c:pt>
                <c:pt idx="451">
                  <c:v>149.45354047471406</c:v>
                </c:pt>
                <c:pt idx="452">
                  <c:v>149.7444543879414</c:v>
                </c:pt>
                <c:pt idx="453">
                  <c:v>150.03596589153028</c:v>
                </c:pt>
                <c:pt idx="454">
                  <c:v>150.32327221528979</c:v>
                </c:pt>
                <c:pt idx="455">
                  <c:v>150.60201324829336</c:v>
                </c:pt>
                <c:pt idx="456">
                  <c:v>150.87297555139565</c:v>
                </c:pt>
                <c:pt idx="457">
                  <c:v>151.13679490070311</c:v>
                </c:pt>
                <c:pt idx="458">
                  <c:v>151.40112535297044</c:v>
                </c:pt>
                <c:pt idx="459">
                  <c:v>151.66238245082084</c:v>
                </c:pt>
                <c:pt idx="460">
                  <c:v>151.92003404401243</c:v>
                </c:pt>
                <c:pt idx="461">
                  <c:v>152.17223097234481</c:v>
                </c:pt>
                <c:pt idx="462">
                  <c:v>152.41775569713727</c:v>
                </c:pt>
                <c:pt idx="463">
                  <c:v>152.65640334021339</c:v>
                </c:pt>
                <c:pt idx="464">
                  <c:v>152.88829977699493</c:v>
                </c:pt>
                <c:pt idx="465">
                  <c:v>153.11376077278959</c:v>
                </c:pt>
                <c:pt idx="466">
                  <c:v>153.32905689171326</c:v>
                </c:pt>
                <c:pt idx="467">
                  <c:v>153.5384680066002</c:v>
                </c:pt>
                <c:pt idx="468">
                  <c:v>153.74230442150846</c:v>
                </c:pt>
                <c:pt idx="469">
                  <c:v>153.94074545234537</c:v>
                </c:pt>
                <c:pt idx="470">
                  <c:v>154.13382597115512</c:v>
                </c:pt>
                <c:pt idx="471">
                  <c:v>154.32158801148628</c:v>
                </c:pt>
                <c:pt idx="472">
                  <c:v>154.50444004977828</c:v>
                </c:pt>
                <c:pt idx="473">
                  <c:v>154.68243718099527</c:v>
                </c:pt>
                <c:pt idx="474">
                  <c:v>154.8555485086693</c:v>
                </c:pt>
                <c:pt idx="475">
                  <c:v>155.02360148815234</c:v>
                </c:pt>
                <c:pt idx="476">
                  <c:v>155.18667213842465</c:v>
                </c:pt>
                <c:pt idx="477">
                  <c:v>155.34530029177569</c:v>
                </c:pt>
                <c:pt idx="478">
                  <c:v>155.4996309007206</c:v>
                </c:pt>
                <c:pt idx="479">
                  <c:v>155.64953712940624</c:v>
                </c:pt>
                <c:pt idx="480">
                  <c:v>155.7949398771359</c:v>
                </c:pt>
                <c:pt idx="481">
                  <c:v>171.92592524853075</c:v>
                </c:pt>
                <c:pt idx="482">
                  <c:v>172.08570400010959</c:v>
                </c:pt>
                <c:pt idx="483">
                  <c:v>172.24853557684645</c:v>
                </c:pt>
                <c:pt idx="484">
                  <c:v>172.41617427931803</c:v>
                </c:pt>
                <c:pt idx="485">
                  <c:v>172.58895780836102</c:v>
                </c:pt>
                <c:pt idx="486">
                  <c:v>172.77538347633563</c:v>
                </c:pt>
                <c:pt idx="487">
                  <c:v>172.9669976707913</c:v>
                </c:pt>
                <c:pt idx="488">
                  <c:v>173.14699767079131</c:v>
                </c:pt>
                <c:pt idx="489">
                  <c:v>173.38699767079132</c:v>
                </c:pt>
                <c:pt idx="490">
                  <c:v>173.67113111104484</c:v>
                </c:pt>
                <c:pt idx="491">
                  <c:v>173.95562979307383</c:v>
                </c:pt>
                <c:pt idx="492">
                  <c:v>174.24049119408824</c:v>
                </c:pt>
                <c:pt idx="493">
                  <c:v>174.52581372258524</c:v>
                </c:pt>
                <c:pt idx="494">
                  <c:v>174.8115603474678</c:v>
                </c:pt>
                <c:pt idx="495">
                  <c:v>175.09769403763895</c:v>
                </c:pt>
                <c:pt idx="496">
                  <c:v>175.38419753894502</c:v>
                </c:pt>
                <c:pt idx="497">
                  <c:v>175.67106882843129</c:v>
                </c:pt>
                <c:pt idx="498">
                  <c:v>175.95831754465183</c:v>
                </c:pt>
                <c:pt idx="499">
                  <c:v>176.24595484928068</c:v>
                </c:pt>
                <c:pt idx="500">
                  <c:v>176.53400661174101</c:v>
                </c:pt>
                <c:pt idx="501">
                  <c:v>176.82248094746683</c:v>
                </c:pt>
                <c:pt idx="502">
                  <c:v>177.11138242581794</c:v>
                </c:pt>
                <c:pt idx="503">
                  <c:v>177.40072575454323</c:v>
                </c:pt>
                <c:pt idx="504">
                  <c:v>177.69053630323043</c:v>
                </c:pt>
                <c:pt idx="505">
                  <c:v>177.98086885696529</c:v>
                </c:pt>
                <c:pt idx="506">
                  <c:v>178.27178277019263</c:v>
                </c:pt>
                <c:pt idx="507">
                  <c:v>178.56329427378151</c:v>
                </c:pt>
                <c:pt idx="508">
                  <c:v>178.85060059754102</c:v>
                </c:pt>
                <c:pt idx="509">
                  <c:v>179.12934163054459</c:v>
                </c:pt>
                <c:pt idx="510">
                  <c:v>179.40030393364688</c:v>
                </c:pt>
                <c:pt idx="511">
                  <c:v>179.66412328295434</c:v>
                </c:pt>
                <c:pt idx="512">
                  <c:v>179.92845373522167</c:v>
                </c:pt>
                <c:pt idx="513">
                  <c:v>180.18971083307207</c:v>
                </c:pt>
                <c:pt idx="514">
                  <c:v>180.44736242626365</c:v>
                </c:pt>
                <c:pt idx="515">
                  <c:v>180.69955935459603</c:v>
                </c:pt>
                <c:pt idx="516">
                  <c:v>180.94508407938849</c:v>
                </c:pt>
                <c:pt idx="517">
                  <c:v>181.18373172246461</c:v>
                </c:pt>
                <c:pt idx="518">
                  <c:v>181.41562815924615</c:v>
                </c:pt>
                <c:pt idx="519">
                  <c:v>181.64108915504082</c:v>
                </c:pt>
                <c:pt idx="520">
                  <c:v>181.85638527396449</c:v>
                </c:pt>
                <c:pt idx="521">
                  <c:v>182.06579638885142</c:v>
                </c:pt>
                <c:pt idx="522">
                  <c:v>182.26963280375969</c:v>
                </c:pt>
                <c:pt idx="523">
                  <c:v>182.46807383459659</c:v>
                </c:pt>
                <c:pt idx="524">
                  <c:v>182.66115435340635</c:v>
                </c:pt>
                <c:pt idx="525">
                  <c:v>182.84891639373751</c:v>
                </c:pt>
                <c:pt idx="526">
                  <c:v>183.03176843202951</c:v>
                </c:pt>
                <c:pt idx="527">
                  <c:v>183.20976556324649</c:v>
                </c:pt>
                <c:pt idx="528">
                  <c:v>183.38287689092053</c:v>
                </c:pt>
                <c:pt idx="529">
                  <c:v>183.55092987040356</c:v>
                </c:pt>
                <c:pt idx="530">
                  <c:v>183.71400052067588</c:v>
                </c:pt>
                <c:pt idx="531">
                  <c:v>183.87262867402691</c:v>
                </c:pt>
              </c:numCache>
            </c:numRef>
          </c:xVal>
          <c:yVal>
            <c:numRef>
              <c:f>Data!$AK$2:$AK$533</c:f>
              <c:numCache>
                <c:formatCode>General</c:formatCode>
                <c:ptCount val="532"/>
                <c:pt idx="0">
                  <c:v>86.131799999999998</c:v>
                </c:pt>
                <c:pt idx="1">
                  <c:v>86.131799999999998</c:v>
                </c:pt>
                <c:pt idx="2">
                  <c:v>86.131799999999998</c:v>
                </c:pt>
                <c:pt idx="3">
                  <c:v>86.131799999999998</c:v>
                </c:pt>
                <c:pt idx="4">
                  <c:v>86.131799999999998</c:v>
                </c:pt>
                <c:pt idx="5">
                  <c:v>86.131799999999998</c:v>
                </c:pt>
                <c:pt idx="6">
                  <c:v>86.131799999999998</c:v>
                </c:pt>
                <c:pt idx="7">
                  <c:v>86.131799999999998</c:v>
                </c:pt>
                <c:pt idx="8">
                  <c:v>86.131799999999998</c:v>
                </c:pt>
                <c:pt idx="9">
                  <c:v>86.131799999999998</c:v>
                </c:pt>
                <c:pt idx="10">
                  <c:v>86.131799999999998</c:v>
                </c:pt>
                <c:pt idx="11">
                  <c:v>86.131799999999998</c:v>
                </c:pt>
                <c:pt idx="12">
                  <c:v>86.131799999999998</c:v>
                </c:pt>
                <c:pt idx="13">
                  <c:v>86.131799999999998</c:v>
                </c:pt>
                <c:pt idx="14">
                  <c:v>86.131799999999998</c:v>
                </c:pt>
                <c:pt idx="15">
                  <c:v>86.131799999999998</c:v>
                </c:pt>
                <c:pt idx="16">
                  <c:v>86.131799999999998</c:v>
                </c:pt>
                <c:pt idx="17">
                  <c:v>86.131799999999998</c:v>
                </c:pt>
                <c:pt idx="18">
                  <c:v>86.131799999999998</c:v>
                </c:pt>
                <c:pt idx="19">
                  <c:v>86.131799999999998</c:v>
                </c:pt>
                <c:pt idx="20">
                  <c:v>86.131799999999998</c:v>
                </c:pt>
                <c:pt idx="21">
                  <c:v>86.131799999999998</c:v>
                </c:pt>
                <c:pt idx="22">
                  <c:v>86.131799999999998</c:v>
                </c:pt>
                <c:pt idx="23">
                  <c:v>86.131799999999998</c:v>
                </c:pt>
                <c:pt idx="24">
                  <c:v>86.131799999999998</c:v>
                </c:pt>
                <c:pt idx="25">
                  <c:v>86.131799999999998</c:v>
                </c:pt>
                <c:pt idx="26">
                  <c:v>86.131799999999998</c:v>
                </c:pt>
                <c:pt idx="27">
                  <c:v>86.131799999999998</c:v>
                </c:pt>
                <c:pt idx="28">
                  <c:v>86.131799999999998</c:v>
                </c:pt>
                <c:pt idx="29">
                  <c:v>86.131799999999998</c:v>
                </c:pt>
                <c:pt idx="30">
                  <c:v>86.131799999999998</c:v>
                </c:pt>
                <c:pt idx="31">
                  <c:v>86.131799999999998</c:v>
                </c:pt>
                <c:pt idx="32">
                  <c:v>86.131799999999998</c:v>
                </c:pt>
                <c:pt idx="33">
                  <c:v>86.131799999999998</c:v>
                </c:pt>
                <c:pt idx="34">
                  <c:v>86.131799999999998</c:v>
                </c:pt>
                <c:pt idx="35">
                  <c:v>86.131799999999998</c:v>
                </c:pt>
                <c:pt idx="36">
                  <c:v>86.131799999999998</c:v>
                </c:pt>
                <c:pt idx="37">
                  <c:v>86.131799999999998</c:v>
                </c:pt>
                <c:pt idx="38">
                  <c:v>86.131799999999998</c:v>
                </c:pt>
                <c:pt idx="39">
                  <c:v>86.131799999999998</c:v>
                </c:pt>
                <c:pt idx="40">
                  <c:v>86.131799999999998</c:v>
                </c:pt>
                <c:pt idx="41">
                  <c:v>86.131799999999998</c:v>
                </c:pt>
                <c:pt idx="42">
                  <c:v>86.131799999999998</c:v>
                </c:pt>
                <c:pt idx="43">
                  <c:v>86.131799999999998</c:v>
                </c:pt>
                <c:pt idx="44">
                  <c:v>86.131799999999998</c:v>
                </c:pt>
                <c:pt idx="45">
                  <c:v>86.131799999999998</c:v>
                </c:pt>
                <c:pt idx="46">
                  <c:v>86.131799999999998</c:v>
                </c:pt>
                <c:pt idx="47">
                  <c:v>86.131799999999998</c:v>
                </c:pt>
                <c:pt idx="48">
                  <c:v>86.131799999999998</c:v>
                </c:pt>
                <c:pt idx="49">
                  <c:v>86.131799999999998</c:v>
                </c:pt>
                <c:pt idx="50">
                  <c:v>86.131799999999998</c:v>
                </c:pt>
                <c:pt idx="51">
                  <c:v>86.131799999999998</c:v>
                </c:pt>
                <c:pt idx="52">
                  <c:v>86.131799999999998</c:v>
                </c:pt>
                <c:pt idx="53">
                  <c:v>86.131799999999998</c:v>
                </c:pt>
                <c:pt idx="54">
                  <c:v>86.131799999999998</c:v>
                </c:pt>
                <c:pt idx="55">
                  <c:v>86.131799999999998</c:v>
                </c:pt>
                <c:pt idx="56">
                  <c:v>86.131799999999998</c:v>
                </c:pt>
                <c:pt idx="57">
                  <c:v>86.131799999999998</c:v>
                </c:pt>
                <c:pt idx="58">
                  <c:v>86.131799999999998</c:v>
                </c:pt>
                <c:pt idx="59">
                  <c:v>86.131799999999998</c:v>
                </c:pt>
                <c:pt idx="60">
                  <c:v>86.131799999999998</c:v>
                </c:pt>
                <c:pt idx="61">
                  <c:v>86.131799999999998</c:v>
                </c:pt>
                <c:pt idx="62">
                  <c:v>86.131799999999998</c:v>
                </c:pt>
                <c:pt idx="63">
                  <c:v>86.131799999999998</c:v>
                </c:pt>
                <c:pt idx="64">
                  <c:v>86.131799999999998</c:v>
                </c:pt>
                <c:pt idx="65">
                  <c:v>86.131799999999998</c:v>
                </c:pt>
                <c:pt idx="66">
                  <c:v>86.131799999999998</c:v>
                </c:pt>
                <c:pt idx="67">
                  <c:v>86.131799999999998</c:v>
                </c:pt>
                <c:pt idx="68">
                  <c:v>86.131799999999998</c:v>
                </c:pt>
                <c:pt idx="69">
                  <c:v>86.131799999999998</c:v>
                </c:pt>
                <c:pt idx="70">
                  <c:v>86.131799999999998</c:v>
                </c:pt>
                <c:pt idx="71">
                  <c:v>86.131799999999998</c:v>
                </c:pt>
                <c:pt idx="72">
                  <c:v>86.131799999999998</c:v>
                </c:pt>
                <c:pt idx="73">
                  <c:v>86.131799999999998</c:v>
                </c:pt>
                <c:pt idx="74">
                  <c:v>86.131799999999998</c:v>
                </c:pt>
                <c:pt idx="75">
                  <c:v>86.131799999999998</c:v>
                </c:pt>
                <c:pt idx="76">
                  <c:v>86.131799999999998</c:v>
                </c:pt>
                <c:pt idx="77">
                  <c:v>86.131799999999998</c:v>
                </c:pt>
                <c:pt idx="78">
                  <c:v>86.131799999999998</c:v>
                </c:pt>
                <c:pt idx="79">
                  <c:v>86.131799999999998</c:v>
                </c:pt>
                <c:pt idx="80">
                  <c:v>86.131799999999998</c:v>
                </c:pt>
                <c:pt idx="81">
                  <c:v>86.131799999999998</c:v>
                </c:pt>
                <c:pt idx="82">
                  <c:v>86.131799999999998</c:v>
                </c:pt>
                <c:pt idx="83">
                  <c:v>86.131799999999998</c:v>
                </c:pt>
                <c:pt idx="84">
                  <c:v>86.131799999999998</c:v>
                </c:pt>
                <c:pt idx="85">
                  <c:v>86.131799999999998</c:v>
                </c:pt>
                <c:pt idx="86">
                  <c:v>86.131799999999998</c:v>
                </c:pt>
                <c:pt idx="87">
                  <c:v>86.131799999999998</c:v>
                </c:pt>
                <c:pt idx="88">
                  <c:v>86.131799999999998</c:v>
                </c:pt>
                <c:pt idx="89">
                  <c:v>86.131799999999998</c:v>
                </c:pt>
                <c:pt idx="90">
                  <c:v>86.131799999999998</c:v>
                </c:pt>
                <c:pt idx="91">
                  <c:v>86.131799999999998</c:v>
                </c:pt>
                <c:pt idx="92">
                  <c:v>86.131799999999998</c:v>
                </c:pt>
                <c:pt idx="93">
                  <c:v>86.131799999999998</c:v>
                </c:pt>
                <c:pt idx="94">
                  <c:v>86.131799999999998</c:v>
                </c:pt>
                <c:pt idx="95">
                  <c:v>86.131799999999998</c:v>
                </c:pt>
                <c:pt idx="96">
                  <c:v>86.131799999999998</c:v>
                </c:pt>
                <c:pt idx="97">
                  <c:v>86.131799999999998</c:v>
                </c:pt>
                <c:pt idx="98">
                  <c:v>86.131799999999998</c:v>
                </c:pt>
                <c:pt idx="99">
                  <c:v>86.131799999999998</c:v>
                </c:pt>
                <c:pt idx="100">
                  <c:v>86.131799999999998</c:v>
                </c:pt>
                <c:pt idx="101">
                  <c:v>86.131799999999998</c:v>
                </c:pt>
                <c:pt idx="102">
                  <c:v>86.131799999999998</c:v>
                </c:pt>
                <c:pt idx="103">
                  <c:v>86.131799999999998</c:v>
                </c:pt>
                <c:pt idx="104">
                  <c:v>86.131799999999998</c:v>
                </c:pt>
                <c:pt idx="105">
                  <c:v>86.131799999999998</c:v>
                </c:pt>
                <c:pt idx="106">
                  <c:v>86.131799999999998</c:v>
                </c:pt>
                <c:pt idx="107">
                  <c:v>86.131799999999998</c:v>
                </c:pt>
                <c:pt idx="108">
                  <c:v>86.131799999999998</c:v>
                </c:pt>
                <c:pt idx="109">
                  <c:v>86.131799999999998</c:v>
                </c:pt>
                <c:pt idx="110">
                  <c:v>86.131799999999998</c:v>
                </c:pt>
                <c:pt idx="111">
                  <c:v>86.131799999999998</c:v>
                </c:pt>
                <c:pt idx="112">
                  <c:v>86.131799999999998</c:v>
                </c:pt>
                <c:pt idx="113">
                  <c:v>86.131799999999998</c:v>
                </c:pt>
                <c:pt idx="114">
                  <c:v>86.131799999999998</c:v>
                </c:pt>
                <c:pt idx="115">
                  <c:v>86.131799999999998</c:v>
                </c:pt>
                <c:pt idx="116">
                  <c:v>86.131799999999998</c:v>
                </c:pt>
                <c:pt idx="117">
                  <c:v>86.131799999999998</c:v>
                </c:pt>
                <c:pt idx="118">
                  <c:v>86.131799999999998</c:v>
                </c:pt>
                <c:pt idx="119">
                  <c:v>86.131799999999998</c:v>
                </c:pt>
                <c:pt idx="120">
                  <c:v>86.131799999999998</c:v>
                </c:pt>
                <c:pt idx="121">
                  <c:v>86.131799999999998</c:v>
                </c:pt>
                <c:pt idx="122">
                  <c:v>86.131799999999998</c:v>
                </c:pt>
                <c:pt idx="123">
                  <c:v>86.131799999999998</c:v>
                </c:pt>
                <c:pt idx="124">
                  <c:v>86.131799999999998</c:v>
                </c:pt>
                <c:pt idx="125">
                  <c:v>86.131799999999998</c:v>
                </c:pt>
                <c:pt idx="126">
                  <c:v>86.131799999999998</c:v>
                </c:pt>
                <c:pt idx="127">
                  <c:v>86.131799999999998</c:v>
                </c:pt>
                <c:pt idx="128">
                  <c:v>86.131799999999998</c:v>
                </c:pt>
                <c:pt idx="129">
                  <c:v>86.131799999999998</c:v>
                </c:pt>
                <c:pt idx="130">
                  <c:v>86.131799999999998</c:v>
                </c:pt>
                <c:pt idx="131">
                  <c:v>86.131799999999998</c:v>
                </c:pt>
                <c:pt idx="132">
                  <c:v>86.131799999999998</c:v>
                </c:pt>
                <c:pt idx="133">
                  <c:v>86.131799999999998</c:v>
                </c:pt>
                <c:pt idx="134">
                  <c:v>86.131799999999998</c:v>
                </c:pt>
                <c:pt idx="135">
                  <c:v>86.131799999999998</c:v>
                </c:pt>
                <c:pt idx="136">
                  <c:v>86.131799999999998</c:v>
                </c:pt>
                <c:pt idx="137">
                  <c:v>86.131799999999998</c:v>
                </c:pt>
                <c:pt idx="138">
                  <c:v>86.131799999999998</c:v>
                </c:pt>
                <c:pt idx="139">
                  <c:v>86.131799999999998</c:v>
                </c:pt>
                <c:pt idx="140">
                  <c:v>86.131799999999998</c:v>
                </c:pt>
                <c:pt idx="141">
                  <c:v>86.131799999999998</c:v>
                </c:pt>
                <c:pt idx="142">
                  <c:v>86.131799999999998</c:v>
                </c:pt>
                <c:pt idx="143">
                  <c:v>86.131799999999998</c:v>
                </c:pt>
                <c:pt idx="144">
                  <c:v>86.131799999999998</c:v>
                </c:pt>
                <c:pt idx="145">
                  <c:v>86.131799999999998</c:v>
                </c:pt>
                <c:pt idx="146">
                  <c:v>86.131799999999998</c:v>
                </c:pt>
                <c:pt idx="147">
                  <c:v>86.131799999999998</c:v>
                </c:pt>
                <c:pt idx="148">
                  <c:v>86.131799999999998</c:v>
                </c:pt>
                <c:pt idx="149">
                  <c:v>86.131799999999998</c:v>
                </c:pt>
                <c:pt idx="150">
                  <c:v>86.131799999999998</c:v>
                </c:pt>
                <c:pt idx="151">
                  <c:v>86.131799999999998</c:v>
                </c:pt>
                <c:pt idx="152">
                  <c:v>86.131799999999998</c:v>
                </c:pt>
                <c:pt idx="153">
                  <c:v>86.131799999999998</c:v>
                </c:pt>
                <c:pt idx="154">
                  <c:v>86.131799999999998</c:v>
                </c:pt>
                <c:pt idx="155">
                  <c:v>86.131799999999998</c:v>
                </c:pt>
                <c:pt idx="156">
                  <c:v>86.131799999999998</c:v>
                </c:pt>
                <c:pt idx="157">
                  <c:v>86.131799999999998</c:v>
                </c:pt>
                <c:pt idx="158">
                  <c:v>86.131799999999998</c:v>
                </c:pt>
                <c:pt idx="159">
                  <c:v>86.131799999999998</c:v>
                </c:pt>
                <c:pt idx="160">
                  <c:v>86.131799999999998</c:v>
                </c:pt>
                <c:pt idx="161">
                  <c:v>86.131799999999998</c:v>
                </c:pt>
                <c:pt idx="162">
                  <c:v>86.131799999999998</c:v>
                </c:pt>
                <c:pt idx="163">
                  <c:v>86.131799999999998</c:v>
                </c:pt>
                <c:pt idx="164">
                  <c:v>86.131799999999998</c:v>
                </c:pt>
                <c:pt idx="165">
                  <c:v>86.131799999999998</c:v>
                </c:pt>
                <c:pt idx="166">
                  <c:v>86.131799999999998</c:v>
                </c:pt>
                <c:pt idx="167">
                  <c:v>86.131799999999998</c:v>
                </c:pt>
                <c:pt idx="168">
                  <c:v>86.131799999999998</c:v>
                </c:pt>
                <c:pt idx="169">
                  <c:v>86.131799999999998</c:v>
                </c:pt>
                <c:pt idx="170">
                  <c:v>86.131799999999998</c:v>
                </c:pt>
                <c:pt idx="171">
                  <c:v>86.131799999999998</c:v>
                </c:pt>
                <c:pt idx="172">
                  <c:v>86.131799999999998</c:v>
                </c:pt>
                <c:pt idx="173">
                  <c:v>86.131799999999998</c:v>
                </c:pt>
                <c:pt idx="174">
                  <c:v>86.131799999999998</c:v>
                </c:pt>
                <c:pt idx="175">
                  <c:v>86.131799999999998</c:v>
                </c:pt>
                <c:pt idx="176">
                  <c:v>86.131799999999998</c:v>
                </c:pt>
                <c:pt idx="177">
                  <c:v>86.131799999999998</c:v>
                </c:pt>
                <c:pt idx="178">
                  <c:v>86.131799999999998</c:v>
                </c:pt>
                <c:pt idx="179">
                  <c:v>86.131799999999998</c:v>
                </c:pt>
                <c:pt idx="180">
                  <c:v>86.131799999999998</c:v>
                </c:pt>
                <c:pt idx="181">
                  <c:v>86.131799999999998</c:v>
                </c:pt>
                <c:pt idx="182">
                  <c:v>86.131799999999998</c:v>
                </c:pt>
                <c:pt idx="183">
                  <c:v>86.131799999999998</c:v>
                </c:pt>
                <c:pt idx="184">
                  <c:v>86.131799999999998</c:v>
                </c:pt>
                <c:pt idx="185">
                  <c:v>86.131799999999998</c:v>
                </c:pt>
                <c:pt idx="186">
                  <c:v>86.131799999999998</c:v>
                </c:pt>
                <c:pt idx="187">
                  <c:v>86.131799999999998</c:v>
                </c:pt>
                <c:pt idx="188">
                  <c:v>86.131799999999998</c:v>
                </c:pt>
                <c:pt idx="189">
                  <c:v>86.131799999999998</c:v>
                </c:pt>
                <c:pt idx="190">
                  <c:v>86.131799999999998</c:v>
                </c:pt>
                <c:pt idx="191">
                  <c:v>86.131799999999998</c:v>
                </c:pt>
                <c:pt idx="192">
                  <c:v>86.131799999999998</c:v>
                </c:pt>
                <c:pt idx="193">
                  <c:v>86.131799999999998</c:v>
                </c:pt>
                <c:pt idx="194">
                  <c:v>86.131799999999998</c:v>
                </c:pt>
                <c:pt idx="195">
                  <c:v>86.131799999999998</c:v>
                </c:pt>
                <c:pt idx="196">
                  <c:v>86.131799999999998</c:v>
                </c:pt>
                <c:pt idx="197">
                  <c:v>86.131799999999998</c:v>
                </c:pt>
                <c:pt idx="198">
                  <c:v>86.131799999999998</c:v>
                </c:pt>
                <c:pt idx="199">
                  <c:v>86.131799999999998</c:v>
                </c:pt>
                <c:pt idx="200">
                  <c:v>86.131799999999998</c:v>
                </c:pt>
                <c:pt idx="201">
                  <c:v>86.131799999999998</c:v>
                </c:pt>
                <c:pt idx="202">
                  <c:v>86.131799999999998</c:v>
                </c:pt>
                <c:pt idx="203">
                  <c:v>86.131799999999998</c:v>
                </c:pt>
                <c:pt idx="204">
                  <c:v>86.131799999999998</c:v>
                </c:pt>
                <c:pt idx="205">
                  <c:v>55.985669999999999</c:v>
                </c:pt>
                <c:pt idx="206">
                  <c:v>55.985669999999999</c:v>
                </c:pt>
                <c:pt idx="207">
                  <c:v>55.985669999999999</c:v>
                </c:pt>
                <c:pt idx="208">
                  <c:v>55.985669999999999</c:v>
                </c:pt>
                <c:pt idx="209">
                  <c:v>55.985669999999999</c:v>
                </c:pt>
                <c:pt idx="210">
                  <c:v>86.131799999999998</c:v>
                </c:pt>
                <c:pt idx="211">
                  <c:v>86.131799999999998</c:v>
                </c:pt>
                <c:pt idx="212">
                  <c:v>86.131799999999998</c:v>
                </c:pt>
                <c:pt idx="213">
                  <c:v>86.131799999999998</c:v>
                </c:pt>
                <c:pt idx="214">
                  <c:v>86.131799999999998</c:v>
                </c:pt>
                <c:pt idx="215">
                  <c:v>86.131799999999998</c:v>
                </c:pt>
                <c:pt idx="216">
                  <c:v>86.131799999999998</c:v>
                </c:pt>
                <c:pt idx="217">
                  <c:v>86.131799999999998</c:v>
                </c:pt>
                <c:pt idx="218">
                  <c:v>86.131799999999998</c:v>
                </c:pt>
                <c:pt idx="219">
                  <c:v>86.131799999999998</c:v>
                </c:pt>
                <c:pt idx="220">
                  <c:v>86.131799999999998</c:v>
                </c:pt>
                <c:pt idx="221">
                  <c:v>86.131799999999998</c:v>
                </c:pt>
                <c:pt idx="222">
                  <c:v>86.131799999999998</c:v>
                </c:pt>
                <c:pt idx="223">
                  <c:v>86.131799999999998</c:v>
                </c:pt>
                <c:pt idx="224">
                  <c:v>86.131799999999998</c:v>
                </c:pt>
                <c:pt idx="225">
                  <c:v>86.131799999999998</c:v>
                </c:pt>
                <c:pt idx="226">
                  <c:v>86.131799999999998</c:v>
                </c:pt>
                <c:pt idx="227">
                  <c:v>86.131799999999998</c:v>
                </c:pt>
                <c:pt idx="228">
                  <c:v>86.131799999999998</c:v>
                </c:pt>
                <c:pt idx="229">
                  <c:v>86.131799999999998</c:v>
                </c:pt>
                <c:pt idx="230">
                  <c:v>86.131799999999998</c:v>
                </c:pt>
                <c:pt idx="231">
                  <c:v>86.131799999999998</c:v>
                </c:pt>
                <c:pt idx="232">
                  <c:v>86.131799999999998</c:v>
                </c:pt>
                <c:pt idx="233">
                  <c:v>86.131799999999998</c:v>
                </c:pt>
                <c:pt idx="234">
                  <c:v>86.131799999999998</c:v>
                </c:pt>
                <c:pt idx="235">
                  <c:v>86.131799999999998</c:v>
                </c:pt>
                <c:pt idx="236">
                  <c:v>86.131799999999998</c:v>
                </c:pt>
                <c:pt idx="237">
                  <c:v>86.131799999999998</c:v>
                </c:pt>
                <c:pt idx="238">
                  <c:v>86.131799999999998</c:v>
                </c:pt>
                <c:pt idx="239">
                  <c:v>86.131799999999998</c:v>
                </c:pt>
                <c:pt idx="240">
                  <c:v>86.131799999999998</c:v>
                </c:pt>
                <c:pt idx="241">
                  <c:v>86.131799999999998</c:v>
                </c:pt>
                <c:pt idx="242">
                  <c:v>86.131799999999998</c:v>
                </c:pt>
                <c:pt idx="243">
                  <c:v>86.131799999999998</c:v>
                </c:pt>
                <c:pt idx="244">
                  <c:v>86.131799999999998</c:v>
                </c:pt>
                <c:pt idx="245">
                  <c:v>86.131799999999998</c:v>
                </c:pt>
                <c:pt idx="246">
                  <c:v>86.131799999999998</c:v>
                </c:pt>
                <c:pt idx="247">
                  <c:v>86.131799999999998</c:v>
                </c:pt>
                <c:pt idx="248">
                  <c:v>86.131799999999998</c:v>
                </c:pt>
                <c:pt idx="249">
                  <c:v>86.131799999999998</c:v>
                </c:pt>
                <c:pt idx="250">
                  <c:v>86.131799999999998</c:v>
                </c:pt>
                <c:pt idx="251">
                  <c:v>86.131799999999998</c:v>
                </c:pt>
                <c:pt idx="252">
                  <c:v>86.131799999999998</c:v>
                </c:pt>
                <c:pt idx="253">
                  <c:v>86.131799999999998</c:v>
                </c:pt>
                <c:pt idx="254">
                  <c:v>86.131799999999998</c:v>
                </c:pt>
                <c:pt idx="255">
                  <c:v>86.131799999999998</c:v>
                </c:pt>
                <c:pt idx="256">
                  <c:v>86.131799999999998</c:v>
                </c:pt>
                <c:pt idx="257">
                  <c:v>86.131799999999998</c:v>
                </c:pt>
                <c:pt idx="258">
                  <c:v>86.131799999999998</c:v>
                </c:pt>
                <c:pt idx="259">
                  <c:v>86.131799999999998</c:v>
                </c:pt>
                <c:pt idx="260">
                  <c:v>86.131799999999998</c:v>
                </c:pt>
                <c:pt idx="261">
                  <c:v>55.985669999999999</c:v>
                </c:pt>
                <c:pt idx="262">
                  <c:v>55.985669999999999</c:v>
                </c:pt>
                <c:pt idx="263">
                  <c:v>55.985669999999999</c:v>
                </c:pt>
                <c:pt idx="264">
                  <c:v>55.985669999999999</c:v>
                </c:pt>
                <c:pt idx="265">
                  <c:v>55.985669999999999</c:v>
                </c:pt>
                <c:pt idx="266">
                  <c:v>55.985669999999999</c:v>
                </c:pt>
                <c:pt idx="267">
                  <c:v>55.985669999999999</c:v>
                </c:pt>
                <c:pt idx="268">
                  <c:v>55.985669999999999</c:v>
                </c:pt>
                <c:pt idx="269">
                  <c:v>55.985669999999999</c:v>
                </c:pt>
                <c:pt idx="270">
                  <c:v>55.985669999999999</c:v>
                </c:pt>
                <c:pt idx="271">
                  <c:v>55.985669999999999</c:v>
                </c:pt>
                <c:pt idx="272">
                  <c:v>86.131799999999998</c:v>
                </c:pt>
                <c:pt idx="273">
                  <c:v>86.131799999999998</c:v>
                </c:pt>
                <c:pt idx="274">
                  <c:v>86.131799999999998</c:v>
                </c:pt>
                <c:pt idx="275">
                  <c:v>86.131799999999998</c:v>
                </c:pt>
                <c:pt idx="276">
                  <c:v>86.131799999999998</c:v>
                </c:pt>
                <c:pt idx="277">
                  <c:v>86.131799999999998</c:v>
                </c:pt>
                <c:pt idx="278">
                  <c:v>86.131799999999998</c:v>
                </c:pt>
                <c:pt idx="279">
                  <c:v>86.131799999999998</c:v>
                </c:pt>
                <c:pt idx="280">
                  <c:v>86.131799999999998</c:v>
                </c:pt>
                <c:pt idx="281">
                  <c:v>86.131799999999998</c:v>
                </c:pt>
                <c:pt idx="282">
                  <c:v>86.131799999999998</c:v>
                </c:pt>
                <c:pt idx="283">
                  <c:v>86.131799999999998</c:v>
                </c:pt>
                <c:pt idx="284">
                  <c:v>86.131799999999998</c:v>
                </c:pt>
                <c:pt idx="285">
                  <c:v>86.131799999999998</c:v>
                </c:pt>
                <c:pt idx="286">
                  <c:v>86.131799999999998</c:v>
                </c:pt>
                <c:pt idx="287">
                  <c:v>86.131799999999998</c:v>
                </c:pt>
                <c:pt idx="288">
                  <c:v>86.131799999999998</c:v>
                </c:pt>
                <c:pt idx="289">
                  <c:v>86.131799999999998</c:v>
                </c:pt>
                <c:pt idx="290">
                  <c:v>86.131799999999998</c:v>
                </c:pt>
                <c:pt idx="291">
                  <c:v>86.131799999999998</c:v>
                </c:pt>
                <c:pt idx="292">
                  <c:v>86.131799999999998</c:v>
                </c:pt>
                <c:pt idx="293">
                  <c:v>86.131799999999998</c:v>
                </c:pt>
                <c:pt idx="294">
                  <c:v>86.131799999999998</c:v>
                </c:pt>
                <c:pt idx="295">
                  <c:v>86.131799999999998</c:v>
                </c:pt>
                <c:pt idx="296">
                  <c:v>86.131799999999998</c:v>
                </c:pt>
                <c:pt idx="297">
                  <c:v>86.131799999999998</c:v>
                </c:pt>
                <c:pt idx="298">
                  <c:v>86.131799999999998</c:v>
                </c:pt>
                <c:pt idx="299">
                  <c:v>86.131799999999998</c:v>
                </c:pt>
                <c:pt idx="300">
                  <c:v>86.131799999999998</c:v>
                </c:pt>
                <c:pt idx="301">
                  <c:v>86.131799999999998</c:v>
                </c:pt>
                <c:pt idx="302">
                  <c:v>86.131799999999998</c:v>
                </c:pt>
                <c:pt idx="303">
                  <c:v>86.131799999999998</c:v>
                </c:pt>
                <c:pt idx="304">
                  <c:v>86.131799999999998</c:v>
                </c:pt>
                <c:pt idx="305">
                  <c:v>86.131799999999998</c:v>
                </c:pt>
                <c:pt idx="306">
                  <c:v>86.131799999999998</c:v>
                </c:pt>
                <c:pt idx="307">
                  <c:v>86.131799999999998</c:v>
                </c:pt>
                <c:pt idx="308">
                  <c:v>86.131799999999998</c:v>
                </c:pt>
                <c:pt idx="309">
                  <c:v>86.131799999999998</c:v>
                </c:pt>
                <c:pt idx="310">
                  <c:v>86.131799999999998</c:v>
                </c:pt>
                <c:pt idx="311">
                  <c:v>86.131799999999998</c:v>
                </c:pt>
                <c:pt idx="312">
                  <c:v>86.131799999999998</c:v>
                </c:pt>
                <c:pt idx="313">
                  <c:v>86.131799999999998</c:v>
                </c:pt>
                <c:pt idx="314">
                  <c:v>55.985669999999999</c:v>
                </c:pt>
                <c:pt idx="315">
                  <c:v>55.985669999999999</c:v>
                </c:pt>
                <c:pt idx="316">
                  <c:v>55.985669999999999</c:v>
                </c:pt>
                <c:pt idx="317">
                  <c:v>55.985669999999999</c:v>
                </c:pt>
                <c:pt idx="318">
                  <c:v>55.985669999999999</c:v>
                </c:pt>
                <c:pt idx="319">
                  <c:v>55.985669999999999</c:v>
                </c:pt>
                <c:pt idx="320">
                  <c:v>55.985669999999999</c:v>
                </c:pt>
                <c:pt idx="321">
                  <c:v>55.985669999999999</c:v>
                </c:pt>
                <c:pt idx="322">
                  <c:v>55.985669999999999</c:v>
                </c:pt>
                <c:pt idx="323">
                  <c:v>55.985669999999999</c:v>
                </c:pt>
                <c:pt idx="324">
                  <c:v>55.985669999999999</c:v>
                </c:pt>
                <c:pt idx="325">
                  <c:v>86.131799999999998</c:v>
                </c:pt>
                <c:pt idx="326">
                  <c:v>86.131799999999998</c:v>
                </c:pt>
                <c:pt idx="327">
                  <c:v>86.131799999999998</c:v>
                </c:pt>
                <c:pt idx="328">
                  <c:v>86.131799999999998</c:v>
                </c:pt>
                <c:pt idx="329">
                  <c:v>86.131799999999998</c:v>
                </c:pt>
                <c:pt idx="330">
                  <c:v>86.131799999999998</c:v>
                </c:pt>
                <c:pt idx="331">
                  <c:v>86.131799999999998</c:v>
                </c:pt>
                <c:pt idx="332">
                  <c:v>86.131799999999998</c:v>
                </c:pt>
                <c:pt idx="333">
                  <c:v>86.131799999999998</c:v>
                </c:pt>
                <c:pt idx="334">
                  <c:v>86.131799999999998</c:v>
                </c:pt>
                <c:pt idx="335">
                  <c:v>86.131799999999998</c:v>
                </c:pt>
                <c:pt idx="336">
                  <c:v>86.131799999999998</c:v>
                </c:pt>
                <c:pt idx="337">
                  <c:v>86.131799999999998</c:v>
                </c:pt>
                <c:pt idx="338">
                  <c:v>86.131799999999998</c:v>
                </c:pt>
                <c:pt idx="339">
                  <c:v>86.131799999999998</c:v>
                </c:pt>
                <c:pt idx="340">
                  <c:v>86.131799999999998</c:v>
                </c:pt>
                <c:pt idx="341">
                  <c:v>86.131799999999998</c:v>
                </c:pt>
                <c:pt idx="342">
                  <c:v>86.131799999999998</c:v>
                </c:pt>
                <c:pt idx="343">
                  <c:v>86.131799999999998</c:v>
                </c:pt>
                <c:pt idx="344">
                  <c:v>86.131799999999998</c:v>
                </c:pt>
                <c:pt idx="345">
                  <c:v>86.131799999999998</c:v>
                </c:pt>
                <c:pt idx="346">
                  <c:v>86.131799999999998</c:v>
                </c:pt>
                <c:pt idx="347">
                  <c:v>86.131799999999998</c:v>
                </c:pt>
                <c:pt idx="348">
                  <c:v>86.131799999999998</c:v>
                </c:pt>
                <c:pt idx="349">
                  <c:v>86.131799999999998</c:v>
                </c:pt>
                <c:pt idx="350">
                  <c:v>86.131799999999998</c:v>
                </c:pt>
                <c:pt idx="351">
                  <c:v>86.131799999999998</c:v>
                </c:pt>
                <c:pt idx="352">
                  <c:v>86.131799999999998</c:v>
                </c:pt>
                <c:pt idx="353">
                  <c:v>86.131799999999998</c:v>
                </c:pt>
                <c:pt idx="354">
                  <c:v>86.131799999999998</c:v>
                </c:pt>
                <c:pt idx="355">
                  <c:v>86.131799999999998</c:v>
                </c:pt>
                <c:pt idx="356">
                  <c:v>86.131799999999998</c:v>
                </c:pt>
                <c:pt idx="357">
                  <c:v>86.131799999999998</c:v>
                </c:pt>
                <c:pt idx="358">
                  <c:v>86.131799999999998</c:v>
                </c:pt>
                <c:pt idx="359">
                  <c:v>86.131799999999998</c:v>
                </c:pt>
                <c:pt idx="360">
                  <c:v>86.131799999999998</c:v>
                </c:pt>
                <c:pt idx="361">
                  <c:v>86.131799999999998</c:v>
                </c:pt>
                <c:pt idx="362">
                  <c:v>86.131799999999998</c:v>
                </c:pt>
                <c:pt idx="363">
                  <c:v>86.131799999999998</c:v>
                </c:pt>
                <c:pt idx="364">
                  <c:v>86.131799999999998</c:v>
                </c:pt>
                <c:pt idx="365">
                  <c:v>86.131799999999998</c:v>
                </c:pt>
                <c:pt idx="366">
                  <c:v>86.131799999999998</c:v>
                </c:pt>
                <c:pt idx="367">
                  <c:v>55.985669999999999</c:v>
                </c:pt>
                <c:pt idx="368">
                  <c:v>55.985669999999999</c:v>
                </c:pt>
                <c:pt idx="369">
                  <c:v>55.985669999999999</c:v>
                </c:pt>
                <c:pt idx="370">
                  <c:v>55.985669999999999</c:v>
                </c:pt>
                <c:pt idx="371">
                  <c:v>55.985669999999999</c:v>
                </c:pt>
                <c:pt idx="372">
                  <c:v>55.985669999999999</c:v>
                </c:pt>
                <c:pt idx="373">
                  <c:v>55.985669999999999</c:v>
                </c:pt>
                <c:pt idx="374">
                  <c:v>55.985669999999999</c:v>
                </c:pt>
                <c:pt idx="375">
                  <c:v>55.985669999999999</c:v>
                </c:pt>
                <c:pt idx="376">
                  <c:v>55.985669999999999</c:v>
                </c:pt>
                <c:pt idx="377">
                  <c:v>55.985669999999999</c:v>
                </c:pt>
                <c:pt idx="378">
                  <c:v>55.985669999999999</c:v>
                </c:pt>
                <c:pt idx="379">
                  <c:v>55.985669999999999</c:v>
                </c:pt>
                <c:pt idx="380">
                  <c:v>55.985669999999999</c:v>
                </c:pt>
                <c:pt idx="381">
                  <c:v>55.985669999999999</c:v>
                </c:pt>
                <c:pt idx="382">
                  <c:v>55.985669999999999</c:v>
                </c:pt>
                <c:pt idx="383">
                  <c:v>86.131799999999998</c:v>
                </c:pt>
                <c:pt idx="384">
                  <c:v>86.131799999999998</c:v>
                </c:pt>
                <c:pt idx="385">
                  <c:v>86.131799999999998</c:v>
                </c:pt>
                <c:pt idx="386">
                  <c:v>86.131799999999998</c:v>
                </c:pt>
                <c:pt idx="387">
                  <c:v>86.131799999999998</c:v>
                </c:pt>
                <c:pt idx="388">
                  <c:v>86.131799999999998</c:v>
                </c:pt>
                <c:pt idx="389">
                  <c:v>86.131799999999998</c:v>
                </c:pt>
                <c:pt idx="390">
                  <c:v>86.131799999999998</c:v>
                </c:pt>
                <c:pt idx="391">
                  <c:v>86.131799999999998</c:v>
                </c:pt>
                <c:pt idx="392">
                  <c:v>86.131799999999998</c:v>
                </c:pt>
                <c:pt idx="393">
                  <c:v>86.131799999999998</c:v>
                </c:pt>
                <c:pt idx="394">
                  <c:v>86.131799999999998</c:v>
                </c:pt>
                <c:pt idx="395">
                  <c:v>86.131799999999998</c:v>
                </c:pt>
                <c:pt idx="396">
                  <c:v>86.131799999999998</c:v>
                </c:pt>
                <c:pt idx="397">
                  <c:v>86.131799999999998</c:v>
                </c:pt>
                <c:pt idx="398">
                  <c:v>86.131799999999998</c:v>
                </c:pt>
                <c:pt idx="399">
                  <c:v>86.131799999999998</c:v>
                </c:pt>
                <c:pt idx="400">
                  <c:v>86.131799999999998</c:v>
                </c:pt>
                <c:pt idx="401">
                  <c:v>86.131799999999998</c:v>
                </c:pt>
                <c:pt idx="402">
                  <c:v>86.131799999999998</c:v>
                </c:pt>
                <c:pt idx="403">
                  <c:v>86.131799999999998</c:v>
                </c:pt>
                <c:pt idx="404">
                  <c:v>86.131799999999998</c:v>
                </c:pt>
                <c:pt idx="405">
                  <c:v>86.131799999999998</c:v>
                </c:pt>
                <c:pt idx="406">
                  <c:v>86.131799999999998</c:v>
                </c:pt>
                <c:pt idx="407">
                  <c:v>86.131799999999998</c:v>
                </c:pt>
                <c:pt idx="408">
                  <c:v>86.131799999999998</c:v>
                </c:pt>
                <c:pt idx="409">
                  <c:v>86.131799999999998</c:v>
                </c:pt>
                <c:pt idx="410">
                  <c:v>86.131799999999998</c:v>
                </c:pt>
                <c:pt idx="411">
                  <c:v>86.131799999999998</c:v>
                </c:pt>
                <c:pt idx="412">
                  <c:v>86.131799999999998</c:v>
                </c:pt>
                <c:pt idx="413">
                  <c:v>86.131799999999998</c:v>
                </c:pt>
                <c:pt idx="414">
                  <c:v>86.131799999999998</c:v>
                </c:pt>
                <c:pt idx="415">
                  <c:v>86.131799999999998</c:v>
                </c:pt>
                <c:pt idx="416">
                  <c:v>86.131799999999998</c:v>
                </c:pt>
                <c:pt idx="417">
                  <c:v>86.131799999999998</c:v>
                </c:pt>
                <c:pt idx="418">
                  <c:v>86.131799999999998</c:v>
                </c:pt>
                <c:pt idx="419">
                  <c:v>86.131799999999998</c:v>
                </c:pt>
                <c:pt idx="420">
                  <c:v>86.131799999999998</c:v>
                </c:pt>
                <c:pt idx="421">
                  <c:v>86.131799999999998</c:v>
                </c:pt>
                <c:pt idx="422">
                  <c:v>86.131799999999998</c:v>
                </c:pt>
                <c:pt idx="423">
                  <c:v>86.131799999999998</c:v>
                </c:pt>
                <c:pt idx="424">
                  <c:v>86.131799999999998</c:v>
                </c:pt>
                <c:pt idx="425">
                  <c:v>55.985669999999999</c:v>
                </c:pt>
                <c:pt idx="426">
                  <c:v>55.985669999999999</c:v>
                </c:pt>
                <c:pt idx="427">
                  <c:v>55.985669999999999</c:v>
                </c:pt>
                <c:pt idx="428">
                  <c:v>55.985669999999999</c:v>
                </c:pt>
                <c:pt idx="429">
                  <c:v>55.985669999999999</c:v>
                </c:pt>
                <c:pt idx="430">
                  <c:v>55.985669999999999</c:v>
                </c:pt>
                <c:pt idx="431">
                  <c:v>55.985669999999999</c:v>
                </c:pt>
                <c:pt idx="432">
                  <c:v>55.985669999999999</c:v>
                </c:pt>
                <c:pt idx="433">
                  <c:v>55.985669999999999</c:v>
                </c:pt>
                <c:pt idx="434">
                  <c:v>86.131799999999998</c:v>
                </c:pt>
                <c:pt idx="435">
                  <c:v>86.131799999999998</c:v>
                </c:pt>
                <c:pt idx="436">
                  <c:v>86.131799999999998</c:v>
                </c:pt>
                <c:pt idx="437">
                  <c:v>86.131799999999998</c:v>
                </c:pt>
                <c:pt idx="438">
                  <c:v>86.131799999999998</c:v>
                </c:pt>
                <c:pt idx="439">
                  <c:v>86.131799999999998</c:v>
                </c:pt>
                <c:pt idx="440">
                  <c:v>86.131799999999998</c:v>
                </c:pt>
                <c:pt idx="441">
                  <c:v>86.131799999999998</c:v>
                </c:pt>
                <c:pt idx="442">
                  <c:v>86.131799999999998</c:v>
                </c:pt>
                <c:pt idx="443">
                  <c:v>86.131799999999998</c:v>
                </c:pt>
                <c:pt idx="444">
                  <c:v>86.131799999999998</c:v>
                </c:pt>
                <c:pt idx="445">
                  <c:v>86.131799999999998</c:v>
                </c:pt>
                <c:pt idx="446">
                  <c:v>86.131799999999998</c:v>
                </c:pt>
                <c:pt idx="447">
                  <c:v>86.131799999999998</c:v>
                </c:pt>
                <c:pt idx="448">
                  <c:v>86.131799999999998</c:v>
                </c:pt>
                <c:pt idx="449">
                  <c:v>86.131799999999998</c:v>
                </c:pt>
                <c:pt idx="450">
                  <c:v>86.131799999999998</c:v>
                </c:pt>
                <c:pt idx="451">
                  <c:v>86.131799999999998</c:v>
                </c:pt>
                <c:pt idx="452">
                  <c:v>86.131799999999998</c:v>
                </c:pt>
                <c:pt idx="453">
                  <c:v>86.131799999999998</c:v>
                </c:pt>
                <c:pt idx="454">
                  <c:v>86.131799999999998</c:v>
                </c:pt>
                <c:pt idx="455">
                  <c:v>86.131799999999998</c:v>
                </c:pt>
                <c:pt idx="456">
                  <c:v>86.131799999999998</c:v>
                </c:pt>
                <c:pt idx="457">
                  <c:v>86.131799999999998</c:v>
                </c:pt>
                <c:pt idx="458">
                  <c:v>86.131799999999998</c:v>
                </c:pt>
                <c:pt idx="459">
                  <c:v>86.131799999999998</c:v>
                </c:pt>
                <c:pt idx="460">
                  <c:v>86.131799999999998</c:v>
                </c:pt>
                <c:pt idx="461">
                  <c:v>86.131799999999998</c:v>
                </c:pt>
                <c:pt idx="462">
                  <c:v>86.131799999999998</c:v>
                </c:pt>
                <c:pt idx="463">
                  <c:v>86.131799999999998</c:v>
                </c:pt>
                <c:pt idx="464">
                  <c:v>86.131799999999998</c:v>
                </c:pt>
                <c:pt idx="465">
                  <c:v>86.131799999999998</c:v>
                </c:pt>
                <c:pt idx="466">
                  <c:v>86.131799999999998</c:v>
                </c:pt>
                <c:pt idx="467">
                  <c:v>86.131799999999998</c:v>
                </c:pt>
                <c:pt idx="468">
                  <c:v>86.131799999999998</c:v>
                </c:pt>
                <c:pt idx="469">
                  <c:v>86.131799999999998</c:v>
                </c:pt>
                <c:pt idx="470">
                  <c:v>86.131799999999998</c:v>
                </c:pt>
                <c:pt idx="471">
                  <c:v>86.131799999999998</c:v>
                </c:pt>
                <c:pt idx="472">
                  <c:v>86.131799999999998</c:v>
                </c:pt>
                <c:pt idx="473">
                  <c:v>86.131799999999998</c:v>
                </c:pt>
                <c:pt idx="474">
                  <c:v>86.131799999999998</c:v>
                </c:pt>
                <c:pt idx="475">
                  <c:v>86.131799999999998</c:v>
                </c:pt>
                <c:pt idx="476">
                  <c:v>55.985669999999999</c:v>
                </c:pt>
                <c:pt idx="477">
                  <c:v>55.985669999999999</c:v>
                </c:pt>
                <c:pt idx="478">
                  <c:v>55.985669999999999</c:v>
                </c:pt>
                <c:pt idx="479">
                  <c:v>55.985669999999999</c:v>
                </c:pt>
                <c:pt idx="480">
                  <c:v>55.985669999999999</c:v>
                </c:pt>
                <c:pt idx="481">
                  <c:v>86.131799999999998</c:v>
                </c:pt>
                <c:pt idx="482">
                  <c:v>86.131799999999998</c:v>
                </c:pt>
                <c:pt idx="483">
                  <c:v>86.131799999999998</c:v>
                </c:pt>
                <c:pt idx="484">
                  <c:v>86.131799999999998</c:v>
                </c:pt>
                <c:pt idx="485">
                  <c:v>86.131799999999998</c:v>
                </c:pt>
                <c:pt idx="486">
                  <c:v>86.131799999999998</c:v>
                </c:pt>
                <c:pt idx="487">
                  <c:v>86.131799999999998</c:v>
                </c:pt>
                <c:pt idx="488">
                  <c:v>86.131799999999998</c:v>
                </c:pt>
                <c:pt idx="489">
                  <c:v>86.131799999999998</c:v>
                </c:pt>
                <c:pt idx="490">
                  <c:v>86.131799999999998</c:v>
                </c:pt>
                <c:pt idx="491">
                  <c:v>86.131799999999998</c:v>
                </c:pt>
                <c:pt idx="492">
                  <c:v>86.131799999999998</c:v>
                </c:pt>
                <c:pt idx="493">
                  <c:v>86.131799999999998</c:v>
                </c:pt>
                <c:pt idx="494">
                  <c:v>86.131799999999998</c:v>
                </c:pt>
                <c:pt idx="495">
                  <c:v>86.131799999999998</c:v>
                </c:pt>
                <c:pt idx="496">
                  <c:v>86.131799999999998</c:v>
                </c:pt>
                <c:pt idx="497">
                  <c:v>86.131799999999998</c:v>
                </c:pt>
                <c:pt idx="498">
                  <c:v>86.131799999999998</c:v>
                </c:pt>
                <c:pt idx="499">
                  <c:v>86.131799999999998</c:v>
                </c:pt>
                <c:pt idx="500">
                  <c:v>86.131799999999998</c:v>
                </c:pt>
                <c:pt idx="501">
                  <c:v>86.131799999999998</c:v>
                </c:pt>
                <c:pt idx="502">
                  <c:v>86.131799999999998</c:v>
                </c:pt>
                <c:pt idx="503">
                  <c:v>86.131799999999998</c:v>
                </c:pt>
                <c:pt idx="504">
                  <c:v>86.131799999999998</c:v>
                </c:pt>
                <c:pt idx="505">
                  <c:v>86.131799999999998</c:v>
                </c:pt>
                <c:pt idx="506">
                  <c:v>86.131799999999998</c:v>
                </c:pt>
                <c:pt idx="507">
                  <c:v>86.131799999999998</c:v>
                </c:pt>
                <c:pt idx="508">
                  <c:v>86.131799999999998</c:v>
                </c:pt>
                <c:pt idx="509">
                  <c:v>86.131799999999998</c:v>
                </c:pt>
                <c:pt idx="510">
                  <c:v>86.131799999999998</c:v>
                </c:pt>
                <c:pt idx="511">
                  <c:v>86.131799999999998</c:v>
                </c:pt>
                <c:pt idx="512">
                  <c:v>86.131799999999998</c:v>
                </c:pt>
                <c:pt idx="513">
                  <c:v>86.131799999999998</c:v>
                </c:pt>
                <c:pt idx="514">
                  <c:v>86.131799999999998</c:v>
                </c:pt>
                <c:pt idx="515">
                  <c:v>86.131799999999998</c:v>
                </c:pt>
                <c:pt idx="516">
                  <c:v>86.131799999999998</c:v>
                </c:pt>
                <c:pt idx="517">
                  <c:v>86.131799999999998</c:v>
                </c:pt>
                <c:pt idx="518">
                  <c:v>86.131799999999998</c:v>
                </c:pt>
                <c:pt idx="519">
                  <c:v>86.131799999999998</c:v>
                </c:pt>
                <c:pt idx="520">
                  <c:v>86.131799999999998</c:v>
                </c:pt>
                <c:pt idx="521">
                  <c:v>86.131799999999998</c:v>
                </c:pt>
                <c:pt idx="522">
                  <c:v>86.131799999999998</c:v>
                </c:pt>
                <c:pt idx="523">
                  <c:v>86.131799999999998</c:v>
                </c:pt>
                <c:pt idx="524">
                  <c:v>86.131799999999998</c:v>
                </c:pt>
                <c:pt idx="525">
                  <c:v>86.131799999999998</c:v>
                </c:pt>
                <c:pt idx="526">
                  <c:v>86.131799999999998</c:v>
                </c:pt>
                <c:pt idx="527">
                  <c:v>86.131799999999998</c:v>
                </c:pt>
                <c:pt idx="528">
                  <c:v>86.131799999999998</c:v>
                </c:pt>
                <c:pt idx="529">
                  <c:v>86.131799999999998</c:v>
                </c:pt>
                <c:pt idx="530">
                  <c:v>55.985669999999999</c:v>
                </c:pt>
                <c:pt idx="531">
                  <c:v>55.985669999999999</c:v>
                </c:pt>
              </c:numCache>
            </c:numRef>
          </c:yVal>
          <c:smooth val="1"/>
          <c:extLst>
            <c:ext xmlns:c16="http://schemas.microsoft.com/office/drawing/2014/chart" uri="{C3380CC4-5D6E-409C-BE32-E72D297353CC}">
              <c16:uniqueId val="{00000002-30B6-DB4D-B34B-DD77AA754E9F}"/>
            </c:ext>
          </c:extLst>
        </c:ser>
        <c:ser>
          <c:idx val="2"/>
          <c:order val="2"/>
          <c:tx>
            <c:v>Acceleration Resistance</c:v>
          </c:tx>
          <c:spPr>
            <a:ln w="19050" cap="rnd">
              <a:solidFill>
                <a:schemeClr val="accent3"/>
              </a:solidFill>
              <a:round/>
            </a:ln>
            <a:effectLst/>
          </c:spPr>
          <c:marker>
            <c:symbol val="none"/>
          </c:marker>
          <c:xVal>
            <c:numRef>
              <c:f>Data!$AH$2:$AH$1048576</c:f>
              <c:numCache>
                <c:formatCode>General</c:formatCode>
                <c:ptCount val="1048575"/>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5.2555152727264334</c:v>
                </c:pt>
                <c:pt idx="38">
                  <c:v>5.4524366435989888</c:v>
                </c:pt>
                <c:pt idx="39">
                  <c:v>5.6698718929611793</c:v>
                </c:pt>
                <c:pt idx="40">
                  <c:v>5.9157003663222598</c:v>
                </c:pt>
                <c:pt idx="41">
                  <c:v>6.203574541651764</c:v>
                </c:pt>
                <c:pt idx="42">
                  <c:v>6.6932526815888655</c:v>
                </c:pt>
                <c:pt idx="43">
                  <c:v>7.2085862720653608</c:v>
                </c:pt>
                <c:pt idx="44">
                  <c:v>7.7263715039514684</c:v>
                </c:pt>
                <c:pt idx="45">
                  <c:v>8.2472690784333622</c:v>
                </c:pt>
                <c:pt idx="46">
                  <c:v>8.7710073045670605</c:v>
                </c:pt>
                <c:pt idx="47">
                  <c:v>9.297657366745181</c:v>
                </c:pt>
                <c:pt idx="48">
                  <c:v>9.8265026239034938</c:v>
                </c:pt>
                <c:pt idx="49">
                  <c:v>10.358051382579831</c:v>
                </c:pt>
                <c:pt idx="50">
                  <c:v>10.890900157130085</c:v>
                </c:pt>
                <c:pt idx="51">
                  <c:v>11.355067327053314</c:v>
                </c:pt>
                <c:pt idx="52">
                  <c:v>11.771062917611582</c:v>
                </c:pt>
                <c:pt idx="53">
                  <c:v>12.150361996688224</c:v>
                </c:pt>
                <c:pt idx="54">
                  <c:v>12.501315831093812</c:v>
                </c:pt>
                <c:pt idx="55">
                  <c:v>12.829988257625953</c:v>
                </c:pt>
                <c:pt idx="56">
                  <c:v>13.140659342402618</c:v>
                </c:pt>
                <c:pt idx="57">
                  <c:v>13.436102461777297</c:v>
                </c:pt>
                <c:pt idx="58">
                  <c:v>13.718386489212309</c:v>
                </c:pt>
                <c:pt idx="59">
                  <c:v>13.989173340123255</c:v>
                </c:pt>
                <c:pt idx="60">
                  <c:v>14.249859956247716</c:v>
                </c:pt>
                <c:pt idx="61">
                  <c:v>14.501687131256073</c:v>
                </c:pt>
                <c:pt idx="62">
                  <c:v>14.74556150358489</c:v>
                </c:pt>
                <c:pt idx="63">
                  <c:v>14.982342175794422</c:v>
                </c:pt>
                <c:pt idx="64">
                  <c:v>15.21276411046073</c:v>
                </c:pt>
                <c:pt idx="65">
                  <c:v>15.437391058940023</c:v>
                </c:pt>
                <c:pt idx="66">
                  <c:v>15.65674301969395</c:v>
                </c:pt>
                <c:pt idx="67">
                  <c:v>15.871143272458182</c:v>
                </c:pt>
                <c:pt idx="68">
                  <c:v>16.081098050180746</c:v>
                </c:pt>
                <c:pt idx="69">
                  <c:v>16.313141515280506</c:v>
                </c:pt>
                <c:pt idx="70">
                  <c:v>16.575881108264305</c:v>
                </c:pt>
                <c:pt idx="71">
                  <c:v>16.885309274414016</c:v>
                </c:pt>
                <c:pt idx="72">
                  <c:v>17.390716406576789</c:v>
                </c:pt>
                <c:pt idx="73">
                  <c:v>17.952607198742456</c:v>
                </c:pt>
                <c:pt idx="74">
                  <c:v>18.439979605338024</c:v>
                </c:pt>
                <c:pt idx="75">
                  <c:v>18.876759367508736</c:v>
                </c:pt>
                <c:pt idx="76">
                  <c:v>19.27640184127868</c:v>
                </c:pt>
                <c:pt idx="77">
                  <c:v>19.64732243094009</c:v>
                </c:pt>
                <c:pt idx="78">
                  <c:v>19.995076500866311</c:v>
                </c:pt>
                <c:pt idx="79">
                  <c:v>20.323730548357045</c:v>
                </c:pt>
                <c:pt idx="80">
                  <c:v>20.636365697314822</c:v>
                </c:pt>
                <c:pt idx="81">
                  <c:v>20.935080789279034</c:v>
                </c:pt>
                <c:pt idx="82">
                  <c:v>21.221737974624485</c:v>
                </c:pt>
                <c:pt idx="83">
                  <c:v>21.497754512792579</c:v>
                </c:pt>
                <c:pt idx="84">
                  <c:v>21.764330810426298</c:v>
                </c:pt>
                <c:pt idx="85">
                  <c:v>22.022496263408886</c:v>
                </c:pt>
                <c:pt idx="86">
                  <c:v>22.273089192762136</c:v>
                </c:pt>
                <c:pt idx="87">
                  <c:v>22.516889329294582</c:v>
                </c:pt>
                <c:pt idx="88">
                  <c:v>22.754316202787425</c:v>
                </c:pt>
                <c:pt idx="89">
                  <c:v>22.985329477925639</c:v>
                </c:pt>
                <c:pt idx="90">
                  <c:v>23.2109875158453</c:v>
                </c:pt>
                <c:pt idx="91">
                  <c:v>23.431760207258062</c:v>
                </c:pt>
                <c:pt idx="92">
                  <c:v>23.648019056427138</c:v>
                </c:pt>
                <c:pt idx="93">
                  <c:v>23.865032870364512</c:v>
                </c:pt>
                <c:pt idx="94">
                  <c:v>24.080430744332283</c:v>
                </c:pt>
                <c:pt idx="95">
                  <c:v>24.294289198402961</c:v>
                </c:pt>
                <c:pt idx="96">
                  <c:v>24.50667535426026</c:v>
                </c:pt>
                <c:pt idx="97">
                  <c:v>24.717593495900424</c:v>
                </c:pt>
                <c:pt idx="98">
                  <c:v>24.9269760373077</c:v>
                </c:pt>
                <c:pt idx="99">
                  <c:v>25.134628941610149</c:v>
                </c:pt>
                <c:pt idx="100">
                  <c:v>25.340550074581945</c:v>
                </c:pt>
                <c:pt idx="101">
                  <c:v>25.544892134674129</c:v>
                </c:pt>
                <c:pt idx="102">
                  <c:v>25.747748176352339</c:v>
                </c:pt>
                <c:pt idx="103">
                  <c:v>25.949167394468596</c:v>
                </c:pt>
                <c:pt idx="104">
                  <c:v>26.149225008676023</c:v>
                </c:pt>
                <c:pt idx="105">
                  <c:v>26.348012533621169</c:v>
                </c:pt>
                <c:pt idx="106">
                  <c:v>26.545598497633751</c:v>
                </c:pt>
                <c:pt idx="107">
                  <c:v>26.742082261029395</c:v>
                </c:pt>
                <c:pt idx="108">
                  <c:v>26.937540805252674</c:v>
                </c:pt>
                <c:pt idx="109">
                  <c:v>27.132012705629219</c:v>
                </c:pt>
                <c:pt idx="110">
                  <c:v>27.325576731231045</c:v>
                </c:pt>
                <c:pt idx="111">
                  <c:v>27.518251288009573</c:v>
                </c:pt>
                <c:pt idx="112">
                  <c:v>27.710119740993889</c:v>
                </c:pt>
                <c:pt idx="113">
                  <c:v>27.901327051851059</c:v>
                </c:pt>
                <c:pt idx="114">
                  <c:v>28.106696119269035</c:v>
                </c:pt>
                <c:pt idx="115">
                  <c:v>28.329616615601481</c:v>
                </c:pt>
                <c:pt idx="116">
                  <c:v>28.575089814233088</c:v>
                </c:pt>
                <c:pt idx="117">
                  <c:v>28.81495295658388</c:v>
                </c:pt>
                <c:pt idx="118">
                  <c:v>29.049484860770871</c:v>
                </c:pt>
                <c:pt idx="119">
                  <c:v>29.284769462431235</c:v>
                </c:pt>
                <c:pt idx="120">
                  <c:v>29.518111525087317</c:v>
                </c:pt>
                <c:pt idx="121">
                  <c:v>29.749424415145654</c:v>
                </c:pt>
                <c:pt idx="122">
                  <c:v>29.978649076622322</c:v>
                </c:pt>
                <c:pt idx="123">
                  <c:v>30.205463654403662</c:v>
                </c:pt>
                <c:pt idx="124">
                  <c:v>30.430040933953492</c:v>
                </c:pt>
                <c:pt idx="125">
                  <c:v>30.652546501935134</c:v>
                </c:pt>
                <c:pt idx="126">
                  <c:v>30.872920829933346</c:v>
                </c:pt>
                <c:pt idx="127">
                  <c:v>31.091214946203035</c:v>
                </c:pt>
                <c:pt idx="128">
                  <c:v>31.307640202526109</c:v>
                </c:pt>
                <c:pt idx="129">
                  <c:v>31.52231888249079</c:v>
                </c:pt>
                <c:pt idx="130">
                  <c:v>31.735340378270468</c:v>
                </c:pt>
                <c:pt idx="131">
                  <c:v>31.946789099204821</c:v>
                </c:pt>
                <c:pt idx="132">
                  <c:v>32.156814431841902</c:v>
                </c:pt>
                <c:pt idx="133">
                  <c:v>32.365495731913285</c:v>
                </c:pt>
                <c:pt idx="134">
                  <c:v>32.572938332637172</c:v>
                </c:pt>
                <c:pt idx="135">
                  <c:v>32.779225690782184</c:v>
                </c:pt>
                <c:pt idx="136">
                  <c:v>32.984406853068855</c:v>
                </c:pt>
                <c:pt idx="137">
                  <c:v>33.188481512975969</c:v>
                </c:pt>
                <c:pt idx="138">
                  <c:v>33.408392062320949</c:v>
                </c:pt>
                <c:pt idx="139">
                  <c:v>33.648375391537868</c:v>
                </c:pt>
                <c:pt idx="140">
                  <c:v>33.914970710913408</c:v>
                </c:pt>
                <c:pt idx="141">
                  <c:v>34.218953776384112</c:v>
                </c:pt>
                <c:pt idx="142">
                  <c:v>34.58099821729482</c:v>
                </c:pt>
                <c:pt idx="143">
                  <c:v>34.925036559868687</c:v>
                </c:pt>
                <c:pt idx="144">
                  <c:v>35.253486860639839</c:v>
                </c:pt>
                <c:pt idx="145">
                  <c:v>35.568260176824182</c:v>
                </c:pt>
                <c:pt idx="146">
                  <c:v>35.870821737896954</c:v>
                </c:pt>
                <c:pt idx="147">
                  <c:v>36.162444570285075</c:v>
                </c:pt>
                <c:pt idx="148">
                  <c:v>36.444273113608865</c:v>
                </c:pt>
                <c:pt idx="149">
                  <c:v>36.717249378534405</c:v>
                </c:pt>
                <c:pt idx="150">
                  <c:v>36.982233162728406</c:v>
                </c:pt>
                <c:pt idx="151">
                  <c:v>37.239945802258895</c:v>
                </c:pt>
                <c:pt idx="152">
                  <c:v>37.490984167610506</c:v>
                </c:pt>
                <c:pt idx="153">
                  <c:v>37.742378377194896</c:v>
                </c:pt>
                <c:pt idx="154">
                  <c:v>37.990958858549696</c:v>
                </c:pt>
                <c:pt idx="155">
                  <c:v>38.236861211409817</c:v>
                </c:pt>
                <c:pt idx="156">
                  <c:v>38.48029215018525</c:v>
                </c:pt>
                <c:pt idx="157">
                  <c:v>38.72130194496804</c:v>
                </c:pt>
                <c:pt idx="158">
                  <c:v>38.959986832493371</c:v>
                </c:pt>
                <c:pt idx="159">
                  <c:v>39.221774664261453</c:v>
                </c:pt>
                <c:pt idx="160">
                  <c:v>39.489940680885709</c:v>
                </c:pt>
                <c:pt idx="161">
                  <c:v>39.76485686372137</c:v>
                </c:pt>
                <c:pt idx="162">
                  <c:v>40.043629326728627</c:v>
                </c:pt>
                <c:pt idx="163">
                  <c:v>40.326467154806942</c:v>
                </c:pt>
                <c:pt idx="164">
                  <c:v>40.610078590012868</c:v>
                </c:pt>
                <c:pt idx="165">
                  <c:v>40.894212030266409</c:v>
                </c:pt>
                <c:pt idx="166">
                  <c:v>41.178710712295384</c:v>
                </c:pt>
                <c:pt idx="167">
                  <c:v>41.463572113309795</c:v>
                </c:pt>
                <c:pt idx="168">
                  <c:v>41.748894641806807</c:v>
                </c:pt>
                <c:pt idx="169">
                  <c:v>42.034641266689363</c:v>
                </c:pt>
                <c:pt idx="170">
                  <c:v>42.320774956860504</c:v>
                </c:pt>
                <c:pt idx="171">
                  <c:v>42.607278458166562</c:v>
                </c:pt>
                <c:pt idx="172">
                  <c:v>42.894149747652826</c:v>
                </c:pt>
                <c:pt idx="173">
                  <c:v>43.181398463873379</c:v>
                </c:pt>
                <c:pt idx="174">
                  <c:v>43.469035768502224</c:v>
                </c:pt>
                <c:pt idx="175">
                  <c:v>43.757087530962558</c:v>
                </c:pt>
                <c:pt idx="176">
                  <c:v>44.045561866688395</c:v>
                </c:pt>
                <c:pt idx="177">
                  <c:v>44.334463345039488</c:v>
                </c:pt>
                <c:pt idx="178">
                  <c:v>44.623806673764769</c:v>
                </c:pt>
                <c:pt idx="179">
                  <c:v>44.913617222451954</c:v>
                </c:pt>
                <c:pt idx="180">
                  <c:v>45.203949776186811</c:v>
                </c:pt>
                <c:pt idx="181">
                  <c:v>45.494863689414146</c:v>
                </c:pt>
                <c:pt idx="182">
                  <c:v>45.786375193003032</c:v>
                </c:pt>
                <c:pt idx="183">
                  <c:v>46.073681516762527</c:v>
                </c:pt>
                <c:pt idx="184">
                  <c:v>46.352422549766104</c:v>
                </c:pt>
                <c:pt idx="185">
                  <c:v>46.623384852868391</c:v>
                </c:pt>
                <c:pt idx="186">
                  <c:v>46.887204202175859</c:v>
                </c:pt>
                <c:pt idx="187">
                  <c:v>47.151534654443182</c:v>
                </c:pt>
                <c:pt idx="188">
                  <c:v>47.412791752293586</c:v>
                </c:pt>
                <c:pt idx="189">
                  <c:v>47.670443345485161</c:v>
                </c:pt>
                <c:pt idx="190">
                  <c:v>47.922640273817535</c:v>
                </c:pt>
                <c:pt idx="191">
                  <c:v>48.168164998609988</c:v>
                </c:pt>
                <c:pt idx="192">
                  <c:v>48.406812641686109</c:v>
                </c:pt>
                <c:pt idx="193">
                  <c:v>48.638709078467656</c:v>
                </c:pt>
                <c:pt idx="194">
                  <c:v>48.864170074262326</c:v>
                </c:pt>
                <c:pt idx="195">
                  <c:v>49.079466193186008</c:v>
                </c:pt>
                <c:pt idx="196">
                  <c:v>49.288877308072955</c:v>
                </c:pt>
                <c:pt idx="197">
                  <c:v>49.492713722981222</c:v>
                </c:pt>
                <c:pt idx="198">
                  <c:v>49.691154753818132</c:v>
                </c:pt>
                <c:pt idx="199">
                  <c:v>49.884235272627876</c:v>
                </c:pt>
                <c:pt idx="200">
                  <c:v>50.071997312959049</c:v>
                </c:pt>
                <c:pt idx="201">
                  <c:v>50.254849351251032</c:v>
                </c:pt>
                <c:pt idx="202">
                  <c:v>50.432846482468001</c:v>
                </c:pt>
                <c:pt idx="203">
                  <c:v>50.605957810142037</c:v>
                </c:pt>
                <c:pt idx="204">
                  <c:v>50.783900085511952</c:v>
                </c:pt>
                <c:pt idx="205">
                  <c:v>50.961116474210392</c:v>
                </c:pt>
                <c:pt idx="206">
                  <c:v>51.139843053222172</c:v>
                </c:pt>
                <c:pt idx="207">
                  <c:v>51.324041437954939</c:v>
                </c:pt>
                <c:pt idx="208">
                  <c:v>51.514056210424428</c:v>
                </c:pt>
                <c:pt idx="209">
                  <c:v>51.710356691292958</c:v>
                </c:pt>
                <c:pt idx="210">
                  <c:v>51.990356691292959</c:v>
                </c:pt>
                <c:pt idx="211">
                  <c:v>52.27035669129296</c:v>
                </c:pt>
                <c:pt idx="212">
                  <c:v>52.554490131546501</c:v>
                </c:pt>
                <c:pt idx="213">
                  <c:v>52.838988813575476</c:v>
                </c:pt>
                <c:pt idx="214">
                  <c:v>53.123850214589886</c:v>
                </c:pt>
                <c:pt idx="215">
                  <c:v>53.409172743086899</c:v>
                </c:pt>
                <c:pt idx="216">
                  <c:v>53.694919367969455</c:v>
                </c:pt>
                <c:pt idx="217">
                  <c:v>53.981053058140596</c:v>
                </c:pt>
                <c:pt idx="218">
                  <c:v>54.267556559446653</c:v>
                </c:pt>
                <c:pt idx="219">
                  <c:v>54.554427848932917</c:v>
                </c:pt>
                <c:pt idx="220">
                  <c:v>54.834427848932918</c:v>
                </c:pt>
                <c:pt idx="221">
                  <c:v>55.118561289186459</c:v>
                </c:pt>
                <c:pt idx="222">
                  <c:v>55.403059971215434</c:v>
                </c:pt>
                <c:pt idx="223">
                  <c:v>55.687921372229845</c:v>
                </c:pt>
                <c:pt idx="224">
                  <c:v>55.973243900726857</c:v>
                </c:pt>
                <c:pt idx="225">
                  <c:v>56.258990525609413</c:v>
                </c:pt>
                <c:pt idx="226">
                  <c:v>56.545124215780554</c:v>
                </c:pt>
                <c:pt idx="227">
                  <c:v>56.831627717086612</c:v>
                </c:pt>
                <c:pt idx="228">
                  <c:v>57.118499006572875</c:v>
                </c:pt>
                <c:pt idx="229">
                  <c:v>57.405747722793429</c:v>
                </c:pt>
                <c:pt idx="230">
                  <c:v>57.693385027422273</c:v>
                </c:pt>
                <c:pt idx="231">
                  <c:v>57.981436789882608</c:v>
                </c:pt>
                <c:pt idx="232">
                  <c:v>58.269911125608445</c:v>
                </c:pt>
                <c:pt idx="233">
                  <c:v>58.558812603959538</c:v>
                </c:pt>
                <c:pt idx="234">
                  <c:v>58.848155932684818</c:v>
                </c:pt>
                <c:pt idx="235">
                  <c:v>59.137966481372004</c:v>
                </c:pt>
                <c:pt idx="236">
                  <c:v>59.428299035106861</c:v>
                </c:pt>
                <c:pt idx="237">
                  <c:v>59.719212948334196</c:v>
                </c:pt>
                <c:pt idx="238">
                  <c:v>60.010724451923082</c:v>
                </c:pt>
                <c:pt idx="239">
                  <c:v>60.298030775682577</c:v>
                </c:pt>
                <c:pt idx="240">
                  <c:v>60.576771808686154</c:v>
                </c:pt>
                <c:pt idx="241">
                  <c:v>60.847734111788441</c:v>
                </c:pt>
                <c:pt idx="242">
                  <c:v>61.111553461095909</c:v>
                </c:pt>
                <c:pt idx="243">
                  <c:v>61.375883913363232</c:v>
                </c:pt>
                <c:pt idx="244">
                  <c:v>61.637141011213636</c:v>
                </c:pt>
                <c:pt idx="245">
                  <c:v>61.894792604405211</c:v>
                </c:pt>
                <c:pt idx="246">
                  <c:v>62.146989532737585</c:v>
                </c:pt>
                <c:pt idx="247">
                  <c:v>62.392514257530038</c:v>
                </c:pt>
                <c:pt idx="248">
                  <c:v>62.631161900606159</c:v>
                </c:pt>
                <c:pt idx="249">
                  <c:v>62.863058337387706</c:v>
                </c:pt>
                <c:pt idx="250">
                  <c:v>63.088519333182376</c:v>
                </c:pt>
                <c:pt idx="251">
                  <c:v>63.303815452106058</c:v>
                </c:pt>
                <c:pt idx="252">
                  <c:v>63.513226566993005</c:v>
                </c:pt>
                <c:pt idx="253">
                  <c:v>63.717062981901272</c:v>
                </c:pt>
                <c:pt idx="254">
                  <c:v>63.915504012738182</c:v>
                </c:pt>
                <c:pt idx="255">
                  <c:v>64.108584531547933</c:v>
                </c:pt>
                <c:pt idx="256">
                  <c:v>64.296346571879113</c:v>
                </c:pt>
                <c:pt idx="257">
                  <c:v>64.479198610171096</c:v>
                </c:pt>
                <c:pt idx="258">
                  <c:v>64.657195741388065</c:v>
                </c:pt>
                <c:pt idx="259">
                  <c:v>64.830307069062101</c:v>
                </c:pt>
                <c:pt idx="260">
                  <c:v>64.998360048545138</c:v>
                </c:pt>
                <c:pt idx="261">
                  <c:v>65.161430698817469</c:v>
                </c:pt>
                <c:pt idx="262">
                  <c:v>65.320058852168501</c:v>
                </c:pt>
                <c:pt idx="263">
                  <c:v>65.474389461113404</c:v>
                </c:pt>
                <c:pt idx="264">
                  <c:v>65.624295689799055</c:v>
                </c:pt>
                <c:pt idx="265">
                  <c:v>65.769698437528731</c:v>
                </c:pt>
                <c:pt idx="266">
                  <c:v>69.546388903024848</c:v>
                </c:pt>
                <c:pt idx="267">
                  <c:v>72.784530783092507</c:v>
                </c:pt>
                <c:pt idx="268">
                  <c:v>72.881431570798057</c:v>
                </c:pt>
                <c:pt idx="269">
                  <c:v>73.004702771439298</c:v>
                </c:pt>
                <c:pt idx="270">
                  <c:v>73.134574147511202</c:v>
                </c:pt>
                <c:pt idx="271">
                  <c:v>73.288844527917917</c:v>
                </c:pt>
                <c:pt idx="272">
                  <c:v>73.454944256399585</c:v>
                </c:pt>
                <c:pt idx="273">
                  <c:v>73.734944256399586</c:v>
                </c:pt>
                <c:pt idx="274">
                  <c:v>73.996978429077856</c:v>
                </c:pt>
                <c:pt idx="275">
                  <c:v>74.281477111106824</c:v>
                </c:pt>
                <c:pt idx="276">
                  <c:v>74.566338512121234</c:v>
                </c:pt>
                <c:pt idx="277">
                  <c:v>74.851661040618254</c:v>
                </c:pt>
                <c:pt idx="278">
                  <c:v>75.137407665500803</c:v>
                </c:pt>
                <c:pt idx="279">
                  <c:v>75.423541355671944</c:v>
                </c:pt>
                <c:pt idx="280">
                  <c:v>75.710044856978001</c:v>
                </c:pt>
                <c:pt idx="281">
                  <c:v>75.996916146464258</c:v>
                </c:pt>
                <c:pt idx="282">
                  <c:v>76.284164862684804</c:v>
                </c:pt>
                <c:pt idx="283">
                  <c:v>76.571802167313649</c:v>
                </c:pt>
                <c:pt idx="284">
                  <c:v>76.859853929773976</c:v>
                </c:pt>
                <c:pt idx="285">
                  <c:v>77.148328265499813</c:v>
                </c:pt>
                <c:pt idx="286">
                  <c:v>77.437229743850907</c:v>
                </c:pt>
                <c:pt idx="287">
                  <c:v>77.726573072576187</c:v>
                </c:pt>
                <c:pt idx="288">
                  <c:v>78.016383621263373</c:v>
                </c:pt>
                <c:pt idx="289">
                  <c:v>78.306716174998229</c:v>
                </c:pt>
                <c:pt idx="290">
                  <c:v>78.597630088225557</c:v>
                </c:pt>
                <c:pt idx="291">
                  <c:v>78.88914159181445</c:v>
                </c:pt>
                <c:pt idx="292">
                  <c:v>79.176447915573945</c:v>
                </c:pt>
                <c:pt idx="293">
                  <c:v>79.455188948577529</c:v>
                </c:pt>
                <c:pt idx="294">
                  <c:v>79.726151251679809</c:v>
                </c:pt>
                <c:pt idx="295">
                  <c:v>79.989970600987277</c:v>
                </c:pt>
                <c:pt idx="296">
                  <c:v>80.254301053254594</c:v>
                </c:pt>
                <c:pt idx="297">
                  <c:v>80.515558151104997</c:v>
                </c:pt>
                <c:pt idx="298">
                  <c:v>80.773209744296565</c:v>
                </c:pt>
                <c:pt idx="299">
                  <c:v>81.025406672628947</c:v>
                </c:pt>
                <c:pt idx="300">
                  <c:v>81.270931397421407</c:v>
                </c:pt>
                <c:pt idx="301">
                  <c:v>81.509579040497528</c:v>
                </c:pt>
                <c:pt idx="302">
                  <c:v>81.741475477279067</c:v>
                </c:pt>
                <c:pt idx="303">
                  <c:v>81.96693647307373</c:v>
                </c:pt>
                <c:pt idx="304">
                  <c:v>82.182232591997419</c:v>
                </c:pt>
                <c:pt idx="305">
                  <c:v>82.391643706884366</c:v>
                </c:pt>
                <c:pt idx="306">
                  <c:v>82.595480121792633</c:v>
                </c:pt>
                <c:pt idx="307">
                  <c:v>82.793921152629537</c:v>
                </c:pt>
                <c:pt idx="308">
                  <c:v>82.987001671439288</c:v>
                </c:pt>
                <c:pt idx="309">
                  <c:v>83.174763711770467</c:v>
                </c:pt>
                <c:pt idx="310">
                  <c:v>83.35761575006245</c:v>
                </c:pt>
                <c:pt idx="311">
                  <c:v>83.53561288127942</c:v>
                </c:pt>
                <c:pt idx="312">
                  <c:v>83.708724208953456</c:v>
                </c:pt>
                <c:pt idx="313">
                  <c:v>83.876777188436492</c:v>
                </c:pt>
                <c:pt idx="314">
                  <c:v>84.039847838708823</c:v>
                </c:pt>
                <c:pt idx="315">
                  <c:v>84.198475992059855</c:v>
                </c:pt>
                <c:pt idx="316">
                  <c:v>84.352806601004758</c:v>
                </c:pt>
                <c:pt idx="317">
                  <c:v>84.504145800316749</c:v>
                </c:pt>
                <c:pt idx="318">
                  <c:v>84.655832535533335</c:v>
                </c:pt>
                <c:pt idx="319">
                  <c:v>89.632177619481155</c:v>
                </c:pt>
                <c:pt idx="320">
                  <c:v>110.47239193857871</c:v>
                </c:pt>
                <c:pt idx="321">
                  <c:v>110.61353595113357</c:v>
                </c:pt>
                <c:pt idx="322">
                  <c:v>110.75625104802587</c:v>
                </c:pt>
                <c:pt idx="323">
                  <c:v>110.90056462179834</c:v>
                </c:pt>
                <c:pt idx="324">
                  <c:v>111.05056462179834</c:v>
                </c:pt>
                <c:pt idx="325">
                  <c:v>111.1978631011384</c:v>
                </c:pt>
                <c:pt idx="326">
                  <c:v>111.38239310113839</c:v>
                </c:pt>
                <c:pt idx="327">
                  <c:v>111.66652654139193</c:v>
                </c:pt>
                <c:pt idx="328">
                  <c:v>111.9510252234209</c:v>
                </c:pt>
                <c:pt idx="329">
                  <c:v>112.23588662443531</c:v>
                </c:pt>
                <c:pt idx="330">
                  <c:v>112.52120915293233</c:v>
                </c:pt>
                <c:pt idx="331">
                  <c:v>112.80695577781488</c:v>
                </c:pt>
                <c:pt idx="332">
                  <c:v>113.09308946798602</c:v>
                </c:pt>
                <c:pt idx="333">
                  <c:v>113.37959296929208</c:v>
                </c:pt>
                <c:pt idx="334">
                  <c:v>113.66646425877833</c:v>
                </c:pt>
                <c:pt idx="335">
                  <c:v>113.95371297499888</c:v>
                </c:pt>
                <c:pt idx="336">
                  <c:v>114.24135027962772</c:v>
                </c:pt>
                <c:pt idx="337">
                  <c:v>114.52940204208805</c:v>
                </c:pt>
                <c:pt idx="338">
                  <c:v>114.81787637781389</c:v>
                </c:pt>
                <c:pt idx="339">
                  <c:v>115.10677785616498</c:v>
                </c:pt>
                <c:pt idx="340">
                  <c:v>115.39612118489026</c:v>
                </c:pt>
                <c:pt idx="341">
                  <c:v>115.68593173357745</c:v>
                </c:pt>
                <c:pt idx="342">
                  <c:v>115.9762642873123</c:v>
                </c:pt>
                <c:pt idx="343">
                  <c:v>116.26717820053963</c:v>
                </c:pt>
                <c:pt idx="344">
                  <c:v>116.55868970412853</c:v>
                </c:pt>
                <c:pt idx="345">
                  <c:v>116.84599602788802</c:v>
                </c:pt>
                <c:pt idx="346">
                  <c:v>117.1247370608916</c:v>
                </c:pt>
                <c:pt idx="347">
                  <c:v>117.39569936399388</c:v>
                </c:pt>
                <c:pt idx="348">
                  <c:v>117.65951871330135</c:v>
                </c:pt>
                <c:pt idx="349">
                  <c:v>117.92384916556867</c:v>
                </c:pt>
                <c:pt idx="350">
                  <c:v>118.18510626341907</c:v>
                </c:pt>
                <c:pt idx="351">
                  <c:v>118.44275785661064</c:v>
                </c:pt>
                <c:pt idx="352">
                  <c:v>118.69495478494302</c:v>
                </c:pt>
                <c:pt idx="353">
                  <c:v>118.94047950973548</c:v>
                </c:pt>
                <c:pt idx="354">
                  <c:v>119.1791271528116</c:v>
                </c:pt>
                <c:pt idx="355">
                  <c:v>119.41102358959314</c:v>
                </c:pt>
                <c:pt idx="356">
                  <c:v>119.63648458538781</c:v>
                </c:pt>
                <c:pt idx="357">
                  <c:v>119.85178070431149</c:v>
                </c:pt>
                <c:pt idx="358">
                  <c:v>120.06119181919844</c:v>
                </c:pt>
                <c:pt idx="359">
                  <c:v>120.26502823410671</c:v>
                </c:pt>
                <c:pt idx="360">
                  <c:v>120.46346926494361</c:v>
                </c:pt>
                <c:pt idx="361">
                  <c:v>120.65654978375336</c:v>
                </c:pt>
                <c:pt idx="362">
                  <c:v>120.84431182408454</c:v>
                </c:pt>
                <c:pt idx="363">
                  <c:v>121.02716386237653</c:v>
                </c:pt>
                <c:pt idx="364">
                  <c:v>121.20516099359349</c:v>
                </c:pt>
                <c:pt idx="365">
                  <c:v>121.37827232126753</c:v>
                </c:pt>
                <c:pt idx="366">
                  <c:v>121.54632530075057</c:v>
                </c:pt>
                <c:pt idx="367">
                  <c:v>121.7093959510229</c:v>
                </c:pt>
                <c:pt idx="368">
                  <c:v>121.86802410437393</c:v>
                </c:pt>
                <c:pt idx="369">
                  <c:v>122.02235471331883</c:v>
                </c:pt>
                <c:pt idx="370">
                  <c:v>122.17226094200448</c:v>
                </c:pt>
                <c:pt idx="371">
                  <c:v>122.31766368973416</c:v>
                </c:pt>
                <c:pt idx="372">
                  <c:v>121.88017991798355</c:v>
                </c:pt>
                <c:pt idx="373">
                  <c:v>122.03224776737423</c:v>
                </c:pt>
                <c:pt idx="374">
                  <c:v>122.18538858266099</c:v>
                </c:pt>
                <c:pt idx="375">
                  <c:v>122.34192030210112</c:v>
                </c:pt>
                <c:pt idx="376">
                  <c:v>122.50570242113908</c:v>
                </c:pt>
                <c:pt idx="377">
                  <c:v>122.67232803531887</c:v>
                </c:pt>
                <c:pt idx="378">
                  <c:v>122.84397397121103</c:v>
                </c:pt>
                <c:pt idx="379">
                  <c:v>123.02512187218032</c:v>
                </c:pt>
                <c:pt idx="380">
                  <c:v>123.2165743239746</c:v>
                </c:pt>
                <c:pt idx="381">
                  <c:v>123.41578202563397</c:v>
                </c:pt>
                <c:pt idx="382">
                  <c:v>123.61981100376462</c:v>
                </c:pt>
                <c:pt idx="383">
                  <c:v>123.77981100376462</c:v>
                </c:pt>
                <c:pt idx="384">
                  <c:v>124.01981100376462</c:v>
                </c:pt>
                <c:pt idx="385">
                  <c:v>124.30394444401816</c:v>
                </c:pt>
                <c:pt idx="386">
                  <c:v>124.58844312604712</c:v>
                </c:pt>
                <c:pt idx="387">
                  <c:v>124.87330452706153</c:v>
                </c:pt>
                <c:pt idx="388">
                  <c:v>125.15862705555855</c:v>
                </c:pt>
                <c:pt idx="389">
                  <c:v>125.4443736804411</c:v>
                </c:pt>
                <c:pt idx="390">
                  <c:v>125.73050737061224</c:v>
                </c:pt>
                <c:pt idx="391">
                  <c:v>126.0170108719183</c:v>
                </c:pt>
                <c:pt idx="392">
                  <c:v>126.30388216140456</c:v>
                </c:pt>
                <c:pt idx="393">
                  <c:v>126.5911308776251</c:v>
                </c:pt>
                <c:pt idx="394">
                  <c:v>126.87876818225395</c:v>
                </c:pt>
                <c:pt idx="395">
                  <c:v>127.16681994471428</c:v>
                </c:pt>
                <c:pt idx="396">
                  <c:v>127.45529428044011</c:v>
                </c:pt>
                <c:pt idx="397">
                  <c:v>127.74419575879121</c:v>
                </c:pt>
                <c:pt idx="398">
                  <c:v>128.03353908751649</c:v>
                </c:pt>
                <c:pt idx="399">
                  <c:v>128.32334963620369</c:v>
                </c:pt>
                <c:pt idx="400">
                  <c:v>128.61368218993854</c:v>
                </c:pt>
                <c:pt idx="401">
                  <c:v>128.90459610316589</c:v>
                </c:pt>
                <c:pt idx="402">
                  <c:v>129.19610760675477</c:v>
                </c:pt>
                <c:pt idx="403">
                  <c:v>129.48341393051427</c:v>
                </c:pt>
                <c:pt idx="404">
                  <c:v>129.76215496351784</c:v>
                </c:pt>
                <c:pt idx="405">
                  <c:v>130.03311726662014</c:v>
                </c:pt>
                <c:pt idx="406">
                  <c:v>130.29693661592759</c:v>
                </c:pt>
                <c:pt idx="407">
                  <c:v>130.56126706819492</c:v>
                </c:pt>
                <c:pt idx="408">
                  <c:v>130.82252416604533</c:v>
                </c:pt>
                <c:pt idx="409">
                  <c:v>131.08017575923691</c:v>
                </c:pt>
                <c:pt idx="410">
                  <c:v>131.33237268756929</c:v>
                </c:pt>
                <c:pt idx="411">
                  <c:v>131.57789741236175</c:v>
                </c:pt>
                <c:pt idx="412">
                  <c:v>131.81654505543787</c:v>
                </c:pt>
                <c:pt idx="413">
                  <c:v>132.04844149221941</c:v>
                </c:pt>
                <c:pt idx="414">
                  <c:v>132.27390248801407</c:v>
                </c:pt>
                <c:pt idx="415">
                  <c:v>132.48919860693775</c:v>
                </c:pt>
                <c:pt idx="416">
                  <c:v>132.69860972182468</c:v>
                </c:pt>
                <c:pt idx="417">
                  <c:v>132.90244613673295</c:v>
                </c:pt>
                <c:pt idx="418">
                  <c:v>133.10088716756985</c:v>
                </c:pt>
                <c:pt idx="419">
                  <c:v>133.2939676863796</c:v>
                </c:pt>
                <c:pt idx="420">
                  <c:v>133.48172972671077</c:v>
                </c:pt>
                <c:pt idx="421">
                  <c:v>133.66458176500277</c:v>
                </c:pt>
                <c:pt idx="422">
                  <c:v>133.84257889621975</c:v>
                </c:pt>
                <c:pt idx="423">
                  <c:v>134.01569022389378</c:v>
                </c:pt>
                <c:pt idx="424">
                  <c:v>134.18374320337682</c:v>
                </c:pt>
                <c:pt idx="425">
                  <c:v>134.34681385364914</c:v>
                </c:pt>
                <c:pt idx="426">
                  <c:v>134.50544200700017</c:v>
                </c:pt>
                <c:pt idx="427">
                  <c:v>134.65977261594509</c:v>
                </c:pt>
                <c:pt idx="428">
                  <c:v>134.81523924796559</c:v>
                </c:pt>
                <c:pt idx="429">
                  <c:v>134.96973499679731</c:v>
                </c:pt>
                <c:pt idx="430">
                  <c:v>143.90360562232001</c:v>
                </c:pt>
                <c:pt idx="431">
                  <c:v>144.06734959224778</c:v>
                </c:pt>
                <c:pt idx="432">
                  <c:v>144.23962577145826</c:v>
                </c:pt>
                <c:pt idx="433">
                  <c:v>144.42536928854011</c:v>
                </c:pt>
                <c:pt idx="434">
                  <c:v>144.6706692885401</c:v>
                </c:pt>
                <c:pt idx="435">
                  <c:v>144.85966928854009</c:v>
                </c:pt>
                <c:pt idx="436">
                  <c:v>145.14380272879362</c:v>
                </c:pt>
                <c:pt idx="437">
                  <c:v>145.4283014108226</c:v>
                </c:pt>
                <c:pt idx="438">
                  <c:v>145.71316281183701</c:v>
                </c:pt>
                <c:pt idx="439">
                  <c:v>145.99848534033401</c:v>
                </c:pt>
                <c:pt idx="440">
                  <c:v>146.28423196521658</c:v>
                </c:pt>
                <c:pt idx="441">
                  <c:v>146.57036565538772</c:v>
                </c:pt>
                <c:pt idx="442">
                  <c:v>146.85686915669379</c:v>
                </c:pt>
                <c:pt idx="443">
                  <c:v>147.14374044618006</c:v>
                </c:pt>
                <c:pt idx="444">
                  <c:v>147.43098916240061</c:v>
                </c:pt>
                <c:pt idx="445">
                  <c:v>147.71862646702945</c:v>
                </c:pt>
                <c:pt idx="446">
                  <c:v>148.00667822948978</c:v>
                </c:pt>
                <c:pt idx="447">
                  <c:v>148.2951525652156</c:v>
                </c:pt>
                <c:pt idx="448">
                  <c:v>148.58405404356671</c:v>
                </c:pt>
                <c:pt idx="449">
                  <c:v>148.873397372292</c:v>
                </c:pt>
                <c:pt idx="450">
                  <c:v>149.1632079209792</c:v>
                </c:pt>
                <c:pt idx="451">
                  <c:v>149.45354047471406</c:v>
                </c:pt>
                <c:pt idx="452">
                  <c:v>149.7444543879414</c:v>
                </c:pt>
                <c:pt idx="453">
                  <c:v>150.03596589153028</c:v>
                </c:pt>
                <c:pt idx="454">
                  <c:v>150.32327221528979</c:v>
                </c:pt>
                <c:pt idx="455">
                  <c:v>150.60201324829336</c:v>
                </c:pt>
                <c:pt idx="456">
                  <c:v>150.87297555139565</c:v>
                </c:pt>
                <c:pt idx="457">
                  <c:v>151.13679490070311</c:v>
                </c:pt>
                <c:pt idx="458">
                  <c:v>151.40112535297044</c:v>
                </c:pt>
                <c:pt idx="459">
                  <c:v>151.66238245082084</c:v>
                </c:pt>
                <c:pt idx="460">
                  <c:v>151.92003404401243</c:v>
                </c:pt>
                <c:pt idx="461">
                  <c:v>152.17223097234481</c:v>
                </c:pt>
                <c:pt idx="462">
                  <c:v>152.41775569713727</c:v>
                </c:pt>
                <c:pt idx="463">
                  <c:v>152.65640334021339</c:v>
                </c:pt>
                <c:pt idx="464">
                  <c:v>152.88829977699493</c:v>
                </c:pt>
                <c:pt idx="465">
                  <c:v>153.11376077278959</c:v>
                </c:pt>
                <c:pt idx="466">
                  <c:v>153.32905689171326</c:v>
                </c:pt>
                <c:pt idx="467">
                  <c:v>153.5384680066002</c:v>
                </c:pt>
                <c:pt idx="468">
                  <c:v>153.74230442150846</c:v>
                </c:pt>
                <c:pt idx="469">
                  <c:v>153.94074545234537</c:v>
                </c:pt>
                <c:pt idx="470">
                  <c:v>154.13382597115512</c:v>
                </c:pt>
                <c:pt idx="471">
                  <c:v>154.32158801148628</c:v>
                </c:pt>
                <c:pt idx="472">
                  <c:v>154.50444004977828</c:v>
                </c:pt>
                <c:pt idx="473">
                  <c:v>154.68243718099527</c:v>
                </c:pt>
                <c:pt idx="474">
                  <c:v>154.8555485086693</c:v>
                </c:pt>
                <c:pt idx="475">
                  <c:v>155.02360148815234</c:v>
                </c:pt>
                <c:pt idx="476">
                  <c:v>155.18667213842465</c:v>
                </c:pt>
                <c:pt idx="477">
                  <c:v>155.34530029177569</c:v>
                </c:pt>
                <c:pt idx="478">
                  <c:v>155.4996309007206</c:v>
                </c:pt>
                <c:pt idx="479">
                  <c:v>155.64953712940624</c:v>
                </c:pt>
                <c:pt idx="480">
                  <c:v>155.7949398771359</c:v>
                </c:pt>
                <c:pt idx="481">
                  <c:v>171.92592524853075</c:v>
                </c:pt>
                <c:pt idx="482">
                  <c:v>172.08570400010959</c:v>
                </c:pt>
                <c:pt idx="483">
                  <c:v>172.24853557684645</c:v>
                </c:pt>
                <c:pt idx="484">
                  <c:v>172.41617427931803</c:v>
                </c:pt>
                <c:pt idx="485">
                  <c:v>172.58895780836102</c:v>
                </c:pt>
                <c:pt idx="486">
                  <c:v>172.77538347633563</c:v>
                </c:pt>
                <c:pt idx="487">
                  <c:v>172.9669976707913</c:v>
                </c:pt>
                <c:pt idx="488">
                  <c:v>173.14699767079131</c:v>
                </c:pt>
                <c:pt idx="489">
                  <c:v>173.38699767079132</c:v>
                </c:pt>
                <c:pt idx="490">
                  <c:v>173.67113111104484</c:v>
                </c:pt>
                <c:pt idx="491">
                  <c:v>173.95562979307383</c:v>
                </c:pt>
                <c:pt idx="492">
                  <c:v>174.24049119408824</c:v>
                </c:pt>
                <c:pt idx="493">
                  <c:v>174.52581372258524</c:v>
                </c:pt>
                <c:pt idx="494">
                  <c:v>174.8115603474678</c:v>
                </c:pt>
                <c:pt idx="495">
                  <c:v>175.09769403763895</c:v>
                </c:pt>
                <c:pt idx="496">
                  <c:v>175.38419753894502</c:v>
                </c:pt>
                <c:pt idx="497">
                  <c:v>175.67106882843129</c:v>
                </c:pt>
                <c:pt idx="498">
                  <c:v>175.95831754465183</c:v>
                </c:pt>
                <c:pt idx="499">
                  <c:v>176.24595484928068</c:v>
                </c:pt>
                <c:pt idx="500">
                  <c:v>176.53400661174101</c:v>
                </c:pt>
                <c:pt idx="501">
                  <c:v>176.82248094746683</c:v>
                </c:pt>
                <c:pt idx="502">
                  <c:v>177.11138242581794</c:v>
                </c:pt>
                <c:pt idx="503">
                  <c:v>177.40072575454323</c:v>
                </c:pt>
                <c:pt idx="504">
                  <c:v>177.69053630323043</c:v>
                </c:pt>
                <c:pt idx="505">
                  <c:v>177.98086885696529</c:v>
                </c:pt>
                <c:pt idx="506">
                  <c:v>178.27178277019263</c:v>
                </c:pt>
                <c:pt idx="507">
                  <c:v>178.56329427378151</c:v>
                </c:pt>
                <c:pt idx="508">
                  <c:v>178.85060059754102</c:v>
                </c:pt>
                <c:pt idx="509">
                  <c:v>179.12934163054459</c:v>
                </c:pt>
                <c:pt idx="510">
                  <c:v>179.40030393364688</c:v>
                </c:pt>
                <c:pt idx="511">
                  <c:v>179.66412328295434</c:v>
                </c:pt>
                <c:pt idx="512">
                  <c:v>179.92845373522167</c:v>
                </c:pt>
                <c:pt idx="513">
                  <c:v>180.18971083307207</c:v>
                </c:pt>
                <c:pt idx="514">
                  <c:v>180.44736242626365</c:v>
                </c:pt>
                <c:pt idx="515">
                  <c:v>180.69955935459603</c:v>
                </c:pt>
                <c:pt idx="516">
                  <c:v>180.94508407938849</c:v>
                </c:pt>
                <c:pt idx="517">
                  <c:v>181.18373172246461</c:v>
                </c:pt>
                <c:pt idx="518">
                  <c:v>181.41562815924615</c:v>
                </c:pt>
                <c:pt idx="519">
                  <c:v>181.64108915504082</c:v>
                </c:pt>
                <c:pt idx="520">
                  <c:v>181.85638527396449</c:v>
                </c:pt>
                <c:pt idx="521">
                  <c:v>182.06579638885142</c:v>
                </c:pt>
                <c:pt idx="522">
                  <c:v>182.26963280375969</c:v>
                </c:pt>
                <c:pt idx="523">
                  <c:v>182.46807383459659</c:v>
                </c:pt>
                <c:pt idx="524">
                  <c:v>182.66115435340635</c:v>
                </c:pt>
                <c:pt idx="525">
                  <c:v>182.84891639373751</c:v>
                </c:pt>
                <c:pt idx="526">
                  <c:v>183.03176843202951</c:v>
                </c:pt>
                <c:pt idx="527">
                  <c:v>183.20976556324649</c:v>
                </c:pt>
                <c:pt idx="528">
                  <c:v>183.38287689092053</c:v>
                </c:pt>
                <c:pt idx="529">
                  <c:v>183.55092987040356</c:v>
                </c:pt>
                <c:pt idx="530">
                  <c:v>183.71400052067588</c:v>
                </c:pt>
                <c:pt idx="531">
                  <c:v>183.87262867402691</c:v>
                </c:pt>
                <c:pt idx="532">
                  <c:v>184.03125682737794</c:v>
                </c:pt>
              </c:numCache>
            </c:numRef>
          </c:xVal>
          <c:yVal>
            <c:numRef>
              <c:f>Data!$AN$2:$AN$533</c:f>
              <c:numCache>
                <c:formatCode>General</c:formatCode>
                <c:ptCount val="532"/>
                <c:pt idx="2">
                  <c:v>435.33801136109923</c:v>
                </c:pt>
                <c:pt idx="3">
                  <c:v>435.19699862655426</c:v>
                </c:pt>
                <c:pt idx="4">
                  <c:v>435.07915131839809</c:v>
                </c:pt>
                <c:pt idx="5">
                  <c:v>434.95118009746682</c:v>
                </c:pt>
                <c:pt idx="6">
                  <c:v>434.84901497618745</c:v>
                </c:pt>
                <c:pt idx="7">
                  <c:v>203.58651607554231</c:v>
                </c:pt>
                <c:pt idx="8">
                  <c:v>203.57800443686983</c:v>
                </c:pt>
                <c:pt idx="9">
                  <c:v>203.56825167926459</c:v>
                </c:pt>
                <c:pt idx="10">
                  <c:v>203.55939654859046</c:v>
                </c:pt>
                <c:pt idx="11">
                  <c:v>203.55086593757363</c:v>
                </c:pt>
                <c:pt idx="12">
                  <c:v>203.54154247253382</c:v>
                </c:pt>
                <c:pt idx="13">
                  <c:v>203.53456701998877</c:v>
                </c:pt>
                <c:pt idx="14">
                  <c:v>203.52563019423377</c:v>
                </c:pt>
                <c:pt idx="15">
                  <c:v>203.51987230846535</c:v>
                </c:pt>
                <c:pt idx="16">
                  <c:v>203.51174480294583</c:v>
                </c:pt>
                <c:pt idx="17">
                  <c:v>203.50589910948369</c:v>
                </c:pt>
                <c:pt idx="18">
                  <c:v>203.49848735440327</c:v>
                </c:pt>
                <c:pt idx="19">
                  <c:v>203.49246092124525</c:v>
                </c:pt>
                <c:pt idx="20">
                  <c:v>203.48591238343869</c:v>
                </c:pt>
                <c:pt idx="21">
                  <c:v>203.4795703196059</c:v>
                </c:pt>
                <c:pt idx="22">
                  <c:v>203.48352109359504</c:v>
                </c:pt>
                <c:pt idx="23">
                  <c:v>203.49163466435249</c:v>
                </c:pt>
                <c:pt idx="24">
                  <c:v>203.49130038468249</c:v>
                </c:pt>
                <c:pt idx="25">
                  <c:v>203.49730956136611</c:v>
                </c:pt>
                <c:pt idx="26">
                  <c:v>203.490397145305</c:v>
                </c:pt>
                <c:pt idx="27">
                  <c:v>203.48449443096419</c:v>
                </c:pt>
                <c:pt idx="28">
                  <c:v>203.47828358450363</c:v>
                </c:pt>
                <c:pt idx="29">
                  <c:v>203.47324756064182</c:v>
                </c:pt>
                <c:pt idx="30">
                  <c:v>203.46823889692499</c:v>
                </c:pt>
                <c:pt idx="31">
                  <c:v>203.46389159386288</c:v>
                </c:pt>
                <c:pt idx="32">
                  <c:v>43.929644061263438</c:v>
                </c:pt>
                <c:pt idx="33">
                  <c:v>203.46240873953431</c:v>
                </c:pt>
                <c:pt idx="34">
                  <c:v>203.45952786952958</c:v>
                </c:pt>
                <c:pt idx="35">
                  <c:v>-1577.2355289951381</c:v>
                </c:pt>
                <c:pt idx="36">
                  <c:v>-1346.3325083601292</c:v>
                </c:pt>
                <c:pt idx="37">
                  <c:v>-2185.0926080648392</c:v>
                </c:pt>
                <c:pt idx="38">
                  <c:v>-1489.8914005433137</c:v>
                </c:pt>
                <c:pt idx="39">
                  <c:v>-1478.2156214471879</c:v>
                </c:pt>
                <c:pt idx="40">
                  <c:v>-1460.9331588576258</c:v>
                </c:pt>
                <c:pt idx="41">
                  <c:v>-1433.0940808397281</c:v>
                </c:pt>
                <c:pt idx="42">
                  <c:v>-2099.3434912358716</c:v>
                </c:pt>
                <c:pt idx="43">
                  <c:v>-127.78130751987817</c:v>
                </c:pt>
                <c:pt idx="44">
                  <c:v>4.2099059110761932</c:v>
                </c:pt>
                <c:pt idx="45">
                  <c:v>0</c:v>
                </c:pt>
                <c:pt idx="46">
                  <c:v>0</c:v>
                </c:pt>
                <c:pt idx="47">
                  <c:v>0</c:v>
                </c:pt>
                <c:pt idx="48">
                  <c:v>0</c:v>
                </c:pt>
                <c:pt idx="49">
                  <c:v>0</c:v>
                </c:pt>
                <c:pt idx="50">
                  <c:v>0</c:v>
                </c:pt>
                <c:pt idx="51">
                  <c:v>461.41725907534067</c:v>
                </c:pt>
                <c:pt idx="52">
                  <c:v>454.82795659198393</c:v>
                </c:pt>
                <c:pt idx="53">
                  <c:v>450.56430369254826</c:v>
                </c:pt>
                <c:pt idx="54">
                  <c:v>447.62006586460552</c:v>
                </c:pt>
                <c:pt idx="55">
                  <c:v>445.48336809057719</c:v>
                </c:pt>
                <c:pt idx="56">
                  <c:v>443.86363812504629</c:v>
                </c:pt>
                <c:pt idx="57">
                  <c:v>442.58031963814261</c:v>
                </c:pt>
                <c:pt idx="58">
                  <c:v>441.53608343022074</c:v>
                </c:pt>
                <c:pt idx="59">
                  <c:v>440.67056958977378</c:v>
                </c:pt>
                <c:pt idx="60">
                  <c:v>439.94334806540559</c:v>
                </c:pt>
                <c:pt idx="61">
                  <c:v>439.32689156230435</c:v>
                </c:pt>
                <c:pt idx="62">
                  <c:v>438.794265698826</c:v>
                </c:pt>
                <c:pt idx="63">
                  <c:v>438.33225966609177</c:v>
                </c:pt>
                <c:pt idx="64">
                  <c:v>437.92802666853754</c:v>
                </c:pt>
                <c:pt idx="65">
                  <c:v>437.56967841795023</c:v>
                </c:pt>
                <c:pt idx="66">
                  <c:v>437.2506802111003</c:v>
                </c:pt>
                <c:pt idx="67">
                  <c:v>436.96153243240911</c:v>
                </c:pt>
                <c:pt idx="68">
                  <c:v>436.7037623407777</c:v>
                </c:pt>
                <c:pt idx="69">
                  <c:v>-1475.8978881818421</c:v>
                </c:pt>
                <c:pt idx="70">
                  <c:v>-1457.65372291931</c:v>
                </c:pt>
                <c:pt idx="71">
                  <c:v>-1427.6189441010672</c:v>
                </c:pt>
                <c:pt idx="72">
                  <c:v>-1955.539098204119</c:v>
                </c:pt>
                <c:pt idx="73">
                  <c:v>-269.5722638696584</c:v>
                </c:pt>
                <c:pt idx="74">
                  <c:v>0</c:v>
                </c:pt>
                <c:pt idx="75">
                  <c:v>0</c:v>
                </c:pt>
                <c:pt idx="76">
                  <c:v>0</c:v>
                </c:pt>
                <c:pt idx="77">
                  <c:v>0</c:v>
                </c:pt>
                <c:pt idx="78">
                  <c:v>0</c:v>
                </c:pt>
                <c:pt idx="79">
                  <c:v>444.31377309838973</c:v>
                </c:pt>
                <c:pt idx="80">
                  <c:v>442.96355562848692</c:v>
                </c:pt>
                <c:pt idx="81">
                  <c:v>441.86525548394792</c:v>
                </c:pt>
                <c:pt idx="82">
                  <c:v>440.9608030188059</c:v>
                </c:pt>
                <c:pt idx="83">
                  <c:v>440.20072161336793</c:v>
                </c:pt>
                <c:pt idx="84">
                  <c:v>439.5541982765111</c:v>
                </c:pt>
                <c:pt idx="85">
                  <c:v>438.99858513704106</c:v>
                </c:pt>
                <c:pt idx="86">
                  <c:v>438.51531995038209</c:v>
                </c:pt>
                <c:pt idx="87">
                  <c:v>438.09303026696023</c:v>
                </c:pt>
                <c:pt idx="88">
                  <c:v>437.71434472740265</c:v>
                </c:pt>
                <c:pt idx="89">
                  <c:v>437.36206812778892</c:v>
                </c:pt>
                <c:pt idx="90">
                  <c:v>437.06096417877694</c:v>
                </c:pt>
                <c:pt idx="91">
                  <c:v>436.79102923672701</c:v>
                </c:pt>
                <c:pt idx="92">
                  <c:v>436.54672180762441</c:v>
                </c:pt>
                <c:pt idx="93">
                  <c:v>0</c:v>
                </c:pt>
                <c:pt idx="94">
                  <c:v>203.94848397318404</c:v>
                </c:pt>
                <c:pt idx="95">
                  <c:v>203.92831283673564</c:v>
                </c:pt>
                <c:pt idx="96">
                  <c:v>203.90900504535472</c:v>
                </c:pt>
                <c:pt idx="97">
                  <c:v>203.89020905905465</c:v>
                </c:pt>
                <c:pt idx="98">
                  <c:v>203.87154691859189</c:v>
                </c:pt>
                <c:pt idx="99">
                  <c:v>203.85239125542901</c:v>
                </c:pt>
                <c:pt idx="100">
                  <c:v>203.83369740585644</c:v>
                </c:pt>
                <c:pt idx="101">
                  <c:v>203.81619416217936</c:v>
                </c:pt>
                <c:pt idx="102">
                  <c:v>203.79955022292339</c:v>
                </c:pt>
                <c:pt idx="103">
                  <c:v>203.78352532045693</c:v>
                </c:pt>
                <c:pt idx="104">
                  <c:v>203.76821845462493</c:v>
                </c:pt>
                <c:pt idx="105">
                  <c:v>203.75367905800192</c:v>
                </c:pt>
                <c:pt idx="106">
                  <c:v>203.73977372124179</c:v>
                </c:pt>
                <c:pt idx="107">
                  <c:v>203.72662080858998</c:v>
                </c:pt>
                <c:pt idx="108">
                  <c:v>203.71409301091154</c:v>
                </c:pt>
                <c:pt idx="109">
                  <c:v>203.70199690395873</c:v>
                </c:pt>
                <c:pt idx="110">
                  <c:v>203.69049687273238</c:v>
                </c:pt>
                <c:pt idx="111">
                  <c:v>203.67930723642888</c:v>
                </c:pt>
                <c:pt idx="112">
                  <c:v>203.66870210122181</c:v>
                </c:pt>
                <c:pt idx="113">
                  <c:v>203.65892976016457</c:v>
                </c:pt>
                <c:pt idx="114">
                  <c:v>-1498.8369793927584</c:v>
                </c:pt>
                <c:pt idx="115">
                  <c:v>-1490.6085959821412</c:v>
                </c:pt>
                <c:pt idx="116">
                  <c:v>-1479.3289178189198</c:v>
                </c:pt>
                <c:pt idx="117">
                  <c:v>437.24589726040784</c:v>
                </c:pt>
                <c:pt idx="118">
                  <c:v>436.95910592917124</c:v>
                </c:pt>
                <c:pt idx="119">
                  <c:v>0</c:v>
                </c:pt>
                <c:pt idx="120">
                  <c:v>204.03354635040208</c:v>
                </c:pt>
                <c:pt idx="121">
                  <c:v>204.00900810924821</c:v>
                </c:pt>
                <c:pt idx="122">
                  <c:v>203.98486319227598</c:v>
                </c:pt>
                <c:pt idx="123">
                  <c:v>203.95978511933998</c:v>
                </c:pt>
                <c:pt idx="124">
                  <c:v>203.93625113077366</c:v>
                </c:pt>
                <c:pt idx="125">
                  <c:v>203.91415792513951</c:v>
                </c:pt>
                <c:pt idx="126">
                  <c:v>203.89235833438332</c:v>
                </c:pt>
                <c:pt idx="127">
                  <c:v>203.87136685512647</c:v>
                </c:pt>
                <c:pt idx="128">
                  <c:v>203.85190656799207</c:v>
                </c:pt>
                <c:pt idx="129">
                  <c:v>203.83349911878571</c:v>
                </c:pt>
                <c:pt idx="130">
                  <c:v>203.81595055920388</c:v>
                </c:pt>
                <c:pt idx="131">
                  <c:v>203.79920472308561</c:v>
                </c:pt>
                <c:pt idx="132">
                  <c:v>203.78352605666987</c:v>
                </c:pt>
                <c:pt idx="133">
                  <c:v>203.76855982589925</c:v>
                </c:pt>
                <c:pt idx="134">
                  <c:v>203.75439583732509</c:v>
                </c:pt>
                <c:pt idx="135">
                  <c:v>203.74090877178196</c:v>
                </c:pt>
                <c:pt idx="136">
                  <c:v>203.72792431980335</c:v>
                </c:pt>
                <c:pt idx="137">
                  <c:v>203.71521121566656</c:v>
                </c:pt>
                <c:pt idx="138">
                  <c:v>-1495.1960579876102</c:v>
                </c:pt>
                <c:pt idx="139">
                  <c:v>-1485.7462316266008</c:v>
                </c:pt>
                <c:pt idx="140">
                  <c:v>0</c:v>
                </c:pt>
                <c:pt idx="141">
                  <c:v>0</c:v>
                </c:pt>
                <c:pt idx="142">
                  <c:v>0</c:v>
                </c:pt>
                <c:pt idx="143">
                  <c:v>442.96986416524066</c:v>
                </c:pt>
                <c:pt idx="144">
                  <c:v>441.86203389958843</c:v>
                </c:pt>
                <c:pt idx="145">
                  <c:v>440.94524134432061</c:v>
                </c:pt>
                <c:pt idx="146">
                  <c:v>440.17165125425072</c:v>
                </c:pt>
                <c:pt idx="147">
                  <c:v>439.5118217713777</c:v>
                </c:pt>
                <c:pt idx="148">
                  <c:v>438.94458308295771</c:v>
                </c:pt>
                <c:pt idx="149">
                  <c:v>438.45126811018332</c:v>
                </c:pt>
                <c:pt idx="150">
                  <c:v>438.01980404435761</c:v>
                </c:pt>
                <c:pt idx="151">
                  <c:v>437.63896266504446</c:v>
                </c:pt>
                <c:pt idx="152">
                  <c:v>437.29974264458605</c:v>
                </c:pt>
                <c:pt idx="153">
                  <c:v>0</c:v>
                </c:pt>
                <c:pt idx="154">
                  <c:v>204.09853151624901</c:v>
                </c:pt>
                <c:pt idx="155">
                  <c:v>204.06927012098038</c:v>
                </c:pt>
                <c:pt idx="156">
                  <c:v>204.04191835366126</c:v>
                </c:pt>
                <c:pt idx="157">
                  <c:v>204.01561495793695</c:v>
                </c:pt>
                <c:pt idx="158">
                  <c:v>203.99053404495723</c:v>
                </c:pt>
                <c:pt idx="159">
                  <c:v>0</c:v>
                </c:pt>
                <c:pt idx="160">
                  <c:v>-327.40912180166993</c:v>
                </c:pt>
                <c:pt idx="161">
                  <c:v>-319.37006797626162</c:v>
                </c:pt>
                <c:pt idx="162">
                  <c:v>-157.47609906096227</c:v>
                </c:pt>
                <c:pt idx="163">
                  <c:v>-155.21261882920467</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213.28039279781001</c:v>
                </c:pt>
                <c:pt idx="184">
                  <c:v>438.34208168427222</c:v>
                </c:pt>
                <c:pt idx="185">
                  <c:v>437.92986009698768</c:v>
                </c:pt>
                <c:pt idx="186">
                  <c:v>437.56362148832295</c:v>
                </c:pt>
                <c:pt idx="187">
                  <c:v>0</c:v>
                </c:pt>
                <c:pt idx="188">
                  <c:v>204.15324580100213</c:v>
                </c:pt>
                <c:pt idx="189">
                  <c:v>204.11807230388746</c:v>
                </c:pt>
                <c:pt idx="190">
                  <c:v>204.07489621227504</c:v>
                </c:pt>
                <c:pt idx="191">
                  <c:v>204.02718046722921</c:v>
                </c:pt>
                <c:pt idx="192">
                  <c:v>203.97999753357286</c:v>
                </c:pt>
                <c:pt idx="193">
                  <c:v>203.93487004355666</c:v>
                </c:pt>
                <c:pt idx="194">
                  <c:v>203.89257372004809</c:v>
                </c:pt>
                <c:pt idx="195">
                  <c:v>580.35216903120102</c:v>
                </c:pt>
                <c:pt idx="196">
                  <c:v>203.77975236455043</c:v>
                </c:pt>
                <c:pt idx="197">
                  <c:v>203.74585559992605</c:v>
                </c:pt>
                <c:pt idx="198">
                  <c:v>203.71360143361898</c:v>
                </c:pt>
                <c:pt idx="199">
                  <c:v>203.68227789824229</c:v>
                </c:pt>
                <c:pt idx="200">
                  <c:v>203.65186889139915</c:v>
                </c:pt>
                <c:pt idx="201">
                  <c:v>203.6239198851562</c:v>
                </c:pt>
                <c:pt idx="202">
                  <c:v>203.59681694578842</c:v>
                </c:pt>
                <c:pt idx="203">
                  <c:v>203.57015403422923</c:v>
                </c:pt>
                <c:pt idx="204">
                  <c:v>-1332.1508685131066</c:v>
                </c:pt>
                <c:pt idx="205">
                  <c:v>-495.4395055945061</c:v>
                </c:pt>
                <c:pt idx="206">
                  <c:v>-736.87976756563967</c:v>
                </c:pt>
                <c:pt idx="207">
                  <c:v>-1191.6499719497851</c:v>
                </c:pt>
                <c:pt idx="208">
                  <c:v>-1155.1733433527797</c:v>
                </c:pt>
                <c:pt idx="209">
                  <c:v>-1118.1837101408119</c:v>
                </c:pt>
                <c:pt idx="210">
                  <c:v>-313.57142857142742</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213.28039279781001</c:v>
                </c:pt>
                <c:pt idx="240">
                  <c:v>438.34208168427222</c:v>
                </c:pt>
                <c:pt idx="241">
                  <c:v>437.92986009698768</c:v>
                </c:pt>
                <c:pt idx="242">
                  <c:v>437.56362148832295</c:v>
                </c:pt>
                <c:pt idx="243">
                  <c:v>0</c:v>
                </c:pt>
                <c:pt idx="244">
                  <c:v>204.15324580100213</c:v>
                </c:pt>
                <c:pt idx="245">
                  <c:v>204.11807230388746</c:v>
                </c:pt>
                <c:pt idx="246">
                  <c:v>204.07489621227504</c:v>
                </c:pt>
                <c:pt idx="247">
                  <c:v>204.02718046722921</c:v>
                </c:pt>
                <c:pt idx="248">
                  <c:v>203.97999753357286</c:v>
                </c:pt>
                <c:pt idx="249">
                  <c:v>203.93487004355666</c:v>
                </c:pt>
                <c:pt idx="250">
                  <c:v>203.89257372004809</c:v>
                </c:pt>
                <c:pt idx="251">
                  <c:v>580.35216903120102</c:v>
                </c:pt>
                <c:pt idx="252">
                  <c:v>203.77975236455043</c:v>
                </c:pt>
                <c:pt idx="253">
                  <c:v>203.74585559992605</c:v>
                </c:pt>
                <c:pt idx="254">
                  <c:v>203.71360143361898</c:v>
                </c:pt>
                <c:pt idx="255">
                  <c:v>203.68227789824229</c:v>
                </c:pt>
                <c:pt idx="256">
                  <c:v>203.65186889139915</c:v>
                </c:pt>
                <c:pt idx="257">
                  <c:v>203.6239198851562</c:v>
                </c:pt>
                <c:pt idx="258">
                  <c:v>203.59681694578842</c:v>
                </c:pt>
                <c:pt idx="259">
                  <c:v>203.57015403422923</c:v>
                </c:pt>
                <c:pt idx="260">
                  <c:v>203.54330459566813</c:v>
                </c:pt>
                <c:pt idx="261">
                  <c:v>203.51730862260487</c:v>
                </c:pt>
                <c:pt idx="262">
                  <c:v>203.49407123080186</c:v>
                </c:pt>
                <c:pt idx="263">
                  <c:v>203.47186602536249</c:v>
                </c:pt>
                <c:pt idx="264">
                  <c:v>203.44953392629603</c:v>
                </c:pt>
                <c:pt idx="265">
                  <c:v>203.42726469040312</c:v>
                </c:pt>
                <c:pt idx="266">
                  <c:v>-32.011830931231835</c:v>
                </c:pt>
                <c:pt idx="267">
                  <c:v>0</c:v>
                </c:pt>
                <c:pt idx="268">
                  <c:v>-906.08138570341362</c:v>
                </c:pt>
                <c:pt idx="269">
                  <c:v>-712.25070854566798</c:v>
                </c:pt>
                <c:pt idx="270">
                  <c:v>-1352.1070255141192</c:v>
                </c:pt>
                <c:pt idx="271">
                  <c:v>-1422.8265945887576</c:v>
                </c:pt>
                <c:pt idx="272">
                  <c:v>-528.59809466630441</c:v>
                </c:pt>
                <c:pt idx="273">
                  <c:v>470.35714285714391</c:v>
                </c:pt>
                <c:pt idx="274">
                  <c:v>-1675.3540025446218</c:v>
                </c:pt>
                <c:pt idx="275">
                  <c:v>-1080.1456014081155</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213.28039279781001</c:v>
                </c:pt>
                <c:pt idx="293">
                  <c:v>438.34208168427222</c:v>
                </c:pt>
                <c:pt idx="294">
                  <c:v>437.92986009698768</c:v>
                </c:pt>
                <c:pt idx="295">
                  <c:v>437.56362148832295</c:v>
                </c:pt>
                <c:pt idx="296">
                  <c:v>0</c:v>
                </c:pt>
                <c:pt idx="297">
                  <c:v>204.15324580100213</c:v>
                </c:pt>
                <c:pt idx="298">
                  <c:v>204.11807230388746</c:v>
                </c:pt>
                <c:pt idx="299">
                  <c:v>204.07489621227504</c:v>
                </c:pt>
                <c:pt idx="300">
                  <c:v>204.02718046722921</c:v>
                </c:pt>
                <c:pt idx="301">
                  <c:v>203.97999753357286</c:v>
                </c:pt>
                <c:pt idx="302">
                  <c:v>203.93487004355666</c:v>
                </c:pt>
                <c:pt idx="303">
                  <c:v>203.89257372004809</c:v>
                </c:pt>
                <c:pt idx="304">
                  <c:v>580.35216903120102</c:v>
                </c:pt>
                <c:pt idx="305">
                  <c:v>203.77975236455043</c:v>
                </c:pt>
                <c:pt idx="306">
                  <c:v>203.74585559992605</c:v>
                </c:pt>
                <c:pt idx="307">
                  <c:v>203.71360143361898</c:v>
                </c:pt>
                <c:pt idx="308">
                  <c:v>203.68227789824229</c:v>
                </c:pt>
                <c:pt idx="309">
                  <c:v>203.65186889139915</c:v>
                </c:pt>
                <c:pt idx="310">
                  <c:v>203.6239198851562</c:v>
                </c:pt>
                <c:pt idx="311">
                  <c:v>203.59681694578842</c:v>
                </c:pt>
                <c:pt idx="312">
                  <c:v>203.57015403422923</c:v>
                </c:pt>
                <c:pt idx="313">
                  <c:v>203.54330459566813</c:v>
                </c:pt>
                <c:pt idx="314">
                  <c:v>203.51730862260487</c:v>
                </c:pt>
                <c:pt idx="315">
                  <c:v>203.49407123080186</c:v>
                </c:pt>
                <c:pt idx="316">
                  <c:v>203.47186602536249</c:v>
                </c:pt>
                <c:pt idx="317">
                  <c:v>-111.81201651736322</c:v>
                </c:pt>
                <c:pt idx="318">
                  <c:v>-868.23676316816181</c:v>
                </c:pt>
                <c:pt idx="319">
                  <c:v>-220.54338706136014</c:v>
                </c:pt>
                <c:pt idx="320">
                  <c:v>-4.21300849672844</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213.28039279781001</c:v>
                </c:pt>
                <c:pt idx="346">
                  <c:v>438.34208168427222</c:v>
                </c:pt>
                <c:pt idx="347">
                  <c:v>437.92986009698768</c:v>
                </c:pt>
                <c:pt idx="348">
                  <c:v>437.56362148832295</c:v>
                </c:pt>
                <c:pt idx="349">
                  <c:v>0</c:v>
                </c:pt>
                <c:pt idx="350">
                  <c:v>204.15324580100213</c:v>
                </c:pt>
                <c:pt idx="351">
                  <c:v>204.11807230388746</c:v>
                </c:pt>
                <c:pt idx="352">
                  <c:v>204.07489621227504</c:v>
                </c:pt>
                <c:pt idx="353">
                  <c:v>204.02718046722921</c:v>
                </c:pt>
                <c:pt idx="354">
                  <c:v>203.97999753357286</c:v>
                </c:pt>
                <c:pt idx="355">
                  <c:v>203.93487004355666</c:v>
                </c:pt>
                <c:pt idx="356">
                  <c:v>203.89257372004809</c:v>
                </c:pt>
                <c:pt idx="357">
                  <c:v>580.35216903120102</c:v>
                </c:pt>
                <c:pt idx="358">
                  <c:v>203.77975236455043</c:v>
                </c:pt>
                <c:pt idx="359">
                  <c:v>203.74585559992605</c:v>
                </c:pt>
                <c:pt idx="360">
                  <c:v>203.71360143361898</c:v>
                </c:pt>
                <c:pt idx="361">
                  <c:v>203.68227789824229</c:v>
                </c:pt>
                <c:pt idx="362">
                  <c:v>203.65186889139915</c:v>
                </c:pt>
                <c:pt idx="363">
                  <c:v>203.6239198851562</c:v>
                </c:pt>
                <c:pt idx="364">
                  <c:v>203.59681694578842</c:v>
                </c:pt>
                <c:pt idx="365">
                  <c:v>203.57015403422923</c:v>
                </c:pt>
                <c:pt idx="366">
                  <c:v>203.54330459566813</c:v>
                </c:pt>
                <c:pt idx="367">
                  <c:v>203.51730862260487</c:v>
                </c:pt>
                <c:pt idx="368">
                  <c:v>203.49407123080186</c:v>
                </c:pt>
                <c:pt idx="369">
                  <c:v>203.47186602536249</c:v>
                </c:pt>
                <c:pt idx="370">
                  <c:v>203.44953392629603</c:v>
                </c:pt>
                <c:pt idx="371">
                  <c:v>203.42726469040312</c:v>
                </c:pt>
                <c:pt idx="372">
                  <c:v>75.657153015323203</c:v>
                </c:pt>
                <c:pt idx="373">
                  <c:v>0</c:v>
                </c:pt>
                <c:pt idx="374">
                  <c:v>-286.66426986036322</c:v>
                </c:pt>
                <c:pt idx="375">
                  <c:v>-841.36301876107382</c:v>
                </c:pt>
                <c:pt idx="376">
                  <c:v>-1340.1951402834991</c:v>
                </c:pt>
                <c:pt idx="377">
                  <c:v>-526.92979066990085</c:v>
                </c:pt>
                <c:pt idx="378">
                  <c:v>-767.27712378079627</c:v>
                </c:pt>
                <c:pt idx="379">
                  <c:v>-1211.7170490273272</c:v>
                </c:pt>
                <c:pt idx="380">
                  <c:v>-1146.4987674112695</c:v>
                </c:pt>
                <c:pt idx="381">
                  <c:v>-440.74601166840449</c:v>
                </c:pt>
                <c:pt idx="382">
                  <c:v>-430.3310284864383</c:v>
                </c:pt>
                <c:pt idx="383">
                  <c:v>-823.12499999999704</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213.28039279781001</c:v>
                </c:pt>
                <c:pt idx="404">
                  <c:v>438.34208168427222</c:v>
                </c:pt>
                <c:pt idx="405">
                  <c:v>437.92986009698768</c:v>
                </c:pt>
                <c:pt idx="406">
                  <c:v>437.56362148832295</c:v>
                </c:pt>
                <c:pt idx="407">
                  <c:v>0</c:v>
                </c:pt>
                <c:pt idx="408">
                  <c:v>204.15324580100213</c:v>
                </c:pt>
                <c:pt idx="409">
                  <c:v>204.11807230388746</c:v>
                </c:pt>
                <c:pt idx="410">
                  <c:v>204.07489621227504</c:v>
                </c:pt>
                <c:pt idx="411">
                  <c:v>204.02718046722921</c:v>
                </c:pt>
                <c:pt idx="412">
                  <c:v>203.97999753357286</c:v>
                </c:pt>
                <c:pt idx="413">
                  <c:v>203.93487004355666</c:v>
                </c:pt>
                <c:pt idx="414">
                  <c:v>203.89257372004809</c:v>
                </c:pt>
                <c:pt idx="415">
                  <c:v>580.35216903120102</c:v>
                </c:pt>
                <c:pt idx="416">
                  <c:v>203.77975236455043</c:v>
                </c:pt>
                <c:pt idx="417">
                  <c:v>203.74585559992605</c:v>
                </c:pt>
                <c:pt idx="418">
                  <c:v>203.71360143361898</c:v>
                </c:pt>
                <c:pt idx="419">
                  <c:v>203.68227789824229</c:v>
                </c:pt>
                <c:pt idx="420">
                  <c:v>203.65186889139915</c:v>
                </c:pt>
                <c:pt idx="421">
                  <c:v>203.6239198851562</c:v>
                </c:pt>
                <c:pt idx="422">
                  <c:v>203.59681694578842</c:v>
                </c:pt>
                <c:pt idx="423">
                  <c:v>203.57015403422923</c:v>
                </c:pt>
                <c:pt idx="424">
                  <c:v>203.54330459566813</c:v>
                </c:pt>
                <c:pt idx="425">
                  <c:v>203.51730862260487</c:v>
                </c:pt>
                <c:pt idx="426">
                  <c:v>203.49407123080186</c:v>
                </c:pt>
                <c:pt idx="427">
                  <c:v>203.47186602536249</c:v>
                </c:pt>
                <c:pt idx="428">
                  <c:v>-955.97067436056511</c:v>
                </c:pt>
                <c:pt idx="429">
                  <c:v>-568.3004268009754</c:v>
                </c:pt>
                <c:pt idx="430">
                  <c:v>-14.741650682040746</c:v>
                </c:pt>
                <c:pt idx="431">
                  <c:v>-804.30442756520551</c:v>
                </c:pt>
                <c:pt idx="432">
                  <c:v>-1274.1169499227212</c:v>
                </c:pt>
                <c:pt idx="433">
                  <c:v>-1654.4319006546575</c:v>
                </c:pt>
                <c:pt idx="434">
                  <c:v>-1252.7517325723593</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213.28039279781001</c:v>
                </c:pt>
                <c:pt idx="455">
                  <c:v>438.34208168427222</c:v>
                </c:pt>
                <c:pt idx="456">
                  <c:v>437.92986009698768</c:v>
                </c:pt>
                <c:pt idx="457">
                  <c:v>437.56362148832295</c:v>
                </c:pt>
                <c:pt idx="458">
                  <c:v>0</c:v>
                </c:pt>
                <c:pt idx="459">
                  <c:v>204.15324580100213</c:v>
                </c:pt>
                <c:pt idx="460">
                  <c:v>204.11807230388746</c:v>
                </c:pt>
                <c:pt idx="461">
                  <c:v>204.07489621227504</c:v>
                </c:pt>
                <c:pt idx="462">
                  <c:v>204.02718046722921</c:v>
                </c:pt>
                <c:pt idx="463">
                  <c:v>203.97999753357286</c:v>
                </c:pt>
                <c:pt idx="464">
                  <c:v>203.93487004355666</c:v>
                </c:pt>
                <c:pt idx="465">
                  <c:v>203.89257372004809</c:v>
                </c:pt>
                <c:pt idx="466">
                  <c:v>580.35216903120102</c:v>
                </c:pt>
                <c:pt idx="467">
                  <c:v>203.77975236455043</c:v>
                </c:pt>
                <c:pt idx="468">
                  <c:v>203.74585559992605</c:v>
                </c:pt>
                <c:pt idx="469">
                  <c:v>203.71360143361898</c:v>
                </c:pt>
                <c:pt idx="470">
                  <c:v>203.68227789824229</c:v>
                </c:pt>
                <c:pt idx="471">
                  <c:v>203.65186889139915</c:v>
                </c:pt>
                <c:pt idx="472">
                  <c:v>203.6239198851562</c:v>
                </c:pt>
                <c:pt idx="473">
                  <c:v>203.59681694578842</c:v>
                </c:pt>
                <c:pt idx="474">
                  <c:v>203.57015403422923</c:v>
                </c:pt>
                <c:pt idx="475">
                  <c:v>203.54330459566813</c:v>
                </c:pt>
                <c:pt idx="476">
                  <c:v>203.51730862260487</c:v>
                </c:pt>
                <c:pt idx="477">
                  <c:v>203.49407123080186</c:v>
                </c:pt>
                <c:pt idx="478">
                  <c:v>203.47186602536249</c:v>
                </c:pt>
                <c:pt idx="479">
                  <c:v>203.44953392629603</c:v>
                </c:pt>
                <c:pt idx="480">
                  <c:v>203.42726469040312</c:v>
                </c:pt>
                <c:pt idx="481">
                  <c:v>-12.937757480776286</c:v>
                </c:pt>
                <c:pt idx="482">
                  <c:v>-824.26479552888736</c:v>
                </c:pt>
                <c:pt idx="483">
                  <c:v>-539.20745447231502</c:v>
                </c:pt>
                <c:pt idx="484">
                  <c:v>-785.61810642933108</c:v>
                </c:pt>
                <c:pt idx="485">
                  <c:v>-762.2254316106438</c:v>
                </c:pt>
                <c:pt idx="486">
                  <c:v>-1648.3781623990119</c:v>
                </c:pt>
                <c:pt idx="487">
                  <c:v>-458.2124004404626</c:v>
                </c:pt>
                <c:pt idx="488">
                  <c:v>-1219.4444444444443</c:v>
                </c:pt>
                <c:pt idx="489">
                  <c:v>-365.83333333333201</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213.28039279781001</c:v>
                </c:pt>
                <c:pt idx="509">
                  <c:v>438.34208168427222</c:v>
                </c:pt>
                <c:pt idx="510">
                  <c:v>437.92986009698768</c:v>
                </c:pt>
                <c:pt idx="511">
                  <c:v>437.56362148832295</c:v>
                </c:pt>
                <c:pt idx="512">
                  <c:v>0</c:v>
                </c:pt>
                <c:pt idx="513">
                  <c:v>204.15324580100213</c:v>
                </c:pt>
                <c:pt idx="514">
                  <c:v>204.11807230388746</c:v>
                </c:pt>
                <c:pt idx="515">
                  <c:v>204.07489621227504</c:v>
                </c:pt>
                <c:pt idx="516">
                  <c:v>204.02718046722921</c:v>
                </c:pt>
                <c:pt idx="517">
                  <c:v>203.97999753357286</c:v>
                </c:pt>
                <c:pt idx="518">
                  <c:v>203.93487004355666</c:v>
                </c:pt>
                <c:pt idx="519">
                  <c:v>203.89257372004809</c:v>
                </c:pt>
                <c:pt idx="520">
                  <c:v>580.35216903120102</c:v>
                </c:pt>
                <c:pt idx="521">
                  <c:v>203.77975236455043</c:v>
                </c:pt>
                <c:pt idx="522">
                  <c:v>203.74585559992605</c:v>
                </c:pt>
                <c:pt idx="523">
                  <c:v>203.71360143361898</c:v>
                </c:pt>
                <c:pt idx="524">
                  <c:v>203.68227789824229</c:v>
                </c:pt>
                <c:pt idx="525">
                  <c:v>203.65186889139915</c:v>
                </c:pt>
                <c:pt idx="526">
                  <c:v>203.6239198851562</c:v>
                </c:pt>
                <c:pt idx="527">
                  <c:v>203.59681694578842</c:v>
                </c:pt>
                <c:pt idx="528">
                  <c:v>203.57015403422923</c:v>
                </c:pt>
                <c:pt idx="529">
                  <c:v>203.54330459566813</c:v>
                </c:pt>
                <c:pt idx="530">
                  <c:v>203.51730862260487</c:v>
                </c:pt>
                <c:pt idx="531">
                  <c:v>203.49407123080186</c:v>
                </c:pt>
              </c:numCache>
            </c:numRef>
          </c:yVal>
          <c:smooth val="1"/>
          <c:extLst>
            <c:ext xmlns:c16="http://schemas.microsoft.com/office/drawing/2014/chart" uri="{C3380CC4-5D6E-409C-BE32-E72D297353CC}">
              <c16:uniqueId val="{00000003-30B6-DB4D-B34B-DD77AA754E9F}"/>
            </c:ext>
          </c:extLst>
        </c:ser>
        <c:dLbls>
          <c:showLegendKey val="0"/>
          <c:showVal val="0"/>
          <c:showCatName val="0"/>
          <c:showSerName val="0"/>
          <c:showPercent val="0"/>
          <c:showBubbleSize val="0"/>
        </c:dLbls>
        <c:axId val="2115423887"/>
        <c:axId val="2115732479"/>
      </c:scatterChart>
      <c:valAx>
        <c:axId val="2115423887"/>
        <c:scaling>
          <c:orientation val="minMax"/>
          <c:max val="18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5732479"/>
        <c:crosses val="autoZero"/>
        <c:crossBetween val="midCat"/>
      </c:valAx>
      <c:valAx>
        <c:axId val="2115732479"/>
        <c:scaling>
          <c:orientation val="minMax"/>
          <c:max val="60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Resistive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5423887"/>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Total Resistive Force</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5.2555152727264334</c:v>
                </c:pt>
                <c:pt idx="38">
                  <c:v>5.4524366435989888</c:v>
                </c:pt>
                <c:pt idx="39">
                  <c:v>5.6698718929611793</c:v>
                </c:pt>
                <c:pt idx="40">
                  <c:v>5.9157003663222598</c:v>
                </c:pt>
                <c:pt idx="41">
                  <c:v>6.203574541651764</c:v>
                </c:pt>
                <c:pt idx="42">
                  <c:v>6.6932526815888655</c:v>
                </c:pt>
                <c:pt idx="43">
                  <c:v>7.2085862720653608</c:v>
                </c:pt>
                <c:pt idx="44">
                  <c:v>7.7263715039514684</c:v>
                </c:pt>
                <c:pt idx="45">
                  <c:v>8.2472690784333622</c:v>
                </c:pt>
                <c:pt idx="46">
                  <c:v>8.7710073045670605</c:v>
                </c:pt>
                <c:pt idx="47">
                  <c:v>9.297657366745181</c:v>
                </c:pt>
                <c:pt idx="48">
                  <c:v>9.8265026239034938</c:v>
                </c:pt>
                <c:pt idx="49">
                  <c:v>10.358051382579831</c:v>
                </c:pt>
                <c:pt idx="50">
                  <c:v>10.890900157130085</c:v>
                </c:pt>
                <c:pt idx="51">
                  <c:v>11.355067327053314</c:v>
                </c:pt>
                <c:pt idx="52">
                  <c:v>11.771062917611582</c:v>
                </c:pt>
                <c:pt idx="53">
                  <c:v>12.150361996688224</c:v>
                </c:pt>
                <c:pt idx="54">
                  <c:v>12.501315831093812</c:v>
                </c:pt>
                <c:pt idx="55">
                  <c:v>12.829988257625953</c:v>
                </c:pt>
                <c:pt idx="56">
                  <c:v>13.140659342402618</c:v>
                </c:pt>
                <c:pt idx="57">
                  <c:v>13.436102461777297</c:v>
                </c:pt>
                <c:pt idx="58">
                  <c:v>13.718386489212309</c:v>
                </c:pt>
                <c:pt idx="59">
                  <c:v>13.989173340123255</c:v>
                </c:pt>
                <c:pt idx="60">
                  <c:v>14.249859956247716</c:v>
                </c:pt>
                <c:pt idx="61">
                  <c:v>14.501687131256073</c:v>
                </c:pt>
                <c:pt idx="62">
                  <c:v>14.74556150358489</c:v>
                </c:pt>
                <c:pt idx="63">
                  <c:v>14.982342175794422</c:v>
                </c:pt>
                <c:pt idx="64">
                  <c:v>15.21276411046073</c:v>
                </c:pt>
                <c:pt idx="65">
                  <c:v>15.437391058940023</c:v>
                </c:pt>
                <c:pt idx="66">
                  <c:v>15.65674301969395</c:v>
                </c:pt>
                <c:pt idx="67">
                  <c:v>15.871143272458182</c:v>
                </c:pt>
                <c:pt idx="68">
                  <c:v>16.081098050180746</c:v>
                </c:pt>
                <c:pt idx="69">
                  <c:v>16.313141515280506</c:v>
                </c:pt>
                <c:pt idx="70">
                  <c:v>16.575881108264305</c:v>
                </c:pt>
                <c:pt idx="71">
                  <c:v>16.885309274414016</c:v>
                </c:pt>
                <c:pt idx="72">
                  <c:v>17.390716406576789</c:v>
                </c:pt>
                <c:pt idx="73">
                  <c:v>17.952607198742456</c:v>
                </c:pt>
                <c:pt idx="74">
                  <c:v>18.439979605338024</c:v>
                </c:pt>
                <c:pt idx="75">
                  <c:v>18.876759367508736</c:v>
                </c:pt>
                <c:pt idx="76">
                  <c:v>19.27640184127868</c:v>
                </c:pt>
                <c:pt idx="77">
                  <c:v>19.64732243094009</c:v>
                </c:pt>
                <c:pt idx="78">
                  <c:v>19.995076500866311</c:v>
                </c:pt>
                <c:pt idx="79">
                  <c:v>20.323730548357045</c:v>
                </c:pt>
                <c:pt idx="80">
                  <c:v>20.636365697314822</c:v>
                </c:pt>
                <c:pt idx="81">
                  <c:v>20.935080789279034</c:v>
                </c:pt>
                <c:pt idx="82">
                  <c:v>21.221737974624485</c:v>
                </c:pt>
                <c:pt idx="83">
                  <c:v>21.497754512792579</c:v>
                </c:pt>
                <c:pt idx="84">
                  <c:v>21.764330810426298</c:v>
                </c:pt>
                <c:pt idx="85">
                  <c:v>22.022496263408886</c:v>
                </c:pt>
                <c:pt idx="86">
                  <c:v>22.273089192762136</c:v>
                </c:pt>
                <c:pt idx="87">
                  <c:v>22.516889329294582</c:v>
                </c:pt>
                <c:pt idx="88">
                  <c:v>22.754316202787425</c:v>
                </c:pt>
                <c:pt idx="89">
                  <c:v>22.985329477925639</c:v>
                </c:pt>
                <c:pt idx="90">
                  <c:v>23.2109875158453</c:v>
                </c:pt>
                <c:pt idx="91">
                  <c:v>23.431760207258062</c:v>
                </c:pt>
                <c:pt idx="92">
                  <c:v>23.648019056427138</c:v>
                </c:pt>
                <c:pt idx="93">
                  <c:v>23.865032870364512</c:v>
                </c:pt>
                <c:pt idx="94">
                  <c:v>24.080430744332283</c:v>
                </c:pt>
                <c:pt idx="95">
                  <c:v>24.294289198402961</c:v>
                </c:pt>
                <c:pt idx="96">
                  <c:v>24.50667535426026</c:v>
                </c:pt>
                <c:pt idx="97">
                  <c:v>24.717593495900424</c:v>
                </c:pt>
                <c:pt idx="98">
                  <c:v>24.9269760373077</c:v>
                </c:pt>
                <c:pt idx="99">
                  <c:v>25.134628941610149</c:v>
                </c:pt>
                <c:pt idx="100">
                  <c:v>25.340550074581945</c:v>
                </c:pt>
                <c:pt idx="101">
                  <c:v>25.544892134674129</c:v>
                </c:pt>
                <c:pt idx="102">
                  <c:v>25.747748176352339</c:v>
                </c:pt>
                <c:pt idx="103">
                  <c:v>25.949167394468596</c:v>
                </c:pt>
                <c:pt idx="104">
                  <c:v>26.149225008676023</c:v>
                </c:pt>
                <c:pt idx="105">
                  <c:v>26.348012533621169</c:v>
                </c:pt>
                <c:pt idx="106">
                  <c:v>26.545598497633751</c:v>
                </c:pt>
                <c:pt idx="107">
                  <c:v>26.742082261029395</c:v>
                </c:pt>
                <c:pt idx="108">
                  <c:v>26.937540805252674</c:v>
                </c:pt>
                <c:pt idx="109">
                  <c:v>27.132012705629219</c:v>
                </c:pt>
                <c:pt idx="110">
                  <c:v>27.325576731231045</c:v>
                </c:pt>
                <c:pt idx="111">
                  <c:v>27.518251288009573</c:v>
                </c:pt>
                <c:pt idx="112">
                  <c:v>27.710119740993889</c:v>
                </c:pt>
                <c:pt idx="113">
                  <c:v>27.901327051851059</c:v>
                </c:pt>
                <c:pt idx="114">
                  <c:v>28.106696119269035</c:v>
                </c:pt>
                <c:pt idx="115">
                  <c:v>28.329616615601481</c:v>
                </c:pt>
                <c:pt idx="116">
                  <c:v>28.575089814233088</c:v>
                </c:pt>
                <c:pt idx="117">
                  <c:v>28.81495295658388</c:v>
                </c:pt>
                <c:pt idx="118">
                  <c:v>29.049484860770871</c:v>
                </c:pt>
                <c:pt idx="119">
                  <c:v>29.284769462431235</c:v>
                </c:pt>
                <c:pt idx="120">
                  <c:v>29.518111525087317</c:v>
                </c:pt>
                <c:pt idx="121">
                  <c:v>29.749424415145654</c:v>
                </c:pt>
                <c:pt idx="122">
                  <c:v>29.978649076622322</c:v>
                </c:pt>
                <c:pt idx="123">
                  <c:v>30.205463654403662</c:v>
                </c:pt>
                <c:pt idx="124">
                  <c:v>30.430040933953492</c:v>
                </c:pt>
                <c:pt idx="125">
                  <c:v>30.652546501935134</c:v>
                </c:pt>
                <c:pt idx="126">
                  <c:v>30.872920829933346</c:v>
                </c:pt>
                <c:pt idx="127">
                  <c:v>31.091214946203035</c:v>
                </c:pt>
                <c:pt idx="128">
                  <c:v>31.307640202526109</c:v>
                </c:pt>
                <c:pt idx="129">
                  <c:v>31.52231888249079</c:v>
                </c:pt>
                <c:pt idx="130">
                  <c:v>31.735340378270468</c:v>
                </c:pt>
                <c:pt idx="131">
                  <c:v>31.946789099204821</c:v>
                </c:pt>
                <c:pt idx="132">
                  <c:v>32.156814431841902</c:v>
                </c:pt>
                <c:pt idx="133">
                  <c:v>32.365495731913285</c:v>
                </c:pt>
                <c:pt idx="134">
                  <c:v>32.572938332637172</c:v>
                </c:pt>
                <c:pt idx="135">
                  <c:v>32.779225690782184</c:v>
                </c:pt>
                <c:pt idx="136">
                  <c:v>32.984406853068855</c:v>
                </c:pt>
                <c:pt idx="137">
                  <c:v>33.188481512975969</c:v>
                </c:pt>
                <c:pt idx="138">
                  <c:v>33.408392062320949</c:v>
                </c:pt>
                <c:pt idx="139">
                  <c:v>33.648375391537868</c:v>
                </c:pt>
                <c:pt idx="140">
                  <c:v>33.914970710913408</c:v>
                </c:pt>
                <c:pt idx="141">
                  <c:v>34.218953776384112</c:v>
                </c:pt>
                <c:pt idx="142">
                  <c:v>34.58099821729482</c:v>
                </c:pt>
                <c:pt idx="143">
                  <c:v>34.925036559868687</c:v>
                </c:pt>
                <c:pt idx="144">
                  <c:v>35.253486860639839</c:v>
                </c:pt>
                <c:pt idx="145">
                  <c:v>35.568260176824182</c:v>
                </c:pt>
                <c:pt idx="146">
                  <c:v>35.870821737896954</c:v>
                </c:pt>
                <c:pt idx="147">
                  <c:v>36.162444570285075</c:v>
                </c:pt>
                <c:pt idx="148">
                  <c:v>36.444273113608865</c:v>
                </c:pt>
                <c:pt idx="149">
                  <c:v>36.717249378534405</c:v>
                </c:pt>
                <c:pt idx="150">
                  <c:v>36.982233162728406</c:v>
                </c:pt>
                <c:pt idx="151">
                  <c:v>37.239945802258895</c:v>
                </c:pt>
                <c:pt idx="152">
                  <c:v>37.490984167610506</c:v>
                </c:pt>
                <c:pt idx="153">
                  <c:v>37.742378377194896</c:v>
                </c:pt>
                <c:pt idx="154">
                  <c:v>37.990958858549696</c:v>
                </c:pt>
                <c:pt idx="155">
                  <c:v>38.236861211409817</c:v>
                </c:pt>
                <c:pt idx="156">
                  <c:v>38.48029215018525</c:v>
                </c:pt>
                <c:pt idx="157">
                  <c:v>38.72130194496804</c:v>
                </c:pt>
                <c:pt idx="158">
                  <c:v>38.959986832493371</c:v>
                </c:pt>
                <c:pt idx="159">
                  <c:v>39.221774664261453</c:v>
                </c:pt>
                <c:pt idx="160">
                  <c:v>39.489940680885709</c:v>
                </c:pt>
                <c:pt idx="161">
                  <c:v>39.76485686372137</c:v>
                </c:pt>
                <c:pt idx="162">
                  <c:v>40.043629326728627</c:v>
                </c:pt>
                <c:pt idx="163">
                  <c:v>40.326467154806942</c:v>
                </c:pt>
                <c:pt idx="164">
                  <c:v>40.610078590012868</c:v>
                </c:pt>
                <c:pt idx="165">
                  <c:v>40.894212030266409</c:v>
                </c:pt>
                <c:pt idx="166">
                  <c:v>41.178710712295384</c:v>
                </c:pt>
                <c:pt idx="167">
                  <c:v>41.463572113309795</c:v>
                </c:pt>
                <c:pt idx="168">
                  <c:v>41.748894641806807</c:v>
                </c:pt>
                <c:pt idx="169">
                  <c:v>42.034641266689363</c:v>
                </c:pt>
                <c:pt idx="170">
                  <c:v>42.320774956860504</c:v>
                </c:pt>
                <c:pt idx="171">
                  <c:v>42.607278458166562</c:v>
                </c:pt>
                <c:pt idx="172">
                  <c:v>42.894149747652826</c:v>
                </c:pt>
                <c:pt idx="173">
                  <c:v>43.181398463873379</c:v>
                </c:pt>
                <c:pt idx="174">
                  <c:v>43.469035768502224</c:v>
                </c:pt>
                <c:pt idx="175">
                  <c:v>43.757087530962558</c:v>
                </c:pt>
                <c:pt idx="176">
                  <c:v>44.045561866688395</c:v>
                </c:pt>
                <c:pt idx="177">
                  <c:v>44.334463345039488</c:v>
                </c:pt>
                <c:pt idx="178">
                  <c:v>44.623806673764769</c:v>
                </c:pt>
                <c:pt idx="179">
                  <c:v>44.913617222451954</c:v>
                </c:pt>
                <c:pt idx="180">
                  <c:v>45.203949776186811</c:v>
                </c:pt>
                <c:pt idx="181">
                  <c:v>45.494863689414146</c:v>
                </c:pt>
                <c:pt idx="182">
                  <c:v>45.786375193003032</c:v>
                </c:pt>
                <c:pt idx="183">
                  <c:v>46.073681516762527</c:v>
                </c:pt>
                <c:pt idx="184">
                  <c:v>46.352422549766104</c:v>
                </c:pt>
                <c:pt idx="185">
                  <c:v>46.623384852868391</c:v>
                </c:pt>
                <c:pt idx="186">
                  <c:v>46.887204202175859</c:v>
                </c:pt>
                <c:pt idx="187">
                  <c:v>47.151534654443182</c:v>
                </c:pt>
                <c:pt idx="188">
                  <c:v>47.412791752293586</c:v>
                </c:pt>
                <c:pt idx="189">
                  <c:v>47.670443345485161</c:v>
                </c:pt>
                <c:pt idx="190">
                  <c:v>47.922640273817535</c:v>
                </c:pt>
                <c:pt idx="191">
                  <c:v>48.168164998609988</c:v>
                </c:pt>
                <c:pt idx="192">
                  <c:v>48.406812641686109</c:v>
                </c:pt>
                <c:pt idx="193">
                  <c:v>48.638709078467656</c:v>
                </c:pt>
                <c:pt idx="194">
                  <c:v>48.864170074262326</c:v>
                </c:pt>
                <c:pt idx="195">
                  <c:v>49.079466193186008</c:v>
                </c:pt>
                <c:pt idx="196">
                  <c:v>49.288877308072955</c:v>
                </c:pt>
                <c:pt idx="197">
                  <c:v>49.492713722981222</c:v>
                </c:pt>
                <c:pt idx="198">
                  <c:v>49.691154753818132</c:v>
                </c:pt>
                <c:pt idx="199">
                  <c:v>49.884235272627876</c:v>
                </c:pt>
                <c:pt idx="200">
                  <c:v>50.071997312959049</c:v>
                </c:pt>
                <c:pt idx="201">
                  <c:v>50.254849351251032</c:v>
                </c:pt>
                <c:pt idx="202">
                  <c:v>50.432846482468001</c:v>
                </c:pt>
                <c:pt idx="203">
                  <c:v>50.605957810142037</c:v>
                </c:pt>
                <c:pt idx="204">
                  <c:v>50.783900085511952</c:v>
                </c:pt>
                <c:pt idx="205">
                  <c:v>50.961116474210392</c:v>
                </c:pt>
                <c:pt idx="206">
                  <c:v>51.139843053222172</c:v>
                </c:pt>
                <c:pt idx="207">
                  <c:v>51.324041437954939</c:v>
                </c:pt>
                <c:pt idx="208">
                  <c:v>51.514056210424428</c:v>
                </c:pt>
                <c:pt idx="209">
                  <c:v>51.710356691292958</c:v>
                </c:pt>
                <c:pt idx="210">
                  <c:v>51.990356691292959</c:v>
                </c:pt>
                <c:pt idx="211">
                  <c:v>52.27035669129296</c:v>
                </c:pt>
                <c:pt idx="212">
                  <c:v>52.554490131546501</c:v>
                </c:pt>
                <c:pt idx="213">
                  <c:v>52.838988813575476</c:v>
                </c:pt>
                <c:pt idx="214">
                  <c:v>53.123850214589886</c:v>
                </c:pt>
                <c:pt idx="215">
                  <c:v>53.409172743086899</c:v>
                </c:pt>
                <c:pt idx="216">
                  <c:v>53.694919367969455</c:v>
                </c:pt>
                <c:pt idx="217">
                  <c:v>53.981053058140596</c:v>
                </c:pt>
                <c:pt idx="218">
                  <c:v>54.267556559446653</c:v>
                </c:pt>
                <c:pt idx="219">
                  <c:v>54.554427848932917</c:v>
                </c:pt>
                <c:pt idx="220">
                  <c:v>54.834427848932918</c:v>
                </c:pt>
                <c:pt idx="221">
                  <c:v>55.118561289186459</c:v>
                </c:pt>
                <c:pt idx="222">
                  <c:v>55.403059971215434</c:v>
                </c:pt>
                <c:pt idx="223">
                  <c:v>55.687921372229845</c:v>
                </c:pt>
                <c:pt idx="224">
                  <c:v>55.973243900726857</c:v>
                </c:pt>
                <c:pt idx="225">
                  <c:v>56.258990525609413</c:v>
                </c:pt>
                <c:pt idx="226">
                  <c:v>56.545124215780554</c:v>
                </c:pt>
                <c:pt idx="227">
                  <c:v>56.831627717086612</c:v>
                </c:pt>
                <c:pt idx="228">
                  <c:v>57.118499006572875</c:v>
                </c:pt>
                <c:pt idx="229">
                  <c:v>57.405747722793429</c:v>
                </c:pt>
                <c:pt idx="230">
                  <c:v>57.693385027422273</c:v>
                </c:pt>
                <c:pt idx="231">
                  <c:v>57.981436789882608</c:v>
                </c:pt>
                <c:pt idx="232">
                  <c:v>58.269911125608445</c:v>
                </c:pt>
                <c:pt idx="233">
                  <c:v>58.558812603959538</c:v>
                </c:pt>
                <c:pt idx="234">
                  <c:v>58.848155932684818</c:v>
                </c:pt>
                <c:pt idx="235">
                  <c:v>59.137966481372004</c:v>
                </c:pt>
                <c:pt idx="236">
                  <c:v>59.428299035106861</c:v>
                </c:pt>
                <c:pt idx="237">
                  <c:v>59.719212948334196</c:v>
                </c:pt>
                <c:pt idx="238">
                  <c:v>60.010724451923082</c:v>
                </c:pt>
                <c:pt idx="239">
                  <c:v>60.298030775682577</c:v>
                </c:pt>
                <c:pt idx="240">
                  <c:v>60.576771808686154</c:v>
                </c:pt>
                <c:pt idx="241">
                  <c:v>60.847734111788441</c:v>
                </c:pt>
                <c:pt idx="242">
                  <c:v>61.111553461095909</c:v>
                </c:pt>
                <c:pt idx="243">
                  <c:v>61.375883913363232</c:v>
                </c:pt>
                <c:pt idx="244">
                  <c:v>61.637141011213636</c:v>
                </c:pt>
                <c:pt idx="245">
                  <c:v>61.894792604405211</c:v>
                </c:pt>
                <c:pt idx="246">
                  <c:v>62.146989532737585</c:v>
                </c:pt>
                <c:pt idx="247">
                  <c:v>62.392514257530038</c:v>
                </c:pt>
                <c:pt idx="248">
                  <c:v>62.631161900606159</c:v>
                </c:pt>
                <c:pt idx="249">
                  <c:v>62.863058337387706</c:v>
                </c:pt>
                <c:pt idx="250">
                  <c:v>63.088519333182376</c:v>
                </c:pt>
                <c:pt idx="251">
                  <c:v>63.303815452106058</c:v>
                </c:pt>
                <c:pt idx="252">
                  <c:v>63.513226566993005</c:v>
                </c:pt>
                <c:pt idx="253">
                  <c:v>63.717062981901272</c:v>
                </c:pt>
                <c:pt idx="254">
                  <c:v>63.915504012738182</c:v>
                </c:pt>
                <c:pt idx="255">
                  <c:v>64.108584531547933</c:v>
                </c:pt>
                <c:pt idx="256">
                  <c:v>64.296346571879113</c:v>
                </c:pt>
                <c:pt idx="257">
                  <c:v>64.479198610171096</c:v>
                </c:pt>
                <c:pt idx="258">
                  <c:v>64.657195741388065</c:v>
                </c:pt>
                <c:pt idx="259">
                  <c:v>64.830307069062101</c:v>
                </c:pt>
                <c:pt idx="260">
                  <c:v>64.998360048545138</c:v>
                </c:pt>
                <c:pt idx="261">
                  <c:v>65.161430698817469</c:v>
                </c:pt>
                <c:pt idx="262">
                  <c:v>65.320058852168501</c:v>
                </c:pt>
                <c:pt idx="263">
                  <c:v>65.474389461113404</c:v>
                </c:pt>
                <c:pt idx="264">
                  <c:v>65.624295689799055</c:v>
                </c:pt>
                <c:pt idx="265">
                  <c:v>65.769698437528731</c:v>
                </c:pt>
                <c:pt idx="266">
                  <c:v>69.546388903024848</c:v>
                </c:pt>
                <c:pt idx="267">
                  <c:v>72.784530783092507</c:v>
                </c:pt>
                <c:pt idx="268">
                  <c:v>72.881431570798057</c:v>
                </c:pt>
                <c:pt idx="269">
                  <c:v>73.004702771439298</c:v>
                </c:pt>
                <c:pt idx="270">
                  <c:v>73.134574147511202</c:v>
                </c:pt>
                <c:pt idx="271">
                  <c:v>73.288844527917917</c:v>
                </c:pt>
                <c:pt idx="272">
                  <c:v>73.454944256399585</c:v>
                </c:pt>
                <c:pt idx="273">
                  <c:v>73.734944256399586</c:v>
                </c:pt>
                <c:pt idx="274">
                  <c:v>73.996978429077856</c:v>
                </c:pt>
                <c:pt idx="275">
                  <c:v>74.281477111106824</c:v>
                </c:pt>
                <c:pt idx="276">
                  <c:v>74.566338512121234</c:v>
                </c:pt>
                <c:pt idx="277">
                  <c:v>74.851661040618254</c:v>
                </c:pt>
                <c:pt idx="278">
                  <c:v>75.137407665500803</c:v>
                </c:pt>
                <c:pt idx="279">
                  <c:v>75.423541355671944</c:v>
                </c:pt>
                <c:pt idx="280">
                  <c:v>75.710044856978001</c:v>
                </c:pt>
                <c:pt idx="281">
                  <c:v>75.996916146464258</c:v>
                </c:pt>
                <c:pt idx="282">
                  <c:v>76.284164862684804</c:v>
                </c:pt>
                <c:pt idx="283">
                  <c:v>76.571802167313649</c:v>
                </c:pt>
                <c:pt idx="284">
                  <c:v>76.859853929773976</c:v>
                </c:pt>
                <c:pt idx="285">
                  <c:v>77.148328265499813</c:v>
                </c:pt>
                <c:pt idx="286">
                  <c:v>77.437229743850907</c:v>
                </c:pt>
                <c:pt idx="287">
                  <c:v>77.726573072576187</c:v>
                </c:pt>
                <c:pt idx="288">
                  <c:v>78.016383621263373</c:v>
                </c:pt>
                <c:pt idx="289">
                  <c:v>78.306716174998229</c:v>
                </c:pt>
                <c:pt idx="290">
                  <c:v>78.597630088225557</c:v>
                </c:pt>
                <c:pt idx="291">
                  <c:v>78.88914159181445</c:v>
                </c:pt>
                <c:pt idx="292">
                  <c:v>79.176447915573945</c:v>
                </c:pt>
                <c:pt idx="293">
                  <c:v>79.455188948577529</c:v>
                </c:pt>
                <c:pt idx="294">
                  <c:v>79.726151251679809</c:v>
                </c:pt>
                <c:pt idx="295">
                  <c:v>79.989970600987277</c:v>
                </c:pt>
                <c:pt idx="296">
                  <c:v>80.254301053254594</c:v>
                </c:pt>
                <c:pt idx="297">
                  <c:v>80.515558151104997</c:v>
                </c:pt>
                <c:pt idx="298">
                  <c:v>80.773209744296565</c:v>
                </c:pt>
                <c:pt idx="299">
                  <c:v>81.025406672628947</c:v>
                </c:pt>
                <c:pt idx="300">
                  <c:v>81.270931397421407</c:v>
                </c:pt>
                <c:pt idx="301">
                  <c:v>81.509579040497528</c:v>
                </c:pt>
                <c:pt idx="302">
                  <c:v>81.741475477279067</c:v>
                </c:pt>
                <c:pt idx="303">
                  <c:v>81.96693647307373</c:v>
                </c:pt>
                <c:pt idx="304">
                  <c:v>82.182232591997419</c:v>
                </c:pt>
                <c:pt idx="305">
                  <c:v>82.391643706884366</c:v>
                </c:pt>
                <c:pt idx="306">
                  <c:v>82.595480121792633</c:v>
                </c:pt>
                <c:pt idx="307">
                  <c:v>82.793921152629537</c:v>
                </c:pt>
                <c:pt idx="308">
                  <c:v>82.987001671439288</c:v>
                </c:pt>
                <c:pt idx="309">
                  <c:v>83.174763711770467</c:v>
                </c:pt>
                <c:pt idx="310">
                  <c:v>83.35761575006245</c:v>
                </c:pt>
                <c:pt idx="311">
                  <c:v>83.53561288127942</c:v>
                </c:pt>
                <c:pt idx="312">
                  <c:v>83.708724208953456</c:v>
                </c:pt>
                <c:pt idx="313">
                  <c:v>83.876777188436492</c:v>
                </c:pt>
                <c:pt idx="314">
                  <c:v>84.039847838708823</c:v>
                </c:pt>
                <c:pt idx="315">
                  <c:v>84.198475992059855</c:v>
                </c:pt>
                <c:pt idx="316">
                  <c:v>84.352806601004758</c:v>
                </c:pt>
                <c:pt idx="317">
                  <c:v>84.504145800316749</c:v>
                </c:pt>
                <c:pt idx="318">
                  <c:v>84.655832535533335</c:v>
                </c:pt>
                <c:pt idx="319">
                  <c:v>89.632177619481155</c:v>
                </c:pt>
                <c:pt idx="320">
                  <c:v>110.47239193857871</c:v>
                </c:pt>
                <c:pt idx="321">
                  <c:v>110.61353595113357</c:v>
                </c:pt>
                <c:pt idx="322">
                  <c:v>110.75625104802587</c:v>
                </c:pt>
                <c:pt idx="323">
                  <c:v>110.90056462179834</c:v>
                </c:pt>
                <c:pt idx="324">
                  <c:v>111.05056462179834</c:v>
                </c:pt>
                <c:pt idx="325">
                  <c:v>111.1978631011384</c:v>
                </c:pt>
                <c:pt idx="326">
                  <c:v>111.38239310113839</c:v>
                </c:pt>
                <c:pt idx="327">
                  <c:v>111.66652654139193</c:v>
                </c:pt>
                <c:pt idx="328">
                  <c:v>111.9510252234209</c:v>
                </c:pt>
                <c:pt idx="329">
                  <c:v>112.23588662443531</c:v>
                </c:pt>
                <c:pt idx="330">
                  <c:v>112.52120915293233</c:v>
                </c:pt>
                <c:pt idx="331">
                  <c:v>112.80695577781488</c:v>
                </c:pt>
                <c:pt idx="332">
                  <c:v>113.09308946798602</c:v>
                </c:pt>
                <c:pt idx="333">
                  <c:v>113.37959296929208</c:v>
                </c:pt>
                <c:pt idx="334">
                  <c:v>113.66646425877833</c:v>
                </c:pt>
                <c:pt idx="335">
                  <c:v>113.95371297499888</c:v>
                </c:pt>
                <c:pt idx="336">
                  <c:v>114.24135027962772</c:v>
                </c:pt>
                <c:pt idx="337">
                  <c:v>114.52940204208805</c:v>
                </c:pt>
                <c:pt idx="338">
                  <c:v>114.81787637781389</c:v>
                </c:pt>
                <c:pt idx="339">
                  <c:v>115.10677785616498</c:v>
                </c:pt>
                <c:pt idx="340">
                  <c:v>115.39612118489026</c:v>
                </c:pt>
                <c:pt idx="341">
                  <c:v>115.68593173357745</c:v>
                </c:pt>
                <c:pt idx="342">
                  <c:v>115.9762642873123</c:v>
                </c:pt>
                <c:pt idx="343">
                  <c:v>116.26717820053963</c:v>
                </c:pt>
                <c:pt idx="344">
                  <c:v>116.55868970412853</c:v>
                </c:pt>
                <c:pt idx="345">
                  <c:v>116.84599602788802</c:v>
                </c:pt>
                <c:pt idx="346">
                  <c:v>117.1247370608916</c:v>
                </c:pt>
                <c:pt idx="347">
                  <c:v>117.39569936399388</c:v>
                </c:pt>
                <c:pt idx="348">
                  <c:v>117.65951871330135</c:v>
                </c:pt>
                <c:pt idx="349">
                  <c:v>117.92384916556867</c:v>
                </c:pt>
                <c:pt idx="350">
                  <c:v>118.18510626341907</c:v>
                </c:pt>
                <c:pt idx="351">
                  <c:v>118.44275785661064</c:v>
                </c:pt>
                <c:pt idx="352">
                  <c:v>118.69495478494302</c:v>
                </c:pt>
                <c:pt idx="353">
                  <c:v>118.94047950973548</c:v>
                </c:pt>
                <c:pt idx="354">
                  <c:v>119.1791271528116</c:v>
                </c:pt>
                <c:pt idx="355">
                  <c:v>119.41102358959314</c:v>
                </c:pt>
                <c:pt idx="356">
                  <c:v>119.63648458538781</c:v>
                </c:pt>
                <c:pt idx="357">
                  <c:v>119.85178070431149</c:v>
                </c:pt>
                <c:pt idx="358">
                  <c:v>120.06119181919844</c:v>
                </c:pt>
                <c:pt idx="359">
                  <c:v>120.26502823410671</c:v>
                </c:pt>
                <c:pt idx="360">
                  <c:v>120.46346926494361</c:v>
                </c:pt>
                <c:pt idx="361">
                  <c:v>120.65654978375336</c:v>
                </c:pt>
                <c:pt idx="362">
                  <c:v>120.84431182408454</c:v>
                </c:pt>
                <c:pt idx="363">
                  <c:v>121.02716386237653</c:v>
                </c:pt>
                <c:pt idx="364">
                  <c:v>121.20516099359349</c:v>
                </c:pt>
                <c:pt idx="365">
                  <c:v>121.37827232126753</c:v>
                </c:pt>
                <c:pt idx="366">
                  <c:v>121.54632530075057</c:v>
                </c:pt>
                <c:pt idx="367">
                  <c:v>121.7093959510229</c:v>
                </c:pt>
                <c:pt idx="368">
                  <c:v>121.86802410437393</c:v>
                </c:pt>
                <c:pt idx="369">
                  <c:v>122.02235471331883</c:v>
                </c:pt>
                <c:pt idx="370">
                  <c:v>122.17226094200448</c:v>
                </c:pt>
                <c:pt idx="371">
                  <c:v>122.31766368973416</c:v>
                </c:pt>
                <c:pt idx="372">
                  <c:v>121.88017991798355</c:v>
                </c:pt>
                <c:pt idx="373">
                  <c:v>122.03224776737423</c:v>
                </c:pt>
                <c:pt idx="374">
                  <c:v>122.18538858266099</c:v>
                </c:pt>
                <c:pt idx="375">
                  <c:v>122.34192030210112</c:v>
                </c:pt>
                <c:pt idx="376">
                  <c:v>122.50570242113908</c:v>
                </c:pt>
                <c:pt idx="377">
                  <c:v>122.67232803531887</c:v>
                </c:pt>
                <c:pt idx="378">
                  <c:v>122.84397397121103</c:v>
                </c:pt>
                <c:pt idx="379">
                  <c:v>123.02512187218032</c:v>
                </c:pt>
                <c:pt idx="380">
                  <c:v>123.2165743239746</c:v>
                </c:pt>
                <c:pt idx="381">
                  <c:v>123.41578202563397</c:v>
                </c:pt>
                <c:pt idx="382">
                  <c:v>123.61981100376462</c:v>
                </c:pt>
                <c:pt idx="383">
                  <c:v>123.77981100376462</c:v>
                </c:pt>
                <c:pt idx="384">
                  <c:v>124.01981100376462</c:v>
                </c:pt>
                <c:pt idx="385">
                  <c:v>124.30394444401816</c:v>
                </c:pt>
                <c:pt idx="386">
                  <c:v>124.58844312604712</c:v>
                </c:pt>
                <c:pt idx="387">
                  <c:v>124.87330452706153</c:v>
                </c:pt>
                <c:pt idx="388">
                  <c:v>125.15862705555855</c:v>
                </c:pt>
                <c:pt idx="389">
                  <c:v>125.4443736804411</c:v>
                </c:pt>
                <c:pt idx="390">
                  <c:v>125.73050737061224</c:v>
                </c:pt>
                <c:pt idx="391">
                  <c:v>126.0170108719183</c:v>
                </c:pt>
                <c:pt idx="392">
                  <c:v>126.30388216140456</c:v>
                </c:pt>
                <c:pt idx="393">
                  <c:v>126.5911308776251</c:v>
                </c:pt>
                <c:pt idx="394">
                  <c:v>126.87876818225395</c:v>
                </c:pt>
                <c:pt idx="395">
                  <c:v>127.16681994471428</c:v>
                </c:pt>
                <c:pt idx="396">
                  <c:v>127.45529428044011</c:v>
                </c:pt>
                <c:pt idx="397">
                  <c:v>127.74419575879121</c:v>
                </c:pt>
                <c:pt idx="398">
                  <c:v>128.03353908751649</c:v>
                </c:pt>
                <c:pt idx="399">
                  <c:v>128.32334963620369</c:v>
                </c:pt>
                <c:pt idx="400">
                  <c:v>128.61368218993854</c:v>
                </c:pt>
                <c:pt idx="401">
                  <c:v>128.90459610316589</c:v>
                </c:pt>
                <c:pt idx="402">
                  <c:v>129.19610760675477</c:v>
                </c:pt>
                <c:pt idx="403">
                  <c:v>129.48341393051427</c:v>
                </c:pt>
                <c:pt idx="404">
                  <c:v>129.76215496351784</c:v>
                </c:pt>
                <c:pt idx="405">
                  <c:v>130.03311726662014</c:v>
                </c:pt>
                <c:pt idx="406">
                  <c:v>130.29693661592759</c:v>
                </c:pt>
                <c:pt idx="407">
                  <c:v>130.56126706819492</c:v>
                </c:pt>
                <c:pt idx="408">
                  <c:v>130.82252416604533</c:v>
                </c:pt>
                <c:pt idx="409">
                  <c:v>131.08017575923691</c:v>
                </c:pt>
                <c:pt idx="410">
                  <c:v>131.33237268756929</c:v>
                </c:pt>
                <c:pt idx="411">
                  <c:v>131.57789741236175</c:v>
                </c:pt>
                <c:pt idx="412">
                  <c:v>131.81654505543787</c:v>
                </c:pt>
                <c:pt idx="413">
                  <c:v>132.04844149221941</c:v>
                </c:pt>
                <c:pt idx="414">
                  <c:v>132.27390248801407</c:v>
                </c:pt>
                <c:pt idx="415">
                  <c:v>132.48919860693775</c:v>
                </c:pt>
                <c:pt idx="416">
                  <c:v>132.69860972182468</c:v>
                </c:pt>
                <c:pt idx="417">
                  <c:v>132.90244613673295</c:v>
                </c:pt>
                <c:pt idx="418">
                  <c:v>133.10088716756985</c:v>
                </c:pt>
                <c:pt idx="419">
                  <c:v>133.2939676863796</c:v>
                </c:pt>
                <c:pt idx="420">
                  <c:v>133.48172972671077</c:v>
                </c:pt>
                <c:pt idx="421">
                  <c:v>133.66458176500277</c:v>
                </c:pt>
                <c:pt idx="422">
                  <c:v>133.84257889621975</c:v>
                </c:pt>
                <c:pt idx="423">
                  <c:v>134.01569022389378</c:v>
                </c:pt>
                <c:pt idx="424">
                  <c:v>134.18374320337682</c:v>
                </c:pt>
                <c:pt idx="425">
                  <c:v>134.34681385364914</c:v>
                </c:pt>
                <c:pt idx="426">
                  <c:v>134.50544200700017</c:v>
                </c:pt>
                <c:pt idx="427">
                  <c:v>134.65977261594509</c:v>
                </c:pt>
                <c:pt idx="428">
                  <c:v>134.81523924796559</c:v>
                </c:pt>
                <c:pt idx="429">
                  <c:v>134.96973499679731</c:v>
                </c:pt>
                <c:pt idx="430">
                  <c:v>143.90360562232001</c:v>
                </c:pt>
                <c:pt idx="431">
                  <c:v>144.06734959224778</c:v>
                </c:pt>
                <c:pt idx="432">
                  <c:v>144.23962577145826</c:v>
                </c:pt>
                <c:pt idx="433">
                  <c:v>144.42536928854011</c:v>
                </c:pt>
                <c:pt idx="434">
                  <c:v>144.6706692885401</c:v>
                </c:pt>
                <c:pt idx="435">
                  <c:v>144.85966928854009</c:v>
                </c:pt>
                <c:pt idx="436">
                  <c:v>145.14380272879362</c:v>
                </c:pt>
                <c:pt idx="437">
                  <c:v>145.4283014108226</c:v>
                </c:pt>
                <c:pt idx="438">
                  <c:v>145.71316281183701</c:v>
                </c:pt>
                <c:pt idx="439">
                  <c:v>145.99848534033401</c:v>
                </c:pt>
                <c:pt idx="440">
                  <c:v>146.28423196521658</c:v>
                </c:pt>
                <c:pt idx="441">
                  <c:v>146.57036565538772</c:v>
                </c:pt>
                <c:pt idx="442">
                  <c:v>146.85686915669379</c:v>
                </c:pt>
                <c:pt idx="443">
                  <c:v>147.14374044618006</c:v>
                </c:pt>
                <c:pt idx="444">
                  <c:v>147.43098916240061</c:v>
                </c:pt>
                <c:pt idx="445">
                  <c:v>147.71862646702945</c:v>
                </c:pt>
                <c:pt idx="446">
                  <c:v>148.00667822948978</c:v>
                </c:pt>
                <c:pt idx="447">
                  <c:v>148.2951525652156</c:v>
                </c:pt>
                <c:pt idx="448">
                  <c:v>148.58405404356671</c:v>
                </c:pt>
                <c:pt idx="449">
                  <c:v>148.873397372292</c:v>
                </c:pt>
                <c:pt idx="450">
                  <c:v>149.1632079209792</c:v>
                </c:pt>
                <c:pt idx="451">
                  <c:v>149.45354047471406</c:v>
                </c:pt>
                <c:pt idx="452">
                  <c:v>149.7444543879414</c:v>
                </c:pt>
                <c:pt idx="453">
                  <c:v>150.03596589153028</c:v>
                </c:pt>
                <c:pt idx="454">
                  <c:v>150.32327221528979</c:v>
                </c:pt>
                <c:pt idx="455">
                  <c:v>150.60201324829336</c:v>
                </c:pt>
                <c:pt idx="456">
                  <c:v>150.87297555139565</c:v>
                </c:pt>
                <c:pt idx="457">
                  <c:v>151.13679490070311</c:v>
                </c:pt>
                <c:pt idx="458">
                  <c:v>151.40112535297044</c:v>
                </c:pt>
                <c:pt idx="459">
                  <c:v>151.66238245082084</c:v>
                </c:pt>
                <c:pt idx="460">
                  <c:v>151.92003404401243</c:v>
                </c:pt>
                <c:pt idx="461">
                  <c:v>152.17223097234481</c:v>
                </c:pt>
                <c:pt idx="462">
                  <c:v>152.41775569713727</c:v>
                </c:pt>
                <c:pt idx="463">
                  <c:v>152.65640334021339</c:v>
                </c:pt>
                <c:pt idx="464">
                  <c:v>152.88829977699493</c:v>
                </c:pt>
                <c:pt idx="465">
                  <c:v>153.11376077278959</c:v>
                </c:pt>
                <c:pt idx="466">
                  <c:v>153.32905689171326</c:v>
                </c:pt>
                <c:pt idx="467">
                  <c:v>153.5384680066002</c:v>
                </c:pt>
                <c:pt idx="468">
                  <c:v>153.74230442150846</c:v>
                </c:pt>
                <c:pt idx="469">
                  <c:v>153.94074545234537</c:v>
                </c:pt>
                <c:pt idx="470">
                  <c:v>154.13382597115512</c:v>
                </c:pt>
                <c:pt idx="471">
                  <c:v>154.32158801148628</c:v>
                </c:pt>
                <c:pt idx="472">
                  <c:v>154.50444004977828</c:v>
                </c:pt>
                <c:pt idx="473">
                  <c:v>154.68243718099527</c:v>
                </c:pt>
                <c:pt idx="474">
                  <c:v>154.8555485086693</c:v>
                </c:pt>
                <c:pt idx="475">
                  <c:v>155.02360148815234</c:v>
                </c:pt>
                <c:pt idx="476">
                  <c:v>155.18667213842465</c:v>
                </c:pt>
                <c:pt idx="477">
                  <c:v>155.34530029177569</c:v>
                </c:pt>
                <c:pt idx="478">
                  <c:v>155.4996309007206</c:v>
                </c:pt>
                <c:pt idx="479">
                  <c:v>155.64953712940624</c:v>
                </c:pt>
                <c:pt idx="480">
                  <c:v>155.7949398771359</c:v>
                </c:pt>
                <c:pt idx="481">
                  <c:v>171.92592524853075</c:v>
                </c:pt>
                <c:pt idx="482">
                  <c:v>172.08570400010959</c:v>
                </c:pt>
                <c:pt idx="483">
                  <c:v>172.24853557684645</c:v>
                </c:pt>
                <c:pt idx="484">
                  <c:v>172.41617427931803</c:v>
                </c:pt>
                <c:pt idx="485">
                  <c:v>172.58895780836102</c:v>
                </c:pt>
                <c:pt idx="486">
                  <c:v>172.77538347633563</c:v>
                </c:pt>
                <c:pt idx="487">
                  <c:v>172.9669976707913</c:v>
                </c:pt>
                <c:pt idx="488">
                  <c:v>173.14699767079131</c:v>
                </c:pt>
                <c:pt idx="489">
                  <c:v>173.38699767079132</c:v>
                </c:pt>
                <c:pt idx="490">
                  <c:v>173.67113111104484</c:v>
                </c:pt>
                <c:pt idx="491">
                  <c:v>173.95562979307383</c:v>
                </c:pt>
                <c:pt idx="492">
                  <c:v>174.24049119408824</c:v>
                </c:pt>
                <c:pt idx="493">
                  <c:v>174.52581372258524</c:v>
                </c:pt>
                <c:pt idx="494">
                  <c:v>174.8115603474678</c:v>
                </c:pt>
                <c:pt idx="495">
                  <c:v>175.09769403763895</c:v>
                </c:pt>
                <c:pt idx="496">
                  <c:v>175.38419753894502</c:v>
                </c:pt>
                <c:pt idx="497">
                  <c:v>175.67106882843129</c:v>
                </c:pt>
                <c:pt idx="498">
                  <c:v>175.95831754465183</c:v>
                </c:pt>
                <c:pt idx="499">
                  <c:v>176.24595484928068</c:v>
                </c:pt>
                <c:pt idx="500">
                  <c:v>176.53400661174101</c:v>
                </c:pt>
                <c:pt idx="501">
                  <c:v>176.82248094746683</c:v>
                </c:pt>
                <c:pt idx="502">
                  <c:v>177.11138242581794</c:v>
                </c:pt>
                <c:pt idx="503">
                  <c:v>177.40072575454323</c:v>
                </c:pt>
                <c:pt idx="504">
                  <c:v>177.69053630323043</c:v>
                </c:pt>
                <c:pt idx="505">
                  <c:v>177.98086885696529</c:v>
                </c:pt>
                <c:pt idx="506">
                  <c:v>178.27178277019263</c:v>
                </c:pt>
                <c:pt idx="507">
                  <c:v>178.56329427378151</c:v>
                </c:pt>
                <c:pt idx="508">
                  <c:v>178.85060059754102</c:v>
                </c:pt>
                <c:pt idx="509">
                  <c:v>179.12934163054459</c:v>
                </c:pt>
                <c:pt idx="510">
                  <c:v>179.40030393364688</c:v>
                </c:pt>
                <c:pt idx="511">
                  <c:v>179.66412328295434</c:v>
                </c:pt>
                <c:pt idx="512">
                  <c:v>179.92845373522167</c:v>
                </c:pt>
                <c:pt idx="513">
                  <c:v>180.18971083307207</c:v>
                </c:pt>
                <c:pt idx="514">
                  <c:v>180.44736242626365</c:v>
                </c:pt>
                <c:pt idx="515">
                  <c:v>180.69955935459603</c:v>
                </c:pt>
                <c:pt idx="516">
                  <c:v>180.94508407938849</c:v>
                </c:pt>
                <c:pt idx="517">
                  <c:v>181.18373172246461</c:v>
                </c:pt>
                <c:pt idx="518">
                  <c:v>181.41562815924615</c:v>
                </c:pt>
                <c:pt idx="519">
                  <c:v>181.64108915504082</c:v>
                </c:pt>
                <c:pt idx="520">
                  <c:v>181.85638527396449</c:v>
                </c:pt>
                <c:pt idx="521">
                  <c:v>182.06579638885142</c:v>
                </c:pt>
                <c:pt idx="522">
                  <c:v>182.26963280375969</c:v>
                </c:pt>
                <c:pt idx="523">
                  <c:v>182.46807383459659</c:v>
                </c:pt>
                <c:pt idx="524">
                  <c:v>182.66115435340635</c:v>
                </c:pt>
                <c:pt idx="525">
                  <c:v>182.84891639373751</c:v>
                </c:pt>
                <c:pt idx="526">
                  <c:v>183.03176843202951</c:v>
                </c:pt>
                <c:pt idx="527">
                  <c:v>183.20976556324649</c:v>
                </c:pt>
                <c:pt idx="528">
                  <c:v>183.38287689092053</c:v>
                </c:pt>
                <c:pt idx="529">
                  <c:v>183.55092987040356</c:v>
                </c:pt>
                <c:pt idx="530">
                  <c:v>183.71400052067588</c:v>
                </c:pt>
                <c:pt idx="531">
                  <c:v>183.87262867402691</c:v>
                </c:pt>
              </c:numCache>
            </c:numRef>
          </c:xVal>
          <c:yVal>
            <c:numRef>
              <c:f>Data!$AO$2:$AO$533</c:f>
              <c:numCache>
                <c:formatCode>General</c:formatCode>
                <c:ptCount val="532"/>
                <c:pt idx="1">
                  <c:v>111.44887500000002</c:v>
                </c:pt>
                <c:pt idx="2">
                  <c:v>547.74195338995776</c:v>
                </c:pt>
                <c:pt idx="3">
                  <c:v>548.55640625640058</c:v>
                </c:pt>
                <c:pt idx="4">
                  <c:v>549.39794994800673</c:v>
                </c:pt>
                <c:pt idx="5">
                  <c:v>550.22856416054651</c:v>
                </c:pt>
                <c:pt idx="6">
                  <c:v>551.08904382194441</c:v>
                </c:pt>
                <c:pt idx="7">
                  <c:v>320.27919460613907</c:v>
                </c:pt>
                <c:pt idx="8">
                  <c:v>320.72480877954615</c:v>
                </c:pt>
                <c:pt idx="9">
                  <c:v>321.16987664467825</c:v>
                </c:pt>
                <c:pt idx="10">
                  <c:v>321.61693606916481</c:v>
                </c:pt>
                <c:pt idx="11">
                  <c:v>322.06547666660941</c:v>
                </c:pt>
                <c:pt idx="12">
                  <c:v>322.51372924986617</c:v>
                </c:pt>
                <c:pt idx="13">
                  <c:v>322.96621431180694</c:v>
                </c:pt>
                <c:pt idx="14">
                  <c:v>323.41721567315852</c:v>
                </c:pt>
                <c:pt idx="15">
                  <c:v>323.87386242254161</c:v>
                </c:pt>
                <c:pt idx="16">
                  <c:v>324.32891311336363</c:v>
                </c:pt>
                <c:pt idx="17">
                  <c:v>324.78846192402057</c:v>
                </c:pt>
                <c:pt idx="18">
                  <c:v>325.24748266254164</c:v>
                </c:pt>
                <c:pt idx="19">
                  <c:v>325.70978908571101</c:v>
                </c:pt>
                <c:pt idx="20">
                  <c:v>326.17301031580257</c:v>
                </c:pt>
                <c:pt idx="21">
                  <c:v>326.63792228825241</c:v>
                </c:pt>
                <c:pt idx="22">
                  <c:v>327.12212447167349</c:v>
                </c:pt>
                <c:pt idx="23">
                  <c:v>327.62279828546298</c:v>
                </c:pt>
                <c:pt idx="24">
                  <c:v>328.12123902920081</c:v>
                </c:pt>
                <c:pt idx="25">
                  <c:v>328.63719258184454</c:v>
                </c:pt>
                <c:pt idx="26">
                  <c:v>329.14159155514432</c:v>
                </c:pt>
                <c:pt idx="27">
                  <c:v>329.64904199774168</c:v>
                </c:pt>
                <c:pt idx="28">
                  <c:v>330.15788591431851</c:v>
                </c:pt>
                <c:pt idx="29">
                  <c:v>330.67045260318184</c:v>
                </c:pt>
                <c:pt idx="30">
                  <c:v>331.18554610246565</c:v>
                </c:pt>
                <c:pt idx="31">
                  <c:v>331.70427788562256</c:v>
                </c:pt>
                <c:pt idx="32">
                  <c:v>172.2839216552689</c:v>
                </c:pt>
                <c:pt idx="33">
                  <c:v>332.34652723845193</c:v>
                </c:pt>
                <c:pt idx="34">
                  <c:v>332.87767679281978</c:v>
                </c:pt>
                <c:pt idx="35">
                  <c:v>-1452.115653995138</c:v>
                </c:pt>
                <c:pt idx="36">
                  <c:v>-1224.9060083601291</c:v>
                </c:pt>
                <c:pt idx="37">
                  <c:v>-2069.8511330648394</c:v>
                </c:pt>
                <c:pt idx="38">
                  <c:v>-1378.8575822537614</c:v>
                </c:pt>
                <c:pt idx="39">
                  <c:v>-1371.4145536808689</c:v>
                </c:pt>
                <c:pt idx="40">
                  <c:v>-1358.3955421954868</c:v>
                </c:pt>
                <c:pt idx="41">
                  <c:v>-1334.8469000634541</c:v>
                </c:pt>
                <c:pt idx="42">
                  <c:v>-2008.9633912358715</c:v>
                </c:pt>
                <c:pt idx="43">
                  <c:v>-37.767788769878166</c:v>
                </c:pt>
                <c:pt idx="44">
                  <c:v>94.235294911076195</c:v>
                </c:pt>
                <c:pt idx="45">
                  <c:v>90.025389000000004</c:v>
                </c:pt>
                <c:pt idx="46">
                  <c:v>90.025389000000004</c:v>
                </c:pt>
                <c:pt idx="47">
                  <c:v>90.025389000000004</c:v>
                </c:pt>
                <c:pt idx="48">
                  <c:v>90.025389000000004</c:v>
                </c:pt>
                <c:pt idx="49">
                  <c:v>90.025389000000004</c:v>
                </c:pt>
                <c:pt idx="50">
                  <c:v>90.025389000000004</c:v>
                </c:pt>
                <c:pt idx="51">
                  <c:v>552.69729819440442</c:v>
                </c:pt>
                <c:pt idx="52">
                  <c:v>547.36191886946301</c:v>
                </c:pt>
                <c:pt idx="53">
                  <c:v>544.34821180559231</c:v>
                </c:pt>
                <c:pt idx="54">
                  <c:v>542.65120754108113</c:v>
                </c:pt>
                <c:pt idx="55">
                  <c:v>541.76172521249737</c:v>
                </c:pt>
                <c:pt idx="56">
                  <c:v>541.39137574470897</c:v>
                </c:pt>
                <c:pt idx="57">
                  <c:v>541.35974874257272</c:v>
                </c:pt>
                <c:pt idx="58">
                  <c:v>541.56933255264903</c:v>
                </c:pt>
                <c:pt idx="59">
                  <c:v>541.9597277482892</c:v>
                </c:pt>
                <c:pt idx="60">
                  <c:v>542.49075363633415</c:v>
                </c:pt>
                <c:pt idx="61">
                  <c:v>543.13561573321977</c:v>
                </c:pt>
                <c:pt idx="62">
                  <c:v>543.86740704660428</c:v>
                </c:pt>
                <c:pt idx="63">
                  <c:v>544.67346712506355</c:v>
                </c:pt>
                <c:pt idx="64">
                  <c:v>545.54149653441505</c:v>
                </c:pt>
                <c:pt idx="65">
                  <c:v>546.45973466163787</c:v>
                </c:pt>
                <c:pt idx="66">
                  <c:v>547.42195393641316</c:v>
                </c:pt>
                <c:pt idx="67">
                  <c:v>548.41814390085028</c:v>
                </c:pt>
                <c:pt idx="68">
                  <c:v>549.45072881935835</c:v>
                </c:pt>
                <c:pt idx="69">
                  <c:v>-1367.8068681160639</c:v>
                </c:pt>
                <c:pt idx="70">
                  <c:v>-1354.2395899175217</c:v>
                </c:pt>
                <c:pt idx="71">
                  <c:v>-1328.9045625982485</c:v>
                </c:pt>
                <c:pt idx="72">
                  <c:v>-1864.6444982041189</c:v>
                </c:pt>
                <c:pt idx="73">
                  <c:v>-179.54687486965838</c:v>
                </c:pt>
                <c:pt idx="74">
                  <c:v>91.35192921660699</c:v>
                </c:pt>
                <c:pt idx="75">
                  <c:v>92.683821222438979</c:v>
                </c:pt>
                <c:pt idx="76">
                  <c:v>94.021058883801089</c:v>
                </c:pt>
                <c:pt idx="77">
                  <c:v>95.36365133046138</c:v>
                </c:pt>
                <c:pt idx="78">
                  <c:v>96.711124239174382</c:v>
                </c:pt>
                <c:pt idx="79">
                  <c:v>542.37731147907846</c:v>
                </c:pt>
                <c:pt idx="80">
                  <c:v>542.38481429107992</c:v>
                </c:pt>
                <c:pt idx="81">
                  <c:v>542.64864356332498</c:v>
                </c:pt>
                <c:pt idx="82">
                  <c:v>543.11094548508981</c:v>
                </c:pt>
                <c:pt idx="83">
                  <c:v>543.72205499074039</c:v>
                </c:pt>
                <c:pt idx="84">
                  <c:v>544.45121073013593</c:v>
                </c:pt>
                <c:pt idx="85">
                  <c:v>545.27600506055182</c:v>
                </c:pt>
                <c:pt idx="86">
                  <c:v>546.17795790531443</c:v>
                </c:pt>
                <c:pt idx="87">
                  <c:v>547.14617413416977</c:v>
                </c:pt>
                <c:pt idx="88">
                  <c:v>548.16223616834338</c:v>
                </c:pt>
                <c:pt idx="89">
                  <c:v>549.20542796941595</c:v>
                </c:pt>
                <c:pt idx="90">
                  <c:v>550.30405562124554</c:v>
                </c:pt>
                <c:pt idx="91">
                  <c:v>551.43857154390264</c:v>
                </c:pt>
                <c:pt idx="92">
                  <c:v>552.60358631179304</c:v>
                </c:pt>
                <c:pt idx="93">
                  <c:v>116.05686450416859</c:v>
                </c:pt>
                <c:pt idx="94">
                  <c:v>320.67273121984391</c:v>
                </c:pt>
                <c:pt idx="95">
                  <c:v>321.32238787517451</c:v>
                </c:pt>
                <c:pt idx="96">
                  <c:v>321.97541155235183</c:v>
                </c:pt>
                <c:pt idx="97">
                  <c:v>322.63131628415277</c:v>
                </c:pt>
                <c:pt idx="98">
                  <c:v>323.28935664952326</c:v>
                </c:pt>
                <c:pt idx="99">
                  <c:v>323.94811307108847</c:v>
                </c:pt>
                <c:pt idx="100">
                  <c:v>324.60836372694706</c:v>
                </c:pt>
                <c:pt idx="101">
                  <c:v>325.27118193050376</c:v>
                </c:pt>
                <c:pt idx="102">
                  <c:v>325.9363993835708</c:v>
                </c:pt>
                <c:pt idx="103">
                  <c:v>326.60380157689593</c:v>
                </c:pt>
                <c:pt idx="104">
                  <c:v>327.2736104672058</c:v>
                </c:pt>
                <c:pt idx="105">
                  <c:v>327.94606565757528</c:v>
                </c:pt>
                <c:pt idx="106">
                  <c:v>328.62115528670472</c:v>
                </c:pt>
                <c:pt idx="107">
                  <c:v>329.29923793070566</c:v>
                </c:pt>
                <c:pt idx="108">
                  <c:v>329.98035927869</c:v>
                </c:pt>
                <c:pt idx="109">
                  <c:v>330.66437024587742</c:v>
                </c:pt>
                <c:pt idx="110">
                  <c:v>331.35163108966702</c:v>
                </c:pt>
                <c:pt idx="111">
                  <c:v>332.04184043239542</c:v>
                </c:pt>
                <c:pt idx="112">
                  <c:v>332.73549971291243</c:v>
                </c:pt>
                <c:pt idx="113">
                  <c:v>333.43332476881255</c:v>
                </c:pt>
                <c:pt idx="114">
                  <c:v>-1374.498057691809</c:v>
                </c:pt>
                <c:pt idx="115">
                  <c:v>-1371.7316950082372</c:v>
                </c:pt>
                <c:pt idx="116">
                  <c:v>-1365.939557469716</c:v>
                </c:pt>
                <c:pt idx="117">
                  <c:v>552.16849435995323</c:v>
                </c:pt>
                <c:pt idx="118">
                  <c:v>553.42040098394023</c:v>
                </c:pt>
                <c:pt idx="119">
                  <c:v>116.46129505476901</c:v>
                </c:pt>
                <c:pt idx="120">
                  <c:v>321.22330174732258</c:v>
                </c:pt>
                <c:pt idx="121">
                  <c:v>321.92933289607447</c:v>
                </c:pt>
                <c:pt idx="122">
                  <c:v>322.63745307353201</c:v>
                </c:pt>
                <c:pt idx="123">
                  <c:v>323.34505766476087</c:v>
                </c:pt>
                <c:pt idx="124">
                  <c:v>324.05493556208233</c:v>
                </c:pt>
                <c:pt idx="125">
                  <c:v>324.76729800027579</c:v>
                </c:pt>
                <c:pt idx="126">
                  <c:v>325.48057889927588</c:v>
                </c:pt>
                <c:pt idx="127">
                  <c:v>326.1952441897331</c:v>
                </c:pt>
                <c:pt idx="128">
                  <c:v>326.91252876971976</c:v>
                </c:pt>
                <c:pt idx="129">
                  <c:v>327.63218738617428</c:v>
                </c:pt>
                <c:pt idx="130">
                  <c:v>328.35416192686483</c:v>
                </c:pt>
                <c:pt idx="131">
                  <c:v>329.07852776863808</c:v>
                </c:pt>
                <c:pt idx="132">
                  <c:v>329.80592540567079</c:v>
                </c:pt>
                <c:pt idx="133">
                  <c:v>330.53614452610321</c:v>
                </c:pt>
                <c:pt idx="134">
                  <c:v>331.26952514331367</c:v>
                </c:pt>
                <c:pt idx="135">
                  <c:v>332.00612640673887</c:v>
                </c:pt>
                <c:pt idx="136">
                  <c:v>332.74584262936492</c:v>
                </c:pt>
                <c:pt idx="137">
                  <c:v>333.4883338766125</c:v>
                </c:pt>
                <c:pt idx="138">
                  <c:v>-1371.2158861259688</c:v>
                </c:pt>
                <c:pt idx="139">
                  <c:v>-1367.5818314156393</c:v>
                </c:pt>
                <c:pt idx="140">
                  <c:v>112.32247441091195</c:v>
                </c:pt>
                <c:pt idx="141">
                  <c:v>106.45471184173222</c:v>
                </c:pt>
                <c:pt idx="142">
                  <c:v>100.56523285012224</c:v>
                </c:pt>
                <c:pt idx="143">
                  <c:v>545.17842790419434</c:v>
                </c:pt>
                <c:pt idx="144">
                  <c:v>545.71788759068977</c:v>
                </c:pt>
                <c:pt idx="145">
                  <c:v>546.45166288061932</c:v>
                </c:pt>
                <c:pt idx="146">
                  <c:v>547.33089384809489</c:v>
                </c:pt>
                <c:pt idx="147">
                  <c:v>548.32561866303593</c:v>
                </c:pt>
                <c:pt idx="148">
                  <c:v>549.41471915368049</c:v>
                </c:pt>
                <c:pt idx="149">
                  <c:v>550.57946447439872</c:v>
                </c:pt>
                <c:pt idx="150">
                  <c:v>551.80811020501346</c:v>
                </c:pt>
                <c:pt idx="151">
                  <c:v>553.08964096425586</c:v>
                </c:pt>
                <c:pt idx="152">
                  <c:v>554.41507668007671</c:v>
                </c:pt>
                <c:pt idx="153">
                  <c:v>117.11533403549069</c:v>
                </c:pt>
                <c:pt idx="154">
                  <c:v>321.99872355539839</c:v>
                </c:pt>
                <c:pt idx="155">
                  <c:v>322.75540973658946</c:v>
                </c:pt>
                <c:pt idx="156">
                  <c:v>323.51545969611237</c:v>
                </c:pt>
                <c:pt idx="157">
                  <c:v>324.27789351379465</c:v>
                </c:pt>
                <c:pt idx="158">
                  <c:v>325.04293104908794</c:v>
                </c:pt>
                <c:pt idx="159">
                  <c:v>115.24147500000001</c:v>
                </c:pt>
                <c:pt idx="160">
                  <c:v>-213.46124680166992</c:v>
                </c:pt>
                <c:pt idx="161">
                  <c:v>-206.68639297626163</c:v>
                </c:pt>
                <c:pt idx="162">
                  <c:v>-45.413499060962266</c:v>
                </c:pt>
                <c:pt idx="163">
                  <c:v>138.84984244816175</c:v>
                </c:pt>
                <c:pt idx="164">
                  <c:v>293.82802043568995</c:v>
                </c:pt>
                <c:pt idx="165">
                  <c:v>114.55120132256739</c:v>
                </c:pt>
                <c:pt idx="166">
                  <c:v>503.89777731425124</c:v>
                </c:pt>
                <c:pt idx="167">
                  <c:v>656.18953157623423</c:v>
                </c:pt>
                <c:pt idx="168">
                  <c:v>655.46447238938117</c:v>
                </c:pt>
                <c:pt idx="169">
                  <c:v>473.6501802733427</c:v>
                </c:pt>
                <c:pt idx="170">
                  <c:v>625.48407323877882</c:v>
                </c:pt>
                <c:pt idx="171">
                  <c:v>472.71074275830767</c:v>
                </c:pt>
                <c:pt idx="172">
                  <c:v>500.73952441217739</c:v>
                </c:pt>
                <c:pt idx="173">
                  <c:v>443.23932224348403</c:v>
                </c:pt>
                <c:pt idx="174">
                  <c:v>471.17443734126869</c:v>
                </c:pt>
                <c:pt idx="175">
                  <c:v>319.43921529555598</c:v>
                </c:pt>
                <c:pt idx="176">
                  <c:v>290.77169589656881</c:v>
                </c:pt>
                <c:pt idx="177">
                  <c:v>441.22554439420276</c:v>
                </c:pt>
                <c:pt idx="178">
                  <c:v>111.44887500000002</c:v>
                </c:pt>
                <c:pt idx="179">
                  <c:v>289.80334331810161</c:v>
                </c:pt>
                <c:pt idx="180">
                  <c:v>111.44887500000002</c:v>
                </c:pt>
                <c:pt idx="181">
                  <c:v>111.44887500000002</c:v>
                </c:pt>
                <c:pt idx="182">
                  <c:v>111.44887500000002</c:v>
                </c:pt>
                <c:pt idx="183">
                  <c:v>148.76257197534039</c:v>
                </c:pt>
                <c:pt idx="184">
                  <c:v>524.521173833494</c:v>
                </c:pt>
                <c:pt idx="185">
                  <c:v>377.64139409499666</c:v>
                </c:pt>
                <c:pt idx="186">
                  <c:v>231.1950966553828</c:v>
                </c:pt>
                <c:pt idx="187">
                  <c:v>-86.335931774982271</c:v>
                </c:pt>
                <c:pt idx="188">
                  <c:v>-32.823137452049252</c:v>
                </c:pt>
                <c:pt idx="189">
                  <c:v>-37.404819054440907</c:v>
                </c:pt>
                <c:pt idx="190">
                  <c:v>-42.844106954122879</c:v>
                </c:pt>
                <c:pt idx="191">
                  <c:v>-235.44980585715044</c:v>
                </c:pt>
                <c:pt idx="192">
                  <c:v>-54.581831982734997</c:v>
                </c:pt>
                <c:pt idx="193">
                  <c:v>-254.42401871637111</c:v>
                </c:pt>
                <c:pt idx="194">
                  <c:v>-264.46211836179327</c:v>
                </c:pt>
                <c:pt idx="195">
                  <c:v>135.13529152960245</c:v>
                </c:pt>
                <c:pt idx="196">
                  <c:v>125.45006177675184</c:v>
                </c:pt>
                <c:pt idx="197">
                  <c:v>330.57655556877222</c:v>
                </c:pt>
                <c:pt idx="198">
                  <c:v>331.25967506785577</c:v>
                </c:pt>
                <c:pt idx="199">
                  <c:v>115.4033467964021</c:v>
                </c:pt>
                <c:pt idx="200">
                  <c:v>297.70284096450928</c:v>
                </c:pt>
                <c:pt idx="201">
                  <c:v>107.8965555895783</c:v>
                </c:pt>
                <c:pt idx="202">
                  <c:v>-90.70879382328053</c:v>
                </c:pt>
                <c:pt idx="203">
                  <c:v>98.561930727418655</c:v>
                </c:pt>
                <c:pt idx="204">
                  <c:v>-1243.5789210281662</c:v>
                </c:pt>
                <c:pt idx="205">
                  <c:v>-607.67877657281815</c:v>
                </c:pt>
                <c:pt idx="206">
                  <c:v>-644.14409756563964</c:v>
                </c:pt>
                <c:pt idx="207">
                  <c:v>-1102.4974269497852</c:v>
                </c:pt>
                <c:pt idx="208">
                  <c:v>-1059.2390156559236</c:v>
                </c:pt>
                <c:pt idx="209">
                  <c:v>-1026.6286591978574</c:v>
                </c:pt>
                <c:pt idx="210">
                  <c:v>-19.511889111446408</c:v>
                </c:pt>
                <c:pt idx="211">
                  <c:v>111.44887500000002</c:v>
                </c:pt>
                <c:pt idx="212">
                  <c:v>111.44887500000002</c:v>
                </c:pt>
                <c:pt idx="213">
                  <c:v>111.44887500000002</c:v>
                </c:pt>
                <c:pt idx="214">
                  <c:v>111.44887500000002</c:v>
                </c:pt>
                <c:pt idx="215">
                  <c:v>111.44887500000002</c:v>
                </c:pt>
                <c:pt idx="216">
                  <c:v>111.44887500000002</c:v>
                </c:pt>
                <c:pt idx="217">
                  <c:v>111.44887500000002</c:v>
                </c:pt>
                <c:pt idx="218">
                  <c:v>111.44887500000002</c:v>
                </c:pt>
                <c:pt idx="219">
                  <c:v>111.44887500000002</c:v>
                </c:pt>
                <c:pt idx="220">
                  <c:v>322.65799683352145</c:v>
                </c:pt>
                <c:pt idx="221">
                  <c:v>629.09927934006248</c:v>
                </c:pt>
                <c:pt idx="222">
                  <c:v>503.89777731425124</c:v>
                </c:pt>
                <c:pt idx="223">
                  <c:v>656.18953157623423</c:v>
                </c:pt>
                <c:pt idx="224">
                  <c:v>655.46447238938117</c:v>
                </c:pt>
                <c:pt idx="225">
                  <c:v>473.6501802733427</c:v>
                </c:pt>
                <c:pt idx="226">
                  <c:v>625.48407323877882</c:v>
                </c:pt>
                <c:pt idx="227">
                  <c:v>472.71074275830767</c:v>
                </c:pt>
                <c:pt idx="228">
                  <c:v>500.73952441217739</c:v>
                </c:pt>
                <c:pt idx="229">
                  <c:v>443.23932224348403</c:v>
                </c:pt>
                <c:pt idx="230">
                  <c:v>471.17443734126869</c:v>
                </c:pt>
                <c:pt idx="231">
                  <c:v>319.43921529555598</c:v>
                </c:pt>
                <c:pt idx="232">
                  <c:v>290.77169589656881</c:v>
                </c:pt>
                <c:pt idx="233">
                  <c:v>441.22554439420276</c:v>
                </c:pt>
                <c:pt idx="234">
                  <c:v>111.44887500000002</c:v>
                </c:pt>
                <c:pt idx="235">
                  <c:v>289.80334331810161</c:v>
                </c:pt>
                <c:pt idx="236">
                  <c:v>111.44887500000002</c:v>
                </c:pt>
                <c:pt idx="237">
                  <c:v>111.44887500000002</c:v>
                </c:pt>
                <c:pt idx="238">
                  <c:v>111.44887500000002</c:v>
                </c:pt>
                <c:pt idx="239">
                  <c:v>148.76257197534039</c:v>
                </c:pt>
                <c:pt idx="240">
                  <c:v>524.521173833494</c:v>
                </c:pt>
                <c:pt idx="241">
                  <c:v>377.64139409499666</c:v>
                </c:pt>
                <c:pt idx="242">
                  <c:v>231.1950966553828</c:v>
                </c:pt>
                <c:pt idx="243">
                  <c:v>-86.335931774982271</c:v>
                </c:pt>
                <c:pt idx="244">
                  <c:v>-32.823137452049252</c:v>
                </c:pt>
                <c:pt idx="245">
                  <c:v>-37.404819054440907</c:v>
                </c:pt>
                <c:pt idx="246">
                  <c:v>-42.844106954122879</c:v>
                </c:pt>
                <c:pt idx="247">
                  <c:v>-235.44980585715044</c:v>
                </c:pt>
                <c:pt idx="248">
                  <c:v>-54.581831982734997</c:v>
                </c:pt>
                <c:pt idx="249">
                  <c:v>-254.42401871637111</c:v>
                </c:pt>
                <c:pt idx="250">
                  <c:v>-264.46211836179327</c:v>
                </c:pt>
                <c:pt idx="251">
                  <c:v>135.13529152960245</c:v>
                </c:pt>
                <c:pt idx="252">
                  <c:v>125.45006177675184</c:v>
                </c:pt>
                <c:pt idx="253">
                  <c:v>330.57655556877222</c:v>
                </c:pt>
                <c:pt idx="254">
                  <c:v>331.25967506785577</c:v>
                </c:pt>
                <c:pt idx="255">
                  <c:v>115.4033467964021</c:v>
                </c:pt>
                <c:pt idx="256">
                  <c:v>297.70284096450928</c:v>
                </c:pt>
                <c:pt idx="257">
                  <c:v>107.8965555895783</c:v>
                </c:pt>
                <c:pt idx="258">
                  <c:v>-90.70879382328053</c:v>
                </c:pt>
                <c:pt idx="259">
                  <c:v>98.561930727418655</c:v>
                </c:pt>
                <c:pt idx="260">
                  <c:v>297.02409372238799</c:v>
                </c:pt>
                <c:pt idx="261">
                  <c:v>98.335543020920966</c:v>
                </c:pt>
                <c:pt idx="262">
                  <c:v>306.13225951672541</c:v>
                </c:pt>
                <c:pt idx="263">
                  <c:v>306.70429795420847</c:v>
                </c:pt>
                <c:pt idx="264">
                  <c:v>317.44386790707938</c:v>
                </c:pt>
                <c:pt idx="265">
                  <c:v>284.05735545195188</c:v>
                </c:pt>
                <c:pt idx="266">
                  <c:v>70.073039068768168</c:v>
                </c:pt>
                <c:pt idx="267">
                  <c:v>102.08487000000001</c:v>
                </c:pt>
                <c:pt idx="268">
                  <c:v>-805.62821570341362</c:v>
                </c:pt>
                <c:pt idx="269">
                  <c:v>-613.39983854566799</c:v>
                </c:pt>
                <c:pt idx="270">
                  <c:v>-1256.3725555141191</c:v>
                </c:pt>
                <c:pt idx="271">
                  <c:v>-1328.5122435316098</c:v>
                </c:pt>
                <c:pt idx="272">
                  <c:v>-225.27755520632337</c:v>
                </c:pt>
                <c:pt idx="273">
                  <c:v>804.44806469066532</c:v>
                </c:pt>
                <c:pt idx="274">
                  <c:v>-1041.8042982045595</c:v>
                </c:pt>
                <c:pt idx="275">
                  <c:v>-576.24782409386421</c:v>
                </c:pt>
                <c:pt idx="276">
                  <c:v>656.18953157623423</c:v>
                </c:pt>
                <c:pt idx="277">
                  <c:v>655.46447238938117</c:v>
                </c:pt>
                <c:pt idx="278">
                  <c:v>473.6501802733427</c:v>
                </c:pt>
                <c:pt idx="279">
                  <c:v>625.48407323877882</c:v>
                </c:pt>
                <c:pt idx="280">
                  <c:v>472.71074275830767</c:v>
                </c:pt>
                <c:pt idx="281">
                  <c:v>500.73952441217739</c:v>
                </c:pt>
                <c:pt idx="282">
                  <c:v>443.23932224348403</c:v>
                </c:pt>
                <c:pt idx="283">
                  <c:v>471.17443734126869</c:v>
                </c:pt>
                <c:pt idx="284">
                  <c:v>319.43921529555598</c:v>
                </c:pt>
                <c:pt idx="285">
                  <c:v>290.77169589656881</c:v>
                </c:pt>
                <c:pt idx="286">
                  <c:v>441.22554439420276</c:v>
                </c:pt>
                <c:pt idx="287">
                  <c:v>111.44887500000002</c:v>
                </c:pt>
                <c:pt idx="288">
                  <c:v>289.80334331810161</c:v>
                </c:pt>
                <c:pt idx="289">
                  <c:v>111.44887500000002</c:v>
                </c:pt>
                <c:pt idx="290">
                  <c:v>111.44887500000002</c:v>
                </c:pt>
                <c:pt idx="291">
                  <c:v>111.44887500000002</c:v>
                </c:pt>
                <c:pt idx="292">
                  <c:v>148.76257197534039</c:v>
                </c:pt>
                <c:pt idx="293">
                  <c:v>524.521173833494</c:v>
                </c:pt>
                <c:pt idx="294">
                  <c:v>377.64139409499666</c:v>
                </c:pt>
                <c:pt idx="295">
                  <c:v>231.1950966553828</c:v>
                </c:pt>
                <c:pt idx="296">
                  <c:v>-86.335931774982271</c:v>
                </c:pt>
                <c:pt idx="297">
                  <c:v>-32.823137452049252</c:v>
                </c:pt>
                <c:pt idx="298">
                  <c:v>-37.404819054440907</c:v>
                </c:pt>
                <c:pt idx="299">
                  <c:v>-42.844106954122879</c:v>
                </c:pt>
                <c:pt idx="300">
                  <c:v>-235.44980585715044</c:v>
                </c:pt>
                <c:pt idx="301">
                  <c:v>-54.581831982734997</c:v>
                </c:pt>
                <c:pt idx="302">
                  <c:v>-254.42401871637111</c:v>
                </c:pt>
                <c:pt idx="303">
                  <c:v>-264.46211836179327</c:v>
                </c:pt>
                <c:pt idx="304">
                  <c:v>135.13529152960245</c:v>
                </c:pt>
                <c:pt idx="305">
                  <c:v>125.45006177675184</c:v>
                </c:pt>
                <c:pt idx="306">
                  <c:v>330.57655556877222</c:v>
                </c:pt>
                <c:pt idx="307">
                  <c:v>331.25967506785577</c:v>
                </c:pt>
                <c:pt idx="308">
                  <c:v>115.4033467964021</c:v>
                </c:pt>
                <c:pt idx="309">
                  <c:v>297.70284096450928</c:v>
                </c:pt>
                <c:pt idx="310">
                  <c:v>107.8965555895783</c:v>
                </c:pt>
                <c:pt idx="311">
                  <c:v>-90.70879382328053</c:v>
                </c:pt>
                <c:pt idx="312">
                  <c:v>98.561930727418655</c:v>
                </c:pt>
                <c:pt idx="313">
                  <c:v>297.02409372238799</c:v>
                </c:pt>
                <c:pt idx="314">
                  <c:v>98.335543020920966</c:v>
                </c:pt>
                <c:pt idx="315">
                  <c:v>306.13225951672541</c:v>
                </c:pt>
                <c:pt idx="316">
                  <c:v>306.70429795420847</c:v>
                </c:pt>
                <c:pt idx="317">
                  <c:v>1.2808861794929101</c:v>
                </c:pt>
                <c:pt idx="318">
                  <c:v>-767.78359316816181</c:v>
                </c:pt>
                <c:pt idx="319">
                  <c:v>-138.00584206136011</c:v>
                </c:pt>
                <c:pt idx="320">
                  <c:v>77.089736503271581</c:v>
                </c:pt>
                <c:pt idx="321">
                  <c:v>81.302745000000016</c:v>
                </c:pt>
                <c:pt idx="322">
                  <c:v>81.302745000000016</c:v>
                </c:pt>
                <c:pt idx="323">
                  <c:v>81.302745000000016</c:v>
                </c:pt>
                <c:pt idx="324">
                  <c:v>86.648648791299181</c:v>
                </c:pt>
                <c:pt idx="325">
                  <c:v>294.05953945998101</c:v>
                </c:pt>
                <c:pt idx="326">
                  <c:v>322.65799683352145</c:v>
                </c:pt>
                <c:pt idx="327">
                  <c:v>629.09927934006248</c:v>
                </c:pt>
                <c:pt idx="328">
                  <c:v>503.89777731425124</c:v>
                </c:pt>
                <c:pt idx="329">
                  <c:v>656.18953157623423</c:v>
                </c:pt>
                <c:pt idx="330">
                  <c:v>655.46447238938117</c:v>
                </c:pt>
                <c:pt idx="331">
                  <c:v>473.6501802733427</c:v>
                </c:pt>
                <c:pt idx="332">
                  <c:v>625.48407323877882</c:v>
                </c:pt>
                <c:pt idx="333">
                  <c:v>472.71074275830767</c:v>
                </c:pt>
                <c:pt idx="334">
                  <c:v>500.73952441217739</c:v>
                </c:pt>
                <c:pt idx="335">
                  <c:v>443.23932224348403</c:v>
                </c:pt>
                <c:pt idx="336">
                  <c:v>471.17443734126869</c:v>
                </c:pt>
                <c:pt idx="337">
                  <c:v>319.43921529555598</c:v>
                </c:pt>
                <c:pt idx="338">
                  <c:v>290.77169589656881</c:v>
                </c:pt>
                <c:pt idx="339">
                  <c:v>441.22554439420276</c:v>
                </c:pt>
                <c:pt idx="340">
                  <c:v>111.44887500000002</c:v>
                </c:pt>
                <c:pt idx="341">
                  <c:v>289.80334331810161</c:v>
                </c:pt>
                <c:pt idx="342">
                  <c:v>111.44887500000002</c:v>
                </c:pt>
                <c:pt idx="343">
                  <c:v>111.44887500000002</c:v>
                </c:pt>
                <c:pt idx="344">
                  <c:v>111.44887500000002</c:v>
                </c:pt>
                <c:pt idx="345">
                  <c:v>148.76257197534039</c:v>
                </c:pt>
                <c:pt idx="346">
                  <c:v>524.521173833494</c:v>
                </c:pt>
                <c:pt idx="347">
                  <c:v>377.64139409499666</c:v>
                </c:pt>
                <c:pt idx="348">
                  <c:v>231.1950966553828</c:v>
                </c:pt>
                <c:pt idx="349">
                  <c:v>-86.335931774982271</c:v>
                </c:pt>
                <c:pt idx="350">
                  <c:v>-32.823137452049252</c:v>
                </c:pt>
                <c:pt idx="351">
                  <c:v>-37.404819054440907</c:v>
                </c:pt>
                <c:pt idx="352">
                  <c:v>-42.844106954122879</c:v>
                </c:pt>
                <c:pt idx="353">
                  <c:v>-235.44980585715044</c:v>
                </c:pt>
                <c:pt idx="354">
                  <c:v>-54.581831982734997</c:v>
                </c:pt>
                <c:pt idx="355">
                  <c:v>-254.42401871637111</c:v>
                </c:pt>
                <c:pt idx="356">
                  <c:v>-264.46211836179327</c:v>
                </c:pt>
                <c:pt idx="357">
                  <c:v>135.13529152960245</c:v>
                </c:pt>
                <c:pt idx="358">
                  <c:v>125.45006177675184</c:v>
                </c:pt>
                <c:pt idx="359">
                  <c:v>330.57655556877222</c:v>
                </c:pt>
                <c:pt idx="360">
                  <c:v>331.25967506785577</c:v>
                </c:pt>
                <c:pt idx="361">
                  <c:v>115.4033467964021</c:v>
                </c:pt>
                <c:pt idx="362">
                  <c:v>297.70284096450928</c:v>
                </c:pt>
                <c:pt idx="363">
                  <c:v>107.8965555895783</c:v>
                </c:pt>
                <c:pt idx="364">
                  <c:v>-90.70879382328053</c:v>
                </c:pt>
                <c:pt idx="365">
                  <c:v>98.561930727418655</c:v>
                </c:pt>
                <c:pt idx="366">
                  <c:v>297.02409372238799</c:v>
                </c:pt>
                <c:pt idx="367">
                  <c:v>98.335543020920966</c:v>
                </c:pt>
                <c:pt idx="368">
                  <c:v>306.13225951672541</c:v>
                </c:pt>
                <c:pt idx="369">
                  <c:v>306.70429795420847</c:v>
                </c:pt>
                <c:pt idx="370">
                  <c:v>317.44386790707938</c:v>
                </c:pt>
                <c:pt idx="371">
                  <c:v>307.42747305261611</c:v>
                </c:pt>
                <c:pt idx="372">
                  <c:v>179.40312301532322</c:v>
                </c:pt>
                <c:pt idx="373">
                  <c:v>103.74597000000001</c:v>
                </c:pt>
                <c:pt idx="374">
                  <c:v>-183.7525248603632</c:v>
                </c:pt>
                <c:pt idx="375">
                  <c:v>-740.90984876107382</c:v>
                </c:pt>
                <c:pt idx="376">
                  <c:v>-1243.692595283499</c:v>
                </c:pt>
                <c:pt idx="377">
                  <c:v>-431.95604566990085</c:v>
                </c:pt>
                <c:pt idx="378">
                  <c:v>-674.54145378079625</c:v>
                </c:pt>
                <c:pt idx="379">
                  <c:v>-1122.5645040273273</c:v>
                </c:pt>
                <c:pt idx="380">
                  <c:v>-1060.7455974112695</c:v>
                </c:pt>
                <c:pt idx="381">
                  <c:v>-356.30114166840451</c:v>
                </c:pt>
                <c:pt idx="382">
                  <c:v>-348.49159512153506</c:v>
                </c:pt>
                <c:pt idx="383">
                  <c:v>-529.06546054001603</c:v>
                </c:pt>
                <c:pt idx="384">
                  <c:v>322.65799683352145</c:v>
                </c:pt>
                <c:pt idx="385">
                  <c:v>629.09927934006248</c:v>
                </c:pt>
                <c:pt idx="386">
                  <c:v>503.89777731425124</c:v>
                </c:pt>
                <c:pt idx="387">
                  <c:v>656.18953157623423</c:v>
                </c:pt>
                <c:pt idx="388">
                  <c:v>655.46447238938117</c:v>
                </c:pt>
                <c:pt idx="389">
                  <c:v>473.6501802733427</c:v>
                </c:pt>
                <c:pt idx="390">
                  <c:v>625.48407323877882</c:v>
                </c:pt>
                <c:pt idx="391">
                  <c:v>472.71074275830767</c:v>
                </c:pt>
                <c:pt idx="392">
                  <c:v>500.73952441217739</c:v>
                </c:pt>
                <c:pt idx="393">
                  <c:v>443.23932224348403</c:v>
                </c:pt>
                <c:pt idx="394">
                  <c:v>471.17443734126869</c:v>
                </c:pt>
                <c:pt idx="395">
                  <c:v>319.43921529555598</c:v>
                </c:pt>
                <c:pt idx="396">
                  <c:v>290.77169589656881</c:v>
                </c:pt>
                <c:pt idx="397">
                  <c:v>441.22554439420276</c:v>
                </c:pt>
                <c:pt idx="398">
                  <c:v>111.44887500000002</c:v>
                </c:pt>
                <c:pt idx="399">
                  <c:v>289.80334331810161</c:v>
                </c:pt>
                <c:pt idx="400">
                  <c:v>111.44887500000002</c:v>
                </c:pt>
                <c:pt idx="401">
                  <c:v>111.44887500000002</c:v>
                </c:pt>
                <c:pt idx="402">
                  <c:v>111.44887500000002</c:v>
                </c:pt>
                <c:pt idx="403">
                  <c:v>148.76257197534039</c:v>
                </c:pt>
                <c:pt idx="404">
                  <c:v>524.521173833494</c:v>
                </c:pt>
                <c:pt idx="405">
                  <c:v>377.64139409499666</c:v>
                </c:pt>
                <c:pt idx="406">
                  <c:v>231.1950966553828</c:v>
                </c:pt>
                <c:pt idx="407">
                  <c:v>-86.335931774982271</c:v>
                </c:pt>
                <c:pt idx="408">
                  <c:v>-32.823137452049252</c:v>
                </c:pt>
                <c:pt idx="409">
                  <c:v>-37.404819054440907</c:v>
                </c:pt>
                <c:pt idx="410">
                  <c:v>-42.844106954122879</c:v>
                </c:pt>
                <c:pt idx="411">
                  <c:v>-235.44980585715044</c:v>
                </c:pt>
                <c:pt idx="412">
                  <c:v>-54.581831982734997</c:v>
                </c:pt>
                <c:pt idx="413">
                  <c:v>-254.42401871637111</c:v>
                </c:pt>
                <c:pt idx="414">
                  <c:v>-264.46211836179327</c:v>
                </c:pt>
                <c:pt idx="415">
                  <c:v>135.13529152960245</c:v>
                </c:pt>
                <c:pt idx="416">
                  <c:v>125.45006177675184</c:v>
                </c:pt>
                <c:pt idx="417">
                  <c:v>330.57655556877222</c:v>
                </c:pt>
                <c:pt idx="418">
                  <c:v>331.25967506785577</c:v>
                </c:pt>
                <c:pt idx="419">
                  <c:v>115.4033467964021</c:v>
                </c:pt>
                <c:pt idx="420">
                  <c:v>297.70284096450928</c:v>
                </c:pt>
                <c:pt idx="421">
                  <c:v>107.8965555895783</c:v>
                </c:pt>
                <c:pt idx="422">
                  <c:v>-90.70879382328053</c:v>
                </c:pt>
                <c:pt idx="423">
                  <c:v>98.561930727418655</c:v>
                </c:pt>
                <c:pt idx="424">
                  <c:v>297.02409372238799</c:v>
                </c:pt>
                <c:pt idx="425">
                  <c:v>98.335543020920966</c:v>
                </c:pt>
                <c:pt idx="426">
                  <c:v>306.13225951672541</c:v>
                </c:pt>
                <c:pt idx="427">
                  <c:v>306.70429795420847</c:v>
                </c:pt>
                <c:pt idx="428">
                  <c:v>-845.33634666370904</c:v>
                </c:pt>
                <c:pt idx="429">
                  <c:v>-468.20213697038207</c:v>
                </c:pt>
                <c:pt idx="430">
                  <c:v>81.76089431795927</c:v>
                </c:pt>
                <c:pt idx="431">
                  <c:v>-710.08405756520551</c:v>
                </c:pt>
                <c:pt idx="432">
                  <c:v>-1183.5532049227213</c:v>
                </c:pt>
                <c:pt idx="433">
                  <c:v>-1568.6787306546576</c:v>
                </c:pt>
                <c:pt idx="434">
                  <c:v>-958.69219311237828</c:v>
                </c:pt>
                <c:pt idx="435">
                  <c:v>322.65799683352145</c:v>
                </c:pt>
                <c:pt idx="436">
                  <c:v>629.09927934006248</c:v>
                </c:pt>
                <c:pt idx="437">
                  <c:v>503.89777731425124</c:v>
                </c:pt>
                <c:pt idx="438">
                  <c:v>656.18953157623423</c:v>
                </c:pt>
                <c:pt idx="439">
                  <c:v>655.46447238938117</c:v>
                </c:pt>
                <c:pt idx="440">
                  <c:v>473.6501802733427</c:v>
                </c:pt>
                <c:pt idx="441">
                  <c:v>625.48407323877882</c:v>
                </c:pt>
                <c:pt idx="442">
                  <c:v>472.71074275830767</c:v>
                </c:pt>
                <c:pt idx="443">
                  <c:v>500.73952441217739</c:v>
                </c:pt>
                <c:pt idx="444">
                  <c:v>443.23932224348403</c:v>
                </c:pt>
                <c:pt idx="445">
                  <c:v>471.17443734126869</c:v>
                </c:pt>
                <c:pt idx="446">
                  <c:v>319.43921529555598</c:v>
                </c:pt>
                <c:pt idx="447">
                  <c:v>290.77169589656881</c:v>
                </c:pt>
                <c:pt idx="448">
                  <c:v>441.22554439420276</c:v>
                </c:pt>
                <c:pt idx="449">
                  <c:v>111.44887500000002</c:v>
                </c:pt>
                <c:pt idx="450">
                  <c:v>289.80334331810161</c:v>
                </c:pt>
                <c:pt idx="451">
                  <c:v>111.44887500000002</c:v>
                </c:pt>
                <c:pt idx="452">
                  <c:v>111.44887500000002</c:v>
                </c:pt>
                <c:pt idx="453">
                  <c:v>111.44887500000002</c:v>
                </c:pt>
                <c:pt idx="454">
                  <c:v>148.76257197534039</c:v>
                </c:pt>
                <c:pt idx="455">
                  <c:v>524.521173833494</c:v>
                </c:pt>
                <c:pt idx="456">
                  <c:v>377.64139409499666</c:v>
                </c:pt>
                <c:pt idx="457">
                  <c:v>231.1950966553828</c:v>
                </c:pt>
                <c:pt idx="458">
                  <c:v>-86.335931774982271</c:v>
                </c:pt>
                <c:pt idx="459">
                  <c:v>-32.823137452049252</c:v>
                </c:pt>
                <c:pt idx="460">
                  <c:v>-37.404819054440907</c:v>
                </c:pt>
                <c:pt idx="461">
                  <c:v>-42.844106954122879</c:v>
                </c:pt>
                <c:pt idx="462">
                  <c:v>-235.44980585715044</c:v>
                </c:pt>
                <c:pt idx="463">
                  <c:v>-54.581831982734997</c:v>
                </c:pt>
                <c:pt idx="464">
                  <c:v>-254.42401871637111</c:v>
                </c:pt>
                <c:pt idx="465">
                  <c:v>-264.46211836179327</c:v>
                </c:pt>
                <c:pt idx="466">
                  <c:v>135.13529152960245</c:v>
                </c:pt>
                <c:pt idx="467">
                  <c:v>125.45006177675184</c:v>
                </c:pt>
                <c:pt idx="468">
                  <c:v>330.57655556877222</c:v>
                </c:pt>
                <c:pt idx="469">
                  <c:v>331.25967506785577</c:v>
                </c:pt>
                <c:pt idx="470">
                  <c:v>115.4033467964021</c:v>
                </c:pt>
                <c:pt idx="471">
                  <c:v>297.70284096450928</c:v>
                </c:pt>
                <c:pt idx="472">
                  <c:v>107.8965555895783</c:v>
                </c:pt>
                <c:pt idx="473">
                  <c:v>-90.70879382328053</c:v>
                </c:pt>
                <c:pt idx="474">
                  <c:v>98.561930727418655</c:v>
                </c:pt>
                <c:pt idx="475">
                  <c:v>297.02409372238799</c:v>
                </c:pt>
                <c:pt idx="476">
                  <c:v>98.335543020920966</c:v>
                </c:pt>
                <c:pt idx="477">
                  <c:v>306.13225951672541</c:v>
                </c:pt>
                <c:pt idx="478">
                  <c:v>306.70429795420847</c:v>
                </c:pt>
                <c:pt idx="479">
                  <c:v>317.44386790707938</c:v>
                </c:pt>
                <c:pt idx="480">
                  <c:v>309.54490732974324</c:v>
                </c:pt>
                <c:pt idx="481">
                  <c:v>117.66154251922374</c:v>
                </c:pt>
                <c:pt idx="482">
                  <c:v>-696.05792052888739</c:v>
                </c:pt>
                <c:pt idx="483">
                  <c:v>-412.558779472315</c:v>
                </c:pt>
                <c:pt idx="484">
                  <c:v>-661.2516064293311</c:v>
                </c:pt>
                <c:pt idx="485">
                  <c:v>-640.07495661064377</c:v>
                </c:pt>
                <c:pt idx="486">
                  <c:v>-1531.1411623990118</c:v>
                </c:pt>
                <c:pt idx="487">
                  <c:v>-342.31310044046256</c:v>
                </c:pt>
                <c:pt idx="488">
                  <c:v>-924.15010498446327</c:v>
                </c:pt>
                <c:pt idx="489">
                  <c:v>-43.175336499810555</c:v>
                </c:pt>
                <c:pt idx="490">
                  <c:v>629.09927934006248</c:v>
                </c:pt>
                <c:pt idx="491">
                  <c:v>503.89777731425124</c:v>
                </c:pt>
                <c:pt idx="492">
                  <c:v>656.18953157623423</c:v>
                </c:pt>
                <c:pt idx="493">
                  <c:v>655.46447238938117</c:v>
                </c:pt>
                <c:pt idx="494">
                  <c:v>473.6501802733427</c:v>
                </c:pt>
                <c:pt idx="495">
                  <c:v>625.48407323877882</c:v>
                </c:pt>
                <c:pt idx="496">
                  <c:v>472.71074275830767</c:v>
                </c:pt>
                <c:pt idx="497">
                  <c:v>500.73952441217739</c:v>
                </c:pt>
                <c:pt idx="498">
                  <c:v>443.23932224348403</c:v>
                </c:pt>
                <c:pt idx="499">
                  <c:v>471.17443734126869</c:v>
                </c:pt>
                <c:pt idx="500">
                  <c:v>319.43921529555598</c:v>
                </c:pt>
                <c:pt idx="501">
                  <c:v>290.77169589656881</c:v>
                </c:pt>
                <c:pt idx="502">
                  <c:v>441.22554439420276</c:v>
                </c:pt>
                <c:pt idx="503">
                  <c:v>111.44887500000002</c:v>
                </c:pt>
                <c:pt idx="504">
                  <c:v>289.80334331810161</c:v>
                </c:pt>
                <c:pt idx="505">
                  <c:v>111.44887500000002</c:v>
                </c:pt>
                <c:pt idx="506">
                  <c:v>111.44887500000002</c:v>
                </c:pt>
                <c:pt idx="507">
                  <c:v>111.44887500000002</c:v>
                </c:pt>
                <c:pt idx="508">
                  <c:v>148.76257197534039</c:v>
                </c:pt>
                <c:pt idx="509">
                  <c:v>524.521173833494</c:v>
                </c:pt>
                <c:pt idx="510">
                  <c:v>377.64139409499666</c:v>
                </c:pt>
                <c:pt idx="511">
                  <c:v>231.1950966553828</c:v>
                </c:pt>
                <c:pt idx="512">
                  <c:v>-86.335931774982271</c:v>
                </c:pt>
                <c:pt idx="513">
                  <c:v>-32.823137452049252</c:v>
                </c:pt>
                <c:pt idx="514">
                  <c:v>-37.404819054440907</c:v>
                </c:pt>
                <c:pt idx="515">
                  <c:v>-42.844106954122879</c:v>
                </c:pt>
                <c:pt idx="516">
                  <c:v>-235.44980585715044</c:v>
                </c:pt>
                <c:pt idx="517">
                  <c:v>-54.581831982734997</c:v>
                </c:pt>
                <c:pt idx="518">
                  <c:v>-254.42401871637111</c:v>
                </c:pt>
                <c:pt idx="519">
                  <c:v>-264.46211836179327</c:v>
                </c:pt>
                <c:pt idx="520">
                  <c:v>135.13529152960245</c:v>
                </c:pt>
                <c:pt idx="521">
                  <c:v>329.88200265179779</c:v>
                </c:pt>
                <c:pt idx="522">
                  <c:v>330.57655556877222</c:v>
                </c:pt>
                <c:pt idx="523">
                  <c:v>331.25967506785577</c:v>
                </c:pt>
                <c:pt idx="524">
                  <c:v>331.93027454255912</c:v>
                </c:pt>
                <c:pt idx="525">
                  <c:v>332.58800765741006</c:v>
                </c:pt>
                <c:pt idx="526">
                  <c:v>333.23547222854052</c:v>
                </c:pt>
                <c:pt idx="527">
                  <c:v>333.87083980218119</c:v>
                </c:pt>
                <c:pt idx="528">
                  <c:v>334.49318246029543</c:v>
                </c:pt>
                <c:pt idx="529">
                  <c:v>335.10082123744746</c:v>
                </c:pt>
                <c:pt idx="530">
                  <c:v>305.54855899923302</c:v>
                </c:pt>
                <c:pt idx="531">
                  <c:v>306.13225951672541</c:v>
                </c:pt>
              </c:numCache>
            </c:numRef>
          </c:yVal>
          <c:smooth val="1"/>
          <c:extLst>
            <c:ext xmlns:c16="http://schemas.microsoft.com/office/drawing/2014/chart" uri="{C3380CC4-5D6E-409C-BE32-E72D297353CC}">
              <c16:uniqueId val="{00000000-FAA3-A643-BABD-0D2F52FCDA00}"/>
            </c:ext>
          </c:extLst>
        </c:ser>
        <c:dLbls>
          <c:showLegendKey val="0"/>
          <c:showVal val="0"/>
          <c:showCatName val="0"/>
          <c:showSerName val="0"/>
          <c:showPercent val="0"/>
          <c:showBubbleSize val="0"/>
        </c:dLbls>
        <c:axId val="1785814527"/>
        <c:axId val="2083410575"/>
      </c:scatterChart>
      <c:valAx>
        <c:axId val="17858145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3410575"/>
        <c:crosses val="autoZero"/>
        <c:crossBetween val="midCat"/>
      </c:valAx>
      <c:valAx>
        <c:axId val="20834105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5814527"/>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Altitude change against</a:t>
            </a:r>
            <a:r>
              <a:rPr lang="en-GB" baseline="0"/>
              <a:t> gradient resistive force</a:t>
            </a:r>
            <a:endParaRPr lang="en-GB"/>
          </a:p>
        </c:rich>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9638856398692892E-2"/>
          <c:y val="3.1161473087818695E-2"/>
          <c:w val="0.8617402418878346"/>
          <c:h val="0.84305012156766523"/>
        </c:manualLayout>
      </c:layout>
      <c:scatterChart>
        <c:scatterStyle val="smoothMarker"/>
        <c:varyColors val="0"/>
        <c:ser>
          <c:idx val="0"/>
          <c:order val="0"/>
          <c:tx>
            <c:v>Altitude</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5.2555152727264334</c:v>
                </c:pt>
                <c:pt idx="38">
                  <c:v>5.4524366435989888</c:v>
                </c:pt>
                <c:pt idx="39">
                  <c:v>5.6698718929611793</c:v>
                </c:pt>
                <c:pt idx="40">
                  <c:v>5.9157003663222598</c:v>
                </c:pt>
                <c:pt idx="41">
                  <c:v>6.203574541651764</c:v>
                </c:pt>
                <c:pt idx="42">
                  <c:v>6.6932526815888655</c:v>
                </c:pt>
                <c:pt idx="43">
                  <c:v>7.2085862720653608</c:v>
                </c:pt>
                <c:pt idx="44">
                  <c:v>7.7263715039514684</c:v>
                </c:pt>
                <c:pt idx="45">
                  <c:v>8.2472690784333622</c:v>
                </c:pt>
                <c:pt idx="46">
                  <c:v>8.7710073045670605</c:v>
                </c:pt>
                <c:pt idx="47">
                  <c:v>9.297657366745181</c:v>
                </c:pt>
                <c:pt idx="48">
                  <c:v>9.8265026239034938</c:v>
                </c:pt>
                <c:pt idx="49">
                  <c:v>10.358051382579831</c:v>
                </c:pt>
                <c:pt idx="50">
                  <c:v>10.890900157130085</c:v>
                </c:pt>
                <c:pt idx="51">
                  <c:v>11.355067327053314</c:v>
                </c:pt>
                <c:pt idx="52">
                  <c:v>11.771062917611582</c:v>
                </c:pt>
                <c:pt idx="53">
                  <c:v>12.150361996688224</c:v>
                </c:pt>
                <c:pt idx="54">
                  <c:v>12.501315831093812</c:v>
                </c:pt>
                <c:pt idx="55">
                  <c:v>12.829988257625953</c:v>
                </c:pt>
                <c:pt idx="56">
                  <c:v>13.140659342402618</c:v>
                </c:pt>
                <c:pt idx="57">
                  <c:v>13.436102461777297</c:v>
                </c:pt>
                <c:pt idx="58">
                  <c:v>13.718386489212309</c:v>
                </c:pt>
                <c:pt idx="59">
                  <c:v>13.989173340123255</c:v>
                </c:pt>
                <c:pt idx="60">
                  <c:v>14.249859956247716</c:v>
                </c:pt>
                <c:pt idx="61">
                  <c:v>14.501687131256073</c:v>
                </c:pt>
                <c:pt idx="62">
                  <c:v>14.74556150358489</c:v>
                </c:pt>
                <c:pt idx="63">
                  <c:v>14.982342175794422</c:v>
                </c:pt>
                <c:pt idx="64">
                  <c:v>15.21276411046073</c:v>
                </c:pt>
                <c:pt idx="65">
                  <c:v>15.437391058940023</c:v>
                </c:pt>
                <c:pt idx="66">
                  <c:v>15.65674301969395</c:v>
                </c:pt>
                <c:pt idx="67">
                  <c:v>15.871143272458182</c:v>
                </c:pt>
                <c:pt idx="68">
                  <c:v>16.081098050180746</c:v>
                </c:pt>
                <c:pt idx="69">
                  <c:v>16.313141515280506</c:v>
                </c:pt>
                <c:pt idx="70">
                  <c:v>16.575881108264305</c:v>
                </c:pt>
                <c:pt idx="71">
                  <c:v>16.885309274414016</c:v>
                </c:pt>
                <c:pt idx="72">
                  <c:v>17.390716406576789</c:v>
                </c:pt>
                <c:pt idx="73">
                  <c:v>17.952607198742456</c:v>
                </c:pt>
                <c:pt idx="74">
                  <c:v>18.439979605338024</c:v>
                </c:pt>
                <c:pt idx="75">
                  <c:v>18.876759367508736</c:v>
                </c:pt>
                <c:pt idx="76">
                  <c:v>19.27640184127868</c:v>
                </c:pt>
                <c:pt idx="77">
                  <c:v>19.64732243094009</c:v>
                </c:pt>
                <c:pt idx="78">
                  <c:v>19.995076500866311</c:v>
                </c:pt>
                <c:pt idx="79">
                  <c:v>20.323730548357045</c:v>
                </c:pt>
                <c:pt idx="80">
                  <c:v>20.636365697314822</c:v>
                </c:pt>
                <c:pt idx="81">
                  <c:v>20.935080789279034</c:v>
                </c:pt>
                <c:pt idx="82">
                  <c:v>21.221737974624485</c:v>
                </c:pt>
                <c:pt idx="83">
                  <c:v>21.497754512792579</c:v>
                </c:pt>
                <c:pt idx="84">
                  <c:v>21.764330810426298</c:v>
                </c:pt>
                <c:pt idx="85">
                  <c:v>22.022496263408886</c:v>
                </c:pt>
                <c:pt idx="86">
                  <c:v>22.273089192762136</c:v>
                </c:pt>
                <c:pt idx="87">
                  <c:v>22.516889329294582</c:v>
                </c:pt>
                <c:pt idx="88">
                  <c:v>22.754316202787425</c:v>
                </c:pt>
                <c:pt idx="89">
                  <c:v>22.985329477925639</c:v>
                </c:pt>
                <c:pt idx="90">
                  <c:v>23.2109875158453</c:v>
                </c:pt>
                <c:pt idx="91">
                  <c:v>23.431760207258062</c:v>
                </c:pt>
                <c:pt idx="92">
                  <c:v>23.648019056427138</c:v>
                </c:pt>
                <c:pt idx="93">
                  <c:v>23.865032870364512</c:v>
                </c:pt>
                <c:pt idx="94">
                  <c:v>24.080430744332283</c:v>
                </c:pt>
                <c:pt idx="95">
                  <c:v>24.294289198402961</c:v>
                </c:pt>
                <c:pt idx="96">
                  <c:v>24.50667535426026</c:v>
                </c:pt>
                <c:pt idx="97">
                  <c:v>24.717593495900424</c:v>
                </c:pt>
                <c:pt idx="98">
                  <c:v>24.9269760373077</c:v>
                </c:pt>
                <c:pt idx="99">
                  <c:v>25.134628941610149</c:v>
                </c:pt>
                <c:pt idx="100">
                  <c:v>25.340550074581945</c:v>
                </c:pt>
                <c:pt idx="101">
                  <c:v>25.544892134674129</c:v>
                </c:pt>
                <c:pt idx="102">
                  <c:v>25.747748176352339</c:v>
                </c:pt>
                <c:pt idx="103">
                  <c:v>25.949167394468596</c:v>
                </c:pt>
                <c:pt idx="104">
                  <c:v>26.149225008676023</c:v>
                </c:pt>
                <c:pt idx="105">
                  <c:v>26.348012533621169</c:v>
                </c:pt>
                <c:pt idx="106">
                  <c:v>26.545598497633751</c:v>
                </c:pt>
                <c:pt idx="107">
                  <c:v>26.742082261029395</c:v>
                </c:pt>
                <c:pt idx="108">
                  <c:v>26.937540805252674</c:v>
                </c:pt>
                <c:pt idx="109">
                  <c:v>27.132012705629219</c:v>
                </c:pt>
                <c:pt idx="110">
                  <c:v>27.325576731231045</c:v>
                </c:pt>
                <c:pt idx="111">
                  <c:v>27.518251288009573</c:v>
                </c:pt>
                <c:pt idx="112">
                  <c:v>27.710119740993889</c:v>
                </c:pt>
                <c:pt idx="113">
                  <c:v>27.901327051851059</c:v>
                </c:pt>
                <c:pt idx="114">
                  <c:v>28.106696119269035</c:v>
                </c:pt>
                <c:pt idx="115">
                  <c:v>28.329616615601481</c:v>
                </c:pt>
                <c:pt idx="116">
                  <c:v>28.575089814233088</c:v>
                </c:pt>
                <c:pt idx="117">
                  <c:v>28.81495295658388</c:v>
                </c:pt>
                <c:pt idx="118">
                  <c:v>29.049484860770871</c:v>
                </c:pt>
                <c:pt idx="119">
                  <c:v>29.284769462431235</c:v>
                </c:pt>
                <c:pt idx="120">
                  <c:v>29.518111525087317</c:v>
                </c:pt>
                <c:pt idx="121">
                  <c:v>29.749424415145654</c:v>
                </c:pt>
                <c:pt idx="122">
                  <c:v>29.978649076622322</c:v>
                </c:pt>
                <c:pt idx="123">
                  <c:v>30.205463654403662</c:v>
                </c:pt>
                <c:pt idx="124">
                  <c:v>30.430040933953492</c:v>
                </c:pt>
                <c:pt idx="125">
                  <c:v>30.652546501935134</c:v>
                </c:pt>
                <c:pt idx="126">
                  <c:v>30.872920829933346</c:v>
                </c:pt>
                <c:pt idx="127">
                  <c:v>31.091214946203035</c:v>
                </c:pt>
                <c:pt idx="128">
                  <c:v>31.307640202526109</c:v>
                </c:pt>
                <c:pt idx="129">
                  <c:v>31.52231888249079</c:v>
                </c:pt>
                <c:pt idx="130">
                  <c:v>31.735340378270468</c:v>
                </c:pt>
                <c:pt idx="131">
                  <c:v>31.946789099204821</c:v>
                </c:pt>
                <c:pt idx="132">
                  <c:v>32.156814431841902</c:v>
                </c:pt>
                <c:pt idx="133">
                  <c:v>32.365495731913285</c:v>
                </c:pt>
                <c:pt idx="134">
                  <c:v>32.572938332637172</c:v>
                </c:pt>
                <c:pt idx="135">
                  <c:v>32.779225690782184</c:v>
                </c:pt>
                <c:pt idx="136">
                  <c:v>32.984406853068855</c:v>
                </c:pt>
                <c:pt idx="137">
                  <c:v>33.188481512975969</c:v>
                </c:pt>
                <c:pt idx="138">
                  <c:v>33.408392062320949</c:v>
                </c:pt>
                <c:pt idx="139">
                  <c:v>33.648375391537868</c:v>
                </c:pt>
                <c:pt idx="140">
                  <c:v>33.914970710913408</c:v>
                </c:pt>
                <c:pt idx="141">
                  <c:v>34.218953776384112</c:v>
                </c:pt>
                <c:pt idx="142">
                  <c:v>34.58099821729482</c:v>
                </c:pt>
                <c:pt idx="143">
                  <c:v>34.925036559868687</c:v>
                </c:pt>
                <c:pt idx="144">
                  <c:v>35.253486860639839</c:v>
                </c:pt>
                <c:pt idx="145">
                  <c:v>35.568260176824182</c:v>
                </c:pt>
                <c:pt idx="146">
                  <c:v>35.870821737896954</c:v>
                </c:pt>
                <c:pt idx="147">
                  <c:v>36.162444570285075</c:v>
                </c:pt>
                <c:pt idx="148">
                  <c:v>36.444273113608865</c:v>
                </c:pt>
                <c:pt idx="149">
                  <c:v>36.717249378534405</c:v>
                </c:pt>
                <c:pt idx="150">
                  <c:v>36.982233162728406</c:v>
                </c:pt>
                <c:pt idx="151">
                  <c:v>37.239945802258895</c:v>
                </c:pt>
                <c:pt idx="152">
                  <c:v>37.490984167610506</c:v>
                </c:pt>
                <c:pt idx="153">
                  <c:v>37.742378377194896</c:v>
                </c:pt>
                <c:pt idx="154">
                  <c:v>37.990958858549696</c:v>
                </c:pt>
                <c:pt idx="155">
                  <c:v>38.236861211409817</c:v>
                </c:pt>
                <c:pt idx="156">
                  <c:v>38.48029215018525</c:v>
                </c:pt>
                <c:pt idx="157">
                  <c:v>38.72130194496804</c:v>
                </c:pt>
                <c:pt idx="158">
                  <c:v>38.959986832493371</c:v>
                </c:pt>
                <c:pt idx="159">
                  <c:v>39.221774664261453</c:v>
                </c:pt>
                <c:pt idx="160">
                  <c:v>39.489940680885709</c:v>
                </c:pt>
                <c:pt idx="161">
                  <c:v>39.76485686372137</c:v>
                </c:pt>
                <c:pt idx="162">
                  <c:v>40.043629326728627</c:v>
                </c:pt>
                <c:pt idx="163">
                  <c:v>40.326467154806942</c:v>
                </c:pt>
                <c:pt idx="164">
                  <c:v>40.610078590012868</c:v>
                </c:pt>
                <c:pt idx="165">
                  <c:v>40.894212030266409</c:v>
                </c:pt>
                <c:pt idx="166">
                  <c:v>41.178710712295384</c:v>
                </c:pt>
                <c:pt idx="167">
                  <c:v>41.463572113309795</c:v>
                </c:pt>
                <c:pt idx="168">
                  <c:v>41.748894641806807</c:v>
                </c:pt>
                <c:pt idx="169">
                  <c:v>42.034641266689363</c:v>
                </c:pt>
                <c:pt idx="170">
                  <c:v>42.320774956860504</c:v>
                </c:pt>
                <c:pt idx="171">
                  <c:v>42.607278458166562</c:v>
                </c:pt>
                <c:pt idx="172">
                  <c:v>42.894149747652826</c:v>
                </c:pt>
                <c:pt idx="173">
                  <c:v>43.181398463873379</c:v>
                </c:pt>
                <c:pt idx="174">
                  <c:v>43.469035768502224</c:v>
                </c:pt>
                <c:pt idx="175">
                  <c:v>43.757087530962558</c:v>
                </c:pt>
                <c:pt idx="176">
                  <c:v>44.045561866688395</c:v>
                </c:pt>
                <c:pt idx="177">
                  <c:v>44.334463345039488</c:v>
                </c:pt>
                <c:pt idx="178">
                  <c:v>44.623806673764769</c:v>
                </c:pt>
                <c:pt idx="179">
                  <c:v>44.913617222451954</c:v>
                </c:pt>
                <c:pt idx="180">
                  <c:v>45.203949776186811</c:v>
                </c:pt>
                <c:pt idx="181">
                  <c:v>45.494863689414146</c:v>
                </c:pt>
                <c:pt idx="182">
                  <c:v>45.786375193003032</c:v>
                </c:pt>
                <c:pt idx="183">
                  <c:v>46.073681516762527</c:v>
                </c:pt>
                <c:pt idx="184">
                  <c:v>46.352422549766104</c:v>
                </c:pt>
                <c:pt idx="185">
                  <c:v>46.623384852868391</c:v>
                </c:pt>
                <c:pt idx="186">
                  <c:v>46.887204202175859</c:v>
                </c:pt>
                <c:pt idx="187">
                  <c:v>47.151534654443182</c:v>
                </c:pt>
                <c:pt idx="188">
                  <c:v>47.412791752293586</c:v>
                </c:pt>
                <c:pt idx="189">
                  <c:v>47.670443345485161</c:v>
                </c:pt>
                <c:pt idx="190">
                  <c:v>47.922640273817535</c:v>
                </c:pt>
                <c:pt idx="191">
                  <c:v>48.168164998609988</c:v>
                </c:pt>
                <c:pt idx="192">
                  <c:v>48.406812641686109</c:v>
                </c:pt>
                <c:pt idx="193">
                  <c:v>48.638709078467656</c:v>
                </c:pt>
                <c:pt idx="194">
                  <c:v>48.864170074262326</c:v>
                </c:pt>
                <c:pt idx="195">
                  <c:v>49.079466193186008</c:v>
                </c:pt>
                <c:pt idx="196">
                  <c:v>49.288877308072955</c:v>
                </c:pt>
                <c:pt idx="197">
                  <c:v>49.492713722981222</c:v>
                </c:pt>
                <c:pt idx="198">
                  <c:v>49.691154753818132</c:v>
                </c:pt>
                <c:pt idx="199">
                  <c:v>49.884235272627876</c:v>
                </c:pt>
                <c:pt idx="200">
                  <c:v>50.071997312959049</c:v>
                </c:pt>
                <c:pt idx="201">
                  <c:v>50.254849351251032</c:v>
                </c:pt>
                <c:pt idx="202">
                  <c:v>50.432846482468001</c:v>
                </c:pt>
                <c:pt idx="203">
                  <c:v>50.605957810142037</c:v>
                </c:pt>
                <c:pt idx="204">
                  <c:v>50.783900085511952</c:v>
                </c:pt>
                <c:pt idx="205">
                  <c:v>50.961116474210392</c:v>
                </c:pt>
                <c:pt idx="206">
                  <c:v>51.139843053222172</c:v>
                </c:pt>
                <c:pt idx="207">
                  <c:v>51.324041437954939</c:v>
                </c:pt>
                <c:pt idx="208">
                  <c:v>51.514056210424428</c:v>
                </c:pt>
                <c:pt idx="209">
                  <c:v>51.710356691292958</c:v>
                </c:pt>
                <c:pt idx="210">
                  <c:v>51.990356691292959</c:v>
                </c:pt>
                <c:pt idx="211">
                  <c:v>52.27035669129296</c:v>
                </c:pt>
                <c:pt idx="212">
                  <c:v>52.554490131546501</c:v>
                </c:pt>
                <c:pt idx="213">
                  <c:v>52.838988813575476</c:v>
                </c:pt>
                <c:pt idx="214">
                  <c:v>53.123850214589886</c:v>
                </c:pt>
                <c:pt idx="215">
                  <c:v>53.409172743086899</c:v>
                </c:pt>
                <c:pt idx="216">
                  <c:v>53.694919367969455</c:v>
                </c:pt>
                <c:pt idx="217">
                  <c:v>53.981053058140596</c:v>
                </c:pt>
                <c:pt idx="218">
                  <c:v>54.267556559446653</c:v>
                </c:pt>
                <c:pt idx="219">
                  <c:v>54.554427848932917</c:v>
                </c:pt>
                <c:pt idx="220">
                  <c:v>54.834427848932918</c:v>
                </c:pt>
                <c:pt idx="221">
                  <c:v>55.118561289186459</c:v>
                </c:pt>
                <c:pt idx="222">
                  <c:v>55.403059971215434</c:v>
                </c:pt>
                <c:pt idx="223">
                  <c:v>55.687921372229845</c:v>
                </c:pt>
                <c:pt idx="224">
                  <c:v>55.973243900726857</c:v>
                </c:pt>
                <c:pt idx="225">
                  <c:v>56.258990525609413</c:v>
                </c:pt>
                <c:pt idx="226">
                  <c:v>56.545124215780554</c:v>
                </c:pt>
                <c:pt idx="227">
                  <c:v>56.831627717086612</c:v>
                </c:pt>
                <c:pt idx="228">
                  <c:v>57.118499006572875</c:v>
                </c:pt>
                <c:pt idx="229">
                  <c:v>57.405747722793429</c:v>
                </c:pt>
                <c:pt idx="230">
                  <c:v>57.693385027422273</c:v>
                </c:pt>
                <c:pt idx="231">
                  <c:v>57.981436789882608</c:v>
                </c:pt>
                <c:pt idx="232">
                  <c:v>58.269911125608445</c:v>
                </c:pt>
                <c:pt idx="233">
                  <c:v>58.558812603959538</c:v>
                </c:pt>
                <c:pt idx="234">
                  <c:v>58.848155932684818</c:v>
                </c:pt>
                <c:pt idx="235">
                  <c:v>59.137966481372004</c:v>
                </c:pt>
                <c:pt idx="236">
                  <c:v>59.428299035106861</c:v>
                </c:pt>
                <c:pt idx="237">
                  <c:v>59.719212948334196</c:v>
                </c:pt>
                <c:pt idx="238">
                  <c:v>60.010724451923082</c:v>
                </c:pt>
                <c:pt idx="239">
                  <c:v>60.298030775682577</c:v>
                </c:pt>
                <c:pt idx="240">
                  <c:v>60.576771808686154</c:v>
                </c:pt>
                <c:pt idx="241">
                  <c:v>60.847734111788441</c:v>
                </c:pt>
                <c:pt idx="242">
                  <c:v>61.111553461095909</c:v>
                </c:pt>
                <c:pt idx="243">
                  <c:v>61.375883913363232</c:v>
                </c:pt>
                <c:pt idx="244">
                  <c:v>61.637141011213636</c:v>
                </c:pt>
                <c:pt idx="245">
                  <c:v>61.894792604405211</c:v>
                </c:pt>
                <c:pt idx="246">
                  <c:v>62.146989532737585</c:v>
                </c:pt>
                <c:pt idx="247">
                  <c:v>62.392514257530038</c:v>
                </c:pt>
                <c:pt idx="248">
                  <c:v>62.631161900606159</c:v>
                </c:pt>
                <c:pt idx="249">
                  <c:v>62.863058337387706</c:v>
                </c:pt>
                <c:pt idx="250">
                  <c:v>63.088519333182376</c:v>
                </c:pt>
                <c:pt idx="251">
                  <c:v>63.303815452106058</c:v>
                </c:pt>
                <c:pt idx="252">
                  <c:v>63.513226566993005</c:v>
                </c:pt>
                <c:pt idx="253">
                  <c:v>63.717062981901272</c:v>
                </c:pt>
                <c:pt idx="254">
                  <c:v>63.915504012738182</c:v>
                </c:pt>
                <c:pt idx="255">
                  <c:v>64.108584531547933</c:v>
                </c:pt>
                <c:pt idx="256">
                  <c:v>64.296346571879113</c:v>
                </c:pt>
                <c:pt idx="257">
                  <c:v>64.479198610171096</c:v>
                </c:pt>
                <c:pt idx="258">
                  <c:v>64.657195741388065</c:v>
                </c:pt>
                <c:pt idx="259">
                  <c:v>64.830307069062101</c:v>
                </c:pt>
                <c:pt idx="260">
                  <c:v>64.998360048545138</c:v>
                </c:pt>
                <c:pt idx="261">
                  <c:v>65.161430698817469</c:v>
                </c:pt>
                <c:pt idx="262">
                  <c:v>65.320058852168501</c:v>
                </c:pt>
                <c:pt idx="263">
                  <c:v>65.474389461113404</c:v>
                </c:pt>
                <c:pt idx="264">
                  <c:v>65.624295689799055</c:v>
                </c:pt>
                <c:pt idx="265">
                  <c:v>65.769698437528731</c:v>
                </c:pt>
                <c:pt idx="266">
                  <c:v>69.546388903024848</c:v>
                </c:pt>
                <c:pt idx="267">
                  <c:v>72.784530783092507</c:v>
                </c:pt>
                <c:pt idx="268">
                  <c:v>72.881431570798057</c:v>
                </c:pt>
                <c:pt idx="269">
                  <c:v>73.004702771439298</c:v>
                </c:pt>
                <c:pt idx="270">
                  <c:v>73.134574147511202</c:v>
                </c:pt>
                <c:pt idx="271">
                  <c:v>73.288844527917917</c:v>
                </c:pt>
                <c:pt idx="272">
                  <c:v>73.454944256399585</c:v>
                </c:pt>
                <c:pt idx="273">
                  <c:v>73.734944256399586</c:v>
                </c:pt>
                <c:pt idx="274">
                  <c:v>73.996978429077856</c:v>
                </c:pt>
                <c:pt idx="275">
                  <c:v>74.281477111106824</c:v>
                </c:pt>
                <c:pt idx="276">
                  <c:v>74.566338512121234</c:v>
                </c:pt>
                <c:pt idx="277">
                  <c:v>74.851661040618254</c:v>
                </c:pt>
                <c:pt idx="278">
                  <c:v>75.137407665500803</c:v>
                </c:pt>
                <c:pt idx="279">
                  <c:v>75.423541355671944</c:v>
                </c:pt>
                <c:pt idx="280">
                  <c:v>75.710044856978001</c:v>
                </c:pt>
                <c:pt idx="281">
                  <c:v>75.996916146464258</c:v>
                </c:pt>
                <c:pt idx="282">
                  <c:v>76.284164862684804</c:v>
                </c:pt>
                <c:pt idx="283">
                  <c:v>76.571802167313649</c:v>
                </c:pt>
                <c:pt idx="284">
                  <c:v>76.859853929773976</c:v>
                </c:pt>
                <c:pt idx="285">
                  <c:v>77.148328265499813</c:v>
                </c:pt>
                <c:pt idx="286">
                  <c:v>77.437229743850907</c:v>
                </c:pt>
                <c:pt idx="287">
                  <c:v>77.726573072576187</c:v>
                </c:pt>
                <c:pt idx="288">
                  <c:v>78.016383621263373</c:v>
                </c:pt>
                <c:pt idx="289">
                  <c:v>78.306716174998229</c:v>
                </c:pt>
                <c:pt idx="290">
                  <c:v>78.597630088225557</c:v>
                </c:pt>
                <c:pt idx="291">
                  <c:v>78.88914159181445</c:v>
                </c:pt>
                <c:pt idx="292">
                  <c:v>79.176447915573945</c:v>
                </c:pt>
                <c:pt idx="293">
                  <c:v>79.455188948577529</c:v>
                </c:pt>
                <c:pt idx="294">
                  <c:v>79.726151251679809</c:v>
                </c:pt>
                <c:pt idx="295">
                  <c:v>79.989970600987277</c:v>
                </c:pt>
                <c:pt idx="296">
                  <c:v>80.254301053254594</c:v>
                </c:pt>
                <c:pt idx="297">
                  <c:v>80.515558151104997</c:v>
                </c:pt>
                <c:pt idx="298">
                  <c:v>80.773209744296565</c:v>
                </c:pt>
                <c:pt idx="299">
                  <c:v>81.025406672628947</c:v>
                </c:pt>
                <c:pt idx="300">
                  <c:v>81.270931397421407</c:v>
                </c:pt>
                <c:pt idx="301">
                  <c:v>81.509579040497528</c:v>
                </c:pt>
                <c:pt idx="302">
                  <c:v>81.741475477279067</c:v>
                </c:pt>
                <c:pt idx="303">
                  <c:v>81.96693647307373</c:v>
                </c:pt>
                <c:pt idx="304">
                  <c:v>82.182232591997419</c:v>
                </c:pt>
                <c:pt idx="305">
                  <c:v>82.391643706884366</c:v>
                </c:pt>
                <c:pt idx="306">
                  <c:v>82.595480121792633</c:v>
                </c:pt>
                <c:pt idx="307">
                  <c:v>82.793921152629537</c:v>
                </c:pt>
                <c:pt idx="308">
                  <c:v>82.987001671439288</c:v>
                </c:pt>
                <c:pt idx="309">
                  <c:v>83.174763711770467</c:v>
                </c:pt>
                <c:pt idx="310">
                  <c:v>83.35761575006245</c:v>
                </c:pt>
                <c:pt idx="311">
                  <c:v>83.53561288127942</c:v>
                </c:pt>
                <c:pt idx="312">
                  <c:v>83.708724208953456</c:v>
                </c:pt>
                <c:pt idx="313">
                  <c:v>83.876777188436492</c:v>
                </c:pt>
                <c:pt idx="314">
                  <c:v>84.039847838708823</c:v>
                </c:pt>
                <c:pt idx="315">
                  <c:v>84.198475992059855</c:v>
                </c:pt>
                <c:pt idx="316">
                  <c:v>84.352806601004758</c:v>
                </c:pt>
                <c:pt idx="317">
                  <c:v>84.504145800316749</c:v>
                </c:pt>
                <c:pt idx="318">
                  <c:v>84.655832535533335</c:v>
                </c:pt>
                <c:pt idx="319">
                  <c:v>89.632177619481155</c:v>
                </c:pt>
                <c:pt idx="320">
                  <c:v>110.47239193857871</c:v>
                </c:pt>
                <c:pt idx="321">
                  <c:v>110.61353595113357</c:v>
                </c:pt>
                <c:pt idx="322">
                  <c:v>110.75625104802587</c:v>
                </c:pt>
                <c:pt idx="323">
                  <c:v>110.90056462179834</c:v>
                </c:pt>
                <c:pt idx="324">
                  <c:v>111.05056462179834</c:v>
                </c:pt>
                <c:pt idx="325">
                  <c:v>111.1978631011384</c:v>
                </c:pt>
                <c:pt idx="326">
                  <c:v>111.38239310113839</c:v>
                </c:pt>
                <c:pt idx="327">
                  <c:v>111.66652654139193</c:v>
                </c:pt>
                <c:pt idx="328">
                  <c:v>111.9510252234209</c:v>
                </c:pt>
                <c:pt idx="329">
                  <c:v>112.23588662443531</c:v>
                </c:pt>
                <c:pt idx="330">
                  <c:v>112.52120915293233</c:v>
                </c:pt>
                <c:pt idx="331">
                  <c:v>112.80695577781488</c:v>
                </c:pt>
                <c:pt idx="332">
                  <c:v>113.09308946798602</c:v>
                </c:pt>
                <c:pt idx="333">
                  <c:v>113.37959296929208</c:v>
                </c:pt>
                <c:pt idx="334">
                  <c:v>113.66646425877833</c:v>
                </c:pt>
                <c:pt idx="335">
                  <c:v>113.95371297499888</c:v>
                </c:pt>
                <c:pt idx="336">
                  <c:v>114.24135027962772</c:v>
                </c:pt>
                <c:pt idx="337">
                  <c:v>114.52940204208805</c:v>
                </c:pt>
                <c:pt idx="338">
                  <c:v>114.81787637781389</c:v>
                </c:pt>
                <c:pt idx="339">
                  <c:v>115.10677785616498</c:v>
                </c:pt>
                <c:pt idx="340">
                  <c:v>115.39612118489026</c:v>
                </c:pt>
                <c:pt idx="341">
                  <c:v>115.68593173357745</c:v>
                </c:pt>
                <c:pt idx="342">
                  <c:v>115.9762642873123</c:v>
                </c:pt>
                <c:pt idx="343">
                  <c:v>116.26717820053963</c:v>
                </c:pt>
                <c:pt idx="344">
                  <c:v>116.55868970412853</c:v>
                </c:pt>
                <c:pt idx="345">
                  <c:v>116.84599602788802</c:v>
                </c:pt>
                <c:pt idx="346">
                  <c:v>117.1247370608916</c:v>
                </c:pt>
                <c:pt idx="347">
                  <c:v>117.39569936399388</c:v>
                </c:pt>
                <c:pt idx="348">
                  <c:v>117.65951871330135</c:v>
                </c:pt>
                <c:pt idx="349">
                  <c:v>117.92384916556867</c:v>
                </c:pt>
                <c:pt idx="350">
                  <c:v>118.18510626341907</c:v>
                </c:pt>
                <c:pt idx="351">
                  <c:v>118.44275785661064</c:v>
                </c:pt>
                <c:pt idx="352">
                  <c:v>118.69495478494302</c:v>
                </c:pt>
                <c:pt idx="353">
                  <c:v>118.94047950973548</c:v>
                </c:pt>
                <c:pt idx="354">
                  <c:v>119.1791271528116</c:v>
                </c:pt>
                <c:pt idx="355">
                  <c:v>119.41102358959314</c:v>
                </c:pt>
                <c:pt idx="356">
                  <c:v>119.63648458538781</c:v>
                </c:pt>
                <c:pt idx="357">
                  <c:v>119.85178070431149</c:v>
                </c:pt>
                <c:pt idx="358">
                  <c:v>120.06119181919844</c:v>
                </c:pt>
                <c:pt idx="359">
                  <c:v>120.26502823410671</c:v>
                </c:pt>
                <c:pt idx="360">
                  <c:v>120.46346926494361</c:v>
                </c:pt>
                <c:pt idx="361">
                  <c:v>120.65654978375336</c:v>
                </c:pt>
                <c:pt idx="362">
                  <c:v>120.84431182408454</c:v>
                </c:pt>
                <c:pt idx="363">
                  <c:v>121.02716386237653</c:v>
                </c:pt>
                <c:pt idx="364">
                  <c:v>121.20516099359349</c:v>
                </c:pt>
                <c:pt idx="365">
                  <c:v>121.37827232126753</c:v>
                </c:pt>
                <c:pt idx="366">
                  <c:v>121.54632530075057</c:v>
                </c:pt>
                <c:pt idx="367">
                  <c:v>121.7093959510229</c:v>
                </c:pt>
                <c:pt idx="368">
                  <c:v>121.86802410437393</c:v>
                </c:pt>
                <c:pt idx="369">
                  <c:v>122.02235471331883</c:v>
                </c:pt>
                <c:pt idx="370">
                  <c:v>122.17226094200448</c:v>
                </c:pt>
                <c:pt idx="371">
                  <c:v>122.31766368973416</c:v>
                </c:pt>
                <c:pt idx="372">
                  <c:v>121.88017991798355</c:v>
                </c:pt>
                <c:pt idx="373">
                  <c:v>122.03224776737423</c:v>
                </c:pt>
                <c:pt idx="374">
                  <c:v>122.18538858266099</c:v>
                </c:pt>
                <c:pt idx="375">
                  <c:v>122.34192030210112</c:v>
                </c:pt>
                <c:pt idx="376">
                  <c:v>122.50570242113908</c:v>
                </c:pt>
                <c:pt idx="377">
                  <c:v>122.67232803531887</c:v>
                </c:pt>
                <c:pt idx="378">
                  <c:v>122.84397397121103</c:v>
                </c:pt>
                <c:pt idx="379">
                  <c:v>123.02512187218032</c:v>
                </c:pt>
                <c:pt idx="380">
                  <c:v>123.2165743239746</c:v>
                </c:pt>
                <c:pt idx="381">
                  <c:v>123.41578202563397</c:v>
                </c:pt>
                <c:pt idx="382">
                  <c:v>123.61981100376462</c:v>
                </c:pt>
                <c:pt idx="383">
                  <c:v>123.77981100376462</c:v>
                </c:pt>
                <c:pt idx="384">
                  <c:v>124.01981100376462</c:v>
                </c:pt>
                <c:pt idx="385">
                  <c:v>124.30394444401816</c:v>
                </c:pt>
                <c:pt idx="386">
                  <c:v>124.58844312604712</c:v>
                </c:pt>
                <c:pt idx="387">
                  <c:v>124.87330452706153</c:v>
                </c:pt>
                <c:pt idx="388">
                  <c:v>125.15862705555855</c:v>
                </c:pt>
                <c:pt idx="389">
                  <c:v>125.4443736804411</c:v>
                </c:pt>
                <c:pt idx="390">
                  <c:v>125.73050737061224</c:v>
                </c:pt>
                <c:pt idx="391">
                  <c:v>126.0170108719183</c:v>
                </c:pt>
                <c:pt idx="392">
                  <c:v>126.30388216140456</c:v>
                </c:pt>
                <c:pt idx="393">
                  <c:v>126.5911308776251</c:v>
                </c:pt>
                <c:pt idx="394">
                  <c:v>126.87876818225395</c:v>
                </c:pt>
                <c:pt idx="395">
                  <c:v>127.16681994471428</c:v>
                </c:pt>
                <c:pt idx="396">
                  <c:v>127.45529428044011</c:v>
                </c:pt>
                <c:pt idx="397">
                  <c:v>127.74419575879121</c:v>
                </c:pt>
                <c:pt idx="398">
                  <c:v>128.03353908751649</c:v>
                </c:pt>
                <c:pt idx="399">
                  <c:v>128.32334963620369</c:v>
                </c:pt>
                <c:pt idx="400">
                  <c:v>128.61368218993854</c:v>
                </c:pt>
                <c:pt idx="401">
                  <c:v>128.90459610316589</c:v>
                </c:pt>
                <c:pt idx="402">
                  <c:v>129.19610760675477</c:v>
                </c:pt>
                <c:pt idx="403">
                  <c:v>129.48341393051427</c:v>
                </c:pt>
                <c:pt idx="404">
                  <c:v>129.76215496351784</c:v>
                </c:pt>
                <c:pt idx="405">
                  <c:v>130.03311726662014</c:v>
                </c:pt>
                <c:pt idx="406">
                  <c:v>130.29693661592759</c:v>
                </c:pt>
                <c:pt idx="407">
                  <c:v>130.56126706819492</c:v>
                </c:pt>
                <c:pt idx="408">
                  <c:v>130.82252416604533</c:v>
                </c:pt>
                <c:pt idx="409">
                  <c:v>131.08017575923691</c:v>
                </c:pt>
                <c:pt idx="410">
                  <c:v>131.33237268756929</c:v>
                </c:pt>
                <c:pt idx="411">
                  <c:v>131.57789741236175</c:v>
                </c:pt>
                <c:pt idx="412">
                  <c:v>131.81654505543787</c:v>
                </c:pt>
                <c:pt idx="413">
                  <c:v>132.04844149221941</c:v>
                </c:pt>
                <c:pt idx="414">
                  <c:v>132.27390248801407</c:v>
                </c:pt>
                <c:pt idx="415">
                  <c:v>132.48919860693775</c:v>
                </c:pt>
                <c:pt idx="416">
                  <c:v>132.69860972182468</c:v>
                </c:pt>
                <c:pt idx="417">
                  <c:v>132.90244613673295</c:v>
                </c:pt>
                <c:pt idx="418">
                  <c:v>133.10088716756985</c:v>
                </c:pt>
                <c:pt idx="419">
                  <c:v>133.2939676863796</c:v>
                </c:pt>
                <c:pt idx="420">
                  <c:v>133.48172972671077</c:v>
                </c:pt>
                <c:pt idx="421">
                  <c:v>133.66458176500277</c:v>
                </c:pt>
                <c:pt idx="422">
                  <c:v>133.84257889621975</c:v>
                </c:pt>
                <c:pt idx="423">
                  <c:v>134.01569022389378</c:v>
                </c:pt>
                <c:pt idx="424">
                  <c:v>134.18374320337682</c:v>
                </c:pt>
                <c:pt idx="425">
                  <c:v>134.34681385364914</c:v>
                </c:pt>
                <c:pt idx="426">
                  <c:v>134.50544200700017</c:v>
                </c:pt>
                <c:pt idx="427">
                  <c:v>134.65977261594509</c:v>
                </c:pt>
                <c:pt idx="428">
                  <c:v>134.81523924796559</c:v>
                </c:pt>
                <c:pt idx="429">
                  <c:v>134.96973499679731</c:v>
                </c:pt>
                <c:pt idx="430">
                  <c:v>143.90360562232001</c:v>
                </c:pt>
                <c:pt idx="431">
                  <c:v>144.06734959224778</c:v>
                </c:pt>
                <c:pt idx="432">
                  <c:v>144.23962577145826</c:v>
                </c:pt>
                <c:pt idx="433">
                  <c:v>144.42536928854011</c:v>
                </c:pt>
                <c:pt idx="434">
                  <c:v>144.6706692885401</c:v>
                </c:pt>
                <c:pt idx="435">
                  <c:v>144.85966928854009</c:v>
                </c:pt>
                <c:pt idx="436">
                  <c:v>145.14380272879362</c:v>
                </c:pt>
                <c:pt idx="437">
                  <c:v>145.4283014108226</c:v>
                </c:pt>
                <c:pt idx="438">
                  <c:v>145.71316281183701</c:v>
                </c:pt>
                <c:pt idx="439">
                  <c:v>145.99848534033401</c:v>
                </c:pt>
                <c:pt idx="440">
                  <c:v>146.28423196521658</c:v>
                </c:pt>
                <c:pt idx="441">
                  <c:v>146.57036565538772</c:v>
                </c:pt>
                <c:pt idx="442">
                  <c:v>146.85686915669379</c:v>
                </c:pt>
                <c:pt idx="443">
                  <c:v>147.14374044618006</c:v>
                </c:pt>
                <c:pt idx="444">
                  <c:v>147.43098916240061</c:v>
                </c:pt>
                <c:pt idx="445">
                  <c:v>147.71862646702945</c:v>
                </c:pt>
                <c:pt idx="446">
                  <c:v>148.00667822948978</c:v>
                </c:pt>
                <c:pt idx="447">
                  <c:v>148.2951525652156</c:v>
                </c:pt>
                <c:pt idx="448">
                  <c:v>148.58405404356671</c:v>
                </c:pt>
                <c:pt idx="449">
                  <c:v>148.873397372292</c:v>
                </c:pt>
                <c:pt idx="450">
                  <c:v>149.1632079209792</c:v>
                </c:pt>
                <c:pt idx="451">
                  <c:v>149.45354047471406</c:v>
                </c:pt>
                <c:pt idx="452">
                  <c:v>149.7444543879414</c:v>
                </c:pt>
                <c:pt idx="453">
                  <c:v>150.03596589153028</c:v>
                </c:pt>
                <c:pt idx="454">
                  <c:v>150.32327221528979</c:v>
                </c:pt>
                <c:pt idx="455">
                  <c:v>150.60201324829336</c:v>
                </c:pt>
                <c:pt idx="456">
                  <c:v>150.87297555139565</c:v>
                </c:pt>
                <c:pt idx="457">
                  <c:v>151.13679490070311</c:v>
                </c:pt>
                <c:pt idx="458">
                  <c:v>151.40112535297044</c:v>
                </c:pt>
                <c:pt idx="459">
                  <c:v>151.66238245082084</c:v>
                </c:pt>
                <c:pt idx="460">
                  <c:v>151.92003404401243</c:v>
                </c:pt>
                <c:pt idx="461">
                  <c:v>152.17223097234481</c:v>
                </c:pt>
                <c:pt idx="462">
                  <c:v>152.41775569713727</c:v>
                </c:pt>
                <c:pt idx="463">
                  <c:v>152.65640334021339</c:v>
                </c:pt>
                <c:pt idx="464">
                  <c:v>152.88829977699493</c:v>
                </c:pt>
                <c:pt idx="465">
                  <c:v>153.11376077278959</c:v>
                </c:pt>
                <c:pt idx="466">
                  <c:v>153.32905689171326</c:v>
                </c:pt>
                <c:pt idx="467">
                  <c:v>153.5384680066002</c:v>
                </c:pt>
                <c:pt idx="468">
                  <c:v>153.74230442150846</c:v>
                </c:pt>
                <c:pt idx="469">
                  <c:v>153.94074545234537</c:v>
                </c:pt>
                <c:pt idx="470">
                  <c:v>154.13382597115512</c:v>
                </c:pt>
                <c:pt idx="471">
                  <c:v>154.32158801148628</c:v>
                </c:pt>
                <c:pt idx="472">
                  <c:v>154.50444004977828</c:v>
                </c:pt>
                <c:pt idx="473">
                  <c:v>154.68243718099527</c:v>
                </c:pt>
                <c:pt idx="474">
                  <c:v>154.8555485086693</c:v>
                </c:pt>
                <c:pt idx="475">
                  <c:v>155.02360148815234</c:v>
                </c:pt>
                <c:pt idx="476">
                  <c:v>155.18667213842465</c:v>
                </c:pt>
                <c:pt idx="477">
                  <c:v>155.34530029177569</c:v>
                </c:pt>
                <c:pt idx="478">
                  <c:v>155.4996309007206</c:v>
                </c:pt>
                <c:pt idx="479">
                  <c:v>155.64953712940624</c:v>
                </c:pt>
                <c:pt idx="480">
                  <c:v>155.7949398771359</c:v>
                </c:pt>
                <c:pt idx="481">
                  <c:v>171.92592524853075</c:v>
                </c:pt>
                <c:pt idx="482">
                  <c:v>172.08570400010959</c:v>
                </c:pt>
                <c:pt idx="483">
                  <c:v>172.24853557684645</c:v>
                </c:pt>
                <c:pt idx="484">
                  <c:v>172.41617427931803</c:v>
                </c:pt>
                <c:pt idx="485">
                  <c:v>172.58895780836102</c:v>
                </c:pt>
                <c:pt idx="486">
                  <c:v>172.77538347633563</c:v>
                </c:pt>
                <c:pt idx="487">
                  <c:v>172.9669976707913</c:v>
                </c:pt>
                <c:pt idx="488">
                  <c:v>173.14699767079131</c:v>
                </c:pt>
                <c:pt idx="489">
                  <c:v>173.38699767079132</c:v>
                </c:pt>
                <c:pt idx="490">
                  <c:v>173.67113111104484</c:v>
                </c:pt>
                <c:pt idx="491">
                  <c:v>173.95562979307383</c:v>
                </c:pt>
                <c:pt idx="492">
                  <c:v>174.24049119408824</c:v>
                </c:pt>
                <c:pt idx="493">
                  <c:v>174.52581372258524</c:v>
                </c:pt>
                <c:pt idx="494">
                  <c:v>174.8115603474678</c:v>
                </c:pt>
                <c:pt idx="495">
                  <c:v>175.09769403763895</c:v>
                </c:pt>
                <c:pt idx="496">
                  <c:v>175.38419753894502</c:v>
                </c:pt>
                <c:pt idx="497">
                  <c:v>175.67106882843129</c:v>
                </c:pt>
                <c:pt idx="498">
                  <c:v>175.95831754465183</c:v>
                </c:pt>
                <c:pt idx="499">
                  <c:v>176.24595484928068</c:v>
                </c:pt>
                <c:pt idx="500">
                  <c:v>176.53400661174101</c:v>
                </c:pt>
                <c:pt idx="501">
                  <c:v>176.82248094746683</c:v>
                </c:pt>
                <c:pt idx="502">
                  <c:v>177.11138242581794</c:v>
                </c:pt>
                <c:pt idx="503">
                  <c:v>177.40072575454323</c:v>
                </c:pt>
                <c:pt idx="504">
                  <c:v>177.69053630323043</c:v>
                </c:pt>
                <c:pt idx="505">
                  <c:v>177.98086885696529</c:v>
                </c:pt>
                <c:pt idx="506">
                  <c:v>178.27178277019263</c:v>
                </c:pt>
                <c:pt idx="507">
                  <c:v>178.56329427378151</c:v>
                </c:pt>
                <c:pt idx="508">
                  <c:v>178.85060059754102</c:v>
                </c:pt>
                <c:pt idx="509">
                  <c:v>179.12934163054459</c:v>
                </c:pt>
                <c:pt idx="510">
                  <c:v>179.40030393364688</c:v>
                </c:pt>
                <c:pt idx="511">
                  <c:v>179.66412328295434</c:v>
                </c:pt>
                <c:pt idx="512">
                  <c:v>179.92845373522167</c:v>
                </c:pt>
                <c:pt idx="513">
                  <c:v>180.18971083307207</c:v>
                </c:pt>
                <c:pt idx="514">
                  <c:v>180.44736242626365</c:v>
                </c:pt>
                <c:pt idx="515">
                  <c:v>180.69955935459603</c:v>
                </c:pt>
                <c:pt idx="516">
                  <c:v>180.94508407938849</c:v>
                </c:pt>
                <c:pt idx="517">
                  <c:v>181.18373172246461</c:v>
                </c:pt>
                <c:pt idx="518">
                  <c:v>181.41562815924615</c:v>
                </c:pt>
                <c:pt idx="519">
                  <c:v>181.64108915504082</c:v>
                </c:pt>
                <c:pt idx="520">
                  <c:v>181.85638527396449</c:v>
                </c:pt>
                <c:pt idx="521">
                  <c:v>182.06579638885142</c:v>
                </c:pt>
                <c:pt idx="522">
                  <c:v>182.26963280375969</c:v>
                </c:pt>
                <c:pt idx="523">
                  <c:v>182.46807383459659</c:v>
                </c:pt>
                <c:pt idx="524">
                  <c:v>182.66115435340635</c:v>
                </c:pt>
                <c:pt idx="525">
                  <c:v>182.84891639373751</c:v>
                </c:pt>
                <c:pt idx="526">
                  <c:v>183.03176843202951</c:v>
                </c:pt>
                <c:pt idx="527">
                  <c:v>183.20976556324649</c:v>
                </c:pt>
                <c:pt idx="528">
                  <c:v>183.38287689092053</c:v>
                </c:pt>
                <c:pt idx="529">
                  <c:v>183.55092987040356</c:v>
                </c:pt>
                <c:pt idx="530">
                  <c:v>183.71400052067588</c:v>
                </c:pt>
                <c:pt idx="531">
                  <c:v>183.87262867402691</c:v>
                </c:pt>
              </c:numCache>
            </c:numRef>
          </c:xVal>
          <c:yVal>
            <c:numRef>
              <c:f>Data!$E$2:$E$533</c:f>
            </c:numRef>
          </c:yVal>
          <c:smooth val="1"/>
          <c:extLst>
            <c:ext xmlns:c16="http://schemas.microsoft.com/office/drawing/2014/chart" uri="{C3380CC4-5D6E-409C-BE32-E72D297353CC}">
              <c16:uniqueId val="{00000000-EC4D-DE40-BFBD-675C4C6A3117}"/>
            </c:ext>
          </c:extLst>
        </c:ser>
        <c:dLbls>
          <c:showLegendKey val="0"/>
          <c:showVal val="0"/>
          <c:showCatName val="0"/>
          <c:showSerName val="0"/>
          <c:showPercent val="0"/>
          <c:showBubbleSize val="0"/>
        </c:dLbls>
        <c:axId val="385257856"/>
        <c:axId val="2062285487"/>
      </c:scatterChart>
      <c:scatterChart>
        <c:scatterStyle val="smoothMarker"/>
        <c:varyColors val="0"/>
        <c:ser>
          <c:idx val="1"/>
          <c:order val="1"/>
          <c:tx>
            <c:v>Gradient Resistance</c:v>
          </c:tx>
          <c:spPr>
            <a:ln w="19050" cap="rnd">
              <a:solidFill>
                <a:schemeClr val="accent2"/>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5.2555152727264334</c:v>
                </c:pt>
                <c:pt idx="38">
                  <c:v>5.4524366435989888</c:v>
                </c:pt>
                <c:pt idx="39">
                  <c:v>5.6698718929611793</c:v>
                </c:pt>
                <c:pt idx="40">
                  <c:v>5.9157003663222598</c:v>
                </c:pt>
                <c:pt idx="41">
                  <c:v>6.203574541651764</c:v>
                </c:pt>
                <c:pt idx="42">
                  <c:v>6.6932526815888655</c:v>
                </c:pt>
                <c:pt idx="43">
                  <c:v>7.2085862720653608</c:v>
                </c:pt>
                <c:pt idx="44">
                  <c:v>7.7263715039514684</c:v>
                </c:pt>
                <c:pt idx="45">
                  <c:v>8.2472690784333622</c:v>
                </c:pt>
                <c:pt idx="46">
                  <c:v>8.7710073045670605</c:v>
                </c:pt>
                <c:pt idx="47">
                  <c:v>9.297657366745181</c:v>
                </c:pt>
                <c:pt idx="48">
                  <c:v>9.8265026239034938</c:v>
                </c:pt>
                <c:pt idx="49">
                  <c:v>10.358051382579831</c:v>
                </c:pt>
                <c:pt idx="50">
                  <c:v>10.890900157130085</c:v>
                </c:pt>
                <c:pt idx="51">
                  <c:v>11.355067327053314</c:v>
                </c:pt>
                <c:pt idx="52">
                  <c:v>11.771062917611582</c:v>
                </c:pt>
                <c:pt idx="53">
                  <c:v>12.150361996688224</c:v>
                </c:pt>
                <c:pt idx="54">
                  <c:v>12.501315831093812</c:v>
                </c:pt>
                <c:pt idx="55">
                  <c:v>12.829988257625953</c:v>
                </c:pt>
                <c:pt idx="56">
                  <c:v>13.140659342402618</c:v>
                </c:pt>
                <c:pt idx="57">
                  <c:v>13.436102461777297</c:v>
                </c:pt>
                <c:pt idx="58">
                  <c:v>13.718386489212309</c:v>
                </c:pt>
                <c:pt idx="59">
                  <c:v>13.989173340123255</c:v>
                </c:pt>
                <c:pt idx="60">
                  <c:v>14.249859956247716</c:v>
                </c:pt>
                <c:pt idx="61">
                  <c:v>14.501687131256073</c:v>
                </c:pt>
                <c:pt idx="62">
                  <c:v>14.74556150358489</c:v>
                </c:pt>
                <c:pt idx="63">
                  <c:v>14.982342175794422</c:v>
                </c:pt>
                <c:pt idx="64">
                  <c:v>15.21276411046073</c:v>
                </c:pt>
                <c:pt idx="65">
                  <c:v>15.437391058940023</c:v>
                </c:pt>
                <c:pt idx="66">
                  <c:v>15.65674301969395</c:v>
                </c:pt>
                <c:pt idx="67">
                  <c:v>15.871143272458182</c:v>
                </c:pt>
                <c:pt idx="68">
                  <c:v>16.081098050180746</c:v>
                </c:pt>
                <c:pt idx="69">
                  <c:v>16.313141515280506</c:v>
                </c:pt>
                <c:pt idx="70">
                  <c:v>16.575881108264305</c:v>
                </c:pt>
                <c:pt idx="71">
                  <c:v>16.885309274414016</c:v>
                </c:pt>
                <c:pt idx="72">
                  <c:v>17.390716406576789</c:v>
                </c:pt>
                <c:pt idx="73">
                  <c:v>17.952607198742456</c:v>
                </c:pt>
                <c:pt idx="74">
                  <c:v>18.439979605338024</c:v>
                </c:pt>
                <c:pt idx="75">
                  <c:v>18.876759367508736</c:v>
                </c:pt>
                <c:pt idx="76">
                  <c:v>19.27640184127868</c:v>
                </c:pt>
                <c:pt idx="77">
                  <c:v>19.64732243094009</c:v>
                </c:pt>
                <c:pt idx="78">
                  <c:v>19.995076500866311</c:v>
                </c:pt>
                <c:pt idx="79">
                  <c:v>20.323730548357045</c:v>
                </c:pt>
                <c:pt idx="80">
                  <c:v>20.636365697314822</c:v>
                </c:pt>
                <c:pt idx="81">
                  <c:v>20.935080789279034</c:v>
                </c:pt>
                <c:pt idx="82">
                  <c:v>21.221737974624485</c:v>
                </c:pt>
                <c:pt idx="83">
                  <c:v>21.497754512792579</c:v>
                </c:pt>
                <c:pt idx="84">
                  <c:v>21.764330810426298</c:v>
                </c:pt>
                <c:pt idx="85">
                  <c:v>22.022496263408886</c:v>
                </c:pt>
                <c:pt idx="86">
                  <c:v>22.273089192762136</c:v>
                </c:pt>
                <c:pt idx="87">
                  <c:v>22.516889329294582</c:v>
                </c:pt>
                <c:pt idx="88">
                  <c:v>22.754316202787425</c:v>
                </c:pt>
                <c:pt idx="89">
                  <c:v>22.985329477925639</c:v>
                </c:pt>
                <c:pt idx="90">
                  <c:v>23.2109875158453</c:v>
                </c:pt>
                <c:pt idx="91">
                  <c:v>23.431760207258062</c:v>
                </c:pt>
                <c:pt idx="92">
                  <c:v>23.648019056427138</c:v>
                </c:pt>
                <c:pt idx="93">
                  <c:v>23.865032870364512</c:v>
                </c:pt>
                <c:pt idx="94">
                  <c:v>24.080430744332283</c:v>
                </c:pt>
                <c:pt idx="95">
                  <c:v>24.294289198402961</c:v>
                </c:pt>
                <c:pt idx="96">
                  <c:v>24.50667535426026</c:v>
                </c:pt>
                <c:pt idx="97">
                  <c:v>24.717593495900424</c:v>
                </c:pt>
                <c:pt idx="98">
                  <c:v>24.9269760373077</c:v>
                </c:pt>
                <c:pt idx="99">
                  <c:v>25.134628941610149</c:v>
                </c:pt>
                <c:pt idx="100">
                  <c:v>25.340550074581945</c:v>
                </c:pt>
                <c:pt idx="101">
                  <c:v>25.544892134674129</c:v>
                </c:pt>
                <c:pt idx="102">
                  <c:v>25.747748176352339</c:v>
                </c:pt>
                <c:pt idx="103">
                  <c:v>25.949167394468596</c:v>
                </c:pt>
                <c:pt idx="104">
                  <c:v>26.149225008676023</c:v>
                </c:pt>
                <c:pt idx="105">
                  <c:v>26.348012533621169</c:v>
                </c:pt>
                <c:pt idx="106">
                  <c:v>26.545598497633751</c:v>
                </c:pt>
                <c:pt idx="107">
                  <c:v>26.742082261029395</c:v>
                </c:pt>
                <c:pt idx="108">
                  <c:v>26.937540805252674</c:v>
                </c:pt>
                <c:pt idx="109">
                  <c:v>27.132012705629219</c:v>
                </c:pt>
                <c:pt idx="110">
                  <c:v>27.325576731231045</c:v>
                </c:pt>
                <c:pt idx="111">
                  <c:v>27.518251288009573</c:v>
                </c:pt>
                <c:pt idx="112">
                  <c:v>27.710119740993889</c:v>
                </c:pt>
                <c:pt idx="113">
                  <c:v>27.901327051851059</c:v>
                </c:pt>
                <c:pt idx="114">
                  <c:v>28.106696119269035</c:v>
                </c:pt>
                <c:pt idx="115">
                  <c:v>28.329616615601481</c:v>
                </c:pt>
                <c:pt idx="116">
                  <c:v>28.575089814233088</c:v>
                </c:pt>
                <c:pt idx="117">
                  <c:v>28.81495295658388</c:v>
                </c:pt>
                <c:pt idx="118">
                  <c:v>29.049484860770871</c:v>
                </c:pt>
                <c:pt idx="119">
                  <c:v>29.284769462431235</c:v>
                </c:pt>
                <c:pt idx="120">
                  <c:v>29.518111525087317</c:v>
                </c:pt>
                <c:pt idx="121">
                  <c:v>29.749424415145654</c:v>
                </c:pt>
                <c:pt idx="122">
                  <c:v>29.978649076622322</c:v>
                </c:pt>
                <c:pt idx="123">
                  <c:v>30.205463654403662</c:v>
                </c:pt>
                <c:pt idx="124">
                  <c:v>30.430040933953492</c:v>
                </c:pt>
                <c:pt idx="125">
                  <c:v>30.652546501935134</c:v>
                </c:pt>
                <c:pt idx="126">
                  <c:v>30.872920829933346</c:v>
                </c:pt>
                <c:pt idx="127">
                  <c:v>31.091214946203035</c:v>
                </c:pt>
                <c:pt idx="128">
                  <c:v>31.307640202526109</c:v>
                </c:pt>
                <c:pt idx="129">
                  <c:v>31.52231888249079</c:v>
                </c:pt>
                <c:pt idx="130">
                  <c:v>31.735340378270468</c:v>
                </c:pt>
                <c:pt idx="131">
                  <c:v>31.946789099204821</c:v>
                </c:pt>
                <c:pt idx="132">
                  <c:v>32.156814431841902</c:v>
                </c:pt>
                <c:pt idx="133">
                  <c:v>32.365495731913285</c:v>
                </c:pt>
                <c:pt idx="134">
                  <c:v>32.572938332637172</c:v>
                </c:pt>
                <c:pt idx="135">
                  <c:v>32.779225690782184</c:v>
                </c:pt>
                <c:pt idx="136">
                  <c:v>32.984406853068855</c:v>
                </c:pt>
                <c:pt idx="137">
                  <c:v>33.188481512975969</c:v>
                </c:pt>
                <c:pt idx="138">
                  <c:v>33.408392062320949</c:v>
                </c:pt>
                <c:pt idx="139">
                  <c:v>33.648375391537868</c:v>
                </c:pt>
                <c:pt idx="140">
                  <c:v>33.914970710913408</c:v>
                </c:pt>
                <c:pt idx="141">
                  <c:v>34.218953776384112</c:v>
                </c:pt>
                <c:pt idx="142">
                  <c:v>34.58099821729482</c:v>
                </c:pt>
                <c:pt idx="143">
                  <c:v>34.925036559868687</c:v>
                </c:pt>
                <c:pt idx="144">
                  <c:v>35.253486860639839</c:v>
                </c:pt>
                <c:pt idx="145">
                  <c:v>35.568260176824182</c:v>
                </c:pt>
                <c:pt idx="146">
                  <c:v>35.870821737896954</c:v>
                </c:pt>
                <c:pt idx="147">
                  <c:v>36.162444570285075</c:v>
                </c:pt>
                <c:pt idx="148">
                  <c:v>36.444273113608865</c:v>
                </c:pt>
                <c:pt idx="149">
                  <c:v>36.717249378534405</c:v>
                </c:pt>
                <c:pt idx="150">
                  <c:v>36.982233162728406</c:v>
                </c:pt>
                <c:pt idx="151">
                  <c:v>37.239945802258895</c:v>
                </c:pt>
                <c:pt idx="152">
                  <c:v>37.490984167610506</c:v>
                </c:pt>
                <c:pt idx="153">
                  <c:v>37.742378377194896</c:v>
                </c:pt>
                <c:pt idx="154">
                  <c:v>37.990958858549696</c:v>
                </c:pt>
                <c:pt idx="155">
                  <c:v>38.236861211409817</c:v>
                </c:pt>
                <c:pt idx="156">
                  <c:v>38.48029215018525</c:v>
                </c:pt>
                <c:pt idx="157">
                  <c:v>38.72130194496804</c:v>
                </c:pt>
                <c:pt idx="158">
                  <c:v>38.959986832493371</c:v>
                </c:pt>
                <c:pt idx="159">
                  <c:v>39.221774664261453</c:v>
                </c:pt>
                <c:pt idx="160">
                  <c:v>39.489940680885709</c:v>
                </c:pt>
                <c:pt idx="161">
                  <c:v>39.76485686372137</c:v>
                </c:pt>
                <c:pt idx="162">
                  <c:v>40.043629326728627</c:v>
                </c:pt>
                <c:pt idx="163">
                  <c:v>40.326467154806942</c:v>
                </c:pt>
                <c:pt idx="164">
                  <c:v>40.610078590012868</c:v>
                </c:pt>
                <c:pt idx="165">
                  <c:v>40.894212030266409</c:v>
                </c:pt>
                <c:pt idx="166">
                  <c:v>41.178710712295384</c:v>
                </c:pt>
                <c:pt idx="167">
                  <c:v>41.463572113309795</c:v>
                </c:pt>
                <c:pt idx="168">
                  <c:v>41.748894641806807</c:v>
                </c:pt>
                <c:pt idx="169">
                  <c:v>42.034641266689363</c:v>
                </c:pt>
                <c:pt idx="170">
                  <c:v>42.320774956860504</c:v>
                </c:pt>
                <c:pt idx="171">
                  <c:v>42.607278458166562</c:v>
                </c:pt>
                <c:pt idx="172">
                  <c:v>42.894149747652826</c:v>
                </c:pt>
                <c:pt idx="173">
                  <c:v>43.181398463873379</c:v>
                </c:pt>
                <c:pt idx="174">
                  <c:v>43.469035768502224</c:v>
                </c:pt>
                <c:pt idx="175">
                  <c:v>43.757087530962558</c:v>
                </c:pt>
                <c:pt idx="176">
                  <c:v>44.045561866688395</c:v>
                </c:pt>
                <c:pt idx="177">
                  <c:v>44.334463345039488</c:v>
                </c:pt>
                <c:pt idx="178">
                  <c:v>44.623806673764769</c:v>
                </c:pt>
                <c:pt idx="179">
                  <c:v>44.913617222451954</c:v>
                </c:pt>
                <c:pt idx="180">
                  <c:v>45.203949776186811</c:v>
                </c:pt>
                <c:pt idx="181">
                  <c:v>45.494863689414146</c:v>
                </c:pt>
                <c:pt idx="182">
                  <c:v>45.786375193003032</c:v>
                </c:pt>
                <c:pt idx="183">
                  <c:v>46.073681516762527</c:v>
                </c:pt>
                <c:pt idx="184">
                  <c:v>46.352422549766104</c:v>
                </c:pt>
                <c:pt idx="185">
                  <c:v>46.623384852868391</c:v>
                </c:pt>
                <c:pt idx="186">
                  <c:v>46.887204202175859</c:v>
                </c:pt>
                <c:pt idx="187">
                  <c:v>47.151534654443182</c:v>
                </c:pt>
                <c:pt idx="188">
                  <c:v>47.412791752293586</c:v>
                </c:pt>
                <c:pt idx="189">
                  <c:v>47.670443345485161</c:v>
                </c:pt>
                <c:pt idx="190">
                  <c:v>47.922640273817535</c:v>
                </c:pt>
                <c:pt idx="191">
                  <c:v>48.168164998609988</c:v>
                </c:pt>
                <c:pt idx="192">
                  <c:v>48.406812641686109</c:v>
                </c:pt>
                <c:pt idx="193">
                  <c:v>48.638709078467656</c:v>
                </c:pt>
                <c:pt idx="194">
                  <c:v>48.864170074262326</c:v>
                </c:pt>
                <c:pt idx="195">
                  <c:v>49.079466193186008</c:v>
                </c:pt>
                <c:pt idx="196">
                  <c:v>49.288877308072955</c:v>
                </c:pt>
                <c:pt idx="197">
                  <c:v>49.492713722981222</c:v>
                </c:pt>
                <c:pt idx="198">
                  <c:v>49.691154753818132</c:v>
                </c:pt>
                <c:pt idx="199">
                  <c:v>49.884235272627876</c:v>
                </c:pt>
                <c:pt idx="200">
                  <c:v>50.071997312959049</c:v>
                </c:pt>
                <c:pt idx="201">
                  <c:v>50.254849351251032</c:v>
                </c:pt>
                <c:pt idx="202">
                  <c:v>50.432846482468001</c:v>
                </c:pt>
                <c:pt idx="203">
                  <c:v>50.605957810142037</c:v>
                </c:pt>
                <c:pt idx="204">
                  <c:v>50.783900085511952</c:v>
                </c:pt>
                <c:pt idx="205">
                  <c:v>50.961116474210392</c:v>
                </c:pt>
                <c:pt idx="206">
                  <c:v>51.139843053222172</c:v>
                </c:pt>
                <c:pt idx="207">
                  <c:v>51.324041437954939</c:v>
                </c:pt>
                <c:pt idx="208">
                  <c:v>51.514056210424428</c:v>
                </c:pt>
                <c:pt idx="209">
                  <c:v>51.710356691292958</c:v>
                </c:pt>
                <c:pt idx="210">
                  <c:v>51.990356691292959</c:v>
                </c:pt>
                <c:pt idx="211">
                  <c:v>52.27035669129296</c:v>
                </c:pt>
                <c:pt idx="212">
                  <c:v>52.554490131546501</c:v>
                </c:pt>
                <c:pt idx="213">
                  <c:v>52.838988813575476</c:v>
                </c:pt>
                <c:pt idx="214">
                  <c:v>53.123850214589886</c:v>
                </c:pt>
                <c:pt idx="215">
                  <c:v>53.409172743086899</c:v>
                </c:pt>
                <c:pt idx="216">
                  <c:v>53.694919367969455</c:v>
                </c:pt>
                <c:pt idx="217">
                  <c:v>53.981053058140596</c:v>
                </c:pt>
                <c:pt idx="218">
                  <c:v>54.267556559446653</c:v>
                </c:pt>
                <c:pt idx="219">
                  <c:v>54.554427848932917</c:v>
                </c:pt>
                <c:pt idx="220">
                  <c:v>54.834427848932918</c:v>
                </c:pt>
                <c:pt idx="221">
                  <c:v>55.118561289186459</c:v>
                </c:pt>
                <c:pt idx="222">
                  <c:v>55.403059971215434</c:v>
                </c:pt>
                <c:pt idx="223">
                  <c:v>55.687921372229845</c:v>
                </c:pt>
                <c:pt idx="224">
                  <c:v>55.973243900726857</c:v>
                </c:pt>
                <c:pt idx="225">
                  <c:v>56.258990525609413</c:v>
                </c:pt>
                <c:pt idx="226">
                  <c:v>56.545124215780554</c:v>
                </c:pt>
                <c:pt idx="227">
                  <c:v>56.831627717086612</c:v>
                </c:pt>
                <c:pt idx="228">
                  <c:v>57.118499006572875</c:v>
                </c:pt>
                <c:pt idx="229">
                  <c:v>57.405747722793429</c:v>
                </c:pt>
                <c:pt idx="230">
                  <c:v>57.693385027422273</c:v>
                </c:pt>
                <c:pt idx="231">
                  <c:v>57.981436789882608</c:v>
                </c:pt>
                <c:pt idx="232">
                  <c:v>58.269911125608445</c:v>
                </c:pt>
                <c:pt idx="233">
                  <c:v>58.558812603959538</c:v>
                </c:pt>
                <c:pt idx="234">
                  <c:v>58.848155932684818</c:v>
                </c:pt>
                <c:pt idx="235">
                  <c:v>59.137966481372004</c:v>
                </c:pt>
                <c:pt idx="236">
                  <c:v>59.428299035106861</c:v>
                </c:pt>
                <c:pt idx="237">
                  <c:v>59.719212948334196</c:v>
                </c:pt>
                <c:pt idx="238">
                  <c:v>60.010724451923082</c:v>
                </c:pt>
                <c:pt idx="239">
                  <c:v>60.298030775682577</c:v>
                </c:pt>
                <c:pt idx="240">
                  <c:v>60.576771808686154</c:v>
                </c:pt>
                <c:pt idx="241">
                  <c:v>60.847734111788441</c:v>
                </c:pt>
                <c:pt idx="242">
                  <c:v>61.111553461095909</c:v>
                </c:pt>
                <c:pt idx="243">
                  <c:v>61.375883913363232</c:v>
                </c:pt>
                <c:pt idx="244">
                  <c:v>61.637141011213636</c:v>
                </c:pt>
                <c:pt idx="245">
                  <c:v>61.894792604405211</c:v>
                </c:pt>
                <c:pt idx="246">
                  <c:v>62.146989532737585</c:v>
                </c:pt>
                <c:pt idx="247">
                  <c:v>62.392514257530038</c:v>
                </c:pt>
                <c:pt idx="248">
                  <c:v>62.631161900606159</c:v>
                </c:pt>
                <c:pt idx="249">
                  <c:v>62.863058337387706</c:v>
                </c:pt>
                <c:pt idx="250">
                  <c:v>63.088519333182376</c:v>
                </c:pt>
                <c:pt idx="251">
                  <c:v>63.303815452106058</c:v>
                </c:pt>
                <c:pt idx="252">
                  <c:v>63.513226566993005</c:v>
                </c:pt>
                <c:pt idx="253">
                  <c:v>63.717062981901272</c:v>
                </c:pt>
                <c:pt idx="254">
                  <c:v>63.915504012738182</c:v>
                </c:pt>
                <c:pt idx="255">
                  <c:v>64.108584531547933</c:v>
                </c:pt>
                <c:pt idx="256">
                  <c:v>64.296346571879113</c:v>
                </c:pt>
                <c:pt idx="257">
                  <c:v>64.479198610171096</c:v>
                </c:pt>
                <c:pt idx="258">
                  <c:v>64.657195741388065</c:v>
                </c:pt>
                <c:pt idx="259">
                  <c:v>64.830307069062101</c:v>
                </c:pt>
                <c:pt idx="260">
                  <c:v>64.998360048545138</c:v>
                </c:pt>
                <c:pt idx="261">
                  <c:v>65.161430698817469</c:v>
                </c:pt>
                <c:pt idx="262">
                  <c:v>65.320058852168501</c:v>
                </c:pt>
                <c:pt idx="263">
                  <c:v>65.474389461113404</c:v>
                </c:pt>
                <c:pt idx="264">
                  <c:v>65.624295689799055</c:v>
                </c:pt>
                <c:pt idx="265">
                  <c:v>65.769698437528731</c:v>
                </c:pt>
                <c:pt idx="266">
                  <c:v>69.546388903024848</c:v>
                </c:pt>
                <c:pt idx="267">
                  <c:v>72.784530783092507</c:v>
                </c:pt>
                <c:pt idx="268">
                  <c:v>72.881431570798057</c:v>
                </c:pt>
                <c:pt idx="269">
                  <c:v>73.004702771439298</c:v>
                </c:pt>
                <c:pt idx="270">
                  <c:v>73.134574147511202</c:v>
                </c:pt>
                <c:pt idx="271">
                  <c:v>73.288844527917917</c:v>
                </c:pt>
                <c:pt idx="272">
                  <c:v>73.454944256399585</c:v>
                </c:pt>
                <c:pt idx="273">
                  <c:v>73.734944256399586</c:v>
                </c:pt>
                <c:pt idx="274">
                  <c:v>73.996978429077856</c:v>
                </c:pt>
                <c:pt idx="275">
                  <c:v>74.281477111106824</c:v>
                </c:pt>
                <c:pt idx="276">
                  <c:v>74.566338512121234</c:v>
                </c:pt>
                <c:pt idx="277">
                  <c:v>74.851661040618254</c:v>
                </c:pt>
                <c:pt idx="278">
                  <c:v>75.137407665500803</c:v>
                </c:pt>
                <c:pt idx="279">
                  <c:v>75.423541355671944</c:v>
                </c:pt>
                <c:pt idx="280">
                  <c:v>75.710044856978001</c:v>
                </c:pt>
                <c:pt idx="281">
                  <c:v>75.996916146464258</c:v>
                </c:pt>
                <c:pt idx="282">
                  <c:v>76.284164862684804</c:v>
                </c:pt>
                <c:pt idx="283">
                  <c:v>76.571802167313649</c:v>
                </c:pt>
                <c:pt idx="284">
                  <c:v>76.859853929773976</c:v>
                </c:pt>
                <c:pt idx="285">
                  <c:v>77.148328265499813</c:v>
                </c:pt>
                <c:pt idx="286">
                  <c:v>77.437229743850907</c:v>
                </c:pt>
                <c:pt idx="287">
                  <c:v>77.726573072576187</c:v>
                </c:pt>
                <c:pt idx="288">
                  <c:v>78.016383621263373</c:v>
                </c:pt>
                <c:pt idx="289">
                  <c:v>78.306716174998229</c:v>
                </c:pt>
                <c:pt idx="290">
                  <c:v>78.597630088225557</c:v>
                </c:pt>
                <c:pt idx="291">
                  <c:v>78.88914159181445</c:v>
                </c:pt>
                <c:pt idx="292">
                  <c:v>79.176447915573945</c:v>
                </c:pt>
                <c:pt idx="293">
                  <c:v>79.455188948577529</c:v>
                </c:pt>
                <c:pt idx="294">
                  <c:v>79.726151251679809</c:v>
                </c:pt>
                <c:pt idx="295">
                  <c:v>79.989970600987277</c:v>
                </c:pt>
                <c:pt idx="296">
                  <c:v>80.254301053254594</c:v>
                </c:pt>
                <c:pt idx="297">
                  <c:v>80.515558151104997</c:v>
                </c:pt>
                <c:pt idx="298">
                  <c:v>80.773209744296565</c:v>
                </c:pt>
                <c:pt idx="299">
                  <c:v>81.025406672628947</c:v>
                </c:pt>
                <c:pt idx="300">
                  <c:v>81.270931397421407</c:v>
                </c:pt>
                <c:pt idx="301">
                  <c:v>81.509579040497528</c:v>
                </c:pt>
                <c:pt idx="302">
                  <c:v>81.741475477279067</c:v>
                </c:pt>
                <c:pt idx="303">
                  <c:v>81.96693647307373</c:v>
                </c:pt>
                <c:pt idx="304">
                  <c:v>82.182232591997419</c:v>
                </c:pt>
                <c:pt idx="305">
                  <c:v>82.391643706884366</c:v>
                </c:pt>
                <c:pt idx="306">
                  <c:v>82.595480121792633</c:v>
                </c:pt>
                <c:pt idx="307">
                  <c:v>82.793921152629537</c:v>
                </c:pt>
                <c:pt idx="308">
                  <c:v>82.987001671439288</c:v>
                </c:pt>
                <c:pt idx="309">
                  <c:v>83.174763711770467</c:v>
                </c:pt>
                <c:pt idx="310">
                  <c:v>83.35761575006245</c:v>
                </c:pt>
                <c:pt idx="311">
                  <c:v>83.53561288127942</c:v>
                </c:pt>
                <c:pt idx="312">
                  <c:v>83.708724208953456</c:v>
                </c:pt>
                <c:pt idx="313">
                  <c:v>83.876777188436492</c:v>
                </c:pt>
                <c:pt idx="314">
                  <c:v>84.039847838708823</c:v>
                </c:pt>
                <c:pt idx="315">
                  <c:v>84.198475992059855</c:v>
                </c:pt>
                <c:pt idx="316">
                  <c:v>84.352806601004758</c:v>
                </c:pt>
                <c:pt idx="317">
                  <c:v>84.504145800316749</c:v>
                </c:pt>
                <c:pt idx="318">
                  <c:v>84.655832535533335</c:v>
                </c:pt>
                <c:pt idx="319">
                  <c:v>89.632177619481155</c:v>
                </c:pt>
                <c:pt idx="320">
                  <c:v>110.47239193857871</c:v>
                </c:pt>
                <c:pt idx="321">
                  <c:v>110.61353595113357</c:v>
                </c:pt>
                <c:pt idx="322">
                  <c:v>110.75625104802587</c:v>
                </c:pt>
                <c:pt idx="323">
                  <c:v>110.90056462179834</c:v>
                </c:pt>
                <c:pt idx="324">
                  <c:v>111.05056462179834</c:v>
                </c:pt>
                <c:pt idx="325">
                  <c:v>111.1978631011384</c:v>
                </c:pt>
                <c:pt idx="326">
                  <c:v>111.38239310113839</c:v>
                </c:pt>
                <c:pt idx="327">
                  <c:v>111.66652654139193</c:v>
                </c:pt>
                <c:pt idx="328">
                  <c:v>111.9510252234209</c:v>
                </c:pt>
                <c:pt idx="329">
                  <c:v>112.23588662443531</c:v>
                </c:pt>
                <c:pt idx="330">
                  <c:v>112.52120915293233</c:v>
                </c:pt>
                <c:pt idx="331">
                  <c:v>112.80695577781488</c:v>
                </c:pt>
                <c:pt idx="332">
                  <c:v>113.09308946798602</c:v>
                </c:pt>
                <c:pt idx="333">
                  <c:v>113.37959296929208</c:v>
                </c:pt>
                <c:pt idx="334">
                  <c:v>113.66646425877833</c:v>
                </c:pt>
                <c:pt idx="335">
                  <c:v>113.95371297499888</c:v>
                </c:pt>
                <c:pt idx="336">
                  <c:v>114.24135027962772</c:v>
                </c:pt>
                <c:pt idx="337">
                  <c:v>114.52940204208805</c:v>
                </c:pt>
                <c:pt idx="338">
                  <c:v>114.81787637781389</c:v>
                </c:pt>
                <c:pt idx="339">
                  <c:v>115.10677785616498</c:v>
                </c:pt>
                <c:pt idx="340">
                  <c:v>115.39612118489026</c:v>
                </c:pt>
                <c:pt idx="341">
                  <c:v>115.68593173357745</c:v>
                </c:pt>
                <c:pt idx="342">
                  <c:v>115.9762642873123</c:v>
                </c:pt>
                <c:pt idx="343">
                  <c:v>116.26717820053963</c:v>
                </c:pt>
                <c:pt idx="344">
                  <c:v>116.55868970412853</c:v>
                </c:pt>
                <c:pt idx="345">
                  <c:v>116.84599602788802</c:v>
                </c:pt>
                <c:pt idx="346">
                  <c:v>117.1247370608916</c:v>
                </c:pt>
                <c:pt idx="347">
                  <c:v>117.39569936399388</c:v>
                </c:pt>
                <c:pt idx="348">
                  <c:v>117.65951871330135</c:v>
                </c:pt>
                <c:pt idx="349">
                  <c:v>117.92384916556867</c:v>
                </c:pt>
                <c:pt idx="350">
                  <c:v>118.18510626341907</c:v>
                </c:pt>
                <c:pt idx="351">
                  <c:v>118.44275785661064</c:v>
                </c:pt>
                <c:pt idx="352">
                  <c:v>118.69495478494302</c:v>
                </c:pt>
                <c:pt idx="353">
                  <c:v>118.94047950973548</c:v>
                </c:pt>
                <c:pt idx="354">
                  <c:v>119.1791271528116</c:v>
                </c:pt>
                <c:pt idx="355">
                  <c:v>119.41102358959314</c:v>
                </c:pt>
                <c:pt idx="356">
                  <c:v>119.63648458538781</c:v>
                </c:pt>
                <c:pt idx="357">
                  <c:v>119.85178070431149</c:v>
                </c:pt>
                <c:pt idx="358">
                  <c:v>120.06119181919844</c:v>
                </c:pt>
                <c:pt idx="359">
                  <c:v>120.26502823410671</c:v>
                </c:pt>
                <c:pt idx="360">
                  <c:v>120.46346926494361</c:v>
                </c:pt>
                <c:pt idx="361">
                  <c:v>120.65654978375336</c:v>
                </c:pt>
                <c:pt idx="362">
                  <c:v>120.84431182408454</c:v>
                </c:pt>
                <c:pt idx="363">
                  <c:v>121.02716386237653</c:v>
                </c:pt>
                <c:pt idx="364">
                  <c:v>121.20516099359349</c:v>
                </c:pt>
                <c:pt idx="365">
                  <c:v>121.37827232126753</c:v>
                </c:pt>
                <c:pt idx="366">
                  <c:v>121.54632530075057</c:v>
                </c:pt>
                <c:pt idx="367">
                  <c:v>121.7093959510229</c:v>
                </c:pt>
                <c:pt idx="368">
                  <c:v>121.86802410437393</c:v>
                </c:pt>
                <c:pt idx="369">
                  <c:v>122.02235471331883</c:v>
                </c:pt>
                <c:pt idx="370">
                  <c:v>122.17226094200448</c:v>
                </c:pt>
                <c:pt idx="371">
                  <c:v>122.31766368973416</c:v>
                </c:pt>
                <c:pt idx="372">
                  <c:v>121.88017991798355</c:v>
                </c:pt>
                <c:pt idx="373">
                  <c:v>122.03224776737423</c:v>
                </c:pt>
                <c:pt idx="374">
                  <c:v>122.18538858266099</c:v>
                </c:pt>
                <c:pt idx="375">
                  <c:v>122.34192030210112</c:v>
                </c:pt>
                <c:pt idx="376">
                  <c:v>122.50570242113908</c:v>
                </c:pt>
                <c:pt idx="377">
                  <c:v>122.67232803531887</c:v>
                </c:pt>
                <c:pt idx="378">
                  <c:v>122.84397397121103</c:v>
                </c:pt>
                <c:pt idx="379">
                  <c:v>123.02512187218032</c:v>
                </c:pt>
                <c:pt idx="380">
                  <c:v>123.2165743239746</c:v>
                </c:pt>
                <c:pt idx="381">
                  <c:v>123.41578202563397</c:v>
                </c:pt>
                <c:pt idx="382">
                  <c:v>123.61981100376462</c:v>
                </c:pt>
                <c:pt idx="383">
                  <c:v>123.77981100376462</c:v>
                </c:pt>
                <c:pt idx="384">
                  <c:v>124.01981100376462</c:v>
                </c:pt>
                <c:pt idx="385">
                  <c:v>124.30394444401816</c:v>
                </c:pt>
                <c:pt idx="386">
                  <c:v>124.58844312604712</c:v>
                </c:pt>
                <c:pt idx="387">
                  <c:v>124.87330452706153</c:v>
                </c:pt>
                <c:pt idx="388">
                  <c:v>125.15862705555855</c:v>
                </c:pt>
                <c:pt idx="389">
                  <c:v>125.4443736804411</c:v>
                </c:pt>
                <c:pt idx="390">
                  <c:v>125.73050737061224</c:v>
                </c:pt>
                <c:pt idx="391">
                  <c:v>126.0170108719183</c:v>
                </c:pt>
                <c:pt idx="392">
                  <c:v>126.30388216140456</c:v>
                </c:pt>
                <c:pt idx="393">
                  <c:v>126.5911308776251</c:v>
                </c:pt>
                <c:pt idx="394">
                  <c:v>126.87876818225395</c:v>
                </c:pt>
                <c:pt idx="395">
                  <c:v>127.16681994471428</c:v>
                </c:pt>
                <c:pt idx="396">
                  <c:v>127.45529428044011</c:v>
                </c:pt>
                <c:pt idx="397">
                  <c:v>127.74419575879121</c:v>
                </c:pt>
                <c:pt idx="398">
                  <c:v>128.03353908751649</c:v>
                </c:pt>
                <c:pt idx="399">
                  <c:v>128.32334963620369</c:v>
                </c:pt>
                <c:pt idx="400">
                  <c:v>128.61368218993854</c:v>
                </c:pt>
                <c:pt idx="401">
                  <c:v>128.90459610316589</c:v>
                </c:pt>
                <c:pt idx="402">
                  <c:v>129.19610760675477</c:v>
                </c:pt>
                <c:pt idx="403">
                  <c:v>129.48341393051427</c:v>
                </c:pt>
                <c:pt idx="404">
                  <c:v>129.76215496351784</c:v>
                </c:pt>
                <c:pt idx="405">
                  <c:v>130.03311726662014</c:v>
                </c:pt>
                <c:pt idx="406">
                  <c:v>130.29693661592759</c:v>
                </c:pt>
                <c:pt idx="407">
                  <c:v>130.56126706819492</c:v>
                </c:pt>
                <c:pt idx="408">
                  <c:v>130.82252416604533</c:v>
                </c:pt>
                <c:pt idx="409">
                  <c:v>131.08017575923691</c:v>
                </c:pt>
                <c:pt idx="410">
                  <c:v>131.33237268756929</c:v>
                </c:pt>
                <c:pt idx="411">
                  <c:v>131.57789741236175</c:v>
                </c:pt>
                <c:pt idx="412">
                  <c:v>131.81654505543787</c:v>
                </c:pt>
                <c:pt idx="413">
                  <c:v>132.04844149221941</c:v>
                </c:pt>
                <c:pt idx="414">
                  <c:v>132.27390248801407</c:v>
                </c:pt>
                <c:pt idx="415">
                  <c:v>132.48919860693775</c:v>
                </c:pt>
                <c:pt idx="416">
                  <c:v>132.69860972182468</c:v>
                </c:pt>
                <c:pt idx="417">
                  <c:v>132.90244613673295</c:v>
                </c:pt>
                <c:pt idx="418">
                  <c:v>133.10088716756985</c:v>
                </c:pt>
                <c:pt idx="419">
                  <c:v>133.2939676863796</c:v>
                </c:pt>
                <c:pt idx="420">
                  <c:v>133.48172972671077</c:v>
                </c:pt>
                <c:pt idx="421">
                  <c:v>133.66458176500277</c:v>
                </c:pt>
                <c:pt idx="422">
                  <c:v>133.84257889621975</c:v>
                </c:pt>
                <c:pt idx="423">
                  <c:v>134.01569022389378</c:v>
                </c:pt>
                <c:pt idx="424">
                  <c:v>134.18374320337682</c:v>
                </c:pt>
                <c:pt idx="425">
                  <c:v>134.34681385364914</c:v>
                </c:pt>
                <c:pt idx="426">
                  <c:v>134.50544200700017</c:v>
                </c:pt>
                <c:pt idx="427">
                  <c:v>134.65977261594509</c:v>
                </c:pt>
                <c:pt idx="428">
                  <c:v>134.81523924796559</c:v>
                </c:pt>
                <c:pt idx="429">
                  <c:v>134.96973499679731</c:v>
                </c:pt>
                <c:pt idx="430">
                  <c:v>143.90360562232001</c:v>
                </c:pt>
                <c:pt idx="431">
                  <c:v>144.06734959224778</c:v>
                </c:pt>
                <c:pt idx="432">
                  <c:v>144.23962577145826</c:v>
                </c:pt>
                <c:pt idx="433">
                  <c:v>144.42536928854011</c:v>
                </c:pt>
                <c:pt idx="434">
                  <c:v>144.6706692885401</c:v>
                </c:pt>
                <c:pt idx="435">
                  <c:v>144.85966928854009</c:v>
                </c:pt>
                <c:pt idx="436">
                  <c:v>145.14380272879362</c:v>
                </c:pt>
                <c:pt idx="437">
                  <c:v>145.4283014108226</c:v>
                </c:pt>
                <c:pt idx="438">
                  <c:v>145.71316281183701</c:v>
                </c:pt>
                <c:pt idx="439">
                  <c:v>145.99848534033401</c:v>
                </c:pt>
                <c:pt idx="440">
                  <c:v>146.28423196521658</c:v>
                </c:pt>
                <c:pt idx="441">
                  <c:v>146.57036565538772</c:v>
                </c:pt>
                <c:pt idx="442">
                  <c:v>146.85686915669379</c:v>
                </c:pt>
                <c:pt idx="443">
                  <c:v>147.14374044618006</c:v>
                </c:pt>
                <c:pt idx="444">
                  <c:v>147.43098916240061</c:v>
                </c:pt>
                <c:pt idx="445">
                  <c:v>147.71862646702945</c:v>
                </c:pt>
                <c:pt idx="446">
                  <c:v>148.00667822948978</c:v>
                </c:pt>
                <c:pt idx="447">
                  <c:v>148.2951525652156</c:v>
                </c:pt>
                <c:pt idx="448">
                  <c:v>148.58405404356671</c:v>
                </c:pt>
                <c:pt idx="449">
                  <c:v>148.873397372292</c:v>
                </c:pt>
                <c:pt idx="450">
                  <c:v>149.1632079209792</c:v>
                </c:pt>
                <c:pt idx="451">
                  <c:v>149.45354047471406</c:v>
                </c:pt>
                <c:pt idx="452">
                  <c:v>149.7444543879414</c:v>
                </c:pt>
                <c:pt idx="453">
                  <c:v>150.03596589153028</c:v>
                </c:pt>
                <c:pt idx="454">
                  <c:v>150.32327221528979</c:v>
                </c:pt>
                <c:pt idx="455">
                  <c:v>150.60201324829336</c:v>
                </c:pt>
                <c:pt idx="456">
                  <c:v>150.87297555139565</c:v>
                </c:pt>
                <c:pt idx="457">
                  <c:v>151.13679490070311</c:v>
                </c:pt>
                <c:pt idx="458">
                  <c:v>151.40112535297044</c:v>
                </c:pt>
                <c:pt idx="459">
                  <c:v>151.66238245082084</c:v>
                </c:pt>
                <c:pt idx="460">
                  <c:v>151.92003404401243</c:v>
                </c:pt>
                <c:pt idx="461">
                  <c:v>152.17223097234481</c:v>
                </c:pt>
                <c:pt idx="462">
                  <c:v>152.41775569713727</c:v>
                </c:pt>
                <c:pt idx="463">
                  <c:v>152.65640334021339</c:v>
                </c:pt>
                <c:pt idx="464">
                  <c:v>152.88829977699493</c:v>
                </c:pt>
                <c:pt idx="465">
                  <c:v>153.11376077278959</c:v>
                </c:pt>
                <c:pt idx="466">
                  <c:v>153.32905689171326</c:v>
                </c:pt>
                <c:pt idx="467">
                  <c:v>153.5384680066002</c:v>
                </c:pt>
                <c:pt idx="468">
                  <c:v>153.74230442150846</c:v>
                </c:pt>
                <c:pt idx="469">
                  <c:v>153.94074545234537</c:v>
                </c:pt>
                <c:pt idx="470">
                  <c:v>154.13382597115512</c:v>
                </c:pt>
                <c:pt idx="471">
                  <c:v>154.32158801148628</c:v>
                </c:pt>
                <c:pt idx="472">
                  <c:v>154.50444004977828</c:v>
                </c:pt>
                <c:pt idx="473">
                  <c:v>154.68243718099527</c:v>
                </c:pt>
                <c:pt idx="474">
                  <c:v>154.8555485086693</c:v>
                </c:pt>
                <c:pt idx="475">
                  <c:v>155.02360148815234</c:v>
                </c:pt>
                <c:pt idx="476">
                  <c:v>155.18667213842465</c:v>
                </c:pt>
                <c:pt idx="477">
                  <c:v>155.34530029177569</c:v>
                </c:pt>
                <c:pt idx="478">
                  <c:v>155.4996309007206</c:v>
                </c:pt>
                <c:pt idx="479">
                  <c:v>155.64953712940624</c:v>
                </c:pt>
                <c:pt idx="480">
                  <c:v>155.7949398771359</c:v>
                </c:pt>
                <c:pt idx="481">
                  <c:v>171.92592524853075</c:v>
                </c:pt>
                <c:pt idx="482">
                  <c:v>172.08570400010959</c:v>
                </c:pt>
                <c:pt idx="483">
                  <c:v>172.24853557684645</c:v>
                </c:pt>
                <c:pt idx="484">
                  <c:v>172.41617427931803</c:v>
                </c:pt>
                <c:pt idx="485">
                  <c:v>172.58895780836102</c:v>
                </c:pt>
                <c:pt idx="486">
                  <c:v>172.77538347633563</c:v>
                </c:pt>
                <c:pt idx="487">
                  <c:v>172.9669976707913</c:v>
                </c:pt>
                <c:pt idx="488">
                  <c:v>173.14699767079131</c:v>
                </c:pt>
                <c:pt idx="489">
                  <c:v>173.38699767079132</c:v>
                </c:pt>
                <c:pt idx="490">
                  <c:v>173.67113111104484</c:v>
                </c:pt>
                <c:pt idx="491">
                  <c:v>173.95562979307383</c:v>
                </c:pt>
                <c:pt idx="492">
                  <c:v>174.24049119408824</c:v>
                </c:pt>
                <c:pt idx="493">
                  <c:v>174.52581372258524</c:v>
                </c:pt>
                <c:pt idx="494">
                  <c:v>174.8115603474678</c:v>
                </c:pt>
                <c:pt idx="495">
                  <c:v>175.09769403763895</c:v>
                </c:pt>
                <c:pt idx="496">
                  <c:v>175.38419753894502</c:v>
                </c:pt>
                <c:pt idx="497">
                  <c:v>175.67106882843129</c:v>
                </c:pt>
                <c:pt idx="498">
                  <c:v>175.95831754465183</c:v>
                </c:pt>
                <c:pt idx="499">
                  <c:v>176.24595484928068</c:v>
                </c:pt>
                <c:pt idx="500">
                  <c:v>176.53400661174101</c:v>
                </c:pt>
                <c:pt idx="501">
                  <c:v>176.82248094746683</c:v>
                </c:pt>
                <c:pt idx="502">
                  <c:v>177.11138242581794</c:v>
                </c:pt>
                <c:pt idx="503">
                  <c:v>177.40072575454323</c:v>
                </c:pt>
                <c:pt idx="504">
                  <c:v>177.69053630323043</c:v>
                </c:pt>
                <c:pt idx="505">
                  <c:v>177.98086885696529</c:v>
                </c:pt>
                <c:pt idx="506">
                  <c:v>178.27178277019263</c:v>
                </c:pt>
                <c:pt idx="507">
                  <c:v>178.56329427378151</c:v>
                </c:pt>
                <c:pt idx="508">
                  <c:v>178.85060059754102</c:v>
                </c:pt>
                <c:pt idx="509">
                  <c:v>179.12934163054459</c:v>
                </c:pt>
                <c:pt idx="510">
                  <c:v>179.40030393364688</c:v>
                </c:pt>
                <c:pt idx="511">
                  <c:v>179.66412328295434</c:v>
                </c:pt>
                <c:pt idx="512">
                  <c:v>179.92845373522167</c:v>
                </c:pt>
                <c:pt idx="513">
                  <c:v>180.18971083307207</c:v>
                </c:pt>
                <c:pt idx="514">
                  <c:v>180.44736242626365</c:v>
                </c:pt>
                <c:pt idx="515">
                  <c:v>180.69955935459603</c:v>
                </c:pt>
                <c:pt idx="516">
                  <c:v>180.94508407938849</c:v>
                </c:pt>
                <c:pt idx="517">
                  <c:v>181.18373172246461</c:v>
                </c:pt>
                <c:pt idx="518">
                  <c:v>181.41562815924615</c:v>
                </c:pt>
                <c:pt idx="519">
                  <c:v>181.64108915504082</c:v>
                </c:pt>
                <c:pt idx="520">
                  <c:v>181.85638527396449</c:v>
                </c:pt>
                <c:pt idx="521">
                  <c:v>182.06579638885142</c:v>
                </c:pt>
                <c:pt idx="522">
                  <c:v>182.26963280375969</c:v>
                </c:pt>
                <c:pt idx="523">
                  <c:v>182.46807383459659</c:v>
                </c:pt>
                <c:pt idx="524">
                  <c:v>182.66115435340635</c:v>
                </c:pt>
                <c:pt idx="525">
                  <c:v>182.84891639373751</c:v>
                </c:pt>
                <c:pt idx="526">
                  <c:v>183.03176843202951</c:v>
                </c:pt>
                <c:pt idx="527">
                  <c:v>183.20976556324649</c:v>
                </c:pt>
                <c:pt idx="528">
                  <c:v>183.38287689092053</c:v>
                </c:pt>
                <c:pt idx="529">
                  <c:v>183.55092987040356</c:v>
                </c:pt>
                <c:pt idx="530">
                  <c:v>183.71400052067588</c:v>
                </c:pt>
                <c:pt idx="531">
                  <c:v>183.87262867402691</c:v>
                </c:pt>
              </c:numCache>
            </c:numRef>
          </c:xVal>
          <c:yVal>
            <c:numRef>
              <c:f>Data!$Q$2:$Q$533</c:f>
            </c:numRef>
          </c:yVal>
          <c:smooth val="1"/>
          <c:extLst>
            <c:ext xmlns:c16="http://schemas.microsoft.com/office/drawing/2014/chart" uri="{C3380CC4-5D6E-409C-BE32-E72D297353CC}">
              <c16:uniqueId val="{00000002-EC4D-DE40-BFBD-675C4C6A3117}"/>
            </c:ext>
          </c:extLst>
        </c:ser>
        <c:dLbls>
          <c:showLegendKey val="0"/>
          <c:showVal val="0"/>
          <c:showCatName val="0"/>
          <c:showSerName val="0"/>
          <c:showPercent val="0"/>
          <c:showBubbleSize val="0"/>
        </c:dLbls>
        <c:axId val="2138445263"/>
        <c:axId val="2116264335"/>
      </c:scatterChart>
      <c:valAx>
        <c:axId val="385257856"/>
        <c:scaling>
          <c:orientation val="minMax"/>
          <c:max val="18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285487"/>
        <c:crosses val="autoZero"/>
        <c:crossBetween val="midCat"/>
      </c:valAx>
      <c:valAx>
        <c:axId val="2062285487"/>
        <c:scaling>
          <c:orientation val="minMax"/>
          <c:min val="8"/>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Altitude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85257856"/>
        <c:crosses val="autoZero"/>
        <c:crossBetween val="midCat"/>
      </c:valAx>
      <c:valAx>
        <c:axId val="2116264335"/>
        <c:scaling>
          <c:orientation val="minMax"/>
        </c:scaling>
        <c:delete val="0"/>
        <c:axPos val="r"/>
        <c:numFmt formatCode="General" sourceLinked="1"/>
        <c:majorTickMark val="out"/>
        <c:minorTickMark val="none"/>
        <c:tickLblPos val="high"/>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38445263"/>
        <c:crosses val="max"/>
        <c:crossBetween val="midCat"/>
      </c:valAx>
      <c:valAx>
        <c:axId val="2138445263"/>
        <c:scaling>
          <c:orientation val="minMax"/>
        </c:scaling>
        <c:delete val="1"/>
        <c:axPos val="b"/>
        <c:numFmt formatCode="General" sourceLinked="1"/>
        <c:majorTickMark val="out"/>
        <c:minorTickMark val="none"/>
        <c:tickLblPos val="nextTo"/>
        <c:crossAx val="2116264335"/>
        <c:crosses val="autoZero"/>
        <c:crossBetween val="midCat"/>
      </c:valAx>
      <c:spPr>
        <a:noFill/>
        <a:ln>
          <a:noFill/>
        </a:ln>
        <a:effectLst/>
      </c:spPr>
    </c:plotArea>
    <c:legend>
      <c:legendPos val="r"/>
      <c:layout>
        <c:manualLayout>
          <c:xMode val="edge"/>
          <c:yMode val="edge"/>
          <c:x val="8.5765274746476008E-2"/>
          <c:y val="6.4093149829359125E-2"/>
          <c:w val="0.15772630258889919"/>
          <c:h val="0.1052345747877769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 Digitized BSFC Chart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975</c:v>
          </c:tx>
          <c:spPr>
            <a:ln w="25400" cap="rnd">
              <a:noFill/>
              <a:round/>
            </a:ln>
            <a:effectLst/>
          </c:spPr>
          <c:marker>
            <c:symbol val="circle"/>
            <c:size val="5"/>
            <c:spPr>
              <a:solidFill>
                <a:schemeClr val="accent1"/>
              </a:solidFill>
              <a:ln w="9525">
                <a:solidFill>
                  <a:schemeClr val="accent1"/>
                </a:solidFill>
              </a:ln>
              <a:effectLst/>
            </c:spPr>
          </c:marker>
          <c:xVal>
            <c:numRef>
              <c:f>BSFC!$B$4:$B$21</c:f>
              <c:numCache>
                <c:formatCode>General</c:formatCode>
                <c:ptCount val="18"/>
                <c:pt idx="0">
                  <c:v>2631.8940167432102</c:v>
                </c:pt>
                <c:pt idx="1">
                  <c:v>2673.4430725779098</c:v>
                </c:pt>
                <c:pt idx="2">
                  <c:v>2730.4246348654901</c:v>
                </c:pt>
                <c:pt idx="3">
                  <c:v>2792.1546606770398</c:v>
                </c:pt>
                <c:pt idx="4">
                  <c:v>2843.20064355967</c:v>
                </c:pt>
                <c:pt idx="5">
                  <c:v>2910.8662487761799</c:v>
                </c:pt>
                <c:pt idx="6">
                  <c:v>2997.5257080885399</c:v>
                </c:pt>
                <c:pt idx="7">
                  <c:v>2982.0932016356601</c:v>
                </c:pt>
                <c:pt idx="8">
                  <c:v>2957.1637681348402</c:v>
                </c:pt>
                <c:pt idx="9">
                  <c:v>2926.2987552290601</c:v>
                </c:pt>
                <c:pt idx="10">
                  <c:v>2895.4337423232901</c:v>
                </c:pt>
                <c:pt idx="11">
                  <c:v>2853.88468648859</c:v>
                </c:pt>
                <c:pt idx="12">
                  <c:v>2827.7681371067802</c:v>
                </c:pt>
                <c:pt idx="13">
                  <c:v>2781.4706177481198</c:v>
                </c:pt>
                <c:pt idx="14">
                  <c:v>2730.4246348654901</c:v>
                </c:pt>
                <c:pt idx="15">
                  <c:v>2684.1271155068298</c:v>
                </c:pt>
                <c:pt idx="16">
                  <c:v>2642.5780596721302</c:v>
                </c:pt>
                <c:pt idx="17">
                  <c:v>2642.5780596721302</c:v>
                </c:pt>
              </c:numCache>
            </c:numRef>
          </c:xVal>
          <c:yVal>
            <c:numRef>
              <c:f>BSFC!$A$4:$A$21</c:f>
              <c:numCache>
                <c:formatCode>General</c:formatCode>
                <c:ptCount val="18"/>
                <c:pt idx="0">
                  <c:v>9.4836163240988842</c:v>
                </c:pt>
                <c:pt idx="1">
                  <c:v>9.6912421805183264</c:v>
                </c:pt>
                <c:pt idx="2">
                  <c:v>9.8255883229073451</c:v>
                </c:pt>
                <c:pt idx="3">
                  <c:v>9.8500148942507924</c:v>
                </c:pt>
                <c:pt idx="4">
                  <c:v>10.118707179028874</c:v>
                </c:pt>
                <c:pt idx="5">
                  <c:v>10.411826035150442</c:v>
                </c:pt>
                <c:pt idx="6">
                  <c:v>10.381292820971083</c:v>
                </c:pt>
                <c:pt idx="7">
                  <c:v>9.7706285373845798</c:v>
                </c:pt>
                <c:pt idx="8">
                  <c:v>9.2943103961870559</c:v>
                </c:pt>
                <c:pt idx="9">
                  <c:v>8.8729520405123399</c:v>
                </c:pt>
                <c:pt idx="10">
                  <c:v>8.396633899314855</c:v>
                </c:pt>
                <c:pt idx="11">
                  <c:v>7.889782543938054</c:v>
                </c:pt>
                <c:pt idx="12">
                  <c:v>7.4684241882633371</c:v>
                </c:pt>
                <c:pt idx="13">
                  <c:v>7.0959189752755547</c:v>
                </c:pt>
                <c:pt idx="14">
                  <c:v>6.8089067619898582</c:v>
                </c:pt>
                <c:pt idx="15">
                  <c:v>6.3814417634793106</c:v>
                </c:pt>
                <c:pt idx="16">
                  <c:v>6.1432826928805486</c:v>
                </c:pt>
                <c:pt idx="17">
                  <c:v>6.1432826928805486</c:v>
                </c:pt>
              </c:numCache>
            </c:numRef>
          </c:yVal>
          <c:smooth val="0"/>
          <c:extLst>
            <c:ext xmlns:c16="http://schemas.microsoft.com/office/drawing/2014/chart" uri="{C3380CC4-5D6E-409C-BE32-E72D297353CC}">
              <c16:uniqueId val="{00000005-6B09-E547-A85E-2E07BCA0C5D2}"/>
            </c:ext>
          </c:extLst>
        </c:ser>
        <c:ser>
          <c:idx val="1"/>
          <c:order val="1"/>
          <c:tx>
            <c:v>900</c:v>
          </c:tx>
          <c:spPr>
            <a:ln w="25400" cap="rnd">
              <a:noFill/>
              <a:round/>
            </a:ln>
            <a:effectLst/>
          </c:spPr>
          <c:marker>
            <c:symbol val="circle"/>
            <c:size val="5"/>
            <c:spPr>
              <a:solidFill>
                <a:schemeClr val="accent2"/>
              </a:solidFill>
              <a:ln w="9525">
                <a:solidFill>
                  <a:schemeClr val="accent2"/>
                </a:solidFill>
              </a:ln>
              <a:effectLst/>
            </c:spPr>
          </c:marker>
          <c:xVal>
            <c:numRef>
              <c:f>BSFC!$E$4:$E$32</c:f>
              <c:numCache>
                <c:formatCode>General</c:formatCode>
                <c:ptCount val="29"/>
                <c:pt idx="0">
                  <c:v>2601.0290038374301</c:v>
                </c:pt>
                <c:pt idx="1">
                  <c:v>2684.1271155068298</c:v>
                </c:pt>
                <c:pt idx="2">
                  <c:v>2817.0840941778602</c:v>
                </c:pt>
                <c:pt idx="3">
                  <c:v>2915.6147123001401</c:v>
                </c:pt>
                <c:pt idx="4">
                  <c:v>2988.0287810406098</c:v>
                </c:pt>
                <c:pt idx="5">
                  <c:v>3059.2557339001</c:v>
                </c:pt>
                <c:pt idx="6">
                  <c:v>3111.4888326637101</c:v>
                </c:pt>
                <c:pt idx="7">
                  <c:v>3173.2188584752598</c:v>
                </c:pt>
                <c:pt idx="8">
                  <c:v>3244.44581133475</c:v>
                </c:pt>
                <c:pt idx="9">
                  <c:v>3296.6789100983701</c:v>
                </c:pt>
                <c:pt idx="10">
                  <c:v>3389.2739488156899</c:v>
                </c:pt>
                <c:pt idx="11">
                  <c:v>3492.5530304619401</c:v>
                </c:pt>
                <c:pt idx="12">
                  <c:v>3559.0315197974501</c:v>
                </c:pt>
                <c:pt idx="13">
                  <c:v>3620.7615456090002</c:v>
                </c:pt>
                <c:pt idx="14">
                  <c:v>3687.2400349445202</c:v>
                </c:pt>
                <c:pt idx="15">
                  <c:v>3677.7431078965901</c:v>
                </c:pt>
                <c:pt idx="16">
                  <c:v>3646.87809499081</c:v>
                </c:pt>
                <c:pt idx="17">
                  <c:v>3605.32903915612</c:v>
                </c:pt>
                <c:pt idx="18">
                  <c:v>3523.4180433677102</c:v>
                </c:pt>
                <c:pt idx="19">
                  <c:v>3409.45491879254</c:v>
                </c:pt>
                <c:pt idx="20">
                  <c:v>3461.68801755616</c:v>
                </c:pt>
                <c:pt idx="21">
                  <c:v>3316.8598800752202</c:v>
                </c:pt>
                <c:pt idx="22">
                  <c:v>3224.26484135789</c:v>
                </c:pt>
                <c:pt idx="23">
                  <c:v>3151.8507726174198</c:v>
                </c:pt>
                <c:pt idx="24">
                  <c:v>3116.2372961876799</c:v>
                </c:pt>
                <c:pt idx="25">
                  <c:v>3003.4612874935001</c:v>
                </c:pt>
                <c:pt idx="26">
                  <c:v>2966.6606951827698</c:v>
                </c:pt>
                <c:pt idx="27">
                  <c:v>2910.8662487761799</c:v>
                </c:pt>
                <c:pt idx="28">
                  <c:v>2880.0012358703998</c:v>
                </c:pt>
              </c:numCache>
            </c:numRef>
          </c:xVal>
          <c:yVal>
            <c:numRef>
              <c:f>BSFC!$D$4:$D$33</c:f>
              <c:numCache>
                <c:formatCode>General</c:formatCode>
                <c:ptCount val="30"/>
                <c:pt idx="0">
                  <c:v>10.198093535895127</c:v>
                </c:pt>
                <c:pt idx="1">
                  <c:v>10.356866249627636</c:v>
                </c:pt>
                <c:pt idx="2">
                  <c:v>10.649985105749165</c:v>
                </c:pt>
                <c:pt idx="3">
                  <c:v>10.778224605302352</c:v>
                </c:pt>
                <c:pt idx="4">
                  <c:v>10.936997319034862</c:v>
                </c:pt>
                <c:pt idx="5">
                  <c:v>11.36446231754541</c:v>
                </c:pt>
                <c:pt idx="6">
                  <c:v>11.57208817396485</c:v>
                </c:pt>
                <c:pt idx="7">
                  <c:v>11.730860887697361</c:v>
                </c:pt>
                <c:pt idx="8">
                  <c:v>11.999553172475441</c:v>
                </c:pt>
                <c:pt idx="9">
                  <c:v>12.237712243074162</c:v>
                </c:pt>
                <c:pt idx="10">
                  <c:v>12.237712243074162</c:v>
                </c:pt>
                <c:pt idx="11">
                  <c:v>12.475871313672924</c:v>
                </c:pt>
                <c:pt idx="12">
                  <c:v>12.738456955615133</c:v>
                </c:pt>
                <c:pt idx="13">
                  <c:v>12.7934167411379</c:v>
                </c:pt>
                <c:pt idx="14">
                  <c:v>12.714030384271686</c:v>
                </c:pt>
                <c:pt idx="15">
                  <c:v>12.158325886207908</c:v>
                </c:pt>
                <c:pt idx="16">
                  <c:v>11.547661602621364</c:v>
                </c:pt>
                <c:pt idx="17">
                  <c:v>11.071343461423881</c:v>
                </c:pt>
                <c:pt idx="18">
                  <c:v>10.649985105749165</c:v>
                </c:pt>
                <c:pt idx="19">
                  <c:v>9.8011617515638978</c:v>
                </c:pt>
                <c:pt idx="20">
                  <c:v>10.167560321715809</c:v>
                </c:pt>
                <c:pt idx="21">
                  <c:v>9.3736967530533111</c:v>
                </c:pt>
                <c:pt idx="22">
                  <c:v>9.0317247542448467</c:v>
                </c:pt>
                <c:pt idx="23">
                  <c:v>8.4760202561811102</c:v>
                </c:pt>
                <c:pt idx="24">
                  <c:v>8.1035150431933278</c:v>
                </c:pt>
                <c:pt idx="25">
                  <c:v>7.7615430443848661</c:v>
                </c:pt>
                <c:pt idx="26">
                  <c:v>7.2058385463211279</c:v>
                </c:pt>
                <c:pt idx="27">
                  <c:v>6.5951742627345844</c:v>
                </c:pt>
                <c:pt idx="28">
                  <c:v>6.222669049746802</c:v>
                </c:pt>
                <c:pt idx="29">
                  <c:v>6.222669049746802</c:v>
                </c:pt>
              </c:numCache>
            </c:numRef>
          </c:yVal>
          <c:smooth val="0"/>
          <c:extLst>
            <c:ext xmlns:c16="http://schemas.microsoft.com/office/drawing/2014/chart" uri="{C3380CC4-5D6E-409C-BE32-E72D297353CC}">
              <c16:uniqueId val="{00000006-6B09-E547-A85E-2E07BCA0C5D2}"/>
            </c:ext>
          </c:extLst>
        </c:ser>
        <c:ser>
          <c:idx val="2"/>
          <c:order val="2"/>
          <c:tx>
            <c:v>850</c:v>
          </c:tx>
          <c:spPr>
            <a:ln w="25400" cap="rnd">
              <a:noFill/>
              <a:round/>
            </a:ln>
            <a:effectLst/>
          </c:spPr>
          <c:marker>
            <c:symbol val="circle"/>
            <c:size val="5"/>
            <c:spPr>
              <a:solidFill>
                <a:schemeClr val="accent3"/>
              </a:solidFill>
              <a:ln w="9525">
                <a:solidFill>
                  <a:schemeClr val="accent3"/>
                </a:solidFill>
              </a:ln>
              <a:effectLst/>
            </c:spPr>
          </c:marker>
          <c:xVal>
            <c:numRef>
              <c:f>BSFC!$H$4:$H$28</c:f>
              <c:numCache>
                <c:formatCode>General</c:formatCode>
                <c:ptCount val="25"/>
                <c:pt idx="0">
                  <c:v>3142.3538455694902</c:v>
                </c:pt>
                <c:pt idx="1">
                  <c:v>3229.0133048818602</c:v>
                </c:pt>
                <c:pt idx="2">
                  <c:v>3367.9058629578499</c:v>
                </c:pt>
                <c:pt idx="3">
                  <c:v>3507.9855369148299</c:v>
                </c:pt>
                <c:pt idx="4">
                  <c:v>3605.32903915612</c:v>
                </c:pt>
                <c:pt idx="5">
                  <c:v>3728.7890907792198</c:v>
                </c:pt>
                <c:pt idx="6">
                  <c:v>3810.70008656762</c:v>
                </c:pt>
                <c:pt idx="7">
                  <c:v>3909.2307046899</c:v>
                </c:pt>
                <c:pt idx="8">
                  <c:v>3986.39323695434</c:v>
                </c:pt>
                <c:pt idx="9">
                  <c:v>4105.1048250534704</c:v>
                </c:pt>
                <c:pt idx="10">
                  <c:v>4156.1508079361001</c:v>
                </c:pt>
                <c:pt idx="11">
                  <c:v>4202.44832729476</c:v>
                </c:pt>
                <c:pt idx="12">
                  <c:v>4120.5373315063598</c:v>
                </c:pt>
                <c:pt idx="13">
                  <c:v>4022.0067133840798</c:v>
                </c:pt>
                <c:pt idx="14">
                  <c:v>3950.7797605246001</c:v>
                </c:pt>
                <c:pt idx="15">
                  <c:v>3785.7706530668002</c:v>
                </c:pt>
                <c:pt idx="16">
                  <c:v>3625.51000913297</c:v>
                </c:pt>
                <c:pt idx="17">
                  <c:v>3517.48246396276</c:v>
                </c:pt>
                <c:pt idx="18">
                  <c:v>3373.8414423628001</c:v>
                </c:pt>
                <c:pt idx="19">
                  <c:v>3229.0133048818602</c:v>
                </c:pt>
                <c:pt idx="20">
                  <c:v>3100.8047897347901</c:v>
                </c:pt>
                <c:pt idx="21">
                  <c:v>2951.22818872988</c:v>
                </c:pt>
                <c:pt idx="22">
                  <c:v>2833.7037165117399</c:v>
                </c:pt>
                <c:pt idx="23">
                  <c:v>2631.8940167432102</c:v>
                </c:pt>
                <c:pt idx="24">
                  <c:v>2631.8940167432102</c:v>
                </c:pt>
              </c:numCache>
            </c:numRef>
          </c:xVal>
          <c:yVal>
            <c:numRef>
              <c:f>BSFC!$G$4:$G$28</c:f>
              <c:numCache>
                <c:formatCode>General</c:formatCode>
                <c:ptCount val="25"/>
                <c:pt idx="0">
                  <c:v>6.1738159070598675</c:v>
                </c:pt>
                <c:pt idx="1">
                  <c:v>6.9921060470658132</c:v>
                </c:pt>
                <c:pt idx="2">
                  <c:v>8.2622877569258364</c:v>
                </c:pt>
                <c:pt idx="3">
                  <c:v>9.2943103961870559</c:v>
                </c:pt>
                <c:pt idx="4">
                  <c:v>9.7217753946976462</c:v>
                </c:pt>
                <c:pt idx="5">
                  <c:v>10.491212392016697</c:v>
                </c:pt>
                <c:pt idx="6">
                  <c:v>10.991957104557628</c:v>
                </c:pt>
                <c:pt idx="7">
                  <c:v>11.36446231754541</c:v>
                </c:pt>
                <c:pt idx="8">
                  <c:v>12.158325886207908</c:v>
                </c:pt>
                <c:pt idx="9">
                  <c:v>12.555257670539177</c:v>
                </c:pt>
                <c:pt idx="10">
                  <c:v>13.324694667858189</c:v>
                </c:pt>
                <c:pt idx="11">
                  <c:v>13.929252308608861</c:v>
                </c:pt>
                <c:pt idx="12">
                  <c:v>14.277330950253196</c:v>
                </c:pt>
                <c:pt idx="13">
                  <c:v>14.142984807864176</c:v>
                </c:pt>
                <c:pt idx="14">
                  <c:v>13.746053023532907</c:v>
                </c:pt>
                <c:pt idx="15">
                  <c:v>13.404081024724443</c:v>
                </c:pt>
                <c:pt idx="16">
                  <c:v>13.056002383080108</c:v>
                </c:pt>
                <c:pt idx="17">
                  <c:v>13.03157581173666</c:v>
                </c:pt>
                <c:pt idx="18">
                  <c:v>12.768990169794453</c:v>
                </c:pt>
                <c:pt idx="19">
                  <c:v>12.445338099493604</c:v>
                </c:pt>
                <c:pt idx="20">
                  <c:v>12.182752457551395</c:v>
                </c:pt>
                <c:pt idx="21">
                  <c:v>11.57208817396485</c:v>
                </c:pt>
                <c:pt idx="22">
                  <c:v>11.095770032767327</c:v>
                </c:pt>
                <c:pt idx="23">
                  <c:v>10.649985105749165</c:v>
                </c:pt>
                <c:pt idx="24">
                  <c:v>10.649985105749165</c:v>
                </c:pt>
              </c:numCache>
            </c:numRef>
          </c:yVal>
          <c:smooth val="0"/>
          <c:extLst>
            <c:ext xmlns:c16="http://schemas.microsoft.com/office/drawing/2014/chart" uri="{C3380CC4-5D6E-409C-BE32-E72D297353CC}">
              <c16:uniqueId val="{00000007-6B09-E547-A85E-2E07BCA0C5D2}"/>
            </c:ext>
          </c:extLst>
        </c:ser>
        <c:ser>
          <c:idx val="3"/>
          <c:order val="3"/>
          <c:tx>
            <c:v>800</c:v>
          </c:tx>
          <c:spPr>
            <a:ln w="25400" cap="rnd">
              <a:noFill/>
              <a:round/>
            </a:ln>
            <a:effectLst/>
          </c:spPr>
          <c:marker>
            <c:symbol val="circle"/>
            <c:size val="5"/>
            <c:spPr>
              <a:solidFill>
                <a:schemeClr val="accent4"/>
              </a:solidFill>
              <a:ln w="9525">
                <a:solidFill>
                  <a:schemeClr val="accent4"/>
                </a:solidFill>
              </a:ln>
              <a:effectLst/>
            </c:spPr>
          </c:marker>
          <c:xVal>
            <c:numRef>
              <c:f>BSFC!$K$4:$K$30</c:f>
              <c:numCache>
                <c:formatCode>General</c:formatCode>
                <c:ptCount val="27"/>
                <c:pt idx="0">
                  <c:v>3466.4364810801299</c:v>
                </c:pt>
                <c:pt idx="1">
                  <c:v>3594.6449962271899</c:v>
                </c:pt>
                <c:pt idx="2">
                  <c:v>3693.1756143494799</c:v>
                </c:pt>
                <c:pt idx="3">
                  <c:v>3790.51911659077</c:v>
                </c:pt>
                <c:pt idx="4">
                  <c:v>3929.4116746667501</c:v>
                </c:pt>
                <c:pt idx="5">
                  <c:v>4006.57420693119</c:v>
                </c:pt>
                <c:pt idx="6">
                  <c:v>4089.6723186005902</c:v>
                </c:pt>
                <c:pt idx="7">
                  <c:v>4207.1967908187298</c:v>
                </c:pt>
                <c:pt idx="8">
                  <c:v>4295.0433660120898</c:v>
                </c:pt>
                <c:pt idx="9">
                  <c:v>4418.5034176351901</c:v>
                </c:pt>
                <c:pt idx="10">
                  <c:v>4517.0340357574696</c:v>
                </c:pt>
                <c:pt idx="11">
                  <c:v>4614.3775379987601</c:v>
                </c:pt>
                <c:pt idx="12">
                  <c:v>4444.6199670169999</c:v>
                </c:pt>
                <c:pt idx="13">
                  <c:v>4305.7274089410103</c:v>
                </c:pt>
                <c:pt idx="14">
                  <c:v>4228.5648766765698</c:v>
                </c:pt>
                <c:pt idx="15">
                  <c:v>4099.1692456485198</c:v>
                </c:pt>
                <c:pt idx="16">
                  <c:v>3986.39323695434</c:v>
                </c:pt>
                <c:pt idx="17">
                  <c:v>3940.0957175956801</c:v>
                </c:pt>
                <c:pt idx="18">
                  <c:v>3785.7706530668002</c:v>
                </c:pt>
                <c:pt idx="19">
                  <c:v>3636.19405206189</c:v>
                </c:pt>
                <c:pt idx="20">
                  <c:v>3486.6174510569799</c:v>
                </c:pt>
                <c:pt idx="21">
                  <c:v>3290.7433306934099</c:v>
                </c:pt>
                <c:pt idx="22">
                  <c:v>3126.9213391165999</c:v>
                </c:pt>
                <c:pt idx="23">
                  <c:v>3012.9582145414302</c:v>
                </c:pt>
                <c:pt idx="24">
                  <c:v>2849.1362229646302</c:v>
                </c:pt>
                <c:pt idx="25">
                  <c:v>2719.7405919365701</c:v>
                </c:pt>
                <c:pt idx="26">
                  <c:v>2611.7130467663601</c:v>
                </c:pt>
              </c:numCache>
            </c:numRef>
          </c:xVal>
          <c:yVal>
            <c:numRef>
              <c:f>BSFC!$J$4:$J$30</c:f>
              <c:numCache>
                <c:formatCode>General</c:formatCode>
                <c:ptCount val="27"/>
                <c:pt idx="0">
                  <c:v>6.1432826928805486</c:v>
                </c:pt>
                <c:pt idx="1">
                  <c:v>7.285224903187383</c:v>
                </c:pt>
                <c:pt idx="2">
                  <c:v>7.7065832588620582</c:v>
                </c:pt>
                <c:pt idx="3">
                  <c:v>9.0866845397676546</c:v>
                </c:pt>
                <c:pt idx="4">
                  <c:v>9.9049746797736002</c:v>
                </c:pt>
                <c:pt idx="5">
                  <c:v>10.118707179028874</c:v>
                </c:pt>
                <c:pt idx="6">
                  <c:v>10.936997319034862</c:v>
                </c:pt>
                <c:pt idx="7">
                  <c:v>11.388888888888896</c:v>
                </c:pt>
                <c:pt idx="8">
                  <c:v>12.237712243074162</c:v>
                </c:pt>
                <c:pt idx="9">
                  <c:v>12.65907059874888</c:v>
                </c:pt>
                <c:pt idx="10">
                  <c:v>13.611706881143887</c:v>
                </c:pt>
                <c:pt idx="11">
                  <c:v>14.35671730711945</c:v>
                </c:pt>
                <c:pt idx="12">
                  <c:v>14.857462019660421</c:v>
                </c:pt>
                <c:pt idx="13">
                  <c:v>14.936848376526674</c:v>
                </c:pt>
                <c:pt idx="14">
                  <c:v>14.674262734584465</c:v>
                </c:pt>
                <c:pt idx="15">
                  <c:v>14.643729520405104</c:v>
                </c:pt>
                <c:pt idx="16">
                  <c:v>14.48495680667264</c:v>
                </c:pt>
                <c:pt idx="17">
                  <c:v>14.142984807864176</c:v>
                </c:pt>
                <c:pt idx="18">
                  <c:v>13.825439380399159</c:v>
                </c:pt>
                <c:pt idx="19">
                  <c:v>13.507893952934143</c:v>
                </c:pt>
                <c:pt idx="20">
                  <c:v>13.483467381590696</c:v>
                </c:pt>
                <c:pt idx="21">
                  <c:v>13.03157581173666</c:v>
                </c:pt>
                <c:pt idx="22">
                  <c:v>12.738456955615133</c:v>
                </c:pt>
                <c:pt idx="23">
                  <c:v>12.65907059874888</c:v>
                </c:pt>
                <c:pt idx="24">
                  <c:v>12.317098599940415</c:v>
                </c:pt>
                <c:pt idx="25">
                  <c:v>11.999553172475441</c:v>
                </c:pt>
                <c:pt idx="26">
                  <c:v>11.840780458742934</c:v>
                </c:pt>
              </c:numCache>
            </c:numRef>
          </c:yVal>
          <c:smooth val="0"/>
          <c:extLst>
            <c:ext xmlns:c16="http://schemas.microsoft.com/office/drawing/2014/chart" uri="{C3380CC4-5D6E-409C-BE32-E72D297353CC}">
              <c16:uniqueId val="{00000008-6B09-E547-A85E-2E07BCA0C5D2}"/>
            </c:ext>
          </c:extLst>
        </c:ser>
        <c:ser>
          <c:idx val="4"/>
          <c:order val="4"/>
          <c:tx>
            <c:v>750</c:v>
          </c:tx>
          <c:spPr>
            <a:ln w="25400" cap="rnd">
              <a:noFill/>
              <a:round/>
            </a:ln>
            <a:effectLst/>
          </c:spPr>
          <c:marker>
            <c:symbol val="circle"/>
            <c:size val="5"/>
            <c:spPr>
              <a:solidFill>
                <a:schemeClr val="accent5"/>
              </a:solidFill>
              <a:ln w="9525">
                <a:solidFill>
                  <a:schemeClr val="accent5"/>
                </a:solidFill>
              </a:ln>
              <a:effectLst/>
            </c:spPr>
          </c:marker>
          <c:xVal>
            <c:numRef>
              <c:f>BSFC!$N$4:$N$30</c:f>
              <c:numCache>
                <c:formatCode>General</c:formatCode>
                <c:ptCount val="27"/>
                <c:pt idx="0">
                  <c:v>4125.2857950303296</c:v>
                </c:pt>
                <c:pt idx="1">
                  <c:v>4171.5833143889904</c:v>
                </c:pt>
                <c:pt idx="2">
                  <c:v>4217.8808337476503</c:v>
                </c:pt>
                <c:pt idx="3">
                  <c:v>4392.3868682533803</c:v>
                </c:pt>
                <c:pt idx="4">
                  <c:v>4609.6290744748003</c:v>
                </c:pt>
                <c:pt idx="5">
                  <c:v>4691.5400702631996</c:v>
                </c:pt>
                <c:pt idx="6">
                  <c:v>4810.2516583623401</c:v>
                </c:pt>
                <c:pt idx="7">
                  <c:v>4949.1442164383197</c:v>
                </c:pt>
                <c:pt idx="8">
                  <c:v>5010.8742422498699</c:v>
                </c:pt>
                <c:pt idx="9">
                  <c:v>4933.7117099854404</c:v>
                </c:pt>
                <c:pt idx="10">
                  <c:v>4660.67505735743</c:v>
                </c:pt>
                <c:pt idx="11">
                  <c:v>4376.95436180049</c:v>
                </c:pt>
                <c:pt idx="12">
                  <c:v>4305.7274089410103</c:v>
                </c:pt>
                <c:pt idx="13">
                  <c:v>4202.44832729476</c:v>
                </c:pt>
                <c:pt idx="14">
                  <c:v>3986.39323695434</c:v>
                </c:pt>
                <c:pt idx="15">
                  <c:v>3913.9791682138698</c:v>
                </c:pt>
                <c:pt idx="16">
                  <c:v>3795.2675801147302</c:v>
                </c:pt>
                <c:pt idx="17">
                  <c:v>3728.7890907792198</c:v>
                </c:pt>
                <c:pt idx="18">
                  <c:v>3620.7615456090002</c:v>
                </c:pt>
                <c:pt idx="19">
                  <c:v>3543.5990133445698</c:v>
                </c:pt>
                <c:pt idx="20">
                  <c:v>3415.3904981975002</c:v>
                </c:pt>
                <c:pt idx="21">
                  <c:v>3373.8414423628001</c:v>
                </c:pt>
                <c:pt idx="22">
                  <c:v>3321.60834359918</c:v>
                </c:pt>
                <c:pt idx="23">
                  <c:v>3126.9213391165999</c:v>
                </c:pt>
                <c:pt idx="24">
                  <c:v>3023.6422574703502</c:v>
                </c:pt>
                <c:pt idx="25">
                  <c:v>2833.7037165117399</c:v>
                </c:pt>
                <c:pt idx="26">
                  <c:v>2627.1455532192399</c:v>
                </c:pt>
              </c:numCache>
            </c:numRef>
          </c:xVal>
          <c:yVal>
            <c:numRef>
              <c:f>BSFC!$M$4:$M$30</c:f>
              <c:numCache>
                <c:formatCode>General</c:formatCode>
                <c:ptCount val="27"/>
                <c:pt idx="0">
                  <c:v>6.1738159070598675</c:v>
                </c:pt>
                <c:pt idx="1">
                  <c:v>8.2622877569258364</c:v>
                </c:pt>
                <c:pt idx="2">
                  <c:v>10.039320822162662</c:v>
                </c:pt>
                <c:pt idx="3">
                  <c:v>11.761394101876679</c:v>
                </c:pt>
                <c:pt idx="4">
                  <c:v>12.555257670539177</c:v>
                </c:pt>
                <c:pt idx="5">
                  <c:v>13.507893952934143</c:v>
                </c:pt>
                <c:pt idx="6">
                  <c:v>13.904825737265414</c:v>
                </c:pt>
                <c:pt idx="7">
                  <c:v>15.175007447125395</c:v>
                </c:pt>
                <c:pt idx="8">
                  <c:v>15.920017873100958</c:v>
                </c:pt>
                <c:pt idx="9">
                  <c:v>16.316949657432229</c:v>
                </c:pt>
                <c:pt idx="10">
                  <c:v>16.316949657432229</c:v>
                </c:pt>
                <c:pt idx="11">
                  <c:v>16.316949657432229</c:v>
                </c:pt>
                <c:pt idx="12">
                  <c:v>16.341376228775676</c:v>
                </c:pt>
                <c:pt idx="13">
                  <c:v>16.078790586833467</c:v>
                </c:pt>
                <c:pt idx="14">
                  <c:v>16.078790586833467</c:v>
                </c:pt>
                <c:pt idx="15">
                  <c:v>15.865058087578193</c:v>
                </c:pt>
                <c:pt idx="16">
                  <c:v>15.810098302055387</c:v>
                </c:pt>
                <c:pt idx="17">
                  <c:v>15.626899016979431</c:v>
                </c:pt>
                <c:pt idx="18">
                  <c:v>15.229967232648201</c:v>
                </c:pt>
                <c:pt idx="19">
                  <c:v>14.991808162049439</c:v>
                </c:pt>
                <c:pt idx="20">
                  <c:v>14.967381590705992</c:v>
                </c:pt>
                <c:pt idx="21">
                  <c:v>14.778075662794167</c:v>
                </c:pt>
                <c:pt idx="22">
                  <c:v>14.72311587727136</c:v>
                </c:pt>
                <c:pt idx="23">
                  <c:v>13.929252308608861</c:v>
                </c:pt>
                <c:pt idx="24">
                  <c:v>13.801012809055713</c:v>
                </c:pt>
                <c:pt idx="25">
                  <c:v>13.190348525469169</c:v>
                </c:pt>
                <c:pt idx="26">
                  <c:v>12.317098599940415</c:v>
                </c:pt>
              </c:numCache>
            </c:numRef>
          </c:yVal>
          <c:smooth val="0"/>
          <c:extLst>
            <c:ext xmlns:c16="http://schemas.microsoft.com/office/drawing/2014/chart" uri="{C3380CC4-5D6E-409C-BE32-E72D297353CC}">
              <c16:uniqueId val="{00000009-6B09-E547-A85E-2E07BCA0C5D2}"/>
            </c:ext>
          </c:extLst>
        </c:ser>
        <c:ser>
          <c:idx val="5"/>
          <c:order val="5"/>
          <c:tx>
            <c:v>700</c:v>
          </c:tx>
          <c:spPr>
            <a:ln w="25400" cap="rnd">
              <a:noFill/>
              <a:round/>
            </a:ln>
            <a:effectLst/>
          </c:spPr>
          <c:marker>
            <c:symbol val="circle"/>
            <c:size val="5"/>
            <c:spPr>
              <a:solidFill>
                <a:schemeClr val="accent6"/>
              </a:solidFill>
              <a:ln w="9525">
                <a:solidFill>
                  <a:schemeClr val="accent6"/>
                </a:solidFill>
              </a:ln>
              <a:effectLst/>
            </c:spPr>
          </c:marker>
          <c:xVal>
            <c:numRef>
              <c:f>BSFC!$Q$4:$Q$61</c:f>
              <c:numCache>
                <c:formatCode>General</c:formatCode>
                <c:ptCount val="58"/>
                <c:pt idx="0">
                  <c:v>2596.2805403134698</c:v>
                </c:pt>
                <c:pt idx="1">
                  <c:v>2792.1546606770398</c:v>
                </c:pt>
                <c:pt idx="2">
                  <c:v>3003.4612874935001</c:v>
                </c:pt>
                <c:pt idx="3">
                  <c:v>3151.8507726174198</c:v>
                </c:pt>
                <c:pt idx="4">
                  <c:v>3367.9058629578499</c:v>
                </c:pt>
                <c:pt idx="5">
                  <c:v>3579.2124897743101</c:v>
                </c:pt>
                <c:pt idx="6">
                  <c:v>3790.51911659077</c:v>
                </c:pt>
                <c:pt idx="7">
                  <c:v>3887.86261883206</c:v>
                </c:pt>
                <c:pt idx="8">
                  <c:v>4027.94229278904</c:v>
                </c:pt>
                <c:pt idx="9">
                  <c:v>4114.6017521014001</c:v>
                </c:pt>
                <c:pt idx="10">
                  <c:v>4187.0158208418798</c:v>
                </c:pt>
                <c:pt idx="11">
                  <c:v>4609.6290744748003</c:v>
                </c:pt>
                <c:pt idx="12">
                  <c:v>4974.0736499391396</c:v>
                </c:pt>
                <c:pt idx="13">
                  <c:v>5139.08275739694</c:v>
                </c:pt>
                <c:pt idx="14">
                  <c:v>5222.1808690663302</c:v>
                </c:pt>
                <c:pt idx="15">
                  <c:v>5304.0918648547404</c:v>
                </c:pt>
                <c:pt idx="16">
                  <c:v>5345.6409206894295</c:v>
                </c:pt>
                <c:pt idx="17">
                  <c:v>5381.2543971191699</c:v>
                </c:pt>
                <c:pt idx="18">
                  <c:v>5401.4353670960299</c:v>
                </c:pt>
                <c:pt idx="19">
                  <c:v>5365.8218906662896</c:v>
                </c:pt>
                <c:pt idx="20">
                  <c:v>5308.8403283787002</c:v>
                </c:pt>
                <c:pt idx="21">
                  <c:v>5273.2268519489598</c:v>
                </c:pt>
                <c:pt idx="22">
                  <c:v>5211.4968261374097</c:v>
                </c:pt>
                <c:pt idx="23">
                  <c:v>5139.08275739694</c:v>
                </c:pt>
                <c:pt idx="24">
                  <c:v>5067.8558045374602</c:v>
                </c:pt>
                <c:pt idx="25">
                  <c:v>5020.3711692978004</c:v>
                </c:pt>
                <c:pt idx="26">
                  <c:v>5020.3711692978004</c:v>
                </c:pt>
                <c:pt idx="27">
                  <c:v>5067.8558045374602</c:v>
                </c:pt>
                <c:pt idx="28">
                  <c:v>5103.4692809671997</c:v>
                </c:pt>
                <c:pt idx="29">
                  <c:v>5160.45084325478</c:v>
                </c:pt>
                <c:pt idx="30">
                  <c:v>5231.6777961142598</c:v>
                </c:pt>
                <c:pt idx="31">
                  <c:v>5304.0918648547404</c:v>
                </c:pt>
                <c:pt idx="32">
                  <c:v>5407.3709465009797</c:v>
                </c:pt>
                <c:pt idx="33">
                  <c:v>5520.1469551951604</c:v>
                </c:pt>
                <c:pt idx="34">
                  <c:v>5581.8769810067097</c:v>
                </c:pt>
                <c:pt idx="35">
                  <c:v>5695.8401055818804</c:v>
                </c:pt>
                <c:pt idx="36">
                  <c:v>5819.3001572049798</c:v>
                </c:pt>
                <c:pt idx="37">
                  <c:v>5921.3921229702401</c:v>
                </c:pt>
                <c:pt idx="38">
                  <c:v>6013.9871616875598</c:v>
                </c:pt>
                <c:pt idx="39">
                  <c:v>6122.0147068577799</c:v>
                </c:pt>
                <c:pt idx="40">
                  <c:v>6184.93184855032</c:v>
                </c:pt>
                <c:pt idx="41">
                  <c:v>6354.6894195320801</c:v>
                </c:pt>
                <c:pt idx="42">
                  <c:v>6509.0144840609601</c:v>
                </c:pt>
                <c:pt idx="43">
                  <c:v>6580.2414369204398</c:v>
                </c:pt>
                <c:pt idx="44">
                  <c:v>6822.4130766426697</c:v>
                </c:pt>
                <c:pt idx="45">
                  <c:v>6905.5111883120699</c:v>
                </c:pt>
                <c:pt idx="46">
                  <c:v>7053.90067343599</c:v>
                </c:pt>
                <c:pt idx="47">
                  <c:v>7084.7656863417596</c:v>
                </c:pt>
                <c:pt idx="48">
                  <c:v>7239.0907508706396</c:v>
                </c:pt>
                <c:pt idx="49">
                  <c:v>7353.0538754458103</c:v>
                </c:pt>
                <c:pt idx="50">
                  <c:v>7456.3329570920496</c:v>
                </c:pt>
                <c:pt idx="51">
                  <c:v>7553.6764593333401</c:v>
                </c:pt>
                <c:pt idx="52">
                  <c:v>7610.6580216209304</c:v>
                </c:pt>
                <c:pt idx="53">
                  <c:v>7651.0199615746396</c:v>
                </c:pt>
                <c:pt idx="54">
                  <c:v>7692.5690174093297</c:v>
                </c:pt>
                <c:pt idx="55">
                  <c:v>7728.18249383907</c:v>
                </c:pt>
                <c:pt idx="56">
                  <c:v>7789.9125196506202</c:v>
                </c:pt>
                <c:pt idx="57">
                  <c:v>7811.2806055084702</c:v>
                </c:pt>
              </c:numCache>
            </c:numRef>
          </c:xVal>
          <c:yVal>
            <c:numRef>
              <c:f>BSFC!$P$4:$P$61</c:f>
              <c:numCache>
                <c:formatCode>General</c:formatCode>
                <c:ptCount val="58"/>
                <c:pt idx="0">
                  <c:v>13.532320524277631</c:v>
                </c:pt>
                <c:pt idx="1">
                  <c:v>13.666666666666652</c:v>
                </c:pt>
                <c:pt idx="2">
                  <c:v>14.039171879654434</c:v>
                </c:pt>
                <c:pt idx="3">
                  <c:v>14.405570449806385</c:v>
                </c:pt>
                <c:pt idx="4">
                  <c:v>15.205540661304715</c:v>
                </c:pt>
                <c:pt idx="5">
                  <c:v>15.626899016979431</c:v>
                </c:pt>
                <c:pt idx="6">
                  <c:v>16.579535299374438</c:v>
                </c:pt>
                <c:pt idx="7">
                  <c:v>16.713881441763458</c:v>
                </c:pt>
                <c:pt idx="8">
                  <c:v>17.294012511170681</c:v>
                </c:pt>
                <c:pt idx="9">
                  <c:v>17.348972296693489</c:v>
                </c:pt>
                <c:pt idx="10">
                  <c:v>17.666517724158464</c:v>
                </c:pt>
                <c:pt idx="11">
                  <c:v>18.674113792076241</c:v>
                </c:pt>
                <c:pt idx="12">
                  <c:v>19.358057789693163</c:v>
                </c:pt>
                <c:pt idx="13">
                  <c:v>19.413017575215971</c:v>
                </c:pt>
                <c:pt idx="14">
                  <c:v>19.174858504617209</c:v>
                </c:pt>
                <c:pt idx="15">
                  <c:v>18.881739648495682</c:v>
                </c:pt>
                <c:pt idx="16">
                  <c:v>18.38099493595471</c:v>
                </c:pt>
                <c:pt idx="17">
                  <c:v>17.666517724158464</c:v>
                </c:pt>
                <c:pt idx="18">
                  <c:v>17.135239797438178</c:v>
                </c:pt>
                <c:pt idx="19">
                  <c:v>16.261989871909424</c:v>
                </c:pt>
                <c:pt idx="20">
                  <c:v>15.388739946380712</c:v>
                </c:pt>
                <c:pt idx="21">
                  <c:v>14.539916592195405</c:v>
                </c:pt>
                <c:pt idx="22">
                  <c:v>13.532320524277631</c:v>
                </c:pt>
                <c:pt idx="23">
                  <c:v>12.897229669347642</c:v>
                </c:pt>
                <c:pt idx="24">
                  <c:v>12.182752457551395</c:v>
                </c:pt>
                <c:pt idx="25">
                  <c:v>11.547661602621364</c:v>
                </c:pt>
                <c:pt idx="26">
                  <c:v>10.991957104557628</c:v>
                </c:pt>
                <c:pt idx="27">
                  <c:v>10.143133750372362</c:v>
                </c:pt>
                <c:pt idx="28">
                  <c:v>9.4530831099195645</c:v>
                </c:pt>
                <c:pt idx="29">
                  <c:v>8.8973786118558262</c:v>
                </c:pt>
                <c:pt idx="30">
                  <c:v>8.2928209711051561</c:v>
                </c:pt>
                <c:pt idx="31">
                  <c:v>7.7859696157283125</c:v>
                </c:pt>
                <c:pt idx="32">
                  <c:v>7.3096514745308285</c:v>
                </c:pt>
                <c:pt idx="33">
                  <c:v>7.0470658325886202</c:v>
                </c:pt>
                <c:pt idx="34">
                  <c:v>6.8577599046767928</c:v>
                </c:pt>
                <c:pt idx="35">
                  <c:v>6.8577599046767928</c:v>
                </c:pt>
                <c:pt idx="36">
                  <c:v>6.6501340482573505</c:v>
                </c:pt>
                <c:pt idx="37">
                  <c:v>6.6745606196008387</c:v>
                </c:pt>
                <c:pt idx="38">
                  <c:v>6.4913613345248837</c:v>
                </c:pt>
                <c:pt idx="39">
                  <c:v>6.5157879058683301</c:v>
                </c:pt>
                <c:pt idx="40">
                  <c:v>6.3325886207923752</c:v>
                </c:pt>
                <c:pt idx="41">
                  <c:v>6.3325886207923752</c:v>
                </c:pt>
                <c:pt idx="42">
                  <c:v>6.3020554066130563</c:v>
                </c:pt>
                <c:pt idx="43">
                  <c:v>6.5157879058683301</c:v>
                </c:pt>
                <c:pt idx="44">
                  <c:v>6.5157879058683301</c:v>
                </c:pt>
                <c:pt idx="45">
                  <c:v>6.698987190944286</c:v>
                </c:pt>
                <c:pt idx="46">
                  <c:v>6.7295204051236048</c:v>
                </c:pt>
                <c:pt idx="47">
                  <c:v>6.8882931188561125</c:v>
                </c:pt>
                <c:pt idx="48">
                  <c:v>6.8882931188561125</c:v>
                </c:pt>
                <c:pt idx="49">
                  <c:v>7.1264521894548745</c:v>
                </c:pt>
                <c:pt idx="50">
                  <c:v>7.5478105451295914</c:v>
                </c:pt>
                <c:pt idx="51">
                  <c:v>8.0790884718498823</c:v>
                </c:pt>
                <c:pt idx="52">
                  <c:v>8.5798331843908127</c:v>
                </c:pt>
                <c:pt idx="53">
                  <c:v>9.9294012511170475</c:v>
                </c:pt>
                <c:pt idx="54">
                  <c:v>11.651474530831106</c:v>
                </c:pt>
                <c:pt idx="55">
                  <c:v>12.848376526660704</c:v>
                </c:pt>
                <c:pt idx="56">
                  <c:v>13.959785522788179</c:v>
                </c:pt>
                <c:pt idx="57">
                  <c:v>14.197944593386941</c:v>
                </c:pt>
              </c:numCache>
            </c:numRef>
          </c:yVal>
          <c:smooth val="0"/>
          <c:extLst>
            <c:ext xmlns:c16="http://schemas.microsoft.com/office/drawing/2014/chart" uri="{C3380CC4-5D6E-409C-BE32-E72D297353CC}">
              <c16:uniqueId val="{0000000A-6B09-E547-A85E-2E07BCA0C5D2}"/>
            </c:ext>
          </c:extLst>
        </c:ser>
        <c:ser>
          <c:idx val="6"/>
          <c:order val="6"/>
          <c:tx>
            <c:v>650</c:v>
          </c:tx>
          <c:spPr>
            <a:ln w="25400" cap="rnd">
              <a:noFill/>
              <a:round/>
            </a:ln>
            <a:effectLst/>
          </c:spPr>
          <c:marker>
            <c:symbol val="circle"/>
            <c:size val="5"/>
            <c:spPr>
              <a:solidFill>
                <a:schemeClr val="accent1">
                  <a:lumMod val="60000"/>
                </a:schemeClr>
              </a:solidFill>
              <a:ln w="9525">
                <a:solidFill>
                  <a:schemeClr val="accent1">
                    <a:lumMod val="60000"/>
                  </a:schemeClr>
                </a:solidFill>
              </a:ln>
              <a:effectLst/>
            </c:spPr>
          </c:marker>
          <c:xVal>
            <c:numRef>
              <c:f>BSFC!$T$4:$T$47</c:f>
              <c:numCache>
                <c:formatCode>General</c:formatCode>
                <c:ptCount val="44"/>
                <c:pt idx="0">
                  <c:v>3883.1141553080902</c:v>
                </c:pt>
                <c:pt idx="1">
                  <c:v>4058.8073056948101</c:v>
                </c:pt>
                <c:pt idx="2">
                  <c:v>4264.1783531063102</c:v>
                </c:pt>
                <c:pt idx="3">
                  <c:v>4454.1168940649304</c:v>
                </c:pt>
                <c:pt idx="4">
                  <c:v>4614.3775379987601</c:v>
                </c:pt>
                <c:pt idx="5">
                  <c:v>4733.0891260978997</c:v>
                </c:pt>
                <c:pt idx="6">
                  <c:v>4845.8651347920804</c:v>
                </c:pt>
                <c:pt idx="7">
                  <c:v>4923.0276670565099</c:v>
                </c:pt>
                <c:pt idx="8">
                  <c:v>5118.9017874200899</c:v>
                </c:pt>
                <c:pt idx="9">
                  <c:v>5196.0643196845203</c:v>
                </c:pt>
                <c:pt idx="10">
                  <c:v>5391.9384400481003</c:v>
                </c:pt>
                <c:pt idx="11">
                  <c:v>5520.1469551951604</c:v>
                </c:pt>
                <c:pt idx="12">
                  <c:v>5592.5610239356301</c:v>
                </c:pt>
                <c:pt idx="13">
                  <c:v>5726.70511848766</c:v>
                </c:pt>
                <c:pt idx="14">
                  <c:v>5803.8676507520904</c:v>
                </c:pt>
                <c:pt idx="15">
                  <c:v>5742.1376249405403</c:v>
                </c:pt>
                <c:pt idx="16">
                  <c:v>5685.1560626529599</c:v>
                </c:pt>
                <c:pt idx="17">
                  <c:v>5628.1745003653796</c:v>
                </c:pt>
                <c:pt idx="18">
                  <c:v>5561.6960110298596</c:v>
                </c:pt>
                <c:pt idx="19">
                  <c:v>5489.2819422893899</c:v>
                </c:pt>
                <c:pt idx="20">
                  <c:v>5438.2359594067602</c:v>
                </c:pt>
                <c:pt idx="21">
                  <c:v>5407.3709465009797</c:v>
                </c:pt>
                <c:pt idx="22">
                  <c:v>5453.6684658596496</c:v>
                </c:pt>
                <c:pt idx="23">
                  <c:v>5504.7144487422702</c:v>
                </c:pt>
                <c:pt idx="24">
                  <c:v>5509.46291226624</c:v>
                </c:pt>
                <c:pt idx="25">
                  <c:v>5643.6070068182598</c:v>
                </c:pt>
                <c:pt idx="26">
                  <c:v>5788.4351442992102</c:v>
                </c:pt>
                <c:pt idx="27">
                  <c:v>5962.9411788049401</c:v>
                </c:pt>
                <c:pt idx="28">
                  <c:v>6194.4287755982496</c:v>
                </c:pt>
                <c:pt idx="29">
                  <c:v>6317.8888272213499</c:v>
                </c:pt>
                <c:pt idx="30">
                  <c:v>6405.7354024147098</c:v>
                </c:pt>
                <c:pt idx="31">
                  <c:v>6575.49297339647</c:v>
                </c:pt>
                <c:pt idx="32">
                  <c:v>6694.2045614956096</c:v>
                </c:pt>
                <c:pt idx="33">
                  <c:v>6910.2596518360297</c:v>
                </c:pt>
                <c:pt idx="34">
                  <c:v>6982.6737205765003</c:v>
                </c:pt>
                <c:pt idx="35">
                  <c:v>7106.1337721996097</c:v>
                </c:pt>
                <c:pt idx="36">
                  <c:v>7188.0447679880099</c:v>
                </c:pt>
                <c:pt idx="37">
                  <c:v>7332.8729054689502</c:v>
                </c:pt>
                <c:pt idx="38">
                  <c:v>7496.6948970457597</c:v>
                </c:pt>
                <c:pt idx="39">
                  <c:v>7573.8574293102001</c:v>
                </c:pt>
                <c:pt idx="40">
                  <c:v>7615.4064851448902</c:v>
                </c:pt>
                <c:pt idx="41">
                  <c:v>7635.5874551217503</c:v>
                </c:pt>
                <c:pt idx="42">
                  <c:v>7661.7040045035601</c:v>
                </c:pt>
                <c:pt idx="43">
                  <c:v>7697.3174809333004</c:v>
                </c:pt>
              </c:numCache>
            </c:numRef>
          </c:xVal>
          <c:yVal>
            <c:numRef>
              <c:f>BSFC!$S$4:$S$47</c:f>
              <c:numCache>
                <c:formatCode>General</c:formatCode>
                <c:ptCount val="44"/>
                <c:pt idx="0">
                  <c:v>17.721477509681272</c:v>
                </c:pt>
                <c:pt idx="1">
                  <c:v>18.167262436699435</c:v>
                </c:pt>
                <c:pt idx="2">
                  <c:v>18.674113792076241</c:v>
                </c:pt>
                <c:pt idx="3">
                  <c:v>19.150431933273762</c:v>
                </c:pt>
                <c:pt idx="4">
                  <c:v>19.522937146261544</c:v>
                </c:pt>
                <c:pt idx="5">
                  <c:v>19.46797736073874</c:v>
                </c:pt>
                <c:pt idx="6">
                  <c:v>19.761096216860306</c:v>
                </c:pt>
                <c:pt idx="7">
                  <c:v>19.864909145070008</c:v>
                </c:pt>
                <c:pt idx="8">
                  <c:v>19.840482573726518</c:v>
                </c:pt>
                <c:pt idx="9">
                  <c:v>19.706136431337498</c:v>
                </c:pt>
                <c:pt idx="10">
                  <c:v>19.626750074471243</c:v>
                </c:pt>
                <c:pt idx="11">
                  <c:v>19.443550789395292</c:v>
                </c:pt>
                <c:pt idx="12">
                  <c:v>19.040512362228188</c:v>
                </c:pt>
                <c:pt idx="13">
                  <c:v>18.38099493595471</c:v>
                </c:pt>
                <c:pt idx="14">
                  <c:v>17.880250223413743</c:v>
                </c:pt>
                <c:pt idx="15">
                  <c:v>17.110813226094731</c:v>
                </c:pt>
                <c:pt idx="16">
                  <c:v>16.286416443252911</c:v>
                </c:pt>
                <c:pt idx="17">
                  <c:v>15.468126303246924</c:v>
                </c:pt>
                <c:pt idx="18">
                  <c:v>14.594876377718213</c:v>
                </c:pt>
                <c:pt idx="19">
                  <c:v>13.666666666666652</c:v>
                </c:pt>
                <c:pt idx="20">
                  <c:v>12.714030384271686</c:v>
                </c:pt>
                <c:pt idx="21">
                  <c:v>12.182752457551395</c:v>
                </c:pt>
                <c:pt idx="22">
                  <c:v>11.388888888888896</c:v>
                </c:pt>
                <c:pt idx="23">
                  <c:v>10.595025320226398</c:v>
                </c:pt>
                <c:pt idx="24">
                  <c:v>10.063747393506109</c:v>
                </c:pt>
                <c:pt idx="25">
                  <c:v>9.5874292523086257</c:v>
                </c:pt>
                <c:pt idx="26">
                  <c:v>8.9523383973785915</c:v>
                </c:pt>
                <c:pt idx="27">
                  <c:v>8.5798331843908127</c:v>
                </c:pt>
                <c:pt idx="28">
                  <c:v>8.1340482573726476</c:v>
                </c:pt>
                <c:pt idx="29">
                  <c:v>8.0790884718498823</c:v>
                </c:pt>
                <c:pt idx="30">
                  <c:v>7.9203157581173729</c:v>
                </c:pt>
                <c:pt idx="31">
                  <c:v>7.8409294012511195</c:v>
                </c:pt>
                <c:pt idx="32">
                  <c:v>8.1035150431933278</c:v>
                </c:pt>
                <c:pt idx="33">
                  <c:v>8.1035150431933278</c:v>
                </c:pt>
                <c:pt idx="34">
                  <c:v>8.3416741137920898</c:v>
                </c:pt>
                <c:pt idx="35">
                  <c:v>8.3416741137920898</c:v>
                </c:pt>
                <c:pt idx="36">
                  <c:v>8.5554066130473654</c:v>
                </c:pt>
                <c:pt idx="37">
                  <c:v>8.6103663985701306</c:v>
                </c:pt>
                <c:pt idx="38">
                  <c:v>8.9767649687220814</c:v>
                </c:pt>
                <c:pt idx="39">
                  <c:v>10.039320822162662</c:v>
                </c:pt>
                <c:pt idx="40">
                  <c:v>11.175156389633582</c:v>
                </c:pt>
                <c:pt idx="41">
                  <c:v>12.317098599940415</c:v>
                </c:pt>
                <c:pt idx="42">
                  <c:v>13.666666666666652</c:v>
                </c:pt>
                <c:pt idx="43">
                  <c:v>14.912421805183188</c:v>
                </c:pt>
              </c:numCache>
            </c:numRef>
          </c:yVal>
          <c:smooth val="0"/>
          <c:extLst>
            <c:ext xmlns:c16="http://schemas.microsoft.com/office/drawing/2014/chart" uri="{C3380CC4-5D6E-409C-BE32-E72D297353CC}">
              <c16:uniqueId val="{0000000B-6B09-E547-A85E-2E07BCA0C5D2}"/>
            </c:ext>
          </c:extLst>
        </c:ser>
        <c:ser>
          <c:idx val="7"/>
          <c:order val="7"/>
          <c:tx>
            <c:v>550</c:v>
          </c:tx>
          <c:spPr>
            <a:ln w="25400" cap="rnd">
              <a:noFill/>
              <a:round/>
            </a:ln>
            <a:effectLst/>
          </c:spPr>
          <c:marker>
            <c:symbol val="circle"/>
            <c:size val="5"/>
            <c:spPr>
              <a:solidFill>
                <a:schemeClr val="accent2">
                  <a:lumMod val="60000"/>
                </a:schemeClr>
              </a:solidFill>
              <a:ln w="9525">
                <a:solidFill>
                  <a:schemeClr val="accent2">
                    <a:lumMod val="60000"/>
                  </a:schemeClr>
                </a:solidFill>
              </a:ln>
              <a:effectLst/>
            </c:spPr>
          </c:marker>
          <c:xVal>
            <c:numRef>
              <c:f>BSFC!$W$4:$W$41</c:f>
              <c:numCache>
                <c:formatCode>General</c:formatCode>
                <c:ptCount val="38"/>
                <c:pt idx="0">
                  <c:v>5628.1745003653796</c:v>
                </c:pt>
                <c:pt idx="1">
                  <c:v>5674.4720197240404</c:v>
                </c:pt>
                <c:pt idx="2">
                  <c:v>5788.4351442992102</c:v>
                </c:pt>
                <c:pt idx="3">
                  <c:v>5942.7602088280801</c:v>
                </c:pt>
                <c:pt idx="4">
                  <c:v>6055.5362175222599</c:v>
                </c:pt>
                <c:pt idx="5">
                  <c:v>6169.4993420974297</c:v>
                </c:pt>
                <c:pt idx="6">
                  <c:v>6277.5268872676397</c:v>
                </c:pt>
                <c:pt idx="7">
                  <c:v>6302.4563207684596</c:v>
                </c:pt>
                <c:pt idx="8">
                  <c:v>6271.59130786269</c:v>
                </c:pt>
                <c:pt idx="9">
                  <c:v>6240.7262949569104</c:v>
                </c:pt>
                <c:pt idx="10">
                  <c:v>6194.4287755982496</c:v>
                </c:pt>
                <c:pt idx="11">
                  <c:v>6143.3827927156199</c:v>
                </c:pt>
                <c:pt idx="12">
                  <c:v>6029.4196681404501</c:v>
                </c:pt>
                <c:pt idx="13">
                  <c:v>5916.6436594462702</c:v>
                </c:pt>
                <c:pt idx="14">
                  <c:v>5850.1651701107603</c:v>
                </c:pt>
                <c:pt idx="15">
                  <c:v>5777.7511013702897</c:v>
                </c:pt>
                <c:pt idx="16">
                  <c:v>5720.7695390827002</c:v>
                </c:pt>
                <c:pt idx="17">
                  <c:v>5757.5701313934296</c:v>
                </c:pt>
                <c:pt idx="18">
                  <c:v>5844.2295907057996</c:v>
                </c:pt>
                <c:pt idx="19">
                  <c:v>5942.7602088280801</c:v>
                </c:pt>
                <c:pt idx="20">
                  <c:v>6060.2846810462297</c:v>
                </c:pt>
                <c:pt idx="21">
                  <c:v>6143.3827927156199</c:v>
                </c:pt>
                <c:pt idx="22">
                  <c:v>6282.2753507916104</c:v>
                </c:pt>
                <c:pt idx="23">
                  <c:v>6425.9163723915599</c:v>
                </c:pt>
                <c:pt idx="24">
                  <c:v>6498.3304411320296</c:v>
                </c:pt>
                <c:pt idx="25">
                  <c:v>6595.6739433733301</c:v>
                </c:pt>
                <c:pt idx="26">
                  <c:v>6735.7536173302997</c:v>
                </c:pt>
                <c:pt idx="27">
                  <c:v>6879.39463893026</c:v>
                </c:pt>
                <c:pt idx="28">
                  <c:v>6982.6737205765003</c:v>
                </c:pt>
                <c:pt idx="29">
                  <c:v>7188.0447679880099</c:v>
                </c:pt>
                <c:pt idx="30">
                  <c:v>7286.5753861102903</c:v>
                </c:pt>
                <c:pt idx="31">
                  <c:v>7394.6029312805003</c:v>
                </c:pt>
                <c:pt idx="32">
                  <c:v>7502.6304764507204</c:v>
                </c:pt>
                <c:pt idx="33">
                  <c:v>7507.3789399746802</c:v>
                </c:pt>
                <c:pt idx="34">
                  <c:v>7542.9924164044196</c:v>
                </c:pt>
                <c:pt idx="35">
                  <c:v>7558.4249228573099</c:v>
                </c:pt>
                <c:pt idx="36">
                  <c:v>7589.2899357630804</c:v>
                </c:pt>
                <c:pt idx="37">
                  <c:v>7604.7224422159697</c:v>
                </c:pt>
              </c:numCache>
            </c:numRef>
          </c:xVal>
          <c:yVal>
            <c:numRef>
              <c:f>BSFC!$V$4:$V$41</c:f>
              <c:numCache>
                <c:formatCode>General</c:formatCode>
                <c:ptCount val="38"/>
                <c:pt idx="0">
                  <c:v>21.269436997319051</c:v>
                </c:pt>
                <c:pt idx="1">
                  <c:v>20.738159070598758</c:v>
                </c:pt>
                <c:pt idx="2">
                  <c:v>20.237414358057791</c:v>
                </c:pt>
                <c:pt idx="3">
                  <c:v>19.761096216860306</c:v>
                </c:pt>
                <c:pt idx="4">
                  <c:v>19.443550789395292</c:v>
                </c:pt>
                <c:pt idx="5">
                  <c:v>19.095472147750957</c:v>
                </c:pt>
                <c:pt idx="6">
                  <c:v>18.802353291629426</c:v>
                </c:pt>
                <c:pt idx="7">
                  <c:v>18.24664879356569</c:v>
                </c:pt>
                <c:pt idx="8">
                  <c:v>17.562704795948765</c:v>
                </c:pt>
                <c:pt idx="9">
                  <c:v>16.79326779862971</c:v>
                </c:pt>
                <c:pt idx="10">
                  <c:v>16.261989871909424</c:v>
                </c:pt>
                <c:pt idx="11">
                  <c:v>15.681858802502239</c:v>
                </c:pt>
                <c:pt idx="12">
                  <c:v>15.205540661304715</c:v>
                </c:pt>
                <c:pt idx="13">
                  <c:v>14.753649091450677</c:v>
                </c:pt>
                <c:pt idx="14">
                  <c:v>14.142984807864176</c:v>
                </c:pt>
                <c:pt idx="15">
                  <c:v>13.373547810545125</c:v>
                </c:pt>
                <c:pt idx="16">
                  <c:v>12.768990169794453</c:v>
                </c:pt>
                <c:pt idx="17">
                  <c:v>11.889633601429827</c:v>
                </c:pt>
                <c:pt idx="18">
                  <c:v>11.205689603812942</c:v>
                </c:pt>
                <c:pt idx="19">
                  <c:v>10.460679177837337</c:v>
                </c:pt>
                <c:pt idx="20">
                  <c:v>9.8255883229073451</c:v>
                </c:pt>
                <c:pt idx="21">
                  <c:v>9.3492701817098638</c:v>
                </c:pt>
                <c:pt idx="22">
                  <c:v>9.0317247542448467</c:v>
                </c:pt>
                <c:pt idx="23">
                  <c:v>8.9523383973785915</c:v>
                </c:pt>
                <c:pt idx="24">
                  <c:v>8.7386058981233194</c:v>
                </c:pt>
                <c:pt idx="25">
                  <c:v>8.8179922549895746</c:v>
                </c:pt>
                <c:pt idx="26">
                  <c:v>8.7386058981233194</c:v>
                </c:pt>
                <c:pt idx="27">
                  <c:v>8.7386058981233194</c:v>
                </c:pt>
                <c:pt idx="28">
                  <c:v>8.9523383973785915</c:v>
                </c:pt>
                <c:pt idx="29">
                  <c:v>8.9279118260351478</c:v>
                </c:pt>
                <c:pt idx="30">
                  <c:v>9.1111111111111018</c:v>
                </c:pt>
                <c:pt idx="31">
                  <c:v>9.3248436103663739</c:v>
                </c:pt>
                <c:pt idx="32">
                  <c:v>10.063747393506109</c:v>
                </c:pt>
                <c:pt idx="33">
                  <c:v>10.991957104557628</c:v>
                </c:pt>
                <c:pt idx="34">
                  <c:v>12.207179028894842</c:v>
                </c:pt>
                <c:pt idx="35">
                  <c:v>13.165921954125722</c:v>
                </c:pt>
                <c:pt idx="36">
                  <c:v>14.46053023532915</c:v>
                </c:pt>
                <c:pt idx="37">
                  <c:v>15.730711945189174</c:v>
                </c:pt>
              </c:numCache>
            </c:numRef>
          </c:yVal>
          <c:smooth val="0"/>
          <c:extLst>
            <c:ext xmlns:c16="http://schemas.microsoft.com/office/drawing/2014/chart" uri="{C3380CC4-5D6E-409C-BE32-E72D297353CC}">
              <c16:uniqueId val="{0000000C-6B09-E547-A85E-2E07BCA0C5D2}"/>
            </c:ext>
          </c:extLst>
        </c:ser>
        <c:ser>
          <c:idx val="8"/>
          <c:order val="8"/>
          <c:tx>
            <c:v>500</c:v>
          </c:tx>
          <c:spPr>
            <a:ln w="25400" cap="rnd">
              <a:noFill/>
              <a:round/>
            </a:ln>
            <a:effectLst/>
          </c:spPr>
          <c:marker>
            <c:symbol val="circle"/>
            <c:size val="5"/>
            <c:spPr>
              <a:solidFill>
                <a:schemeClr val="accent3">
                  <a:lumMod val="60000"/>
                </a:schemeClr>
              </a:solidFill>
              <a:ln w="9525">
                <a:solidFill>
                  <a:schemeClr val="accent3">
                    <a:lumMod val="60000"/>
                  </a:schemeClr>
                </a:solidFill>
              </a:ln>
              <a:effectLst/>
            </c:spPr>
          </c:marker>
          <c:xVal>
            <c:numRef>
              <c:f>BSFC!$Z$4:$Z$36</c:f>
              <c:numCache>
                <c:formatCode>General</c:formatCode>
                <c:ptCount val="33"/>
                <c:pt idx="0">
                  <c:v>6013.9871616875598</c:v>
                </c:pt>
                <c:pt idx="1">
                  <c:v>6050.7877539983001</c:v>
                </c:pt>
                <c:pt idx="2">
                  <c:v>6112.5177798098503</c:v>
                </c:pt>
                <c:pt idx="3">
                  <c:v>6209.8612820511398</c:v>
                </c:pt>
                <c:pt idx="4">
                  <c:v>6359.4378830560499</c:v>
                </c:pt>
                <c:pt idx="5">
                  <c:v>6509.0144840609601</c:v>
                </c:pt>
                <c:pt idx="6">
                  <c:v>6590.9254798493603</c:v>
                </c:pt>
                <c:pt idx="7">
                  <c:v>6899.5756089071101</c:v>
                </c:pt>
                <c:pt idx="8">
                  <c:v>6992.1706476244399</c:v>
                </c:pt>
                <c:pt idx="9">
                  <c:v>7007.6031540773201</c:v>
                </c:pt>
                <c:pt idx="10">
                  <c:v>6920.9436947649501</c:v>
                </c:pt>
                <c:pt idx="11">
                  <c:v>6837.84558309556</c:v>
                </c:pt>
                <c:pt idx="12">
                  <c:v>6714.3855314724597</c:v>
                </c:pt>
                <c:pt idx="13">
                  <c:v>6611.1064498262103</c:v>
                </c:pt>
                <c:pt idx="14">
                  <c:v>6456.7813852973404</c:v>
                </c:pt>
                <c:pt idx="15">
                  <c:v>6313.1403636973801</c:v>
                </c:pt>
                <c:pt idx="16">
                  <c:v>6215.7968614560896</c:v>
                </c:pt>
                <c:pt idx="17">
                  <c:v>6112.5177798098503</c:v>
                </c:pt>
                <c:pt idx="18">
                  <c:v>6169.4993420974297</c:v>
                </c:pt>
                <c:pt idx="19">
                  <c:v>6215.7968614560896</c:v>
                </c:pt>
                <c:pt idx="20">
                  <c:v>6359.4378830560499</c:v>
                </c:pt>
                <c:pt idx="21">
                  <c:v>6513.7629475849199</c:v>
                </c:pt>
                <c:pt idx="22">
                  <c:v>6601.6095227782798</c:v>
                </c:pt>
                <c:pt idx="23">
                  <c:v>6797.4836431418498</c:v>
                </c:pt>
                <c:pt idx="24">
                  <c:v>6915.0081153600004</c:v>
                </c:pt>
                <c:pt idx="25">
                  <c:v>6998.1062270293896</c:v>
                </c:pt>
                <c:pt idx="26">
                  <c:v>7090.7012657467203</c:v>
                </c:pt>
                <c:pt idx="27">
                  <c:v>7126.3147421764597</c:v>
                </c:pt>
                <c:pt idx="28">
                  <c:v>7161.9282186062001</c:v>
                </c:pt>
                <c:pt idx="29">
                  <c:v>7198.7288109169303</c:v>
                </c:pt>
                <c:pt idx="30">
                  <c:v>7245.0263302755902</c:v>
                </c:pt>
                <c:pt idx="31">
                  <c:v>7296.0723131582199</c:v>
                </c:pt>
                <c:pt idx="32">
                  <c:v>7399.3513948044701</c:v>
                </c:pt>
              </c:numCache>
            </c:numRef>
          </c:xVal>
          <c:yVal>
            <c:numRef>
              <c:f>BSFC!$Y$4:$Y$36</c:f>
              <c:numCache>
                <c:formatCode>General</c:formatCode>
                <c:ptCount val="33"/>
                <c:pt idx="0">
                  <c:v>21.428209711051515</c:v>
                </c:pt>
                <c:pt idx="1">
                  <c:v>20.793118856121527</c:v>
                </c:pt>
                <c:pt idx="2">
                  <c:v>20.103068215668728</c:v>
                </c:pt>
                <c:pt idx="3">
                  <c:v>19.681709859994051</c:v>
                </c:pt>
                <c:pt idx="4">
                  <c:v>19.571790288948481</c:v>
                </c:pt>
                <c:pt idx="5">
                  <c:v>19.388591003872484</c:v>
                </c:pt>
                <c:pt idx="6">
                  <c:v>19.278671432826911</c:v>
                </c:pt>
                <c:pt idx="7">
                  <c:v>19.229818290140017</c:v>
                </c:pt>
                <c:pt idx="8">
                  <c:v>18.961126005361933</c:v>
                </c:pt>
                <c:pt idx="9">
                  <c:v>17.880250223413743</c:v>
                </c:pt>
                <c:pt idx="10">
                  <c:v>17.348972296693489</c:v>
                </c:pt>
                <c:pt idx="11">
                  <c:v>16.872654155495965</c:v>
                </c:pt>
                <c:pt idx="12">
                  <c:v>16.365802800119166</c:v>
                </c:pt>
                <c:pt idx="13">
                  <c:v>15.547512660113178</c:v>
                </c:pt>
                <c:pt idx="14">
                  <c:v>14.912421805183188</c:v>
                </c:pt>
                <c:pt idx="15">
                  <c:v>14.301757521596643</c:v>
                </c:pt>
                <c:pt idx="16">
                  <c:v>13.904825737265414</c:v>
                </c:pt>
                <c:pt idx="17">
                  <c:v>13.056002383080108</c:v>
                </c:pt>
                <c:pt idx="18">
                  <c:v>12.048406315162335</c:v>
                </c:pt>
                <c:pt idx="19">
                  <c:v>11.413315460232344</c:v>
                </c:pt>
                <c:pt idx="20">
                  <c:v>10.912570747691372</c:v>
                </c:pt>
                <c:pt idx="21">
                  <c:v>10.57059874888291</c:v>
                </c:pt>
                <c:pt idx="22">
                  <c:v>10.436252606493889</c:v>
                </c:pt>
                <c:pt idx="23">
                  <c:v>10.356866249627636</c:v>
                </c:pt>
                <c:pt idx="24">
                  <c:v>10.595025320226398</c:v>
                </c:pt>
                <c:pt idx="25">
                  <c:v>10.808757819481672</c:v>
                </c:pt>
                <c:pt idx="26">
                  <c:v>11.285075960679155</c:v>
                </c:pt>
                <c:pt idx="27">
                  <c:v>12.023979743818888</c:v>
                </c:pt>
                <c:pt idx="28">
                  <c:v>13.03157581173666</c:v>
                </c:pt>
                <c:pt idx="29">
                  <c:v>14.063598450997921</c:v>
                </c:pt>
                <c:pt idx="30">
                  <c:v>15.016234733392887</c:v>
                </c:pt>
                <c:pt idx="31">
                  <c:v>15.920017873100958</c:v>
                </c:pt>
                <c:pt idx="32">
                  <c:v>17.031426869228476</c:v>
                </c:pt>
              </c:numCache>
            </c:numRef>
          </c:yVal>
          <c:smooth val="0"/>
          <c:extLst>
            <c:ext xmlns:c16="http://schemas.microsoft.com/office/drawing/2014/chart" uri="{C3380CC4-5D6E-409C-BE32-E72D297353CC}">
              <c16:uniqueId val="{0000000D-6B09-E547-A85E-2E07BCA0C5D2}"/>
            </c:ext>
          </c:extLst>
        </c:ser>
        <c:ser>
          <c:idx val="9"/>
          <c:order val="9"/>
          <c:tx>
            <c:v>475</c:v>
          </c:tx>
          <c:spPr>
            <a:ln w="25400" cap="rnd">
              <a:noFill/>
              <a:round/>
            </a:ln>
            <a:effectLst/>
          </c:spPr>
          <c:marker>
            <c:symbol val="circle"/>
            <c:size val="5"/>
            <c:spPr>
              <a:solidFill>
                <a:schemeClr val="accent4">
                  <a:lumMod val="60000"/>
                </a:schemeClr>
              </a:solidFill>
              <a:ln w="9525">
                <a:solidFill>
                  <a:schemeClr val="accent4">
                    <a:lumMod val="60000"/>
                  </a:schemeClr>
                </a:solidFill>
              </a:ln>
              <a:effectLst/>
            </c:spPr>
          </c:marker>
          <c:xVal>
            <c:numRef>
              <c:f>BSFC!$AC$4:$AC$19</c:f>
              <c:numCache>
                <c:formatCode>General</c:formatCode>
                <c:ptCount val="16"/>
                <c:pt idx="0">
                  <c:v>6225.2937885040201</c:v>
                </c:pt>
                <c:pt idx="1">
                  <c:v>6282.2753507916104</c:v>
                </c:pt>
                <c:pt idx="2">
                  <c:v>6400.98693889074</c:v>
                </c:pt>
                <c:pt idx="3">
                  <c:v>6549.3764240146602</c:v>
                </c:pt>
                <c:pt idx="4">
                  <c:v>6714.3855314724597</c:v>
                </c:pt>
                <c:pt idx="5">
                  <c:v>6817.6646131187099</c:v>
                </c:pt>
                <c:pt idx="6">
                  <c:v>6905.5111883120699</c:v>
                </c:pt>
                <c:pt idx="7">
                  <c:v>6976.7381411715496</c:v>
                </c:pt>
                <c:pt idx="8">
                  <c:v>7002.8546905533603</c:v>
                </c:pt>
                <c:pt idx="9">
                  <c:v>6910.2596518360297</c:v>
                </c:pt>
                <c:pt idx="10">
                  <c:v>6782.0511366889696</c:v>
                </c:pt>
                <c:pt idx="11">
                  <c:v>6698.9530250195703</c:v>
                </c:pt>
                <c:pt idx="12">
                  <c:v>6626.5389562790997</c:v>
                </c:pt>
                <c:pt idx="13">
                  <c:v>6482.8979346791502</c:v>
                </c:pt>
                <c:pt idx="14">
                  <c:v>6390.3028959618196</c:v>
                </c:pt>
                <c:pt idx="15">
                  <c:v>6282.2753507916104</c:v>
                </c:pt>
              </c:numCache>
            </c:numRef>
          </c:xVal>
          <c:yVal>
            <c:numRef>
              <c:f>BSFC!$AB$4:$AB$19</c:f>
              <c:numCache>
                <c:formatCode>General</c:formatCode>
                <c:ptCount val="16"/>
                <c:pt idx="0">
                  <c:v>12.848376526660704</c:v>
                </c:pt>
                <c:pt idx="1">
                  <c:v>13.404081024724443</c:v>
                </c:pt>
                <c:pt idx="2">
                  <c:v>13.770479594876393</c:v>
                </c:pt>
                <c:pt idx="3">
                  <c:v>13.666666666666652</c:v>
                </c:pt>
                <c:pt idx="4">
                  <c:v>13.69109323801014</c:v>
                </c:pt>
                <c:pt idx="5">
                  <c:v>13.373547810545125</c:v>
                </c:pt>
                <c:pt idx="6">
                  <c:v>13.086535597259468</c:v>
                </c:pt>
                <c:pt idx="7">
                  <c:v>12.341525171283863</c:v>
                </c:pt>
                <c:pt idx="8">
                  <c:v>11.920166815609186</c:v>
                </c:pt>
                <c:pt idx="9">
                  <c:v>11.468275245755152</c:v>
                </c:pt>
                <c:pt idx="10">
                  <c:v>11.205689603812942</c:v>
                </c:pt>
                <c:pt idx="11">
                  <c:v>11.205689603812942</c:v>
                </c:pt>
                <c:pt idx="12">
                  <c:v>11.443848674411663</c:v>
                </c:pt>
                <c:pt idx="13">
                  <c:v>11.492701817098599</c:v>
                </c:pt>
                <c:pt idx="14">
                  <c:v>11.761394101876679</c:v>
                </c:pt>
                <c:pt idx="15">
                  <c:v>12.207179028894842</c:v>
                </c:pt>
              </c:numCache>
            </c:numRef>
          </c:yVal>
          <c:smooth val="0"/>
          <c:extLst>
            <c:ext xmlns:c16="http://schemas.microsoft.com/office/drawing/2014/chart" uri="{C3380CC4-5D6E-409C-BE32-E72D297353CC}">
              <c16:uniqueId val="{0000000E-6B09-E547-A85E-2E07BCA0C5D2}"/>
            </c:ext>
          </c:extLst>
        </c:ser>
        <c:dLbls>
          <c:showLegendKey val="0"/>
          <c:showVal val="0"/>
          <c:showCatName val="0"/>
          <c:showSerName val="0"/>
          <c:showPercent val="0"/>
          <c:showBubbleSize val="0"/>
        </c:dLbls>
        <c:axId val="2084845439"/>
        <c:axId val="2068184847"/>
      </c:scatterChart>
      <c:valAx>
        <c:axId val="20848454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Engine Speed (RPM)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8184847"/>
        <c:crosses val="autoZero"/>
        <c:crossBetween val="midCat"/>
      </c:valAx>
      <c:valAx>
        <c:axId val="20681848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Torque(Nm)</a:t>
                </a:r>
              </a:p>
              <a:p>
                <a:pPr>
                  <a:defRPr/>
                </a:pP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484543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tx>
            <c:v>Velocity Time</c:v>
          </c:tx>
          <c:spPr>
            <a:ln w="19050" cap="rnd">
              <a:solidFill>
                <a:schemeClr val="accent2"/>
              </a:solidFill>
              <a:round/>
            </a:ln>
            <a:effectLst/>
          </c:spPr>
          <c:marker>
            <c:symbol val="none"/>
          </c:marker>
          <c:xVal>
            <c:numRef>
              <c:f>Data!$AH$2:$AH$912</c:f>
              <c:numCache>
                <c:formatCode>General</c:formatCode>
                <c:ptCount val="911"/>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5.2555152727264334</c:v>
                </c:pt>
                <c:pt idx="38">
                  <c:v>5.4524366435989888</c:v>
                </c:pt>
                <c:pt idx="39">
                  <c:v>5.6698718929611793</c:v>
                </c:pt>
                <c:pt idx="40">
                  <c:v>5.9157003663222598</c:v>
                </c:pt>
                <c:pt idx="41">
                  <c:v>6.203574541651764</c:v>
                </c:pt>
                <c:pt idx="42">
                  <c:v>6.6932526815888655</c:v>
                </c:pt>
                <c:pt idx="43">
                  <c:v>7.2085862720653608</c:v>
                </c:pt>
                <c:pt idx="44">
                  <c:v>7.7263715039514684</c:v>
                </c:pt>
                <c:pt idx="45">
                  <c:v>8.2472690784333622</c:v>
                </c:pt>
                <c:pt idx="46">
                  <c:v>8.7710073045670605</c:v>
                </c:pt>
                <c:pt idx="47">
                  <c:v>9.297657366745181</c:v>
                </c:pt>
                <c:pt idx="48">
                  <c:v>9.8265026239034938</c:v>
                </c:pt>
                <c:pt idx="49">
                  <c:v>10.358051382579831</c:v>
                </c:pt>
                <c:pt idx="50">
                  <c:v>10.890900157130085</c:v>
                </c:pt>
                <c:pt idx="51">
                  <c:v>11.355067327053314</c:v>
                </c:pt>
                <c:pt idx="52">
                  <c:v>11.771062917611582</c:v>
                </c:pt>
                <c:pt idx="53">
                  <c:v>12.150361996688224</c:v>
                </c:pt>
                <c:pt idx="54">
                  <c:v>12.501315831093812</c:v>
                </c:pt>
                <c:pt idx="55">
                  <c:v>12.829988257625953</c:v>
                </c:pt>
                <c:pt idx="56">
                  <c:v>13.140659342402618</c:v>
                </c:pt>
                <c:pt idx="57">
                  <c:v>13.436102461777297</c:v>
                </c:pt>
                <c:pt idx="58">
                  <c:v>13.718386489212309</c:v>
                </c:pt>
                <c:pt idx="59">
                  <c:v>13.989173340123255</c:v>
                </c:pt>
                <c:pt idx="60">
                  <c:v>14.249859956247716</c:v>
                </c:pt>
                <c:pt idx="61">
                  <c:v>14.501687131256073</c:v>
                </c:pt>
                <c:pt idx="62">
                  <c:v>14.74556150358489</c:v>
                </c:pt>
                <c:pt idx="63">
                  <c:v>14.982342175794422</c:v>
                </c:pt>
                <c:pt idx="64">
                  <c:v>15.21276411046073</c:v>
                </c:pt>
                <c:pt idx="65">
                  <c:v>15.437391058940023</c:v>
                </c:pt>
                <c:pt idx="66">
                  <c:v>15.65674301969395</c:v>
                </c:pt>
                <c:pt idx="67">
                  <c:v>15.871143272458182</c:v>
                </c:pt>
                <c:pt idx="68">
                  <c:v>16.081098050180746</c:v>
                </c:pt>
                <c:pt idx="69">
                  <c:v>16.313141515280506</c:v>
                </c:pt>
                <c:pt idx="70">
                  <c:v>16.575881108264305</c:v>
                </c:pt>
                <c:pt idx="71">
                  <c:v>16.885309274414016</c:v>
                </c:pt>
                <c:pt idx="72">
                  <c:v>17.390716406576789</c:v>
                </c:pt>
                <c:pt idx="73">
                  <c:v>17.952607198742456</c:v>
                </c:pt>
                <c:pt idx="74">
                  <c:v>18.439979605338024</c:v>
                </c:pt>
                <c:pt idx="75">
                  <c:v>18.876759367508736</c:v>
                </c:pt>
                <c:pt idx="76">
                  <c:v>19.27640184127868</c:v>
                </c:pt>
                <c:pt idx="77">
                  <c:v>19.64732243094009</c:v>
                </c:pt>
                <c:pt idx="78">
                  <c:v>19.995076500866311</c:v>
                </c:pt>
                <c:pt idx="79">
                  <c:v>20.323730548357045</c:v>
                </c:pt>
                <c:pt idx="80">
                  <c:v>20.636365697314822</c:v>
                </c:pt>
                <c:pt idx="81">
                  <c:v>20.935080789279034</c:v>
                </c:pt>
                <c:pt idx="82">
                  <c:v>21.221737974624485</c:v>
                </c:pt>
                <c:pt idx="83">
                  <c:v>21.497754512792579</c:v>
                </c:pt>
                <c:pt idx="84">
                  <c:v>21.764330810426298</c:v>
                </c:pt>
                <c:pt idx="85">
                  <c:v>22.022496263408886</c:v>
                </c:pt>
                <c:pt idx="86">
                  <c:v>22.273089192762136</c:v>
                </c:pt>
                <c:pt idx="87">
                  <c:v>22.516889329294582</c:v>
                </c:pt>
                <c:pt idx="88">
                  <c:v>22.754316202787425</c:v>
                </c:pt>
                <c:pt idx="89">
                  <c:v>22.985329477925639</c:v>
                </c:pt>
                <c:pt idx="90">
                  <c:v>23.2109875158453</c:v>
                </c:pt>
                <c:pt idx="91">
                  <c:v>23.431760207258062</c:v>
                </c:pt>
                <c:pt idx="92">
                  <c:v>23.648019056427138</c:v>
                </c:pt>
                <c:pt idx="93">
                  <c:v>23.865032870364512</c:v>
                </c:pt>
                <c:pt idx="94">
                  <c:v>24.080430744332283</c:v>
                </c:pt>
                <c:pt idx="95">
                  <c:v>24.294289198402961</c:v>
                </c:pt>
                <c:pt idx="96">
                  <c:v>24.50667535426026</c:v>
                </c:pt>
                <c:pt idx="97">
                  <c:v>24.717593495900424</c:v>
                </c:pt>
                <c:pt idx="98">
                  <c:v>24.9269760373077</c:v>
                </c:pt>
                <c:pt idx="99">
                  <c:v>25.134628941610149</c:v>
                </c:pt>
                <c:pt idx="100">
                  <c:v>25.340550074581945</c:v>
                </c:pt>
                <c:pt idx="101">
                  <c:v>25.544892134674129</c:v>
                </c:pt>
                <c:pt idx="102">
                  <c:v>25.747748176352339</c:v>
                </c:pt>
                <c:pt idx="103">
                  <c:v>25.949167394468596</c:v>
                </c:pt>
                <c:pt idx="104">
                  <c:v>26.149225008676023</c:v>
                </c:pt>
                <c:pt idx="105">
                  <c:v>26.348012533621169</c:v>
                </c:pt>
                <c:pt idx="106">
                  <c:v>26.545598497633751</c:v>
                </c:pt>
                <c:pt idx="107">
                  <c:v>26.742082261029395</c:v>
                </c:pt>
                <c:pt idx="108">
                  <c:v>26.937540805252674</c:v>
                </c:pt>
                <c:pt idx="109">
                  <c:v>27.132012705629219</c:v>
                </c:pt>
                <c:pt idx="110">
                  <c:v>27.325576731231045</c:v>
                </c:pt>
                <c:pt idx="111">
                  <c:v>27.518251288009573</c:v>
                </c:pt>
                <c:pt idx="112">
                  <c:v>27.710119740993889</c:v>
                </c:pt>
                <c:pt idx="113">
                  <c:v>27.901327051851059</c:v>
                </c:pt>
                <c:pt idx="114">
                  <c:v>28.106696119269035</c:v>
                </c:pt>
                <c:pt idx="115">
                  <c:v>28.329616615601481</c:v>
                </c:pt>
                <c:pt idx="116">
                  <c:v>28.575089814233088</c:v>
                </c:pt>
                <c:pt idx="117">
                  <c:v>28.81495295658388</c:v>
                </c:pt>
                <c:pt idx="118">
                  <c:v>29.049484860770871</c:v>
                </c:pt>
                <c:pt idx="119">
                  <c:v>29.284769462431235</c:v>
                </c:pt>
                <c:pt idx="120">
                  <c:v>29.518111525087317</c:v>
                </c:pt>
                <c:pt idx="121">
                  <c:v>29.749424415145654</c:v>
                </c:pt>
                <c:pt idx="122">
                  <c:v>29.978649076622322</c:v>
                </c:pt>
                <c:pt idx="123">
                  <c:v>30.205463654403662</c:v>
                </c:pt>
                <c:pt idx="124">
                  <c:v>30.430040933953492</c:v>
                </c:pt>
                <c:pt idx="125">
                  <c:v>30.652546501935134</c:v>
                </c:pt>
                <c:pt idx="126">
                  <c:v>30.872920829933346</c:v>
                </c:pt>
                <c:pt idx="127">
                  <c:v>31.091214946203035</c:v>
                </c:pt>
                <c:pt idx="128">
                  <c:v>31.307640202526109</c:v>
                </c:pt>
                <c:pt idx="129">
                  <c:v>31.52231888249079</c:v>
                </c:pt>
                <c:pt idx="130">
                  <c:v>31.735340378270468</c:v>
                </c:pt>
                <c:pt idx="131">
                  <c:v>31.946789099204821</c:v>
                </c:pt>
                <c:pt idx="132">
                  <c:v>32.156814431841902</c:v>
                </c:pt>
                <c:pt idx="133">
                  <c:v>32.365495731913285</c:v>
                </c:pt>
                <c:pt idx="134">
                  <c:v>32.572938332637172</c:v>
                </c:pt>
                <c:pt idx="135">
                  <c:v>32.779225690782184</c:v>
                </c:pt>
                <c:pt idx="136">
                  <c:v>32.984406853068855</c:v>
                </c:pt>
                <c:pt idx="137">
                  <c:v>33.188481512975969</c:v>
                </c:pt>
                <c:pt idx="138">
                  <c:v>33.408392062320949</c:v>
                </c:pt>
                <c:pt idx="139">
                  <c:v>33.648375391537868</c:v>
                </c:pt>
                <c:pt idx="140">
                  <c:v>33.914970710913408</c:v>
                </c:pt>
                <c:pt idx="141">
                  <c:v>34.218953776384112</c:v>
                </c:pt>
                <c:pt idx="142">
                  <c:v>34.58099821729482</c:v>
                </c:pt>
                <c:pt idx="143">
                  <c:v>34.925036559868687</c:v>
                </c:pt>
                <c:pt idx="144">
                  <c:v>35.253486860639839</c:v>
                </c:pt>
                <c:pt idx="145">
                  <c:v>35.568260176824182</c:v>
                </c:pt>
                <c:pt idx="146">
                  <c:v>35.870821737896954</c:v>
                </c:pt>
                <c:pt idx="147">
                  <c:v>36.162444570285075</c:v>
                </c:pt>
                <c:pt idx="148">
                  <c:v>36.444273113608865</c:v>
                </c:pt>
                <c:pt idx="149">
                  <c:v>36.717249378534405</c:v>
                </c:pt>
                <c:pt idx="150">
                  <c:v>36.982233162728406</c:v>
                </c:pt>
                <c:pt idx="151">
                  <c:v>37.239945802258895</c:v>
                </c:pt>
                <c:pt idx="152">
                  <c:v>37.490984167610506</c:v>
                </c:pt>
                <c:pt idx="153">
                  <c:v>37.742378377194896</c:v>
                </c:pt>
                <c:pt idx="154">
                  <c:v>37.990958858549696</c:v>
                </c:pt>
                <c:pt idx="155">
                  <c:v>38.236861211409817</c:v>
                </c:pt>
                <c:pt idx="156">
                  <c:v>38.48029215018525</c:v>
                </c:pt>
                <c:pt idx="157">
                  <c:v>38.72130194496804</c:v>
                </c:pt>
                <c:pt idx="158">
                  <c:v>38.959986832493371</c:v>
                </c:pt>
                <c:pt idx="159">
                  <c:v>39.221774664261453</c:v>
                </c:pt>
                <c:pt idx="160">
                  <c:v>39.489940680885709</c:v>
                </c:pt>
                <c:pt idx="161">
                  <c:v>39.76485686372137</c:v>
                </c:pt>
                <c:pt idx="162">
                  <c:v>40.043629326728627</c:v>
                </c:pt>
                <c:pt idx="163">
                  <c:v>40.326467154806942</c:v>
                </c:pt>
                <c:pt idx="164">
                  <c:v>40.610078590012868</c:v>
                </c:pt>
                <c:pt idx="165">
                  <c:v>40.894212030266409</c:v>
                </c:pt>
                <c:pt idx="166">
                  <c:v>41.178710712295384</c:v>
                </c:pt>
                <c:pt idx="167">
                  <c:v>41.463572113309795</c:v>
                </c:pt>
                <c:pt idx="168">
                  <c:v>41.748894641806807</c:v>
                </c:pt>
                <c:pt idx="169">
                  <c:v>42.034641266689363</c:v>
                </c:pt>
                <c:pt idx="170">
                  <c:v>42.320774956860504</c:v>
                </c:pt>
                <c:pt idx="171">
                  <c:v>42.607278458166562</c:v>
                </c:pt>
                <c:pt idx="172">
                  <c:v>42.894149747652826</c:v>
                </c:pt>
                <c:pt idx="173">
                  <c:v>43.181398463873379</c:v>
                </c:pt>
                <c:pt idx="174">
                  <c:v>43.469035768502224</c:v>
                </c:pt>
                <c:pt idx="175">
                  <c:v>43.757087530962558</c:v>
                </c:pt>
                <c:pt idx="176">
                  <c:v>44.045561866688395</c:v>
                </c:pt>
                <c:pt idx="177">
                  <c:v>44.334463345039488</c:v>
                </c:pt>
                <c:pt idx="178">
                  <c:v>44.623806673764769</c:v>
                </c:pt>
                <c:pt idx="179">
                  <c:v>44.913617222451954</c:v>
                </c:pt>
                <c:pt idx="180">
                  <c:v>45.203949776186811</c:v>
                </c:pt>
                <c:pt idx="181">
                  <c:v>45.494863689414146</c:v>
                </c:pt>
                <c:pt idx="182">
                  <c:v>45.786375193003032</c:v>
                </c:pt>
                <c:pt idx="183">
                  <c:v>46.073681516762527</c:v>
                </c:pt>
                <c:pt idx="184">
                  <c:v>46.352422549766104</c:v>
                </c:pt>
                <c:pt idx="185">
                  <c:v>46.623384852868391</c:v>
                </c:pt>
                <c:pt idx="186">
                  <c:v>46.887204202175859</c:v>
                </c:pt>
                <c:pt idx="187">
                  <c:v>47.151534654443182</c:v>
                </c:pt>
                <c:pt idx="188">
                  <c:v>47.412791752293586</c:v>
                </c:pt>
                <c:pt idx="189">
                  <c:v>47.670443345485161</c:v>
                </c:pt>
                <c:pt idx="190">
                  <c:v>47.922640273817535</c:v>
                </c:pt>
                <c:pt idx="191">
                  <c:v>48.168164998609988</c:v>
                </c:pt>
                <c:pt idx="192">
                  <c:v>48.406812641686109</c:v>
                </c:pt>
                <c:pt idx="193">
                  <c:v>48.638709078467656</c:v>
                </c:pt>
                <c:pt idx="194">
                  <c:v>48.864170074262326</c:v>
                </c:pt>
                <c:pt idx="195">
                  <c:v>49.079466193186008</c:v>
                </c:pt>
                <c:pt idx="196">
                  <c:v>49.288877308072955</c:v>
                </c:pt>
                <c:pt idx="197">
                  <c:v>49.492713722981222</c:v>
                </c:pt>
                <c:pt idx="198">
                  <c:v>49.691154753818132</c:v>
                </c:pt>
                <c:pt idx="199">
                  <c:v>49.884235272627876</c:v>
                </c:pt>
                <c:pt idx="200">
                  <c:v>50.071997312959049</c:v>
                </c:pt>
                <c:pt idx="201">
                  <c:v>50.254849351251032</c:v>
                </c:pt>
                <c:pt idx="202">
                  <c:v>50.432846482468001</c:v>
                </c:pt>
                <c:pt idx="203">
                  <c:v>50.605957810142037</c:v>
                </c:pt>
                <c:pt idx="204">
                  <c:v>50.783900085511952</c:v>
                </c:pt>
                <c:pt idx="205">
                  <c:v>50.961116474210392</c:v>
                </c:pt>
                <c:pt idx="206">
                  <c:v>51.139843053222172</c:v>
                </c:pt>
                <c:pt idx="207">
                  <c:v>51.324041437954939</c:v>
                </c:pt>
                <c:pt idx="208">
                  <c:v>51.514056210424428</c:v>
                </c:pt>
                <c:pt idx="209">
                  <c:v>51.710356691292958</c:v>
                </c:pt>
                <c:pt idx="210">
                  <c:v>51.990356691292959</c:v>
                </c:pt>
                <c:pt idx="211">
                  <c:v>52.27035669129296</c:v>
                </c:pt>
                <c:pt idx="212">
                  <c:v>52.554490131546501</c:v>
                </c:pt>
                <c:pt idx="213">
                  <c:v>52.838988813575476</c:v>
                </c:pt>
                <c:pt idx="214">
                  <c:v>53.123850214589886</c:v>
                </c:pt>
                <c:pt idx="215">
                  <c:v>53.409172743086899</c:v>
                </c:pt>
                <c:pt idx="216">
                  <c:v>53.694919367969455</c:v>
                </c:pt>
                <c:pt idx="217">
                  <c:v>53.981053058140596</c:v>
                </c:pt>
                <c:pt idx="218">
                  <c:v>54.267556559446653</c:v>
                </c:pt>
                <c:pt idx="219">
                  <c:v>54.554427848932917</c:v>
                </c:pt>
                <c:pt idx="220">
                  <c:v>54.834427848932918</c:v>
                </c:pt>
                <c:pt idx="221">
                  <c:v>55.118561289186459</c:v>
                </c:pt>
                <c:pt idx="222">
                  <c:v>55.403059971215434</c:v>
                </c:pt>
                <c:pt idx="223">
                  <c:v>55.687921372229845</c:v>
                </c:pt>
                <c:pt idx="224">
                  <c:v>55.973243900726857</c:v>
                </c:pt>
                <c:pt idx="225">
                  <c:v>56.258990525609413</c:v>
                </c:pt>
                <c:pt idx="226">
                  <c:v>56.545124215780554</c:v>
                </c:pt>
                <c:pt idx="227">
                  <c:v>56.831627717086612</c:v>
                </c:pt>
                <c:pt idx="228">
                  <c:v>57.118499006572875</c:v>
                </c:pt>
                <c:pt idx="229">
                  <c:v>57.405747722793429</c:v>
                </c:pt>
                <c:pt idx="230">
                  <c:v>57.693385027422273</c:v>
                </c:pt>
                <c:pt idx="231">
                  <c:v>57.981436789882608</c:v>
                </c:pt>
                <c:pt idx="232">
                  <c:v>58.269911125608445</c:v>
                </c:pt>
                <c:pt idx="233">
                  <c:v>58.558812603959538</c:v>
                </c:pt>
                <c:pt idx="234">
                  <c:v>58.848155932684818</c:v>
                </c:pt>
                <c:pt idx="235">
                  <c:v>59.137966481372004</c:v>
                </c:pt>
                <c:pt idx="236">
                  <c:v>59.428299035106861</c:v>
                </c:pt>
                <c:pt idx="237">
                  <c:v>59.719212948334196</c:v>
                </c:pt>
                <c:pt idx="238">
                  <c:v>60.010724451923082</c:v>
                </c:pt>
                <c:pt idx="239">
                  <c:v>60.298030775682577</c:v>
                </c:pt>
                <c:pt idx="240">
                  <c:v>60.576771808686154</c:v>
                </c:pt>
                <c:pt idx="241">
                  <c:v>60.847734111788441</c:v>
                </c:pt>
                <c:pt idx="242">
                  <c:v>61.111553461095909</c:v>
                </c:pt>
                <c:pt idx="243">
                  <c:v>61.375883913363232</c:v>
                </c:pt>
                <c:pt idx="244">
                  <c:v>61.637141011213636</c:v>
                </c:pt>
                <c:pt idx="245">
                  <c:v>61.894792604405211</c:v>
                </c:pt>
                <c:pt idx="246">
                  <c:v>62.146989532737585</c:v>
                </c:pt>
                <c:pt idx="247">
                  <c:v>62.392514257530038</c:v>
                </c:pt>
                <c:pt idx="248">
                  <c:v>62.631161900606159</c:v>
                </c:pt>
                <c:pt idx="249">
                  <c:v>62.863058337387706</c:v>
                </c:pt>
                <c:pt idx="250">
                  <c:v>63.088519333182376</c:v>
                </c:pt>
                <c:pt idx="251">
                  <c:v>63.303815452106058</c:v>
                </c:pt>
                <c:pt idx="252">
                  <c:v>63.513226566993005</c:v>
                </c:pt>
                <c:pt idx="253">
                  <c:v>63.717062981901272</c:v>
                </c:pt>
                <c:pt idx="254">
                  <c:v>63.915504012738182</c:v>
                </c:pt>
                <c:pt idx="255">
                  <c:v>64.108584531547933</c:v>
                </c:pt>
                <c:pt idx="256">
                  <c:v>64.296346571879113</c:v>
                </c:pt>
                <c:pt idx="257">
                  <c:v>64.479198610171096</c:v>
                </c:pt>
                <c:pt idx="258">
                  <c:v>64.657195741388065</c:v>
                </c:pt>
                <c:pt idx="259">
                  <c:v>64.830307069062101</c:v>
                </c:pt>
                <c:pt idx="260">
                  <c:v>64.998360048545138</c:v>
                </c:pt>
                <c:pt idx="261">
                  <c:v>65.161430698817469</c:v>
                </c:pt>
                <c:pt idx="262">
                  <c:v>65.320058852168501</c:v>
                </c:pt>
                <c:pt idx="263">
                  <c:v>65.474389461113404</c:v>
                </c:pt>
                <c:pt idx="264">
                  <c:v>65.624295689799055</c:v>
                </c:pt>
                <c:pt idx="265">
                  <c:v>65.769698437528731</c:v>
                </c:pt>
                <c:pt idx="266">
                  <c:v>69.546388903024848</c:v>
                </c:pt>
                <c:pt idx="267">
                  <c:v>72.784530783092507</c:v>
                </c:pt>
                <c:pt idx="268">
                  <c:v>72.881431570798057</c:v>
                </c:pt>
                <c:pt idx="269">
                  <c:v>73.004702771439298</c:v>
                </c:pt>
                <c:pt idx="270">
                  <c:v>73.134574147511202</c:v>
                </c:pt>
                <c:pt idx="271">
                  <c:v>73.288844527917917</c:v>
                </c:pt>
                <c:pt idx="272">
                  <c:v>73.454944256399585</c:v>
                </c:pt>
                <c:pt idx="273">
                  <c:v>73.734944256399586</c:v>
                </c:pt>
                <c:pt idx="274">
                  <c:v>73.996978429077856</c:v>
                </c:pt>
                <c:pt idx="275">
                  <c:v>74.281477111106824</c:v>
                </c:pt>
                <c:pt idx="276">
                  <c:v>74.566338512121234</c:v>
                </c:pt>
                <c:pt idx="277">
                  <c:v>74.851661040618254</c:v>
                </c:pt>
                <c:pt idx="278">
                  <c:v>75.137407665500803</c:v>
                </c:pt>
                <c:pt idx="279">
                  <c:v>75.423541355671944</c:v>
                </c:pt>
                <c:pt idx="280">
                  <c:v>75.710044856978001</c:v>
                </c:pt>
                <c:pt idx="281">
                  <c:v>75.996916146464258</c:v>
                </c:pt>
                <c:pt idx="282">
                  <c:v>76.284164862684804</c:v>
                </c:pt>
                <c:pt idx="283">
                  <c:v>76.571802167313649</c:v>
                </c:pt>
                <c:pt idx="284">
                  <c:v>76.859853929773976</c:v>
                </c:pt>
                <c:pt idx="285">
                  <c:v>77.148328265499813</c:v>
                </c:pt>
                <c:pt idx="286">
                  <c:v>77.437229743850907</c:v>
                </c:pt>
                <c:pt idx="287">
                  <c:v>77.726573072576187</c:v>
                </c:pt>
                <c:pt idx="288">
                  <c:v>78.016383621263373</c:v>
                </c:pt>
                <c:pt idx="289">
                  <c:v>78.306716174998229</c:v>
                </c:pt>
                <c:pt idx="290">
                  <c:v>78.597630088225557</c:v>
                </c:pt>
                <c:pt idx="291">
                  <c:v>78.88914159181445</c:v>
                </c:pt>
                <c:pt idx="292">
                  <c:v>79.176447915573945</c:v>
                </c:pt>
                <c:pt idx="293">
                  <c:v>79.455188948577529</c:v>
                </c:pt>
                <c:pt idx="294">
                  <c:v>79.726151251679809</c:v>
                </c:pt>
                <c:pt idx="295">
                  <c:v>79.989970600987277</c:v>
                </c:pt>
                <c:pt idx="296">
                  <c:v>80.254301053254594</c:v>
                </c:pt>
                <c:pt idx="297">
                  <c:v>80.515558151104997</c:v>
                </c:pt>
                <c:pt idx="298">
                  <c:v>80.773209744296565</c:v>
                </c:pt>
                <c:pt idx="299">
                  <c:v>81.025406672628947</c:v>
                </c:pt>
                <c:pt idx="300">
                  <c:v>81.270931397421407</c:v>
                </c:pt>
                <c:pt idx="301">
                  <c:v>81.509579040497528</c:v>
                </c:pt>
                <c:pt idx="302">
                  <c:v>81.741475477279067</c:v>
                </c:pt>
                <c:pt idx="303">
                  <c:v>81.96693647307373</c:v>
                </c:pt>
                <c:pt idx="304">
                  <c:v>82.182232591997419</c:v>
                </c:pt>
                <c:pt idx="305">
                  <c:v>82.391643706884366</c:v>
                </c:pt>
                <c:pt idx="306">
                  <c:v>82.595480121792633</c:v>
                </c:pt>
                <c:pt idx="307">
                  <c:v>82.793921152629537</c:v>
                </c:pt>
                <c:pt idx="308">
                  <c:v>82.987001671439288</c:v>
                </c:pt>
                <c:pt idx="309">
                  <c:v>83.174763711770467</c:v>
                </c:pt>
                <c:pt idx="310">
                  <c:v>83.35761575006245</c:v>
                </c:pt>
                <c:pt idx="311">
                  <c:v>83.53561288127942</c:v>
                </c:pt>
                <c:pt idx="312">
                  <c:v>83.708724208953456</c:v>
                </c:pt>
                <c:pt idx="313">
                  <c:v>83.876777188436492</c:v>
                </c:pt>
                <c:pt idx="314">
                  <c:v>84.039847838708823</c:v>
                </c:pt>
                <c:pt idx="315">
                  <c:v>84.198475992059855</c:v>
                </c:pt>
                <c:pt idx="316">
                  <c:v>84.352806601004758</c:v>
                </c:pt>
                <c:pt idx="317">
                  <c:v>84.504145800316749</c:v>
                </c:pt>
                <c:pt idx="318">
                  <c:v>84.655832535533335</c:v>
                </c:pt>
                <c:pt idx="319">
                  <c:v>89.632177619481155</c:v>
                </c:pt>
                <c:pt idx="320">
                  <c:v>110.47239193857871</c:v>
                </c:pt>
                <c:pt idx="321">
                  <c:v>110.61353595113357</c:v>
                </c:pt>
                <c:pt idx="322">
                  <c:v>110.75625104802587</c:v>
                </c:pt>
                <c:pt idx="323">
                  <c:v>110.90056462179834</c:v>
                </c:pt>
                <c:pt idx="324">
                  <c:v>111.05056462179834</c:v>
                </c:pt>
                <c:pt idx="325">
                  <c:v>111.1978631011384</c:v>
                </c:pt>
                <c:pt idx="326">
                  <c:v>111.38239310113839</c:v>
                </c:pt>
                <c:pt idx="327">
                  <c:v>111.66652654139193</c:v>
                </c:pt>
                <c:pt idx="328">
                  <c:v>111.9510252234209</c:v>
                </c:pt>
                <c:pt idx="329">
                  <c:v>112.23588662443531</c:v>
                </c:pt>
                <c:pt idx="330">
                  <c:v>112.52120915293233</c:v>
                </c:pt>
                <c:pt idx="331">
                  <c:v>112.80695577781488</c:v>
                </c:pt>
                <c:pt idx="332">
                  <c:v>113.09308946798602</c:v>
                </c:pt>
                <c:pt idx="333">
                  <c:v>113.37959296929208</c:v>
                </c:pt>
                <c:pt idx="334">
                  <c:v>113.66646425877833</c:v>
                </c:pt>
                <c:pt idx="335">
                  <c:v>113.95371297499888</c:v>
                </c:pt>
                <c:pt idx="336">
                  <c:v>114.24135027962772</c:v>
                </c:pt>
                <c:pt idx="337">
                  <c:v>114.52940204208805</c:v>
                </c:pt>
                <c:pt idx="338">
                  <c:v>114.81787637781389</c:v>
                </c:pt>
                <c:pt idx="339">
                  <c:v>115.10677785616498</c:v>
                </c:pt>
                <c:pt idx="340">
                  <c:v>115.39612118489026</c:v>
                </c:pt>
                <c:pt idx="341">
                  <c:v>115.68593173357745</c:v>
                </c:pt>
                <c:pt idx="342">
                  <c:v>115.9762642873123</c:v>
                </c:pt>
                <c:pt idx="343">
                  <c:v>116.26717820053963</c:v>
                </c:pt>
                <c:pt idx="344">
                  <c:v>116.55868970412853</c:v>
                </c:pt>
                <c:pt idx="345">
                  <c:v>116.84599602788802</c:v>
                </c:pt>
                <c:pt idx="346">
                  <c:v>117.1247370608916</c:v>
                </c:pt>
                <c:pt idx="347">
                  <c:v>117.39569936399388</c:v>
                </c:pt>
                <c:pt idx="348">
                  <c:v>117.65951871330135</c:v>
                </c:pt>
                <c:pt idx="349">
                  <c:v>117.92384916556867</c:v>
                </c:pt>
                <c:pt idx="350">
                  <c:v>118.18510626341907</c:v>
                </c:pt>
                <c:pt idx="351">
                  <c:v>118.44275785661064</c:v>
                </c:pt>
                <c:pt idx="352">
                  <c:v>118.69495478494302</c:v>
                </c:pt>
                <c:pt idx="353">
                  <c:v>118.94047950973548</c:v>
                </c:pt>
                <c:pt idx="354">
                  <c:v>119.1791271528116</c:v>
                </c:pt>
                <c:pt idx="355">
                  <c:v>119.41102358959314</c:v>
                </c:pt>
                <c:pt idx="356">
                  <c:v>119.63648458538781</c:v>
                </c:pt>
                <c:pt idx="357">
                  <c:v>119.85178070431149</c:v>
                </c:pt>
                <c:pt idx="358">
                  <c:v>120.06119181919844</c:v>
                </c:pt>
                <c:pt idx="359">
                  <c:v>120.26502823410671</c:v>
                </c:pt>
                <c:pt idx="360">
                  <c:v>120.46346926494361</c:v>
                </c:pt>
                <c:pt idx="361">
                  <c:v>120.65654978375336</c:v>
                </c:pt>
                <c:pt idx="362">
                  <c:v>120.84431182408454</c:v>
                </c:pt>
                <c:pt idx="363">
                  <c:v>121.02716386237653</c:v>
                </c:pt>
                <c:pt idx="364">
                  <c:v>121.20516099359349</c:v>
                </c:pt>
                <c:pt idx="365">
                  <c:v>121.37827232126753</c:v>
                </c:pt>
                <c:pt idx="366">
                  <c:v>121.54632530075057</c:v>
                </c:pt>
                <c:pt idx="367">
                  <c:v>121.7093959510229</c:v>
                </c:pt>
                <c:pt idx="368">
                  <c:v>121.86802410437393</c:v>
                </c:pt>
                <c:pt idx="369">
                  <c:v>122.02235471331883</c:v>
                </c:pt>
                <c:pt idx="370">
                  <c:v>122.17226094200448</c:v>
                </c:pt>
                <c:pt idx="371">
                  <c:v>122.31766368973416</c:v>
                </c:pt>
                <c:pt idx="372">
                  <c:v>121.88017991798355</c:v>
                </c:pt>
                <c:pt idx="373">
                  <c:v>122.03224776737423</c:v>
                </c:pt>
                <c:pt idx="374">
                  <c:v>122.18538858266099</c:v>
                </c:pt>
                <c:pt idx="375">
                  <c:v>122.34192030210112</c:v>
                </c:pt>
                <c:pt idx="376">
                  <c:v>122.50570242113908</c:v>
                </c:pt>
                <c:pt idx="377">
                  <c:v>122.67232803531887</c:v>
                </c:pt>
                <c:pt idx="378">
                  <c:v>122.84397397121103</c:v>
                </c:pt>
                <c:pt idx="379">
                  <c:v>123.02512187218032</c:v>
                </c:pt>
                <c:pt idx="380">
                  <c:v>123.2165743239746</c:v>
                </c:pt>
                <c:pt idx="381">
                  <c:v>123.41578202563397</c:v>
                </c:pt>
                <c:pt idx="382">
                  <c:v>123.61981100376462</c:v>
                </c:pt>
                <c:pt idx="383">
                  <c:v>123.77981100376462</c:v>
                </c:pt>
                <c:pt idx="384">
                  <c:v>124.01981100376462</c:v>
                </c:pt>
                <c:pt idx="385">
                  <c:v>124.30394444401816</c:v>
                </c:pt>
                <c:pt idx="386">
                  <c:v>124.58844312604712</c:v>
                </c:pt>
                <c:pt idx="387">
                  <c:v>124.87330452706153</c:v>
                </c:pt>
                <c:pt idx="388">
                  <c:v>125.15862705555855</c:v>
                </c:pt>
                <c:pt idx="389">
                  <c:v>125.4443736804411</c:v>
                </c:pt>
                <c:pt idx="390">
                  <c:v>125.73050737061224</c:v>
                </c:pt>
                <c:pt idx="391">
                  <c:v>126.0170108719183</c:v>
                </c:pt>
                <c:pt idx="392">
                  <c:v>126.30388216140456</c:v>
                </c:pt>
                <c:pt idx="393">
                  <c:v>126.5911308776251</c:v>
                </c:pt>
                <c:pt idx="394">
                  <c:v>126.87876818225395</c:v>
                </c:pt>
                <c:pt idx="395">
                  <c:v>127.16681994471428</c:v>
                </c:pt>
                <c:pt idx="396">
                  <c:v>127.45529428044011</c:v>
                </c:pt>
                <c:pt idx="397">
                  <c:v>127.74419575879121</c:v>
                </c:pt>
                <c:pt idx="398">
                  <c:v>128.03353908751649</c:v>
                </c:pt>
                <c:pt idx="399">
                  <c:v>128.32334963620369</c:v>
                </c:pt>
                <c:pt idx="400">
                  <c:v>128.61368218993854</c:v>
                </c:pt>
                <c:pt idx="401">
                  <c:v>128.90459610316589</c:v>
                </c:pt>
                <c:pt idx="402">
                  <c:v>129.19610760675477</c:v>
                </c:pt>
                <c:pt idx="403">
                  <c:v>129.48341393051427</c:v>
                </c:pt>
                <c:pt idx="404">
                  <c:v>129.76215496351784</c:v>
                </c:pt>
                <c:pt idx="405">
                  <c:v>130.03311726662014</c:v>
                </c:pt>
                <c:pt idx="406">
                  <c:v>130.29693661592759</c:v>
                </c:pt>
                <c:pt idx="407">
                  <c:v>130.56126706819492</c:v>
                </c:pt>
                <c:pt idx="408">
                  <c:v>130.82252416604533</c:v>
                </c:pt>
                <c:pt idx="409">
                  <c:v>131.08017575923691</c:v>
                </c:pt>
                <c:pt idx="410">
                  <c:v>131.33237268756929</c:v>
                </c:pt>
                <c:pt idx="411">
                  <c:v>131.57789741236175</c:v>
                </c:pt>
                <c:pt idx="412">
                  <c:v>131.81654505543787</c:v>
                </c:pt>
                <c:pt idx="413">
                  <c:v>132.04844149221941</c:v>
                </c:pt>
                <c:pt idx="414">
                  <c:v>132.27390248801407</c:v>
                </c:pt>
                <c:pt idx="415">
                  <c:v>132.48919860693775</c:v>
                </c:pt>
                <c:pt idx="416">
                  <c:v>132.69860972182468</c:v>
                </c:pt>
                <c:pt idx="417">
                  <c:v>132.90244613673295</c:v>
                </c:pt>
                <c:pt idx="418">
                  <c:v>133.10088716756985</c:v>
                </c:pt>
                <c:pt idx="419">
                  <c:v>133.2939676863796</c:v>
                </c:pt>
                <c:pt idx="420">
                  <c:v>133.48172972671077</c:v>
                </c:pt>
                <c:pt idx="421">
                  <c:v>133.66458176500277</c:v>
                </c:pt>
                <c:pt idx="422">
                  <c:v>133.84257889621975</c:v>
                </c:pt>
                <c:pt idx="423">
                  <c:v>134.01569022389378</c:v>
                </c:pt>
                <c:pt idx="424">
                  <c:v>134.18374320337682</c:v>
                </c:pt>
                <c:pt idx="425">
                  <c:v>134.34681385364914</c:v>
                </c:pt>
                <c:pt idx="426">
                  <c:v>134.50544200700017</c:v>
                </c:pt>
                <c:pt idx="427">
                  <c:v>134.65977261594509</c:v>
                </c:pt>
                <c:pt idx="428">
                  <c:v>134.81523924796559</c:v>
                </c:pt>
                <c:pt idx="429">
                  <c:v>134.96973499679731</c:v>
                </c:pt>
                <c:pt idx="430">
                  <c:v>143.90360562232001</c:v>
                </c:pt>
                <c:pt idx="431">
                  <c:v>144.06734959224778</c:v>
                </c:pt>
                <c:pt idx="432">
                  <c:v>144.23962577145826</c:v>
                </c:pt>
                <c:pt idx="433">
                  <c:v>144.42536928854011</c:v>
                </c:pt>
                <c:pt idx="434">
                  <c:v>144.6706692885401</c:v>
                </c:pt>
                <c:pt idx="435">
                  <c:v>144.85966928854009</c:v>
                </c:pt>
                <c:pt idx="436">
                  <c:v>145.14380272879362</c:v>
                </c:pt>
                <c:pt idx="437">
                  <c:v>145.4283014108226</c:v>
                </c:pt>
                <c:pt idx="438">
                  <c:v>145.71316281183701</c:v>
                </c:pt>
                <c:pt idx="439">
                  <c:v>145.99848534033401</c:v>
                </c:pt>
                <c:pt idx="440">
                  <c:v>146.28423196521658</c:v>
                </c:pt>
                <c:pt idx="441">
                  <c:v>146.57036565538772</c:v>
                </c:pt>
                <c:pt idx="442">
                  <c:v>146.85686915669379</c:v>
                </c:pt>
                <c:pt idx="443">
                  <c:v>147.14374044618006</c:v>
                </c:pt>
                <c:pt idx="444">
                  <c:v>147.43098916240061</c:v>
                </c:pt>
                <c:pt idx="445">
                  <c:v>147.71862646702945</c:v>
                </c:pt>
                <c:pt idx="446">
                  <c:v>148.00667822948978</c:v>
                </c:pt>
                <c:pt idx="447">
                  <c:v>148.2951525652156</c:v>
                </c:pt>
                <c:pt idx="448">
                  <c:v>148.58405404356671</c:v>
                </c:pt>
                <c:pt idx="449">
                  <c:v>148.873397372292</c:v>
                </c:pt>
                <c:pt idx="450">
                  <c:v>149.1632079209792</c:v>
                </c:pt>
                <c:pt idx="451">
                  <c:v>149.45354047471406</c:v>
                </c:pt>
                <c:pt idx="452">
                  <c:v>149.7444543879414</c:v>
                </c:pt>
                <c:pt idx="453">
                  <c:v>150.03596589153028</c:v>
                </c:pt>
                <c:pt idx="454">
                  <c:v>150.32327221528979</c:v>
                </c:pt>
                <c:pt idx="455">
                  <c:v>150.60201324829336</c:v>
                </c:pt>
                <c:pt idx="456">
                  <c:v>150.87297555139565</c:v>
                </c:pt>
                <c:pt idx="457">
                  <c:v>151.13679490070311</c:v>
                </c:pt>
                <c:pt idx="458">
                  <c:v>151.40112535297044</c:v>
                </c:pt>
                <c:pt idx="459">
                  <c:v>151.66238245082084</c:v>
                </c:pt>
                <c:pt idx="460">
                  <c:v>151.92003404401243</c:v>
                </c:pt>
                <c:pt idx="461">
                  <c:v>152.17223097234481</c:v>
                </c:pt>
                <c:pt idx="462">
                  <c:v>152.41775569713727</c:v>
                </c:pt>
                <c:pt idx="463">
                  <c:v>152.65640334021339</c:v>
                </c:pt>
                <c:pt idx="464">
                  <c:v>152.88829977699493</c:v>
                </c:pt>
                <c:pt idx="465">
                  <c:v>153.11376077278959</c:v>
                </c:pt>
                <c:pt idx="466">
                  <c:v>153.32905689171326</c:v>
                </c:pt>
                <c:pt idx="467">
                  <c:v>153.5384680066002</c:v>
                </c:pt>
                <c:pt idx="468">
                  <c:v>153.74230442150846</c:v>
                </c:pt>
                <c:pt idx="469">
                  <c:v>153.94074545234537</c:v>
                </c:pt>
                <c:pt idx="470">
                  <c:v>154.13382597115512</c:v>
                </c:pt>
                <c:pt idx="471">
                  <c:v>154.32158801148628</c:v>
                </c:pt>
                <c:pt idx="472">
                  <c:v>154.50444004977828</c:v>
                </c:pt>
                <c:pt idx="473">
                  <c:v>154.68243718099527</c:v>
                </c:pt>
                <c:pt idx="474">
                  <c:v>154.8555485086693</c:v>
                </c:pt>
                <c:pt idx="475">
                  <c:v>155.02360148815234</c:v>
                </c:pt>
                <c:pt idx="476">
                  <c:v>155.18667213842465</c:v>
                </c:pt>
                <c:pt idx="477">
                  <c:v>155.34530029177569</c:v>
                </c:pt>
                <c:pt idx="478">
                  <c:v>155.4996309007206</c:v>
                </c:pt>
                <c:pt idx="479">
                  <c:v>155.64953712940624</c:v>
                </c:pt>
                <c:pt idx="480">
                  <c:v>155.7949398771359</c:v>
                </c:pt>
                <c:pt idx="481">
                  <c:v>171.92592524853075</c:v>
                </c:pt>
                <c:pt idx="482">
                  <c:v>172.08570400010959</c:v>
                </c:pt>
                <c:pt idx="483">
                  <c:v>172.24853557684645</c:v>
                </c:pt>
                <c:pt idx="484">
                  <c:v>172.41617427931803</c:v>
                </c:pt>
                <c:pt idx="485">
                  <c:v>172.58895780836102</c:v>
                </c:pt>
                <c:pt idx="486">
                  <c:v>172.77538347633563</c:v>
                </c:pt>
                <c:pt idx="487">
                  <c:v>172.9669976707913</c:v>
                </c:pt>
                <c:pt idx="488">
                  <c:v>173.14699767079131</c:v>
                </c:pt>
                <c:pt idx="489">
                  <c:v>173.38699767079132</c:v>
                </c:pt>
                <c:pt idx="490">
                  <c:v>173.67113111104484</c:v>
                </c:pt>
                <c:pt idx="491">
                  <c:v>173.95562979307383</c:v>
                </c:pt>
                <c:pt idx="492">
                  <c:v>174.24049119408824</c:v>
                </c:pt>
                <c:pt idx="493">
                  <c:v>174.52581372258524</c:v>
                </c:pt>
                <c:pt idx="494">
                  <c:v>174.8115603474678</c:v>
                </c:pt>
                <c:pt idx="495">
                  <c:v>175.09769403763895</c:v>
                </c:pt>
                <c:pt idx="496">
                  <c:v>175.38419753894502</c:v>
                </c:pt>
                <c:pt idx="497">
                  <c:v>175.67106882843129</c:v>
                </c:pt>
                <c:pt idx="498">
                  <c:v>175.95831754465183</c:v>
                </c:pt>
                <c:pt idx="499">
                  <c:v>176.24595484928068</c:v>
                </c:pt>
                <c:pt idx="500">
                  <c:v>176.53400661174101</c:v>
                </c:pt>
                <c:pt idx="501">
                  <c:v>176.82248094746683</c:v>
                </c:pt>
                <c:pt idx="502">
                  <c:v>177.11138242581794</c:v>
                </c:pt>
                <c:pt idx="503">
                  <c:v>177.40072575454323</c:v>
                </c:pt>
                <c:pt idx="504">
                  <c:v>177.69053630323043</c:v>
                </c:pt>
                <c:pt idx="505">
                  <c:v>177.98086885696529</c:v>
                </c:pt>
                <c:pt idx="506">
                  <c:v>178.27178277019263</c:v>
                </c:pt>
                <c:pt idx="507">
                  <c:v>178.56329427378151</c:v>
                </c:pt>
                <c:pt idx="508">
                  <c:v>178.85060059754102</c:v>
                </c:pt>
                <c:pt idx="509">
                  <c:v>179.12934163054459</c:v>
                </c:pt>
                <c:pt idx="510">
                  <c:v>179.40030393364688</c:v>
                </c:pt>
                <c:pt idx="511">
                  <c:v>179.66412328295434</c:v>
                </c:pt>
                <c:pt idx="512">
                  <c:v>179.92845373522167</c:v>
                </c:pt>
                <c:pt idx="513">
                  <c:v>180.18971083307207</c:v>
                </c:pt>
                <c:pt idx="514">
                  <c:v>180.44736242626365</c:v>
                </c:pt>
                <c:pt idx="515">
                  <c:v>180.69955935459603</c:v>
                </c:pt>
                <c:pt idx="516">
                  <c:v>180.94508407938849</c:v>
                </c:pt>
                <c:pt idx="517">
                  <c:v>181.18373172246461</c:v>
                </c:pt>
                <c:pt idx="518">
                  <c:v>181.41562815924615</c:v>
                </c:pt>
                <c:pt idx="519">
                  <c:v>181.64108915504082</c:v>
                </c:pt>
                <c:pt idx="520">
                  <c:v>181.85638527396449</c:v>
                </c:pt>
                <c:pt idx="521">
                  <c:v>182.06579638885142</c:v>
                </c:pt>
                <c:pt idx="522">
                  <c:v>182.26963280375969</c:v>
                </c:pt>
                <c:pt idx="523">
                  <c:v>182.46807383459659</c:v>
                </c:pt>
                <c:pt idx="524">
                  <c:v>182.66115435340635</c:v>
                </c:pt>
                <c:pt idx="525">
                  <c:v>182.84891639373751</c:v>
                </c:pt>
                <c:pt idx="526">
                  <c:v>183.03176843202951</c:v>
                </c:pt>
                <c:pt idx="527">
                  <c:v>183.20976556324649</c:v>
                </c:pt>
                <c:pt idx="528">
                  <c:v>183.38287689092053</c:v>
                </c:pt>
                <c:pt idx="529">
                  <c:v>183.55092987040356</c:v>
                </c:pt>
                <c:pt idx="530">
                  <c:v>183.71400052067588</c:v>
                </c:pt>
                <c:pt idx="531">
                  <c:v>183.87262867402691</c:v>
                </c:pt>
                <c:pt idx="532">
                  <c:v>184.03125682737794</c:v>
                </c:pt>
              </c:numCache>
            </c:numRef>
          </c:xVal>
          <c:yVal>
            <c:numRef>
              <c:f>Data!$Z$2:$Z$450</c:f>
              <c:numCache>
                <c:formatCode>General</c:formatCode>
                <c:ptCount val="449"/>
                <c:pt idx="0">
                  <c:v>8.3000000000000007</c:v>
                </c:pt>
                <c:pt idx="1">
                  <c:v>8.3000000000000007</c:v>
                </c:pt>
                <c:pt idx="2">
                  <c:v>8.4551062587784305</c:v>
                </c:pt>
                <c:pt idx="3">
                  <c:v>8.6074809465069233</c:v>
                </c:pt>
                <c:pt idx="4">
                  <c:v>8.7578145675125469</c:v>
                </c:pt>
                <c:pt idx="5">
                  <c:v>8.9054877315210081</c:v>
                </c:pt>
                <c:pt idx="6">
                  <c:v>9.0513619594946935</c:v>
                </c:pt>
                <c:pt idx="7">
                  <c:v>9.1191476106312095</c:v>
                </c:pt>
                <c:pt idx="8">
                  <c:v>9.1866517099504463</c:v>
                </c:pt>
                <c:pt idx="9">
                  <c:v>9.2537655458000323</c:v>
                </c:pt>
                <c:pt idx="10">
                  <c:v>9.3205558096179182</c:v>
                </c:pt>
                <c:pt idx="11">
                  <c:v>9.3870384988924584</c:v>
                </c:pt>
                <c:pt idx="12">
                  <c:v>9.4531262909692018</c:v>
                </c:pt>
                <c:pt idx="13">
                  <c:v>9.5190246015803339</c:v>
                </c:pt>
                <c:pt idx="14">
                  <c:v>9.5845376439040724</c:v>
                </c:pt>
                <c:pt idx="15">
                  <c:v>9.6499536658259863</c:v>
                </c:pt>
                <c:pt idx="16">
                  <c:v>9.7150375493958272</c:v>
                </c:pt>
                <c:pt idx="17">
                  <c:v>9.7799966354399057</c:v>
                </c:pt>
                <c:pt idx="18">
                  <c:v>9.844670550782169</c:v>
                </c:pt>
                <c:pt idx="19">
                  <c:v>9.9091832848472343</c:v>
                </c:pt>
                <c:pt idx="20">
                  <c:v>9.9734747433084632</c:v>
                </c:pt>
                <c:pt idx="21">
                  <c:v>10.037555597039745</c:v>
                </c:pt>
                <c:pt idx="22">
                  <c:v>10.102441730588762</c:v>
                </c:pt>
                <c:pt idx="23">
                  <c:v>10.16856080775352</c:v>
                </c:pt>
                <c:pt idx="24">
                  <c:v>10.235078888266051</c:v>
                </c:pt>
                <c:pt idx="25">
                  <c:v>10.302642553885804</c:v>
                </c:pt>
                <c:pt idx="26">
                  <c:v>10.369945376018311</c:v>
                </c:pt>
                <c:pt idx="27">
                  <c:v>10.437080359957511</c:v>
                </c:pt>
                <c:pt idx="28">
                  <c:v>10.504006664101858</c:v>
                </c:pt>
                <c:pt idx="29">
                  <c:v>10.570837183270342</c:v>
                </c:pt>
                <c:pt idx="30">
                  <c:v>10.637567519699465</c:v>
                </c:pt>
                <c:pt idx="31">
                  <c:v>10.704260235460533</c:v>
                </c:pt>
                <c:pt idx="32">
                  <c:v>10.718726393275107</c:v>
                </c:pt>
                <c:pt idx="33">
                  <c:v>10.785770229929666</c:v>
                </c:pt>
                <c:pt idx="34">
                  <c:v>10.852925110988982</c:v>
                </c:pt>
                <c:pt idx="35">
                  <c:v>10.3</c:v>
                </c:pt>
                <c:pt idx="36">
                  <c:v>9.8000000000000007</c:v>
                </c:pt>
                <c:pt idx="37">
                  <c:v>8.9</c:v>
                </c:pt>
                <c:pt idx="38">
                  <c:v>8.2316823301908411</c:v>
                </c:pt>
                <c:pt idx="39">
                  <c:v>7.499527017524656</c:v>
                </c:pt>
                <c:pt idx="40">
                  <c:v>6.6814428076737418</c:v>
                </c:pt>
                <c:pt idx="41">
                  <c:v>5.7416916079212799</c:v>
                </c:pt>
                <c:pt idx="42">
                  <c:v>3.4</c:v>
                </c:pt>
                <c:pt idx="43">
                  <c:v>3.25</c:v>
                </c:pt>
                <c:pt idx="44">
                  <c:v>3.2549654376045223</c:v>
                </c:pt>
                <c:pt idx="45">
                  <c:v>3.2549654376045223</c:v>
                </c:pt>
                <c:pt idx="46">
                  <c:v>3.2549654376045223</c:v>
                </c:pt>
                <c:pt idx="47">
                  <c:v>3.2549654376045223</c:v>
                </c:pt>
                <c:pt idx="48">
                  <c:v>3.2549654376045223</c:v>
                </c:pt>
                <c:pt idx="49">
                  <c:v>3.2549654376045223</c:v>
                </c:pt>
                <c:pt idx="50">
                  <c:v>3.2549654376045223</c:v>
                </c:pt>
                <c:pt idx="51">
                  <c:v>3.7428350123169016</c:v>
                </c:pt>
                <c:pt idx="52">
                  <c:v>4.1738291453576588</c:v>
                </c:pt>
                <c:pt idx="53">
                  <c:v>4.5631198639348609</c:v>
                </c:pt>
                <c:pt idx="54">
                  <c:v>4.9209649174019798</c:v>
                </c:pt>
                <c:pt idx="55">
                  <c:v>5.2544913401127786</c:v>
                </c:pt>
                <c:pt idx="56">
                  <c:v>5.5686043194959787</c:v>
                </c:pt>
                <c:pt idx="57">
                  <c:v>5.8664569623382015</c:v>
                </c:pt>
                <c:pt idx="58">
                  <c:v>6.1503717320160227</c:v>
                </c:pt>
                <c:pt idx="59">
                  <c:v>6.4221890345862906</c:v>
                </c:pt>
                <c:pt idx="60">
                  <c:v>6.6834358288770357</c:v>
                </c:pt>
                <c:pt idx="61">
                  <c:v>6.9354505213766657</c:v>
                </c:pt>
                <c:pt idx="62">
                  <c:v>7.1792106036745817</c:v>
                </c:pt>
                <c:pt idx="63">
                  <c:v>7.4156311209749468</c:v>
                </c:pt>
                <c:pt idx="64">
                  <c:v>7.6454903992199652</c:v>
                </c:pt>
                <c:pt idx="65">
                  <c:v>7.8693854826142458</c:v>
                </c:pt>
                <c:pt idx="66">
                  <c:v>8.0878633733780116</c:v>
                </c:pt>
                <c:pt idx="67">
                  <c:v>8.3012680726986368</c:v>
                </c:pt>
                <c:pt idx="68">
                  <c:v>8.5101246589238428</c:v>
                </c:pt>
                <c:pt idx="69">
                  <c:v>7.730005159818754</c:v>
                </c:pt>
                <c:pt idx="70">
                  <c:v>6.8576057386999905</c:v>
                </c:pt>
                <c:pt idx="71">
                  <c:v>5.8513517254111989</c:v>
                </c:pt>
                <c:pt idx="72">
                  <c:v>3.6</c:v>
                </c:pt>
                <c:pt idx="73">
                  <c:v>3.2549654376045223</c:v>
                </c:pt>
                <c:pt idx="74">
                  <c:v>3.7688769205783301</c:v>
                </c:pt>
                <c:pt idx="75">
                  <c:v>4.2223961416125686</c:v>
                </c:pt>
                <c:pt idx="76">
                  <c:v>4.6332894483707694</c:v>
                </c:pt>
                <c:pt idx="77">
                  <c:v>5.012053859687855</c:v>
                </c:pt>
                <c:pt idx="78">
                  <c:v>5.365377604725583</c:v>
                </c:pt>
                <c:pt idx="79">
                  <c:v>5.6980097684719713</c:v>
                </c:pt>
                <c:pt idx="80">
                  <c:v>6.013467575298348</c:v>
                </c:pt>
                <c:pt idx="81">
                  <c:v>6.3141323143135581</c:v>
                </c:pt>
                <c:pt idx="82">
                  <c:v>6.6020698601929206</c:v>
                </c:pt>
                <c:pt idx="83">
                  <c:v>6.8788413391879502</c:v>
                </c:pt>
                <c:pt idx="84">
                  <c:v>7.1457541655795458</c:v>
                </c:pt>
                <c:pt idx="85">
                  <c:v>7.4039187865148985</c:v>
                </c:pt>
                <c:pt idx="86">
                  <c:v>7.6542350475459759</c:v>
                </c:pt>
                <c:pt idx="87">
                  <c:v>7.8975314953660156</c:v>
                </c:pt>
                <c:pt idx="88">
                  <c:v>8.1342630405860525</c:v>
                </c:pt>
                <c:pt idx="89">
                  <c:v>8.3644143931587696</c:v>
                </c:pt>
                <c:pt idx="90">
                  <c:v>8.5890757134955766</c:v>
                </c:pt>
                <c:pt idx="91">
                  <c:v>8.8087375155674277</c:v>
                </c:pt>
                <c:pt idx="92">
                  <c:v>9.0237878382705006</c:v>
                </c:pt>
                <c:pt idx="93">
                  <c:v>9.0237878382705006</c:v>
                </c:pt>
                <c:pt idx="94">
                  <c:v>9.1238563345046089</c:v>
                </c:pt>
                <c:pt idx="95">
                  <c:v>9.2231998281822989</c:v>
                </c:pt>
                <c:pt idx="96">
                  <c:v>9.3218500553492003</c:v>
                </c:pt>
                <c:pt idx="97">
                  <c:v>9.4198093810743941</c:v>
                </c:pt>
                <c:pt idx="98">
                  <c:v>9.5170466079865754</c:v>
                </c:pt>
                <c:pt idx="99">
                  <c:v>9.613471530750104</c:v>
                </c:pt>
                <c:pt idx="100">
                  <c:v>9.7090835259839174</c:v>
                </c:pt>
                <c:pt idx="101">
                  <c:v>9.8039541888432531</c:v>
                </c:pt>
                <c:pt idx="102">
                  <c:v>9.8981272413581092</c:v>
                </c:pt>
                <c:pt idx="103">
                  <c:v>9.9916259163809364</c:v>
                </c:pt>
                <c:pt idx="104">
                  <c:v>10.084485560197178</c:v>
                </c:pt>
                <c:pt idx="105">
                  <c:v>10.176749089942982</c:v>
                </c:pt>
                <c:pt idx="106">
                  <c:v>10.268448679005434</c:v>
                </c:pt>
                <c:pt idx="107">
                  <c:v>10.359630850213518</c:v>
                </c:pt>
                <c:pt idx="108">
                  <c:v>10.450331670390462</c:v>
                </c:pt>
                <c:pt idx="109">
                  <c:v>10.540569288723969</c:v>
                </c:pt>
                <c:pt idx="110">
                  <c:v>10.630380570162517</c:v>
                </c:pt>
                <c:pt idx="111">
                  <c:v>10.719774238150528</c:v>
                </c:pt>
                <c:pt idx="112">
                  <c:v>10.808789269570767</c:v>
                </c:pt>
                <c:pt idx="113">
                  <c:v>10.89749331579284</c:v>
                </c:pt>
                <c:pt idx="114">
                  <c:v>10.196320758459203</c:v>
                </c:pt>
                <c:pt idx="115">
                  <c:v>9.4394022890884788</c:v>
                </c:pt>
                <c:pt idx="116">
                  <c:v>8.6122141312633254</c:v>
                </c:pt>
                <c:pt idx="117">
                  <c:v>8.8511188576798911</c:v>
                </c:pt>
                <c:pt idx="118">
                  <c:v>9.0845604320885762</c:v>
                </c:pt>
                <c:pt idx="119">
                  <c:v>9.0845604320885762</c:v>
                </c:pt>
                <c:pt idx="120">
                  <c:v>9.1930105654745393</c:v>
                </c:pt>
                <c:pt idx="121">
                  <c:v>9.3005046731366914</c:v>
                </c:pt>
                <c:pt idx="122">
                  <c:v>9.4070157465116662</c:v>
                </c:pt>
                <c:pt idx="123">
                  <c:v>9.5123939983253702</c:v>
                </c:pt>
                <c:pt idx="124">
                  <c:v>9.6167207602400406</c:v>
                </c:pt>
                <c:pt idx="125">
                  <c:v>9.7200739163417076</c:v>
                </c:pt>
                <c:pt idx="126">
                  <c:v>9.8224261747743054</c:v>
                </c:pt>
                <c:pt idx="127">
                  <c:v>9.9238018464379358</c:v>
                </c:pt>
                <c:pt idx="128">
                  <c:v>10.024300026690613</c:v>
                </c:pt>
                <c:pt idx="129">
                  <c:v>10.123978173668752</c:v>
                </c:pt>
                <c:pt idx="130">
                  <c:v>10.222878352830206</c:v>
                </c:pt>
                <c:pt idx="131">
                  <c:v>10.321040268926184</c:v>
                </c:pt>
                <c:pt idx="132">
                  <c:v>10.418533897277003</c:v>
                </c:pt>
                <c:pt idx="133">
                  <c:v>10.515396512261381</c:v>
                </c:pt>
                <c:pt idx="134">
                  <c:v>10.611677473039101</c:v>
                </c:pt>
                <c:pt idx="135">
                  <c:v>10.707415909978954</c:v>
                </c:pt>
                <c:pt idx="136">
                  <c:v>10.802634890166171</c:v>
                </c:pt>
                <c:pt idx="137">
                  <c:v>10.897334462937796</c:v>
                </c:pt>
                <c:pt idx="138">
                  <c:v>10.14833813835806</c:v>
                </c:pt>
                <c:pt idx="139">
                  <c:v>9.3361414936263003</c:v>
                </c:pt>
                <c:pt idx="140">
                  <c:v>8.4419868072736381</c:v>
                </c:pt>
                <c:pt idx="141">
                  <c:v>7.4364265871227344</c:v>
                </c:pt>
                <c:pt idx="142">
                  <c:v>6.266948795962592</c:v>
                </c:pt>
                <c:pt idx="143">
                  <c:v>6.6140982672099247</c:v>
                </c:pt>
                <c:pt idx="144">
                  <c:v>6.9446898798151038</c:v>
                </c:pt>
                <c:pt idx="145">
                  <c:v>7.2608579797551007</c:v>
                </c:pt>
                <c:pt idx="146">
                  <c:v>7.5642270502413558</c:v>
                </c:pt>
                <c:pt idx="147">
                  <c:v>7.8561898801571486</c:v>
                </c:pt>
                <c:pt idx="148">
                  <c:v>8.1379828470139568</c:v>
                </c:pt>
                <c:pt idx="149">
                  <c:v>8.4106179028695003</c:v>
                </c:pt>
                <c:pt idx="150">
                  <c:v>8.675010033228471</c:v>
                </c:pt>
                <c:pt idx="151">
                  <c:v>8.9319236829546522</c:v>
                </c:pt>
                <c:pt idx="152">
                  <c:v>9.1819897707956013</c:v>
                </c:pt>
                <c:pt idx="153">
                  <c:v>9.1819897707956013</c:v>
                </c:pt>
                <c:pt idx="154">
                  <c:v>9.2975590446181915</c:v>
                </c:pt>
                <c:pt idx="155">
                  <c:v>9.4118668206300296</c:v>
                </c:pt>
                <c:pt idx="156">
                  <c:v>9.5250105922345227</c:v>
                </c:pt>
                <c:pt idx="157">
                  <c:v>9.6370146047481846</c:v>
                </c:pt>
                <c:pt idx="158">
                  <c:v>9.7479245311143643</c:v>
                </c:pt>
                <c:pt idx="159">
                  <c:v>8.9</c:v>
                </c:pt>
                <c:pt idx="160">
                  <c:v>8.6999999999999993</c:v>
                </c:pt>
                <c:pt idx="161">
                  <c:v>8.5</c:v>
                </c:pt>
                <c:pt idx="162">
                  <c:v>8.4</c:v>
                </c:pt>
                <c:pt idx="163">
                  <c:v>8.3000000000000007</c:v>
                </c:pt>
                <c:pt idx="164">
                  <c:v>8.3000000000000007</c:v>
                </c:pt>
                <c:pt idx="165">
                  <c:v>8.3000000000000007</c:v>
                </c:pt>
                <c:pt idx="166">
                  <c:v>8.3000000000000007</c:v>
                </c:pt>
                <c:pt idx="167">
                  <c:v>8.3000000000000007</c:v>
                </c:pt>
                <c:pt idx="168">
                  <c:v>8.3000000000000007</c:v>
                </c:pt>
                <c:pt idx="169">
                  <c:v>8.3000000000000007</c:v>
                </c:pt>
                <c:pt idx="170">
                  <c:v>8.3000000000000007</c:v>
                </c:pt>
                <c:pt idx="171">
                  <c:v>8.3000000000000007</c:v>
                </c:pt>
                <c:pt idx="172">
                  <c:v>8.3000000000000007</c:v>
                </c:pt>
                <c:pt idx="173">
                  <c:v>8.3000000000000007</c:v>
                </c:pt>
                <c:pt idx="174">
                  <c:v>8.3000000000000007</c:v>
                </c:pt>
                <c:pt idx="175">
                  <c:v>8.3000000000000007</c:v>
                </c:pt>
                <c:pt idx="176">
                  <c:v>8.3000000000000007</c:v>
                </c:pt>
                <c:pt idx="177">
                  <c:v>8.3000000000000007</c:v>
                </c:pt>
                <c:pt idx="178">
                  <c:v>8.3000000000000007</c:v>
                </c:pt>
                <c:pt idx="179">
                  <c:v>8.3000000000000007</c:v>
                </c:pt>
                <c:pt idx="180">
                  <c:v>8.3000000000000007</c:v>
                </c:pt>
                <c:pt idx="181">
                  <c:v>8.3000000000000007</c:v>
                </c:pt>
                <c:pt idx="182">
                  <c:v>8.3000000000000007</c:v>
                </c:pt>
                <c:pt idx="183">
                  <c:v>8.4395827006485664</c:v>
                </c:pt>
                <c:pt idx="184">
                  <c:v>8.7179059914403947</c:v>
                </c:pt>
                <c:pt idx="185">
                  <c:v>8.9882077761537023</c:v>
                </c:pt>
                <c:pt idx="186">
                  <c:v>9.2511639262713956</c:v>
                </c:pt>
                <c:pt idx="187">
                  <c:v>9.2511639262713956</c:v>
                </c:pt>
                <c:pt idx="188">
                  <c:v>9.3726593351887306</c:v>
                </c:pt>
                <c:pt idx="189">
                  <c:v>9.4924573910618264</c:v>
                </c:pt>
                <c:pt idx="190">
                  <c:v>9.6096944342838864</c:v>
                </c:pt>
                <c:pt idx="191">
                  <c:v>9.7238031298064307</c:v>
                </c:pt>
                <c:pt idx="192">
                  <c:v>9.8346900219386875</c:v>
                </c:pt>
                <c:pt idx="193">
                  <c:v>9.9424161488147877</c:v>
                </c:pt>
                <c:pt idx="194">
                  <c:v>10.047131006915151</c:v>
                </c:pt>
                <c:pt idx="195">
                  <c:v>10.331749616485446</c:v>
                </c:pt>
                <c:pt idx="196">
                  <c:v>10.428956325219037</c:v>
                </c:pt>
                <c:pt idx="197">
                  <c:v>10.523559570681238</c:v>
                </c:pt>
                <c:pt idx="198">
                  <c:v>10.615644165360022</c:v>
                </c:pt>
                <c:pt idx="199">
                  <c:v>10.705227490847365</c:v>
                </c:pt>
                <c:pt idx="200">
                  <c:v>10.792330202510932</c:v>
                </c:pt>
                <c:pt idx="201">
                  <c:v>10.877143525508664</c:v>
                </c:pt>
                <c:pt idx="202">
                  <c:v>10.959693979588977</c:v>
                </c:pt>
                <c:pt idx="203">
                  <c:v>11.039968010658846</c:v>
                </c:pt>
                <c:pt idx="204">
                  <c:v>10.5</c:v>
                </c:pt>
                <c:pt idx="205">
                  <c:v>10.3</c:v>
                </c:pt>
                <c:pt idx="206">
                  <c:v>10</c:v>
                </c:pt>
                <c:pt idx="207">
                  <c:v>9.5</c:v>
                </c:pt>
                <c:pt idx="208">
                  <c:v>9</c:v>
                </c:pt>
                <c:pt idx="209">
                  <c:v>8.5</c:v>
                </c:pt>
                <c:pt idx="210">
                  <c:v>8.3000000000000007</c:v>
                </c:pt>
                <c:pt idx="211">
                  <c:v>8.3000000000000007</c:v>
                </c:pt>
                <c:pt idx="212">
                  <c:v>8.3000000000000007</c:v>
                </c:pt>
                <c:pt idx="213">
                  <c:v>8.3000000000000007</c:v>
                </c:pt>
                <c:pt idx="214">
                  <c:v>8.3000000000000007</c:v>
                </c:pt>
                <c:pt idx="215">
                  <c:v>8.3000000000000007</c:v>
                </c:pt>
                <c:pt idx="216">
                  <c:v>8.3000000000000007</c:v>
                </c:pt>
                <c:pt idx="217">
                  <c:v>8.3000000000000007</c:v>
                </c:pt>
                <c:pt idx="218">
                  <c:v>8.3000000000000007</c:v>
                </c:pt>
                <c:pt idx="219">
                  <c:v>8.3000000000000007</c:v>
                </c:pt>
                <c:pt idx="220">
                  <c:v>8.3000000000000007</c:v>
                </c:pt>
                <c:pt idx="221">
                  <c:v>8.3000000000000007</c:v>
                </c:pt>
                <c:pt idx="222">
                  <c:v>8.3000000000000007</c:v>
                </c:pt>
                <c:pt idx="223">
                  <c:v>8.3000000000000007</c:v>
                </c:pt>
                <c:pt idx="224">
                  <c:v>8.3000000000000007</c:v>
                </c:pt>
                <c:pt idx="225">
                  <c:v>8.3000000000000007</c:v>
                </c:pt>
                <c:pt idx="226">
                  <c:v>8.3000000000000007</c:v>
                </c:pt>
                <c:pt idx="227">
                  <c:v>8.3000000000000007</c:v>
                </c:pt>
                <c:pt idx="228">
                  <c:v>8.3000000000000007</c:v>
                </c:pt>
                <c:pt idx="229">
                  <c:v>8.3000000000000007</c:v>
                </c:pt>
                <c:pt idx="230">
                  <c:v>8.3000000000000007</c:v>
                </c:pt>
                <c:pt idx="231">
                  <c:v>8.3000000000000007</c:v>
                </c:pt>
                <c:pt idx="232">
                  <c:v>8.3000000000000007</c:v>
                </c:pt>
                <c:pt idx="233">
                  <c:v>8.3000000000000007</c:v>
                </c:pt>
                <c:pt idx="234">
                  <c:v>8.3000000000000007</c:v>
                </c:pt>
                <c:pt idx="235">
                  <c:v>8.3000000000000007</c:v>
                </c:pt>
                <c:pt idx="236">
                  <c:v>8.3000000000000007</c:v>
                </c:pt>
                <c:pt idx="237">
                  <c:v>8.3000000000000007</c:v>
                </c:pt>
                <c:pt idx="238">
                  <c:v>8.3000000000000007</c:v>
                </c:pt>
                <c:pt idx="239">
                  <c:v>8.4395827006485664</c:v>
                </c:pt>
                <c:pt idx="240">
                  <c:v>8.7179059914403947</c:v>
                </c:pt>
                <c:pt idx="241">
                  <c:v>8.9882077761537023</c:v>
                </c:pt>
                <c:pt idx="242">
                  <c:v>9.2511639262713956</c:v>
                </c:pt>
                <c:pt idx="243">
                  <c:v>9.2511639262713956</c:v>
                </c:pt>
                <c:pt idx="244">
                  <c:v>9.3726593351887306</c:v>
                </c:pt>
                <c:pt idx="245">
                  <c:v>9.4924573910618264</c:v>
                </c:pt>
                <c:pt idx="246">
                  <c:v>9.6096944342838864</c:v>
                </c:pt>
                <c:pt idx="247">
                  <c:v>9.7238031298064307</c:v>
                </c:pt>
                <c:pt idx="248">
                  <c:v>9.8346900219386875</c:v>
                </c:pt>
                <c:pt idx="249">
                  <c:v>9.9424161488147877</c:v>
                </c:pt>
                <c:pt idx="250">
                  <c:v>10.047131006915151</c:v>
                </c:pt>
                <c:pt idx="251">
                  <c:v>10.331749616485446</c:v>
                </c:pt>
                <c:pt idx="252">
                  <c:v>10.428956325219037</c:v>
                </c:pt>
                <c:pt idx="253">
                  <c:v>10.523559570681238</c:v>
                </c:pt>
                <c:pt idx="254">
                  <c:v>10.615644165360022</c:v>
                </c:pt>
                <c:pt idx="255">
                  <c:v>10.705227490847365</c:v>
                </c:pt>
                <c:pt idx="256">
                  <c:v>10.792330202510932</c:v>
                </c:pt>
                <c:pt idx="257">
                  <c:v>10.877143525508664</c:v>
                </c:pt>
                <c:pt idx="258">
                  <c:v>10.959693979588977</c:v>
                </c:pt>
                <c:pt idx="259">
                  <c:v>11.039968010658846</c:v>
                </c:pt>
                <c:pt idx="260">
                  <c:v>11.117886140023597</c:v>
                </c:pt>
                <c:pt idx="261">
                  <c:v>11.193484545168841</c:v>
                </c:pt>
                <c:pt idx="262">
                  <c:v>11.267015043431313</c:v>
                </c:pt>
                <c:pt idx="263">
                  <c:v>11.338545651601814</c:v>
                </c:pt>
                <c:pt idx="264">
                  <c:v>11.408017980437222</c:v>
                </c:pt>
                <c:pt idx="265">
                  <c:v>11.475395846608329</c:v>
                </c:pt>
                <c:pt idx="266">
                  <c:v>11.2</c:v>
                </c:pt>
                <c:pt idx="267">
                  <c:v>11.2</c:v>
                </c:pt>
                <c:pt idx="268">
                  <c:v>11</c:v>
                </c:pt>
                <c:pt idx="269">
                  <c:v>10.8</c:v>
                </c:pt>
                <c:pt idx="270">
                  <c:v>10.4</c:v>
                </c:pt>
                <c:pt idx="271">
                  <c:v>9.9</c:v>
                </c:pt>
                <c:pt idx="272">
                  <c:v>9.6999999999999993</c:v>
                </c:pt>
                <c:pt idx="273">
                  <c:v>10</c:v>
                </c:pt>
                <c:pt idx="274">
                  <c:v>9</c:v>
                </c:pt>
                <c:pt idx="275">
                  <c:v>8.3000000000000007</c:v>
                </c:pt>
                <c:pt idx="276">
                  <c:v>8.3000000000000007</c:v>
                </c:pt>
                <c:pt idx="277">
                  <c:v>8.3000000000000007</c:v>
                </c:pt>
                <c:pt idx="278">
                  <c:v>8.3000000000000007</c:v>
                </c:pt>
                <c:pt idx="279">
                  <c:v>8.3000000000000007</c:v>
                </c:pt>
                <c:pt idx="280">
                  <c:v>8.3000000000000007</c:v>
                </c:pt>
                <c:pt idx="281">
                  <c:v>8.3000000000000007</c:v>
                </c:pt>
                <c:pt idx="282">
                  <c:v>8.3000000000000007</c:v>
                </c:pt>
                <c:pt idx="283">
                  <c:v>8.3000000000000007</c:v>
                </c:pt>
                <c:pt idx="284">
                  <c:v>8.3000000000000007</c:v>
                </c:pt>
                <c:pt idx="285">
                  <c:v>8.3000000000000007</c:v>
                </c:pt>
                <c:pt idx="286">
                  <c:v>8.3000000000000007</c:v>
                </c:pt>
                <c:pt idx="287">
                  <c:v>8.3000000000000007</c:v>
                </c:pt>
                <c:pt idx="288">
                  <c:v>8.3000000000000007</c:v>
                </c:pt>
                <c:pt idx="289">
                  <c:v>8.3000000000000007</c:v>
                </c:pt>
                <c:pt idx="290">
                  <c:v>8.3000000000000007</c:v>
                </c:pt>
                <c:pt idx="291">
                  <c:v>8.3000000000000007</c:v>
                </c:pt>
                <c:pt idx="292">
                  <c:v>8.4395827006485664</c:v>
                </c:pt>
                <c:pt idx="293">
                  <c:v>8.7179059914403947</c:v>
                </c:pt>
                <c:pt idx="294">
                  <c:v>8.9882077761537023</c:v>
                </c:pt>
                <c:pt idx="295">
                  <c:v>9.2511639262713956</c:v>
                </c:pt>
                <c:pt idx="296">
                  <c:v>9.2511639262713956</c:v>
                </c:pt>
                <c:pt idx="297">
                  <c:v>9.3726593351887306</c:v>
                </c:pt>
                <c:pt idx="298">
                  <c:v>9.4924573910618264</c:v>
                </c:pt>
                <c:pt idx="299">
                  <c:v>9.6096944342838864</c:v>
                </c:pt>
                <c:pt idx="300">
                  <c:v>9.7238031298064307</c:v>
                </c:pt>
                <c:pt idx="301">
                  <c:v>9.8346900219386875</c:v>
                </c:pt>
                <c:pt idx="302">
                  <c:v>9.9424161488147877</c:v>
                </c:pt>
                <c:pt idx="303">
                  <c:v>10.047131006915151</c:v>
                </c:pt>
                <c:pt idx="304">
                  <c:v>10.331749616485446</c:v>
                </c:pt>
                <c:pt idx="305">
                  <c:v>10.428956325219037</c:v>
                </c:pt>
                <c:pt idx="306">
                  <c:v>10.523559570681238</c:v>
                </c:pt>
                <c:pt idx="307">
                  <c:v>10.615644165360022</c:v>
                </c:pt>
                <c:pt idx="308">
                  <c:v>10.705227490847365</c:v>
                </c:pt>
                <c:pt idx="309">
                  <c:v>10.792330202510932</c:v>
                </c:pt>
                <c:pt idx="310">
                  <c:v>10.877143525508664</c:v>
                </c:pt>
                <c:pt idx="311">
                  <c:v>10.959693979588977</c:v>
                </c:pt>
                <c:pt idx="312">
                  <c:v>11.039968010658846</c:v>
                </c:pt>
                <c:pt idx="313">
                  <c:v>11.117886140023597</c:v>
                </c:pt>
                <c:pt idx="314">
                  <c:v>11.193484545168841</c:v>
                </c:pt>
                <c:pt idx="315">
                  <c:v>11.267015043431313</c:v>
                </c:pt>
                <c:pt idx="316">
                  <c:v>11.338545651601814</c:v>
                </c:pt>
                <c:pt idx="317">
                  <c:v>11.3</c:v>
                </c:pt>
                <c:pt idx="318">
                  <c:v>11</c:v>
                </c:pt>
                <c:pt idx="319">
                  <c:v>8.5</c:v>
                </c:pt>
                <c:pt idx="320">
                  <c:v>8.3000000000000007</c:v>
                </c:pt>
                <c:pt idx="321">
                  <c:v>8.3000000000000007</c:v>
                </c:pt>
                <c:pt idx="322">
                  <c:v>8.3000000000000007</c:v>
                </c:pt>
                <c:pt idx="323">
                  <c:v>8.3000000000000007</c:v>
                </c:pt>
                <c:pt idx="324">
                  <c:v>8.3000000000000007</c:v>
                </c:pt>
                <c:pt idx="325">
                  <c:v>8.3000000000000007</c:v>
                </c:pt>
                <c:pt idx="326">
                  <c:v>8.3000000000000007</c:v>
                </c:pt>
                <c:pt idx="327">
                  <c:v>8.3000000000000007</c:v>
                </c:pt>
                <c:pt idx="328">
                  <c:v>8.3000000000000007</c:v>
                </c:pt>
                <c:pt idx="329">
                  <c:v>8.3000000000000007</c:v>
                </c:pt>
                <c:pt idx="330">
                  <c:v>8.3000000000000007</c:v>
                </c:pt>
                <c:pt idx="331">
                  <c:v>8.3000000000000007</c:v>
                </c:pt>
                <c:pt idx="332">
                  <c:v>8.3000000000000007</c:v>
                </c:pt>
                <c:pt idx="333">
                  <c:v>8.3000000000000007</c:v>
                </c:pt>
                <c:pt idx="334">
                  <c:v>8.3000000000000007</c:v>
                </c:pt>
                <c:pt idx="335">
                  <c:v>8.3000000000000007</c:v>
                </c:pt>
                <c:pt idx="336">
                  <c:v>8.3000000000000007</c:v>
                </c:pt>
                <c:pt idx="337">
                  <c:v>8.3000000000000007</c:v>
                </c:pt>
                <c:pt idx="338">
                  <c:v>8.3000000000000007</c:v>
                </c:pt>
                <c:pt idx="339">
                  <c:v>8.3000000000000007</c:v>
                </c:pt>
                <c:pt idx="340">
                  <c:v>8.3000000000000007</c:v>
                </c:pt>
                <c:pt idx="341">
                  <c:v>8.3000000000000007</c:v>
                </c:pt>
                <c:pt idx="342">
                  <c:v>8.3000000000000007</c:v>
                </c:pt>
                <c:pt idx="343">
                  <c:v>8.3000000000000007</c:v>
                </c:pt>
                <c:pt idx="344">
                  <c:v>8.3000000000000007</c:v>
                </c:pt>
                <c:pt idx="345">
                  <c:v>8.4395827006485664</c:v>
                </c:pt>
                <c:pt idx="346">
                  <c:v>8.7179059914403947</c:v>
                </c:pt>
                <c:pt idx="347">
                  <c:v>8.9882077761537023</c:v>
                </c:pt>
                <c:pt idx="348">
                  <c:v>9.2511639262713956</c:v>
                </c:pt>
                <c:pt idx="349">
                  <c:v>9.2511639262713956</c:v>
                </c:pt>
                <c:pt idx="350">
                  <c:v>9.3726593351887306</c:v>
                </c:pt>
                <c:pt idx="351">
                  <c:v>9.4924573910618264</c:v>
                </c:pt>
                <c:pt idx="352">
                  <c:v>9.6096944342838864</c:v>
                </c:pt>
                <c:pt idx="353">
                  <c:v>9.7238031298064307</c:v>
                </c:pt>
                <c:pt idx="354">
                  <c:v>9.8346900219386875</c:v>
                </c:pt>
                <c:pt idx="355">
                  <c:v>9.9424161488147877</c:v>
                </c:pt>
                <c:pt idx="356">
                  <c:v>10.047131006915151</c:v>
                </c:pt>
                <c:pt idx="357">
                  <c:v>10.331749616485446</c:v>
                </c:pt>
                <c:pt idx="358">
                  <c:v>10.428956325219037</c:v>
                </c:pt>
                <c:pt idx="359">
                  <c:v>10.523559570681238</c:v>
                </c:pt>
                <c:pt idx="360">
                  <c:v>10.615644165360022</c:v>
                </c:pt>
                <c:pt idx="361">
                  <c:v>10.705227490847365</c:v>
                </c:pt>
                <c:pt idx="362">
                  <c:v>10.792330202510932</c:v>
                </c:pt>
                <c:pt idx="363">
                  <c:v>10.877143525508664</c:v>
                </c:pt>
                <c:pt idx="364">
                  <c:v>10.959693979588977</c:v>
                </c:pt>
                <c:pt idx="365">
                  <c:v>11.039968010658846</c:v>
                </c:pt>
                <c:pt idx="366">
                  <c:v>11.117886140023597</c:v>
                </c:pt>
                <c:pt idx="367">
                  <c:v>11.193484545168841</c:v>
                </c:pt>
                <c:pt idx="368">
                  <c:v>11.267015043431313</c:v>
                </c:pt>
                <c:pt idx="369">
                  <c:v>11.338545651601814</c:v>
                </c:pt>
                <c:pt idx="370">
                  <c:v>11.408017980437222</c:v>
                </c:pt>
                <c:pt idx="371">
                  <c:v>11.475395846608329</c:v>
                </c:pt>
                <c:pt idx="372">
                  <c:v>11.4</c:v>
                </c:pt>
                <c:pt idx="373">
                  <c:v>11.4</c:v>
                </c:pt>
                <c:pt idx="374">
                  <c:v>11.3</c:v>
                </c:pt>
                <c:pt idx="375">
                  <c:v>11</c:v>
                </c:pt>
                <c:pt idx="376" formatCode="0.00">
                  <c:v>10.5</c:v>
                </c:pt>
                <c:pt idx="377">
                  <c:v>10.3</c:v>
                </c:pt>
                <c:pt idx="378">
                  <c:v>10</c:v>
                </c:pt>
                <c:pt idx="379">
                  <c:v>9.5</c:v>
                </c:pt>
                <c:pt idx="380">
                  <c:v>9</c:v>
                </c:pt>
                <c:pt idx="381">
                  <c:v>8.8000000000000007</c:v>
                </c:pt>
                <c:pt idx="382">
                  <c:v>8.6</c:v>
                </c:pt>
                <c:pt idx="383">
                  <c:v>8.3000000000000007</c:v>
                </c:pt>
                <c:pt idx="384">
                  <c:v>8.3000000000000007</c:v>
                </c:pt>
                <c:pt idx="385">
                  <c:v>8.3000000000000007</c:v>
                </c:pt>
                <c:pt idx="386">
                  <c:v>8.3000000000000007</c:v>
                </c:pt>
                <c:pt idx="387">
                  <c:v>8.3000000000000007</c:v>
                </c:pt>
                <c:pt idx="388">
                  <c:v>8.3000000000000007</c:v>
                </c:pt>
                <c:pt idx="389">
                  <c:v>8.3000000000000007</c:v>
                </c:pt>
                <c:pt idx="390">
                  <c:v>8.3000000000000007</c:v>
                </c:pt>
                <c:pt idx="391">
                  <c:v>8.3000000000000007</c:v>
                </c:pt>
                <c:pt idx="392">
                  <c:v>8.3000000000000007</c:v>
                </c:pt>
                <c:pt idx="393">
                  <c:v>8.3000000000000007</c:v>
                </c:pt>
                <c:pt idx="394">
                  <c:v>8.3000000000000007</c:v>
                </c:pt>
                <c:pt idx="395">
                  <c:v>8.3000000000000007</c:v>
                </c:pt>
                <c:pt idx="396">
                  <c:v>8.3000000000000007</c:v>
                </c:pt>
                <c:pt idx="397">
                  <c:v>8.3000000000000007</c:v>
                </c:pt>
                <c:pt idx="398">
                  <c:v>8.3000000000000007</c:v>
                </c:pt>
                <c:pt idx="399">
                  <c:v>8.3000000000000007</c:v>
                </c:pt>
                <c:pt idx="400">
                  <c:v>8.3000000000000007</c:v>
                </c:pt>
                <c:pt idx="401">
                  <c:v>8.3000000000000007</c:v>
                </c:pt>
                <c:pt idx="402">
                  <c:v>8.3000000000000007</c:v>
                </c:pt>
                <c:pt idx="403">
                  <c:v>8.4395827006485664</c:v>
                </c:pt>
                <c:pt idx="404">
                  <c:v>8.7179059914403947</c:v>
                </c:pt>
                <c:pt idx="405">
                  <c:v>8.9882077761537023</c:v>
                </c:pt>
                <c:pt idx="406">
                  <c:v>9.2511639262713956</c:v>
                </c:pt>
                <c:pt idx="407">
                  <c:v>9.2511639262713956</c:v>
                </c:pt>
                <c:pt idx="408">
                  <c:v>9.3726593351887306</c:v>
                </c:pt>
                <c:pt idx="409">
                  <c:v>9.4924573910618264</c:v>
                </c:pt>
                <c:pt idx="410">
                  <c:v>9.6096944342838864</c:v>
                </c:pt>
                <c:pt idx="411">
                  <c:v>9.7238031298064307</c:v>
                </c:pt>
                <c:pt idx="412">
                  <c:v>9.8346900219386875</c:v>
                </c:pt>
                <c:pt idx="413">
                  <c:v>9.9424161488147877</c:v>
                </c:pt>
                <c:pt idx="414">
                  <c:v>10.047131006915151</c:v>
                </c:pt>
                <c:pt idx="415">
                  <c:v>10.331749616485446</c:v>
                </c:pt>
                <c:pt idx="416">
                  <c:v>10.428956325219037</c:v>
                </c:pt>
                <c:pt idx="417">
                  <c:v>10.523559570681238</c:v>
                </c:pt>
                <c:pt idx="418">
                  <c:v>10.615644165360022</c:v>
                </c:pt>
                <c:pt idx="419">
                  <c:v>10.705227490847365</c:v>
                </c:pt>
                <c:pt idx="420">
                  <c:v>10.792330202510932</c:v>
                </c:pt>
                <c:pt idx="421">
                  <c:v>10.877143525508664</c:v>
                </c:pt>
                <c:pt idx="422">
                  <c:v>10.959693979588977</c:v>
                </c:pt>
                <c:pt idx="423">
                  <c:v>11.039968010658846</c:v>
                </c:pt>
                <c:pt idx="424">
                  <c:v>11.117886140023597</c:v>
                </c:pt>
                <c:pt idx="425">
                  <c:v>11.193484545168841</c:v>
                </c:pt>
                <c:pt idx="426">
                  <c:v>11.267015043431313</c:v>
                </c:pt>
                <c:pt idx="427">
                  <c:v>11.338545651601814</c:v>
                </c:pt>
                <c:pt idx="428">
                  <c:v>11</c:v>
                </c:pt>
                <c:pt idx="429">
                  <c:v>10.8</c:v>
                </c:pt>
                <c:pt idx="430">
                  <c:v>10.5</c:v>
                </c:pt>
                <c:pt idx="431">
                  <c:v>10.199999999999999</c:v>
                </c:pt>
                <c:pt idx="432">
                  <c:v>9.6999999999999993</c:v>
                </c:pt>
                <c:pt idx="433">
                  <c:v>9</c:v>
                </c:pt>
                <c:pt idx="434">
                  <c:v>8.3000000000000007</c:v>
                </c:pt>
                <c:pt idx="435">
                  <c:v>8.3000000000000007</c:v>
                </c:pt>
                <c:pt idx="436">
                  <c:v>8.3000000000000007</c:v>
                </c:pt>
                <c:pt idx="437">
                  <c:v>8.3000000000000007</c:v>
                </c:pt>
                <c:pt idx="438">
                  <c:v>8.3000000000000007</c:v>
                </c:pt>
                <c:pt idx="439">
                  <c:v>8.3000000000000007</c:v>
                </c:pt>
                <c:pt idx="440">
                  <c:v>8.3000000000000007</c:v>
                </c:pt>
                <c:pt idx="441">
                  <c:v>8.3000000000000007</c:v>
                </c:pt>
                <c:pt idx="442">
                  <c:v>8.3000000000000007</c:v>
                </c:pt>
                <c:pt idx="443">
                  <c:v>8.3000000000000007</c:v>
                </c:pt>
                <c:pt idx="444">
                  <c:v>8.3000000000000007</c:v>
                </c:pt>
                <c:pt idx="445">
                  <c:v>8.3000000000000007</c:v>
                </c:pt>
                <c:pt idx="446">
                  <c:v>8.3000000000000007</c:v>
                </c:pt>
                <c:pt idx="447">
                  <c:v>8.3000000000000007</c:v>
                </c:pt>
                <c:pt idx="448">
                  <c:v>8.3000000000000007</c:v>
                </c:pt>
              </c:numCache>
            </c:numRef>
          </c:yVal>
          <c:smooth val="1"/>
          <c:extLst>
            <c:ext xmlns:c16="http://schemas.microsoft.com/office/drawing/2014/chart" uri="{C3380CC4-5D6E-409C-BE32-E72D297353CC}">
              <c16:uniqueId val="{00000003-ACA8-2C41-AF7A-AAD0FA7803EE}"/>
            </c:ext>
          </c:extLst>
        </c:ser>
        <c:dLbls>
          <c:showLegendKey val="0"/>
          <c:showVal val="0"/>
          <c:showCatName val="0"/>
          <c:showSerName val="0"/>
          <c:showPercent val="0"/>
          <c:showBubbleSize val="0"/>
        </c:dLbls>
        <c:axId val="304764208"/>
        <c:axId val="304765856"/>
      </c:scatterChart>
      <c:valAx>
        <c:axId val="304764208"/>
        <c:scaling>
          <c:orientation val="minMax"/>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4765856"/>
        <c:crosses val="autoZero"/>
        <c:crossBetween val="midCat"/>
      </c:valAx>
      <c:valAx>
        <c:axId val="3047658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Speed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476420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_rels/drawing3.xml.rels><?xml version="1.0" encoding="UTF-8" standalone="yes"?>
<Relationships xmlns="http://schemas.openxmlformats.org/package/2006/relationships"><Relationship Id="rId1" Type="http://schemas.openxmlformats.org/officeDocument/2006/relationships/chart" Target="../charts/chart6.xml"/></Relationships>
</file>

<file path=xl/drawings/_rels/drawing4.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5.xml.rels><?xml version="1.0" encoding="UTF-8" standalone="yes"?>
<Relationships xmlns="http://schemas.openxmlformats.org/package/2006/relationships"><Relationship Id="rId1" Type="http://schemas.openxmlformats.org/officeDocument/2006/relationships/chart" Target="../charts/chart9.xml"/></Relationships>
</file>

<file path=xl/drawings/_rels/drawing6.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xdr:from>
      <xdr:col>1</xdr:col>
      <xdr:colOff>165100</xdr:colOff>
      <xdr:row>16</xdr:row>
      <xdr:rowOff>88898</xdr:rowOff>
    </xdr:from>
    <xdr:to>
      <xdr:col>19</xdr:col>
      <xdr:colOff>431800</xdr:colOff>
      <xdr:row>40</xdr:row>
      <xdr:rowOff>186265</xdr:rowOff>
    </xdr:to>
    <xdr:graphicFrame macro="">
      <xdr:nvGraphicFramePr>
        <xdr:cNvPr id="2" name="Chart 1">
          <a:extLst>
            <a:ext uri="{FF2B5EF4-FFF2-40B4-BE49-F238E27FC236}">
              <a16:creationId xmlns:a16="http://schemas.microsoft.com/office/drawing/2014/main" id="{50875D04-D193-7346-A76E-B3581E8560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501650</xdr:colOff>
      <xdr:row>26</xdr:row>
      <xdr:rowOff>120650</xdr:rowOff>
    </xdr:from>
    <xdr:to>
      <xdr:col>19</xdr:col>
      <xdr:colOff>444500</xdr:colOff>
      <xdr:row>54</xdr:row>
      <xdr:rowOff>25400</xdr:rowOff>
    </xdr:to>
    <xdr:graphicFrame macro="">
      <xdr:nvGraphicFramePr>
        <xdr:cNvPr id="3" name="Chart 2">
          <a:extLst>
            <a:ext uri="{FF2B5EF4-FFF2-40B4-BE49-F238E27FC236}">
              <a16:creationId xmlns:a16="http://schemas.microsoft.com/office/drawing/2014/main" id="{C75179EA-6847-3B40-8C16-6B6F844FF9B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476250</xdr:colOff>
      <xdr:row>54</xdr:row>
      <xdr:rowOff>158750</xdr:rowOff>
    </xdr:from>
    <xdr:to>
      <xdr:col>15</xdr:col>
      <xdr:colOff>457200</xdr:colOff>
      <xdr:row>72</xdr:row>
      <xdr:rowOff>25400</xdr:rowOff>
    </xdr:to>
    <xdr:graphicFrame macro="">
      <xdr:nvGraphicFramePr>
        <xdr:cNvPr id="4" name="Chart 3">
          <a:extLst>
            <a:ext uri="{FF2B5EF4-FFF2-40B4-BE49-F238E27FC236}">
              <a16:creationId xmlns:a16="http://schemas.microsoft.com/office/drawing/2014/main" id="{F9ADB8E0-69B6-8A49-BA40-019A4F8FBB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561974</xdr:colOff>
      <xdr:row>54</xdr:row>
      <xdr:rowOff>161924</xdr:rowOff>
    </xdr:from>
    <xdr:to>
      <xdr:col>27</xdr:col>
      <xdr:colOff>590550</xdr:colOff>
      <xdr:row>71</xdr:row>
      <xdr:rowOff>190499</xdr:rowOff>
    </xdr:to>
    <xdr:graphicFrame macro="">
      <xdr:nvGraphicFramePr>
        <xdr:cNvPr id="5" name="Chart 4">
          <a:extLst>
            <a:ext uri="{FF2B5EF4-FFF2-40B4-BE49-F238E27FC236}">
              <a16:creationId xmlns:a16="http://schemas.microsoft.com/office/drawing/2014/main" id="{509A1806-5ED2-4E10-8708-C53DE0CE95D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863600</xdr:colOff>
      <xdr:row>81</xdr:row>
      <xdr:rowOff>57150</xdr:rowOff>
    </xdr:from>
    <xdr:to>
      <xdr:col>16</xdr:col>
      <xdr:colOff>63500</xdr:colOff>
      <xdr:row>99</xdr:row>
      <xdr:rowOff>114300</xdr:rowOff>
    </xdr:to>
    <xdr:graphicFrame macro="">
      <xdr:nvGraphicFramePr>
        <xdr:cNvPr id="2" name="Chart 1">
          <a:extLst>
            <a:ext uri="{FF2B5EF4-FFF2-40B4-BE49-F238E27FC236}">
              <a16:creationId xmlns:a16="http://schemas.microsoft.com/office/drawing/2014/main" id="{0DF938B7-6CFC-4448-B579-C64C8315D39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xdr:col>
      <xdr:colOff>596900</xdr:colOff>
      <xdr:row>7</xdr:row>
      <xdr:rowOff>76200</xdr:rowOff>
    </xdr:from>
    <xdr:to>
      <xdr:col>16</xdr:col>
      <xdr:colOff>457200</xdr:colOff>
      <xdr:row>30</xdr:row>
      <xdr:rowOff>165100</xdr:rowOff>
    </xdr:to>
    <xdr:graphicFrame macro="">
      <xdr:nvGraphicFramePr>
        <xdr:cNvPr id="3" name="Chart 2">
          <a:extLst>
            <a:ext uri="{FF2B5EF4-FFF2-40B4-BE49-F238E27FC236}">
              <a16:creationId xmlns:a16="http://schemas.microsoft.com/office/drawing/2014/main" id="{19C824AE-6EA8-8347-BAD4-9527B512DBA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368300</xdr:colOff>
      <xdr:row>2</xdr:row>
      <xdr:rowOff>101600</xdr:rowOff>
    </xdr:from>
    <xdr:to>
      <xdr:col>14</xdr:col>
      <xdr:colOff>50800</xdr:colOff>
      <xdr:row>29</xdr:row>
      <xdr:rowOff>177800</xdr:rowOff>
    </xdr:to>
    <xdr:graphicFrame macro="">
      <xdr:nvGraphicFramePr>
        <xdr:cNvPr id="2" name="Chart 1">
          <a:extLst>
            <a:ext uri="{FF2B5EF4-FFF2-40B4-BE49-F238E27FC236}">
              <a16:creationId xmlns:a16="http://schemas.microsoft.com/office/drawing/2014/main" id="{F8814631-1CDE-5A42-8B9B-EB636CB56BD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488950</xdr:colOff>
      <xdr:row>31</xdr:row>
      <xdr:rowOff>12700</xdr:rowOff>
    </xdr:from>
    <xdr:to>
      <xdr:col>14</xdr:col>
      <xdr:colOff>63500</xdr:colOff>
      <xdr:row>45</xdr:row>
      <xdr:rowOff>88900</xdr:rowOff>
    </xdr:to>
    <xdr:graphicFrame macro="">
      <xdr:nvGraphicFramePr>
        <xdr:cNvPr id="3" name="Chart 2">
          <a:extLst>
            <a:ext uri="{FF2B5EF4-FFF2-40B4-BE49-F238E27FC236}">
              <a16:creationId xmlns:a16="http://schemas.microsoft.com/office/drawing/2014/main" id="{4CD61E64-58F8-ED4A-8280-75A92661D3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297543</xdr:colOff>
      <xdr:row>10</xdr:row>
      <xdr:rowOff>27214</xdr:rowOff>
    </xdr:from>
    <xdr:to>
      <xdr:col>11</xdr:col>
      <xdr:colOff>335643</xdr:colOff>
      <xdr:row>31</xdr:row>
      <xdr:rowOff>99786</xdr:rowOff>
    </xdr:to>
    <xdr:graphicFrame macro="">
      <xdr:nvGraphicFramePr>
        <xdr:cNvPr id="3" name="Chart 2">
          <a:extLst>
            <a:ext uri="{FF2B5EF4-FFF2-40B4-BE49-F238E27FC236}">
              <a16:creationId xmlns:a16="http://schemas.microsoft.com/office/drawing/2014/main" id="{4CB763BC-2FBE-D840-ADFE-208FFD38CE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19</xdr:col>
      <xdr:colOff>463550</xdr:colOff>
      <xdr:row>49</xdr:row>
      <xdr:rowOff>88900</xdr:rowOff>
    </xdr:from>
    <xdr:to>
      <xdr:col>32</xdr:col>
      <xdr:colOff>25400</xdr:colOff>
      <xdr:row>78</xdr:row>
      <xdr:rowOff>184150</xdr:rowOff>
    </xdr:to>
    <xdr:graphicFrame macro="">
      <xdr:nvGraphicFramePr>
        <xdr:cNvPr id="3" name="Chart 2">
          <a:extLst>
            <a:ext uri="{FF2B5EF4-FFF2-40B4-BE49-F238E27FC236}">
              <a16:creationId xmlns:a16="http://schemas.microsoft.com/office/drawing/2014/main" id="{878C7E0C-7E4E-CF42-B8F5-1E01F16D27F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4</xdr:col>
      <xdr:colOff>25400</xdr:colOff>
      <xdr:row>3</xdr:row>
      <xdr:rowOff>25400</xdr:rowOff>
    </xdr:from>
    <xdr:to>
      <xdr:col>17</xdr:col>
      <xdr:colOff>457200</xdr:colOff>
      <xdr:row>33</xdr:row>
      <xdr:rowOff>88900</xdr:rowOff>
    </xdr:to>
    <xdr:graphicFrame macro="">
      <xdr:nvGraphicFramePr>
        <xdr:cNvPr id="2" name="Chart 1">
          <a:extLst>
            <a:ext uri="{FF2B5EF4-FFF2-40B4-BE49-F238E27FC236}">
              <a16:creationId xmlns:a16="http://schemas.microsoft.com/office/drawing/2014/main" id="{E04A61D5-CF6E-8D49-9103-0264A8CB7A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913"/>
  <sheetViews>
    <sheetView topLeftCell="BJ1" workbookViewId="0">
      <pane ySplit="1" topLeftCell="A2" activePane="bottomLeft" state="frozen"/>
      <selection activeCell="C1" sqref="C1"/>
      <selection pane="bottomLeft" activeCell="CC4" sqref="CC4"/>
    </sheetView>
  </sheetViews>
  <sheetFormatPr baseColWidth="10" defaultColWidth="8.83203125" defaultRowHeight="15" x14ac:dyDescent="0.2"/>
  <cols>
    <col min="1" max="1" width="11" customWidth="1"/>
    <col min="4" max="4" width="18.6640625" hidden="1" customWidth="1"/>
    <col min="5" max="5" width="11.6640625" hidden="1" customWidth="1"/>
    <col min="6" max="6" width="5" hidden="1" customWidth="1"/>
    <col min="7" max="7" width="23.83203125" hidden="1" customWidth="1"/>
    <col min="8" max="8" width="10.6640625" hidden="1" customWidth="1"/>
    <col min="9" max="9" width="11.6640625" hidden="1" customWidth="1"/>
    <col min="10" max="10" width="10.1640625" hidden="1" customWidth="1"/>
    <col min="11" max="11" width="14.33203125" customWidth="1"/>
    <col min="12" max="12" width="11.1640625" customWidth="1"/>
    <col min="13" max="13" width="8.83203125" customWidth="1"/>
    <col min="14" max="14" width="13.83203125" customWidth="1"/>
    <col min="15" max="15" width="12.33203125" customWidth="1"/>
    <col min="16" max="16" width="16.5" hidden="1" customWidth="1"/>
    <col min="17" max="17" width="16" hidden="1" customWidth="1"/>
    <col min="18" max="18" width="14.5" hidden="1" customWidth="1"/>
    <col min="19" max="19" width="16.5" hidden="1" customWidth="1"/>
    <col min="20" max="20" width="15.1640625" hidden="1" customWidth="1"/>
    <col min="21" max="21" width="19" customWidth="1"/>
    <col min="22" max="22" width="4.83203125" hidden="1" customWidth="1"/>
    <col min="23" max="23" width="7.5" customWidth="1"/>
    <col min="24" max="24" width="13" customWidth="1"/>
    <col min="25" max="25" width="8.83203125" customWidth="1"/>
    <col min="27" max="28" width="0" hidden="1" customWidth="1"/>
    <col min="29" max="29" width="8.83203125" customWidth="1"/>
    <col min="30" max="30" width="11.83203125" customWidth="1"/>
    <col min="31" max="31" width="16.33203125" customWidth="1"/>
    <col min="32" max="33" width="13" customWidth="1"/>
    <col min="34" max="34" width="24.6640625" customWidth="1"/>
    <col min="35" max="35" width="0" hidden="1" customWidth="1"/>
    <col min="36" max="36" width="14.1640625" hidden="1" customWidth="1"/>
    <col min="37" max="37" width="15.6640625" customWidth="1"/>
    <col min="38" max="38" width="14.5" customWidth="1"/>
    <col min="39" max="39" width="8.83203125" customWidth="1"/>
    <col min="41" max="41" width="18.1640625" customWidth="1"/>
    <col min="42" max="42" width="19.1640625" customWidth="1"/>
    <col min="43" max="43" width="15" customWidth="1"/>
    <col min="46" max="46" width="13.1640625" customWidth="1"/>
    <col min="47" max="47" width="13.33203125" customWidth="1"/>
    <col min="48" max="51" width="8.83203125" customWidth="1"/>
    <col min="52" max="52" width="11.5" customWidth="1"/>
    <col min="53" max="53" width="8.83203125" customWidth="1"/>
    <col min="54" max="54" width="11.6640625" customWidth="1"/>
    <col min="55" max="55" width="8.83203125" customWidth="1"/>
    <col min="56" max="56" width="20.1640625" customWidth="1"/>
    <col min="57" max="57" width="18.1640625" customWidth="1"/>
    <col min="59" max="59" width="11.5" customWidth="1"/>
    <col min="60" max="60" width="17.5" customWidth="1"/>
    <col min="61" max="61" width="15.83203125" customWidth="1"/>
    <col min="63" max="63" width="21.33203125" customWidth="1"/>
    <col min="64" max="64" width="19.5" customWidth="1"/>
    <col min="65" max="65" width="11" bestFit="1" customWidth="1"/>
    <col min="66" max="66" width="34.6640625" customWidth="1"/>
    <col min="67" max="67" width="17.1640625" customWidth="1"/>
    <col min="68" max="68" width="12" hidden="1" customWidth="1"/>
    <col min="69" max="70" width="23.5" customWidth="1"/>
    <col min="72" max="72" width="19.6640625" customWidth="1"/>
    <col min="73" max="73" width="20.6640625" customWidth="1"/>
    <col min="74" max="74" width="12.5" customWidth="1"/>
    <col min="75" max="75" width="21.1640625" customWidth="1"/>
    <col min="78" max="78" width="17.33203125" customWidth="1"/>
    <col min="79" max="79" width="21.83203125" customWidth="1"/>
    <col min="80" max="80" width="17.6640625" customWidth="1"/>
    <col min="81" max="81" width="11.5" customWidth="1"/>
    <col min="82" max="82" width="18" customWidth="1"/>
    <col min="84" max="84" width="11.6640625" bestFit="1" customWidth="1"/>
  </cols>
  <sheetData>
    <row r="1" spans="1:85" ht="16" thickBot="1" x14ac:dyDescent="0.25">
      <c r="D1" s="59" t="s">
        <v>57</v>
      </c>
      <c r="E1" s="25" t="s">
        <v>0</v>
      </c>
      <c r="F1" s="25" t="s">
        <v>1</v>
      </c>
      <c r="G1" s="25" t="s">
        <v>2</v>
      </c>
      <c r="H1" s="25" t="s">
        <v>3</v>
      </c>
      <c r="I1" s="60" t="s">
        <v>4</v>
      </c>
      <c r="J1" s="61" t="s">
        <v>5</v>
      </c>
      <c r="K1" s="62" t="s">
        <v>42</v>
      </c>
      <c r="L1" s="63" t="s">
        <v>43</v>
      </c>
      <c r="M1" s="5" t="s">
        <v>44</v>
      </c>
      <c r="N1" s="16" t="s">
        <v>45</v>
      </c>
      <c r="O1" s="6" t="s">
        <v>46</v>
      </c>
      <c r="P1" s="67" t="s">
        <v>55</v>
      </c>
      <c r="Q1" s="68" t="s">
        <v>56</v>
      </c>
      <c r="R1" s="69" t="s">
        <v>58</v>
      </c>
      <c r="S1" s="67" t="s">
        <v>59</v>
      </c>
      <c r="T1" s="69" t="s">
        <v>60</v>
      </c>
      <c r="U1" s="147" t="s">
        <v>78</v>
      </c>
      <c r="V1" s="31" t="s">
        <v>67</v>
      </c>
      <c r="W1" s="69" t="s">
        <v>83</v>
      </c>
      <c r="X1" s="68" t="s">
        <v>82</v>
      </c>
      <c r="Y1" s="68" t="s">
        <v>1</v>
      </c>
      <c r="Z1" s="68" t="s">
        <v>86</v>
      </c>
      <c r="AA1" s="68" t="s">
        <v>1</v>
      </c>
      <c r="AB1" s="68" t="s">
        <v>87</v>
      </c>
      <c r="AC1" s="68" t="s">
        <v>87</v>
      </c>
      <c r="AD1" s="68" t="s">
        <v>88</v>
      </c>
      <c r="AE1" s="32" t="s">
        <v>90</v>
      </c>
      <c r="AF1" s="157" t="s">
        <v>89</v>
      </c>
      <c r="AG1" s="149" t="s">
        <v>5</v>
      </c>
      <c r="AH1" s="150" t="s">
        <v>91</v>
      </c>
      <c r="AI1" s="5"/>
      <c r="AJ1" s="32" t="s">
        <v>92</v>
      </c>
      <c r="AK1" s="68" t="s">
        <v>93</v>
      </c>
      <c r="AL1" s="69" t="s">
        <v>94</v>
      </c>
      <c r="AM1" s="17"/>
      <c r="AN1" s="31" t="s">
        <v>111</v>
      </c>
      <c r="AO1" s="69" t="s">
        <v>112</v>
      </c>
      <c r="AP1" s="67" t="s">
        <v>113</v>
      </c>
      <c r="AQ1" s="69" t="s">
        <v>162</v>
      </c>
      <c r="AR1" s="67" t="s">
        <v>116</v>
      </c>
      <c r="AS1" s="69" t="s">
        <v>110</v>
      </c>
      <c r="AT1" s="67" t="s">
        <v>117</v>
      </c>
      <c r="AU1" s="69" t="s">
        <v>118</v>
      </c>
      <c r="AV1" s="58"/>
      <c r="AZ1" s="5"/>
      <c r="BA1" s="16"/>
      <c r="BB1" s="32" t="s">
        <v>140</v>
      </c>
      <c r="BC1" s="32" t="s">
        <v>141</v>
      </c>
      <c r="BD1" s="32" t="s">
        <v>142</v>
      </c>
      <c r="BE1" s="32" t="s">
        <v>143</v>
      </c>
      <c r="BF1" s="32" t="s">
        <v>145</v>
      </c>
      <c r="BG1" s="33" t="s">
        <v>144</v>
      </c>
      <c r="BH1" s="67" t="s">
        <v>160</v>
      </c>
      <c r="BI1" s="149" t="s">
        <v>163</v>
      </c>
      <c r="BJ1" s="16"/>
      <c r="BK1" s="16"/>
      <c r="BL1" s="16"/>
      <c r="BM1" s="32"/>
      <c r="BN1" s="16"/>
      <c r="BO1" s="16" t="s">
        <v>175</v>
      </c>
      <c r="BP1" s="16" t="s">
        <v>164</v>
      </c>
      <c r="BQ1" s="16" t="s">
        <v>171</v>
      </c>
      <c r="BR1" s="16" t="s">
        <v>170</v>
      </c>
      <c r="BS1" s="16"/>
      <c r="BT1" s="6" t="s">
        <v>174</v>
      </c>
      <c r="BU1" s="153" t="s">
        <v>182</v>
      </c>
      <c r="BV1" t="s">
        <v>173</v>
      </c>
      <c r="BW1" t="s">
        <v>179</v>
      </c>
      <c r="BX1" t="s">
        <v>143</v>
      </c>
      <c r="BZ1" t="s">
        <v>188</v>
      </c>
      <c r="CB1" t="s">
        <v>183</v>
      </c>
      <c r="CC1" t="s">
        <v>189</v>
      </c>
      <c r="CD1" t="s">
        <v>190</v>
      </c>
    </row>
    <row r="2" spans="1:85" x14ac:dyDescent="0.2">
      <c r="D2" s="22">
        <f>ASIN((N2)/(G3-G2))</f>
        <v>0</v>
      </c>
      <c r="E2" s="23">
        <v>9.0017015999999987</v>
      </c>
      <c r="F2" s="23">
        <f>IF(K2&lt;6,1,IF(Data!K2&lt;9,2,IF(K2&gt;9,3)))</f>
        <v>3</v>
      </c>
      <c r="G2" s="23">
        <v>716.13848212331607</v>
      </c>
      <c r="H2" s="23">
        <v>210.86666499999998</v>
      </c>
      <c r="I2" s="64">
        <v>27.474246486239302</v>
      </c>
      <c r="J2" s="65">
        <f>(I3-I2)/(H3-H2)</f>
        <v>1.5462386933438703</v>
      </c>
      <c r="K2" s="65">
        <f>I2/2.5</f>
        <v>10.989698594495721</v>
      </c>
      <c r="L2" s="65">
        <f>(K3-K2)/(H3-H2)</f>
        <v>0.61849547733754096</v>
      </c>
      <c r="M2">
        <f>2*E2</f>
        <v>18.003403199999997</v>
      </c>
      <c r="N2">
        <f>E3-E2</f>
        <v>0</v>
      </c>
      <c r="O2">
        <f>IF(L2&lt;'Vehicle Data'!F$21,'Vehicle Data'!C$21,IF(L2&gt;'Vehicle Data'!C$21,'Vehicle Data'!C$20))</f>
        <v>0.6</v>
      </c>
      <c r="P2">
        <f>('Vehicle Data'!C$6*9.81*'Vehicle Data'!C$5*SIN(D2))/'Vehicle Data'!C$9</f>
        <v>0</v>
      </c>
      <c r="Q2" s="107">
        <f>'Vehicle Data'!C$6*9.81*SIN(D2)</f>
        <v>0</v>
      </c>
      <c r="R2">
        <f>G2</f>
        <v>716.13848212331607</v>
      </c>
      <c r="S2">
        <f>IF(Data!O2=0.6,'Vehicle Data'!E$21,IF(Data!O2 = 0.9,'Vehicle Data'!E$20))+(P2*O2)</f>
        <v>1550.3723999999997</v>
      </c>
      <c r="T2">
        <f>IF(F2=3,'Vehicle Data'!H$16,IF(F2=2,'Vehicle Data'!H$15,IF(F2 = 1,'Vehicle Data'!G$14)))</f>
        <v>466.23005239380637</v>
      </c>
      <c r="U2" s="148">
        <f>R2-R$2</f>
        <v>0</v>
      </c>
      <c r="V2" s="70" t="s">
        <v>76</v>
      </c>
      <c r="W2" s="99" t="s">
        <v>84</v>
      </c>
      <c r="X2">
        <f>IF(V2="S",'Vehicle Data'!C$14,IF(Data!V2 = "T1",'Vehicle Data'!P$2,IF(Data!V2="T2",'Vehicle Data'!P$3)))</f>
        <v>13.411199999999999</v>
      </c>
      <c r="Z2">
        <v>8.3000000000000007</v>
      </c>
      <c r="AA2">
        <v>1</v>
      </c>
      <c r="AC2">
        <f>IF(Z2&lt;Data!C$16,'Vehicle Data'!I$14,IF(Z2&lt;'Vehicle Data'!C$15,'Vehicle Data'!I$15,IF(Z$2&gt;'Vehicle Data'!C$15,'Vehicle Data'!I$16)))</f>
        <v>0.98256251041858167</v>
      </c>
      <c r="AD2">
        <f>IF(O2=0.6,'Vehicle Data'!F$21,IF(O2=0.9,'Vehicle Data'!F$20))</f>
        <v>3.5315999999999996</v>
      </c>
      <c r="AE2" s="100">
        <f>IF(W2="a",AC2,IF(W2="b",AD2*-1))</f>
        <v>0.98256251041858167</v>
      </c>
      <c r="AF2" s="158"/>
      <c r="AG2" s="148"/>
      <c r="AH2" s="151">
        <v>0</v>
      </c>
      <c r="AJ2">
        <f>(Z2^2)*'Vehicle Data'!C$31</f>
        <v>25.317075000000013</v>
      </c>
      <c r="AK2">
        <f>IF(O2=0.6,'Vehicle Data'!C$6*'Vehicle Data'!D$21*9.81,IF(O2=0.9,'Vehicle Data'!C$6*9.81*'Vehicle Data'!D$20))</f>
        <v>86.131799999999998</v>
      </c>
      <c r="AL2">
        <f>AJ2+AK2+Q2</f>
        <v>111.44887500000002</v>
      </c>
      <c r="AO2" s="28"/>
      <c r="BI2" s="148"/>
      <c r="BP2">
        <v>0</v>
      </c>
      <c r="BZ2">
        <f>AH2</f>
        <v>0</v>
      </c>
      <c r="CD2">
        <v>0</v>
      </c>
    </row>
    <row r="3" spans="1:85" ht="16" thickBot="1" x14ac:dyDescent="0.25">
      <c r="D3" s="22">
        <f t="shared" ref="D3:D66" si="0">ASIN((N3)/(G4-G3))</f>
        <v>0</v>
      </c>
      <c r="E3" s="23">
        <v>9.0017015999999987</v>
      </c>
      <c r="F3" s="23">
        <f>IF(K3&lt;6,1,IF(Data!K3&lt;9,2,IF(K3&gt;9,3)))</f>
        <v>3</v>
      </c>
      <c r="G3" s="23">
        <v>717.46095363005361</v>
      </c>
      <c r="H3" s="23">
        <v>210.91666499999999</v>
      </c>
      <c r="I3" s="64">
        <v>27.551558420906513</v>
      </c>
      <c r="J3" s="65">
        <f t="shared" ref="J3:J66" si="1">(I4-I3)/(H4-H3)</f>
        <v>1.8093116210705549</v>
      </c>
      <c r="K3" s="65">
        <f t="shared" ref="K3:K66" si="2">I3/2.5</f>
        <v>11.020623368362605</v>
      </c>
      <c r="L3" s="65">
        <f t="shared" ref="L3:L66" si="3">(K4-K3)/(H4-H3)</f>
        <v>0.72372464842821482</v>
      </c>
      <c r="M3">
        <f t="shared" ref="M3:M66" si="4">2*E3</f>
        <v>18.003403199999997</v>
      </c>
      <c r="N3">
        <f t="shared" ref="N3:N66" si="5">E4-E3</f>
        <v>0</v>
      </c>
      <c r="O3">
        <f>IF(L3&lt;'Vehicle Data'!F$21,'Vehicle Data'!C$21,IF(L3&gt;'Vehicle Data'!C$21,'Vehicle Data'!C$20))</f>
        <v>0.6</v>
      </c>
      <c r="P3">
        <f>('Vehicle Data'!C$6*9.81*'Vehicle Data'!C$5*SIN(D3))/'Vehicle Data'!C$9</f>
        <v>0</v>
      </c>
      <c r="Q3" s="107">
        <f>'Vehicle Data'!C$6*9.81*SIN(D3)</f>
        <v>0</v>
      </c>
      <c r="R3">
        <f t="shared" ref="R3:R65" si="6">G2</f>
        <v>716.13848212331607</v>
      </c>
      <c r="S3">
        <f>IF(Data!O3=0.6,'Vehicle Data'!E$21,IF(Data!O3 = 0.9,'Vehicle Data'!E$20))+(P3*O3)</f>
        <v>1550.3723999999997</v>
      </c>
      <c r="T3">
        <f>IF(F3=3,'Vehicle Data'!H$16,IF(F3=2,'Vehicle Data'!H$15,IF(F3 = 1,'Vehicle Data'!G$14)))</f>
        <v>466.23005239380637</v>
      </c>
      <c r="U3" s="148">
        <f t="shared" ref="U3:U66" si="7">R3-R$2</f>
        <v>0</v>
      </c>
      <c r="V3" s="70" t="s">
        <v>76</v>
      </c>
      <c r="W3" s="99" t="s">
        <v>84</v>
      </c>
      <c r="X3">
        <f>IF(V3="S",'Vehicle Data'!C$14,IF(Data!V3 = "T1",'Vehicle Data'!P$2,IF(Data!V3="T2",'Vehicle Data'!P$3)))</f>
        <v>13.411199999999999</v>
      </c>
      <c r="Z3">
        <f t="shared" ref="Z3:Z68" si="8">SQRT(Z2^2+2*AE2*(U3-U2))</f>
        <v>8.3000000000000007</v>
      </c>
      <c r="AA3">
        <v>1</v>
      </c>
      <c r="AB3">
        <f>IF(AA3=1,'Vehicle Data'!I$14,IF(AA3=2,'Vehicle Data'!I$15,IF(AA3=3,'Vehicle Data'!I$16)))</f>
        <v>1.773843765627872</v>
      </c>
      <c r="AC3">
        <f>IF(Z3&lt;'Vehicle Data'!C$16,'Vehicle Data'!I$15,IF(Z3&lt;'Vehicle Data'!C$15,'Vehicle Data'!I$15,IF(Z2&gt;'Vehicle Data'!C$15,'Vehicle Data'!I$16)))</f>
        <v>0.98256251041858167</v>
      </c>
      <c r="AD3">
        <f>IF(O3=0.6,'Vehicle Data'!F$21,IF(O3=0.9,'Vehicle Data'!F$20))</f>
        <v>3.5315999999999996</v>
      </c>
      <c r="AE3" s="100">
        <f t="shared" ref="AE3:AE66" si="9">IF(W3="a",AC3,IF(W3="b",AD3*-1))</f>
        <v>0.98256251041858167</v>
      </c>
      <c r="AF3" s="158">
        <f>(U4-U3)/Z4</f>
        <v>0.15641098600795228</v>
      </c>
      <c r="AG3" s="148">
        <f>(Z3-Z2)/AF3</f>
        <v>0</v>
      </c>
      <c r="AH3" s="148">
        <v>0</v>
      </c>
      <c r="AJ3">
        <f>(Z3^2)*'Vehicle Data'!C$31</f>
        <v>25.317075000000013</v>
      </c>
      <c r="AK3">
        <f>IF(O3=0.6,'Vehicle Data'!C$6*'Vehicle Data'!D$21*9.81,IF(O3=0.9,'Vehicle Data'!C$6*9.81*'Vehicle Data'!D$20))</f>
        <v>86.131799999999998</v>
      </c>
      <c r="AL3">
        <f t="shared" ref="AL3:AL66" si="10">AJ3+AK3+Q3</f>
        <v>111.44887500000002</v>
      </c>
      <c r="AO3">
        <f>AN3+AL3</f>
        <v>111.44887500000002</v>
      </c>
      <c r="AP3">
        <f>AO3*'Vehicle Data'!F$3</f>
        <v>28.486332450000003</v>
      </c>
      <c r="AQ3">
        <f>IF(AE3='Vehicle Data'!I$15,AP3/'Vehicle Data'!G$15,IF(AE3='Vehicle Data'!I$16,AP3/'Vehicle Data'!G$16,IF(AE3='Vehicle Data'!I$14,Data!AP3/'Vehicle Data'!G14)))</f>
        <v>3.5291732282085442</v>
      </c>
      <c r="AX3" s="28" t="s">
        <v>138</v>
      </c>
      <c r="AZ3" s="28" t="s">
        <v>137</v>
      </c>
      <c r="BA3" s="28" t="s">
        <v>139</v>
      </c>
      <c r="BB3" s="28" t="s">
        <v>114</v>
      </c>
      <c r="BC3">
        <f>0.5*'Vehicle Data'!C$6*Data!Z3^2</f>
        <v>15121.355000000003</v>
      </c>
      <c r="BD3">
        <f>ABS(AQ4*(AS4/9.588))/1000</f>
        <v>13.717550598305525</v>
      </c>
      <c r="BG3">
        <f>BG2+BF3</f>
        <v>0</v>
      </c>
      <c r="BH3">
        <f>(AQ4*AR4)</f>
        <v>2192.0645856092228</v>
      </c>
      <c r="BI3" s="148">
        <f>BM$9</f>
        <v>6871.6622130335309</v>
      </c>
      <c r="BO3">
        <f>BH3*AF4</f>
        <v>342.86298322825189</v>
      </c>
      <c r="BP3">
        <f>IF(BO3&gt;0,BP2+BO3)</f>
        <v>342.86298322825189</v>
      </c>
      <c r="BQ3">
        <f>IF(BO3&gt;0,BQ2+BO3,IF(BO3&lt;=0,BQ2))</f>
        <v>342.86298322825189</v>
      </c>
      <c r="BR3" s="148">
        <f>(BM$9*AF4)+BR2</f>
        <v>1074.803462254162</v>
      </c>
      <c r="BS3" s="156">
        <f>IF(BO3&gt;0,BO3)</f>
        <v>342.86298322825189</v>
      </c>
      <c r="BT3" s="156">
        <f>IF(BH3&gt;=0,BH3, IF(BH3&lt;0,0))</f>
        <v>2192.0645856092228</v>
      </c>
      <c r="BU3">
        <f>BI3*AF4</f>
        <v>1074.803462254162</v>
      </c>
      <c r="BV3">
        <f>BM$9*AF4</f>
        <v>1074.803462254162</v>
      </c>
      <c r="BW3" s="148">
        <f>BN$9</f>
        <v>455.4</v>
      </c>
      <c r="BX3" s="148">
        <f>BW3*BI3</f>
        <v>3129354.9718154697</v>
      </c>
      <c r="BY3" s="148">
        <f>((BX3/3600)*AF4)/1000</f>
        <v>0.13596263797515146</v>
      </c>
      <c r="BZ3">
        <f t="shared" ref="BZ3:BZ66" si="11">AH3</f>
        <v>0</v>
      </c>
      <c r="CB3">
        <f>BU3-BS3</f>
        <v>731.94047902591012</v>
      </c>
      <c r="CC3" s="162"/>
      <c r="CD3">
        <v>0</v>
      </c>
    </row>
    <row r="4" spans="1:85" ht="16" thickBot="1" x14ac:dyDescent="0.25">
      <c r="A4" s="5" t="s">
        <v>6</v>
      </c>
      <c r="B4" s="6"/>
      <c r="D4" s="22">
        <f t="shared" si="0"/>
        <v>0</v>
      </c>
      <c r="E4" s="23">
        <v>9.0017015999999987</v>
      </c>
      <c r="F4" s="23">
        <f>IF(K4&lt;6,1,IF(Data!K4&lt;9,2,IF(K4&gt;9,3)))</f>
        <v>3</v>
      </c>
      <c r="G4" s="23">
        <v>718.78397703552525</v>
      </c>
      <c r="H4" s="23">
        <v>210.96666499999998</v>
      </c>
      <c r="I4" s="64">
        <v>27.64202400196001</v>
      </c>
      <c r="J4" s="65">
        <f t="shared" si="1"/>
        <v>2.0142743258469094</v>
      </c>
      <c r="K4" s="65">
        <f t="shared" si="2"/>
        <v>11.056809600784003</v>
      </c>
      <c r="L4" s="65">
        <f t="shared" si="3"/>
        <v>0.80570973033878501</v>
      </c>
      <c r="M4">
        <f t="shared" si="4"/>
        <v>18.003403199999997</v>
      </c>
      <c r="N4">
        <f t="shared" si="5"/>
        <v>0</v>
      </c>
      <c r="O4">
        <f>IF(L4&lt;'Vehicle Data'!F$21,'Vehicle Data'!C$21,IF(L4&gt;'Vehicle Data'!C$21,'Vehicle Data'!C$20))</f>
        <v>0.6</v>
      </c>
      <c r="P4">
        <f>('Vehicle Data'!C$6*9.81*'Vehicle Data'!C$5*SIN(D4))/'Vehicle Data'!C$9</f>
        <v>0</v>
      </c>
      <c r="Q4" s="107">
        <f>'Vehicle Data'!C$6*9.81*SIN(D4)</f>
        <v>0</v>
      </c>
      <c r="R4">
        <f t="shared" si="6"/>
        <v>717.46095363005361</v>
      </c>
      <c r="S4">
        <f>IF(Data!O4=0.6,'Vehicle Data'!E$21,IF(Data!O4 = 0.9,'Vehicle Data'!E$20))+(P4*O4)</f>
        <v>1550.3723999999997</v>
      </c>
      <c r="T4">
        <f>IF(F4=3,'Vehicle Data'!H$16,IF(F4=2,'Vehicle Data'!H$15,IF(F4 = 1,'Vehicle Data'!G$14)))</f>
        <v>466.23005239380637</v>
      </c>
      <c r="U4" s="148">
        <f t="shared" si="7"/>
        <v>1.3224715067375428</v>
      </c>
      <c r="V4" s="70" t="s">
        <v>76</v>
      </c>
      <c r="W4" s="99" t="s">
        <v>84</v>
      </c>
      <c r="X4">
        <f>IF(V4="S",'Vehicle Data'!C$14,IF(Data!V4 = "T1",'Vehicle Data'!P$2,IF(Data!V4="T2",'Vehicle Data'!P$3)))</f>
        <v>13.411199999999999</v>
      </c>
      <c r="Z4">
        <f t="shared" si="8"/>
        <v>8.4551062587784305</v>
      </c>
      <c r="AA4">
        <v>1</v>
      </c>
      <c r="AB4">
        <f>IF(AA4=1,'Vehicle Data'!I$14,IF(AA4=2,'Vehicle Data'!I$15,IF(AA4=3,'Vehicle Data'!I$16)))</f>
        <v>1.773843765627872</v>
      </c>
      <c r="AC4">
        <f>IF(Z4&lt;'Vehicle Data'!C$16,'Vehicle Data'!I$15,IF(Z4&lt;'Vehicle Data'!C$15,'Vehicle Data'!I$15,IF(Z3&gt;'Vehicle Data'!C$15,'Vehicle Data'!I$16)))</f>
        <v>0.98256251041858167</v>
      </c>
      <c r="AD4">
        <f>IF(O4=0.6,'Vehicle Data'!F$21,IF(O4=0.9,'Vehicle Data'!F$20))</f>
        <v>3.5315999999999996</v>
      </c>
      <c r="AE4" s="100">
        <f t="shared" si="9"/>
        <v>0.98256251041858167</v>
      </c>
      <c r="AF4" s="158">
        <f>(U4-U3)/Z4</f>
        <v>0.15641098600795228</v>
      </c>
      <c r="AG4" s="148">
        <f t="shared" ref="AG4:AG67" si="12">(Z4-Z3)/AF4</f>
        <v>0.99165834023029442</v>
      </c>
      <c r="AH4" s="148">
        <f>AH3+AF3</f>
        <v>0.15641098600795228</v>
      </c>
      <c r="AJ4">
        <f>(Z4^2)*'Vehicle Data'!C$31</f>
        <v>26.272142028858571</v>
      </c>
      <c r="AK4">
        <f>IF(O4=0.6,'Vehicle Data'!C$6*'Vehicle Data'!D$21*9.81,IF(O4=0.9,'Vehicle Data'!C$6*9.81*'Vehicle Data'!D$20))</f>
        <v>86.131799999999998</v>
      </c>
      <c r="AL4">
        <f t="shared" si="10"/>
        <v>112.40394202885857</v>
      </c>
      <c r="AN4">
        <f>IF(AG4&gt;0,AG4*'Vehicle Data'!C$6)</f>
        <v>435.33801136109923</v>
      </c>
      <c r="AO4">
        <f t="shared" ref="AO4:AO67" si="13">AN4+AL4</f>
        <v>547.74195338995776</v>
      </c>
      <c r="AP4">
        <f>AO4*'Vehicle Data'!F$3</f>
        <v>140.00284328647319</v>
      </c>
      <c r="AQ4">
        <v>20</v>
      </c>
      <c r="AR4">
        <f>IF(Z4&lt;'Vehicle Data'!C$16, Z4*'Vehicle Data'!F$7*'Vehicle Data'!G$14,IF(Z4&lt;'Vehicle Data'!C$15,Z4*'Vehicle Data'!F$7*'Vehicle Data'!G$15,IF(Z4&gt;'Vehicle Data'!C$15,Z4*'Vehicle Data'!F$7*'Vehicle Data'!G$16)))</f>
        <v>109.60322928046114</v>
      </c>
      <c r="AS4">
        <f>AR4*60</f>
        <v>6576.193756827668</v>
      </c>
      <c r="AT4">
        <v>20</v>
      </c>
      <c r="AU4">
        <f>MROUND(AS4,500)</f>
        <v>6500</v>
      </c>
      <c r="AV4" t="e" cm="1">
        <f t="array" ref="AV4">_xlfn.XLOOKUP(AT4,BSFC!A64:A82,_xlfn.XLOOKUP(Data!AU4,BSFC!C63:Q63,BSFC!B64:Q82,,-1),,-1)</f>
        <v>#VALUE!</v>
      </c>
      <c r="AW4">
        <f>VLOOKUP(AT4,BSFC!A$64:A$82,1,FALSE)</f>
        <v>20</v>
      </c>
      <c r="AX4" t="e" cm="1">
        <f t="array" ref="AX4">_xlfn.XLOOKUP(AT4,BSFC!A$64:A$82,,-1,_xlfn.XLOOKUP(Data!AU4,BSFC!C$63:Q$63,BSFC!B$64:Q$82,,-1))</f>
        <v>#VALUE!</v>
      </c>
      <c r="AY4">
        <f>HLOOKUP(AU4,BSFC!F$63:Q$63,1)</f>
        <v>6500</v>
      </c>
      <c r="AZ4">
        <f>MATCH(AT4,BSFC!A$64:A$83,0)</f>
        <v>3</v>
      </c>
      <c r="BA4">
        <f>MATCH(AU4,BSFC!C$63:Q$63,0)</f>
        <v>13</v>
      </c>
      <c r="BB4" cm="1">
        <f t="array" ref="BB4">INDEX(BSFC!C$64:Q$82,Data!AZ4,Data!BA4)</f>
        <v>494.7</v>
      </c>
      <c r="BC4">
        <f>0.5*'Vehicle Data'!C$6*Data!Z4^2</f>
        <v>15691.796395467905</v>
      </c>
      <c r="BD4">
        <f t="shared" ref="BD4:BD67" si="14">ABS(AQ5*(AS5/9.588))/1000</f>
        <v>12.128920617799286</v>
      </c>
      <c r="BE4">
        <f>BB4*BD4</f>
        <v>6000.1770296253071</v>
      </c>
      <c r="BF4">
        <f>(BE4/3600)*AF4</f>
        <v>0.26069266817387793</v>
      </c>
      <c r="BG4">
        <f t="shared" ref="BG4:BG67" si="15">BG3+BF4</f>
        <v>0.26069266817387793</v>
      </c>
      <c r="BH4">
        <f t="shared" ref="BH4:BH22" si="16">(AQ5*AR5)</f>
        <v>1938.2015147243258</v>
      </c>
      <c r="BI4" s="148">
        <f t="shared" ref="BI4:BI67" si="17">BM$9</f>
        <v>6871.6622130335309</v>
      </c>
      <c r="BJ4" s="29" t="s">
        <v>146</v>
      </c>
      <c r="BK4" s="8"/>
      <c r="BL4" s="52" t="s">
        <v>147</v>
      </c>
      <c r="BM4" s="13"/>
      <c r="BN4" s="20" t="s">
        <v>161</v>
      </c>
      <c r="BO4">
        <f t="shared" ref="BO4:BO67" si="18">BH4*AF5</f>
        <v>297.91363866352941</v>
      </c>
      <c r="BP4">
        <f t="shared" ref="BP4:BP67" si="19">BP3+BO4</f>
        <v>640.77662189178136</v>
      </c>
      <c r="BQ4">
        <f t="shared" ref="BQ4:BQ67" si="20">IF(BO4&gt;0,BQ3+BO4,IF(BO4&lt;=0,BQ3))</f>
        <v>640.77662189178136</v>
      </c>
      <c r="BR4" s="148">
        <f t="shared" ref="BR4:BR67" si="21">(BM$9*AF5)+BR3</f>
        <v>2131.0207224303686</v>
      </c>
      <c r="BS4" s="156">
        <f t="shared" ref="BS4:BS67" si="22">IF(BO4&gt;0,BO4)</f>
        <v>297.91363866352941</v>
      </c>
      <c r="BT4" s="156">
        <f>IF(BH4&gt;=0,BH4, IF(BH4&lt;0,0))</f>
        <v>1938.2015147243258</v>
      </c>
      <c r="BU4">
        <f t="shared" ref="BU4:BU67" si="23">BI4*AF5</f>
        <v>1056.2172601762063</v>
      </c>
      <c r="BV4">
        <f t="shared" ref="BV4:BV67" si="24">BM$9*AF5</f>
        <v>1056.2172601762063</v>
      </c>
      <c r="BW4" s="148">
        <f t="shared" ref="BW4:BW67" si="25">BN$9</f>
        <v>455.4</v>
      </c>
      <c r="BX4" s="148">
        <f t="shared" ref="BX4:BX67" si="26">BW4*BI4</f>
        <v>3129354.9718154697</v>
      </c>
      <c r="BY4" s="148">
        <f t="shared" ref="BY4:BY67" si="27">((BX4/3600)*AF5)/1000</f>
        <v>0.13361148341229009</v>
      </c>
      <c r="BZ4">
        <f t="shared" si="11"/>
        <v>0.15641098600795228</v>
      </c>
      <c r="CB4">
        <f t="shared" ref="CB4:CB67" si="28">BU4-BS4</f>
        <v>758.30362151267695</v>
      </c>
      <c r="CC4" s="162">
        <f t="shared" ref="CC4:CC66" si="29">CB4/(BZ4-BZ3)</f>
        <v>4848.1480800467762</v>
      </c>
      <c r="CD4">
        <f>CB4+CD3</f>
        <v>758.30362151267695</v>
      </c>
    </row>
    <row r="5" spans="1:85" ht="16" thickBot="1" x14ac:dyDescent="0.25">
      <c r="A5" s="1" t="s">
        <v>7</v>
      </c>
      <c r="B5" s="2"/>
      <c r="D5" s="22">
        <f t="shared" si="0"/>
        <v>0</v>
      </c>
      <c r="E5" s="23">
        <v>9.0017015999999987</v>
      </c>
      <c r="F5" s="23">
        <f>IF(K5&lt;6,1,IF(Data!K5&lt;9,2,IF(K5&gt;9,3)))</f>
        <v>3</v>
      </c>
      <c r="G5" s="23">
        <v>720.11243590036793</v>
      </c>
      <c r="H5" s="23">
        <v>211.01666499999999</v>
      </c>
      <c r="I5" s="64">
        <v>27.742737718252378</v>
      </c>
      <c r="J5" s="65">
        <f t="shared" si="1"/>
        <v>2.2079901478157593</v>
      </c>
      <c r="K5" s="65">
        <f t="shared" si="2"/>
        <v>11.097095087300952</v>
      </c>
      <c r="L5" s="65">
        <f t="shared" si="3"/>
        <v>0.8831960591262823</v>
      </c>
      <c r="M5">
        <f t="shared" si="4"/>
        <v>18.003403199999997</v>
      </c>
      <c r="N5">
        <f t="shared" si="5"/>
        <v>0</v>
      </c>
      <c r="O5">
        <f>IF(L5&lt;'Vehicle Data'!F$21,'Vehicle Data'!C$21,IF(L5&gt;'Vehicle Data'!C$21,'Vehicle Data'!C$20))</f>
        <v>0.6</v>
      </c>
      <c r="P5">
        <f>('Vehicle Data'!C$6*9.81*'Vehicle Data'!C$5*SIN(D5))/'Vehicle Data'!C$9</f>
        <v>0</v>
      </c>
      <c r="Q5" s="107">
        <f>'Vehicle Data'!C$6*9.81*SIN(D5)</f>
        <v>0</v>
      </c>
      <c r="R5">
        <f t="shared" si="6"/>
        <v>718.78397703552525</v>
      </c>
      <c r="S5">
        <f>IF(Data!O5=0.6,'Vehicle Data'!E$21,IF(Data!O5 = 0.9,'Vehicle Data'!E$20))+(P5*O5)</f>
        <v>1550.3723999999997</v>
      </c>
      <c r="T5">
        <f>IF(F5=3,'Vehicle Data'!H$16,IF(F5=2,'Vehicle Data'!H$15,IF(F5 = 1,'Vehicle Data'!G$14)))</f>
        <v>466.23005239380637</v>
      </c>
      <c r="U5" s="148">
        <f t="shared" si="7"/>
        <v>2.6454949122091875</v>
      </c>
      <c r="V5" s="70" t="s">
        <v>77</v>
      </c>
      <c r="W5" s="99" t="s">
        <v>84</v>
      </c>
      <c r="X5">
        <f>IF(V5="S",'Vehicle Data'!C$14,IF(Data!V5 = "T1",'Vehicle Data'!P$2,IF(Data!V5="T2",'Vehicle Data'!P$3)))</f>
        <v>13.411199999999999</v>
      </c>
      <c r="Z5">
        <f t="shared" si="8"/>
        <v>8.6074809465069233</v>
      </c>
      <c r="AA5">
        <v>1</v>
      </c>
      <c r="AB5">
        <f>IF(AA5=1,'Vehicle Data'!I$14,IF(AA5=2,'Vehicle Data'!I$15,IF(AA5=3,'Vehicle Data'!I$16)))</f>
        <v>1.773843765627872</v>
      </c>
      <c r="AC5">
        <f>IF(Z5&lt;'Vehicle Data'!C$16,'Vehicle Data'!I$15,IF(Z5&lt;'Vehicle Data'!C$15,'Vehicle Data'!I$15,IF(Z4&gt;'Vehicle Data'!C$15,'Vehicle Data'!I$16)))</f>
        <v>0.98256251041858167</v>
      </c>
      <c r="AD5">
        <f>IF(O5=0.6,'Vehicle Data'!F$21,IF(O5=0.9,'Vehicle Data'!F$20))</f>
        <v>3.5315999999999996</v>
      </c>
      <c r="AE5" s="100">
        <f t="shared" si="9"/>
        <v>0.98256251041858167</v>
      </c>
      <c r="AF5" s="158">
        <f t="shared" ref="AF5:AF68" si="30">(U5-U4)/Z5</f>
        <v>0.1537062252816897</v>
      </c>
      <c r="AG5" s="148">
        <f t="shared" si="12"/>
        <v>0.99133712671196872</v>
      </c>
      <c r="AH5" s="148">
        <f t="shared" ref="AH5:AH68" si="31">AH4+AF5</f>
        <v>0.31011721128964198</v>
      </c>
      <c r="AJ5">
        <f>(Z5^2)*'Vehicle Data'!C$31</f>
        <v>27.227607629846307</v>
      </c>
      <c r="AK5">
        <f>IF(O5=0.6,'Vehicle Data'!C$6*'Vehicle Data'!D$21*9.81,IF(O5=0.9,'Vehicle Data'!C$6*9.81*'Vehicle Data'!D$20))</f>
        <v>86.131799999999998</v>
      </c>
      <c r="AL5">
        <f t="shared" si="10"/>
        <v>113.3594076298463</v>
      </c>
      <c r="AN5">
        <f>IF(AG5&gt;0,AG5*'Vehicle Data'!C$6)</f>
        <v>435.19699862655426</v>
      </c>
      <c r="AO5">
        <f t="shared" si="13"/>
        <v>548.55640625640058</v>
      </c>
      <c r="AP5">
        <f>AO5*'Vehicle Data'!F$3</f>
        <v>140.21101743913599</v>
      </c>
      <c r="AQ5">
        <f>IF(AE5='Vehicle Data'!I$15,AP5/'Vehicle Data'!G$15,IF(AE5='Vehicle Data'!I$16,AP5/'Vehicle Data'!G$16,IF(AE5='Vehicle Data'!I$14,Data!AP5/'Vehicle Data'!G16)))</f>
        <v>17.370750338416414</v>
      </c>
      <c r="AR5">
        <f>IF(Z5&lt;'Vehicle Data'!C$16, Z5*'Vehicle Data'!F$7*'Vehicle Data'!G$14,IF(Z5&lt;'Vehicle Data'!C$15,Z5*'Vehicle Data'!F$7*'Vehicle Data'!G$15,IF(Z5&gt;'Vehicle Data'!C$15,Z5*'Vehicle Data'!F$7*'Vehicle Data'!G$16)))</f>
        <v>111.57845671397864</v>
      </c>
      <c r="AS5">
        <f t="shared" ref="AS5:AS68" si="32">AR5*60</f>
        <v>6694.7074028387187</v>
      </c>
      <c r="AT5">
        <f t="shared" ref="AT5:AT68" si="33">ROUND(AQ5,0)</f>
        <v>17</v>
      </c>
      <c r="AU5">
        <f t="shared" ref="AU5:AU68" si="34">MROUND(AS5,500)</f>
        <v>6500</v>
      </c>
      <c r="AW5">
        <f>VLOOKUP(AT5,BSFC!A$64:A$82,1,FALSE)</f>
        <v>17</v>
      </c>
      <c r="AX5" t="e" cm="1">
        <f t="array" ref="AX5">_xlfn.XLOOKUP(AT5,BSFC!A$64:A$82,,-1,_xlfn.XLOOKUP(Data!AU5,BSFC!C$63:Q$63,BSFC!B$64:Q$82,,-1))</f>
        <v>#VALUE!</v>
      </c>
      <c r="AY5">
        <f>HLOOKUP(AU5,BSFC!F$63:Q$63,1)</f>
        <v>6500</v>
      </c>
      <c r="AZ5">
        <f>MATCH(AT5,BSFC!A$64:A$83,0)</f>
        <v>6</v>
      </c>
      <c r="BA5">
        <f>MATCH(AU5,BSFC!C$63:Q$63,0)</f>
        <v>13</v>
      </c>
      <c r="BB5" cm="1">
        <f t="array" ref="BB5">INDEX(BSFC!C$64:Q$82,Data!AZ5,Data!BA5)</f>
        <v>511.2</v>
      </c>
      <c r="BC5">
        <f>0.5*'Vehicle Data'!C$6*Data!Z5^2</f>
        <v>16262.4758496633</v>
      </c>
      <c r="BD5">
        <f t="shared" si="14"/>
        <v>12.359689836307824</v>
      </c>
      <c r="BE5">
        <f t="shared" ref="BE5:BE68" si="35">BB5*BD5</f>
        <v>6318.27344432056</v>
      </c>
      <c r="BF5">
        <f t="shared" ref="BF5:BF68" si="36">(BE5/3600)*AF5</f>
        <v>0.26976610039557042</v>
      </c>
      <c r="BG5">
        <f t="shared" si="15"/>
        <v>0.5304587685694484</v>
      </c>
      <c r="BH5">
        <f t="shared" si="16"/>
        <v>1975.0784358419901</v>
      </c>
      <c r="BI5" s="148">
        <f t="shared" si="17"/>
        <v>6871.6622130335309</v>
      </c>
      <c r="BJ5" s="11">
        <f>BG533</f>
        <v>246.35608585611223</v>
      </c>
      <c r="BK5" s="12"/>
      <c r="BL5" s="19">
        <f>SUM(AF2:AF533)</f>
        <v>184.02903966003487</v>
      </c>
      <c r="BM5" s="15"/>
      <c r="BN5" s="19"/>
      <c r="BO5">
        <f t="shared" si="18"/>
        <v>299.59648455986036</v>
      </c>
      <c r="BP5">
        <f t="shared" si="19"/>
        <v>940.37310645164166</v>
      </c>
      <c r="BQ5">
        <f t="shared" si="20"/>
        <v>940.37310645164166</v>
      </c>
      <c r="BR5" s="148">
        <f t="shared" si="21"/>
        <v>3173.3721575671843</v>
      </c>
      <c r="BS5" s="156">
        <f t="shared" si="22"/>
        <v>299.59648455986036</v>
      </c>
      <c r="BT5" s="156">
        <f t="shared" ref="BT5:BT67" si="37">IF(BH5&gt;=0,BH5, IF(BH5&lt;0,0))</f>
        <v>1975.0784358419901</v>
      </c>
      <c r="BU5">
        <f t="shared" si="23"/>
        <v>1042.351435136816</v>
      </c>
      <c r="BV5">
        <f t="shared" si="24"/>
        <v>1042.351435136816</v>
      </c>
      <c r="BW5" s="148">
        <f t="shared" si="25"/>
        <v>455.4</v>
      </c>
      <c r="BX5" s="148">
        <f t="shared" si="26"/>
        <v>3129354.9718154697</v>
      </c>
      <c r="BY5" s="148">
        <f t="shared" si="27"/>
        <v>0.13185745654480721</v>
      </c>
      <c r="BZ5">
        <f t="shared" si="11"/>
        <v>0.31011721128964198</v>
      </c>
      <c r="CB5">
        <f t="shared" si="28"/>
        <v>742.75495057695571</v>
      </c>
      <c r="CC5" s="162">
        <f t="shared" si="29"/>
        <v>4832.3023300828963</v>
      </c>
      <c r="CD5">
        <f t="shared" ref="CD5:CD68" si="38">CB5+CD4</f>
        <v>1501.0585720896327</v>
      </c>
      <c r="CG5" s="28"/>
    </row>
    <row r="6" spans="1:85" ht="16" thickBot="1" x14ac:dyDescent="0.25">
      <c r="A6" s="3" t="s">
        <v>8</v>
      </c>
      <c r="B6" s="4"/>
      <c r="D6" s="22">
        <f t="shared" si="0"/>
        <v>0</v>
      </c>
      <c r="E6" s="23">
        <v>9.0017015999999987</v>
      </c>
      <c r="F6" s="23">
        <f>IF(K6&lt;6,1,IF(Data!K6&lt;9,2,IF(K6&gt;9,3)))</f>
        <v>3</v>
      </c>
      <c r="G6" s="23">
        <v>721.43977930583992</v>
      </c>
      <c r="H6" s="23">
        <v>211.066665</v>
      </c>
      <c r="I6" s="64">
        <v>27.853137225643191</v>
      </c>
      <c r="J6" s="65">
        <f t="shared" si="1"/>
        <v>2.2845016382197487</v>
      </c>
      <c r="K6" s="65">
        <f t="shared" si="2"/>
        <v>11.141254890257276</v>
      </c>
      <c r="L6" s="65">
        <f t="shared" si="3"/>
        <v>0.91380065528791377</v>
      </c>
      <c r="M6">
        <f t="shared" si="4"/>
        <v>18.003403199999997</v>
      </c>
      <c r="N6">
        <f t="shared" si="5"/>
        <v>0</v>
      </c>
      <c r="O6">
        <f>IF(L6&lt;'Vehicle Data'!F$21,'Vehicle Data'!C$21,IF(L6&gt;'Vehicle Data'!C$21,'Vehicle Data'!C$20))</f>
        <v>0.6</v>
      </c>
      <c r="P6">
        <f>('Vehicle Data'!C$6*9.81*'Vehicle Data'!C$5*SIN(D6))/'Vehicle Data'!C$9</f>
        <v>0</v>
      </c>
      <c r="Q6" s="107">
        <f>'Vehicle Data'!C$6*9.81*SIN(D6)</f>
        <v>0</v>
      </c>
      <c r="R6">
        <f t="shared" si="6"/>
        <v>720.11243590036793</v>
      </c>
      <c r="S6">
        <f>IF(Data!O6=0.6,'Vehicle Data'!E$21,IF(Data!O6 = 0.9,'Vehicle Data'!E$20))+(P6*O6)</f>
        <v>1550.3723999999997</v>
      </c>
      <c r="T6">
        <f>IF(F6=3,'Vehicle Data'!H$16,IF(F6=2,'Vehicle Data'!H$15,IF(F6 = 1,'Vehicle Data'!G$14)))</f>
        <v>466.23005239380637</v>
      </c>
      <c r="U6" s="148">
        <f t="shared" si="7"/>
        <v>3.9739537770518609</v>
      </c>
      <c r="V6" s="70" t="s">
        <v>77</v>
      </c>
      <c r="W6" s="99" t="s">
        <v>84</v>
      </c>
      <c r="X6">
        <f>IF(V6="S",'Vehicle Data'!C$14,IF(Data!V6 = "T1",'Vehicle Data'!P$2,IF(Data!V6="T2",'Vehicle Data'!P$3)))</f>
        <v>13.411199999999999</v>
      </c>
      <c r="Z6">
        <f t="shared" si="8"/>
        <v>8.7578145675125469</v>
      </c>
      <c r="AA6">
        <v>1</v>
      </c>
      <c r="AB6">
        <f>IF(AA6=1,'Vehicle Data'!I$14,IF(AA6=2,'Vehicle Data'!I$15,IF(AA6=3,'Vehicle Data'!I$16)))</f>
        <v>1.773843765627872</v>
      </c>
      <c r="AC6">
        <f>IF(Z6&lt;'Vehicle Data'!C$16,'Vehicle Data'!I$15,IF(Z6&lt;'Vehicle Data'!C$15,'Vehicle Data'!I$15,IF(Z5&gt;'Vehicle Data'!C$15,'Vehicle Data'!I$16)))</f>
        <v>0.98256251041858167</v>
      </c>
      <c r="AD6">
        <f>IF(O6=0.6,'Vehicle Data'!F$21,IF(O6=0.9,'Vehicle Data'!F$20))</f>
        <v>3.5315999999999996</v>
      </c>
      <c r="AE6" s="100">
        <f t="shared" si="9"/>
        <v>0.98256251041858167</v>
      </c>
      <c r="AF6" s="158">
        <f t="shared" si="30"/>
        <v>0.15168839835575454</v>
      </c>
      <c r="AG6" s="148">
        <f t="shared" si="12"/>
        <v>0.99106868181867447</v>
      </c>
      <c r="AH6" s="148">
        <f t="shared" si="31"/>
        <v>0.46180560964539652</v>
      </c>
      <c r="AJ6">
        <f>(Z6^2)*'Vehicle Data'!C$31</f>
        <v>28.186998629608613</v>
      </c>
      <c r="AK6">
        <f>IF(O6=0.6,'Vehicle Data'!C$6*'Vehicle Data'!D$21*9.81,IF(O6=0.9,'Vehicle Data'!C$6*9.81*'Vehicle Data'!D$20))</f>
        <v>86.131799999999998</v>
      </c>
      <c r="AL6">
        <f t="shared" si="10"/>
        <v>114.31879862960861</v>
      </c>
      <c r="AN6">
        <f>IF(AG6&gt;0,AG6*'Vehicle Data'!C$6)</f>
        <v>435.07915131839809</v>
      </c>
      <c r="AO6">
        <f t="shared" si="13"/>
        <v>549.39794994800673</v>
      </c>
      <c r="AP6">
        <f>AO6*'Vehicle Data'!F$3</f>
        <v>140.42611600671052</v>
      </c>
      <c r="AQ6">
        <f>IF(AE6='Vehicle Data'!I$15,AP6/'Vehicle Data'!G$15,IF(AE6='Vehicle Data'!I$16,AP6/'Vehicle Data'!G$16,IF(AE6='Vehicle Data'!I$14,Data!AP6/'Vehicle Data'!G17)))</f>
        <v>17.397398911287016</v>
      </c>
      <c r="AR6">
        <f>IF(Z6&lt;'Vehicle Data'!C$16, Z6*'Vehicle Data'!F$7*'Vehicle Data'!G$14,IF(Z6&lt;'Vehicle Data'!C$15,Z6*'Vehicle Data'!F$7*'Vehicle Data'!G$15,IF(Z6&gt;'Vehicle Data'!C$15,Z6*'Vehicle Data'!F$7*'Vehicle Data'!G$16)))</f>
        <v>113.52722587516266</v>
      </c>
      <c r="AS6">
        <f t="shared" si="32"/>
        <v>6811.6335525097593</v>
      </c>
      <c r="AT6">
        <f t="shared" si="33"/>
        <v>17</v>
      </c>
      <c r="AU6">
        <f t="shared" si="34"/>
        <v>7000</v>
      </c>
      <c r="AW6">
        <f>VLOOKUP(AT6,BSFC!A$64:A$82,1,FALSE)</f>
        <v>17</v>
      </c>
      <c r="AX6" t="e" cm="1">
        <f t="array" ref="AX6">_xlfn.XLOOKUP(AT6,BSFC!A$64:A$82,,-1,_xlfn.XLOOKUP(Data!AU6,BSFC!C$63:Q$63,BSFC!B$64:Q$82,,-1))</f>
        <v>#VALUE!</v>
      </c>
      <c r="AY6">
        <f>HLOOKUP(AU6,BSFC!F$63:Q$63,1)</f>
        <v>7000</v>
      </c>
      <c r="AZ6">
        <f>MATCH(AT6,BSFC!A$64:A$83,0)</f>
        <v>6</v>
      </c>
      <c r="BA6">
        <f>MATCH(AU6,BSFC!C$63:Q$63,0)</f>
        <v>14</v>
      </c>
      <c r="BB6" cm="1">
        <f t="array" ref="BB6">INDEX(BSFC!C$64:Q$82,Data!AZ6,Data!BA6)</f>
        <v>500</v>
      </c>
      <c r="BC6">
        <f>0.5*'Vehicle Data'!C$6*Data!Z6^2</f>
        <v>16835.499861766228</v>
      </c>
      <c r="BD6">
        <f t="shared" si="14"/>
        <v>12.587098602895164</v>
      </c>
      <c r="BE6">
        <f t="shared" si="35"/>
        <v>6293.5493014475824</v>
      </c>
      <c r="BF6">
        <f t="shared" si="36"/>
        <v>0.26518289264154488</v>
      </c>
      <c r="BG6">
        <f t="shared" si="15"/>
        <v>0.79564166121099333</v>
      </c>
      <c r="BH6">
        <f t="shared" si="16"/>
        <v>2011.4183567426471</v>
      </c>
      <c r="BI6" s="148">
        <f t="shared" si="17"/>
        <v>6871.6622130335309</v>
      </c>
      <c r="BJ6" s="29" t="s">
        <v>148</v>
      </c>
      <c r="BK6" s="8"/>
      <c r="BL6" s="20"/>
      <c r="BM6" s="15"/>
      <c r="BN6" s="10"/>
      <c r="BO6">
        <f t="shared" si="18"/>
        <v>299.79749250765298</v>
      </c>
      <c r="BP6">
        <f t="shared" si="19"/>
        <v>1240.1705989592947</v>
      </c>
      <c r="BQ6">
        <f t="shared" si="20"/>
        <v>1240.1705989592947</v>
      </c>
      <c r="BR6" s="148">
        <f t="shared" si="21"/>
        <v>4197.5783322404841</v>
      </c>
      <c r="BS6" s="156">
        <f t="shared" si="22"/>
        <v>299.79749250765298</v>
      </c>
      <c r="BT6" s="156">
        <f t="shared" si="37"/>
        <v>2011.4183567426471</v>
      </c>
      <c r="BU6">
        <f t="shared" si="23"/>
        <v>1024.2061746733002</v>
      </c>
      <c r="BV6">
        <f t="shared" si="24"/>
        <v>1024.2061746733002</v>
      </c>
      <c r="BW6" s="148">
        <f t="shared" si="25"/>
        <v>455.4</v>
      </c>
      <c r="BX6" s="148">
        <f t="shared" si="26"/>
        <v>3129354.9718154697</v>
      </c>
      <c r="BY6" s="148">
        <f t="shared" si="27"/>
        <v>0.12956208109617248</v>
      </c>
      <c r="BZ6">
        <f t="shared" si="11"/>
        <v>0.46180560964539652</v>
      </c>
      <c r="CB6">
        <f t="shared" si="28"/>
        <v>724.40868216564718</v>
      </c>
      <c r="CC6" s="162">
        <f t="shared" si="29"/>
        <v>4775.6367000902255</v>
      </c>
      <c r="CD6">
        <f t="shared" si="38"/>
        <v>2225.4672542552798</v>
      </c>
    </row>
    <row r="7" spans="1:85" ht="16" thickBot="1" x14ac:dyDescent="0.25">
      <c r="D7" s="22">
        <f t="shared" si="0"/>
        <v>0</v>
      </c>
      <c r="E7" s="23">
        <v>9.0017015999999987</v>
      </c>
      <c r="F7" s="23">
        <f>IF(K7&lt;6,1,IF(Data!K7&lt;9,2,IF(K7&gt;9,3)))</f>
        <v>3</v>
      </c>
      <c r="G7" s="23">
        <v>722.77274365047003</v>
      </c>
      <c r="H7" s="23">
        <v>211.11666499999998</v>
      </c>
      <c r="I7" s="64">
        <v>27.96736230755414</v>
      </c>
      <c r="J7" s="65">
        <f t="shared" si="1"/>
        <v>2.4306209816246298</v>
      </c>
      <c r="K7" s="65">
        <f t="shared" si="2"/>
        <v>11.186944923021656</v>
      </c>
      <c r="L7" s="65">
        <f t="shared" si="3"/>
        <v>0.97224839264984475</v>
      </c>
      <c r="M7">
        <f t="shared" si="4"/>
        <v>18.003403199999997</v>
      </c>
      <c r="N7">
        <f t="shared" si="5"/>
        <v>0</v>
      </c>
      <c r="O7">
        <f>IF(L7&lt;'Vehicle Data'!F$21,'Vehicle Data'!C$21,IF(L7&gt;'Vehicle Data'!C$21,'Vehicle Data'!C$20))</f>
        <v>0.6</v>
      </c>
      <c r="P7">
        <f>('Vehicle Data'!C$6*9.81*'Vehicle Data'!C$5*SIN(D7))/'Vehicle Data'!C$9</f>
        <v>0</v>
      </c>
      <c r="Q7" s="107">
        <f>'Vehicle Data'!C$6*9.81*SIN(D7)</f>
        <v>0</v>
      </c>
      <c r="R7">
        <f t="shared" si="6"/>
        <v>721.43977930583992</v>
      </c>
      <c r="S7">
        <f>IF(Data!O7=0.6,'Vehicle Data'!E$21,IF(Data!O7 = 0.9,'Vehicle Data'!E$20))+(P7*O7)</f>
        <v>1550.3723999999997</v>
      </c>
      <c r="T7">
        <f>IF(F7=3,'Vehicle Data'!H$16,IF(F7=2,'Vehicle Data'!H$15,IF(F7 = 1,'Vehicle Data'!G$14)))</f>
        <v>466.23005239380637</v>
      </c>
      <c r="U7" s="148">
        <f t="shared" si="7"/>
        <v>5.3012971825238537</v>
      </c>
      <c r="V7" s="70" t="s">
        <v>77</v>
      </c>
      <c r="W7" s="99" t="s">
        <v>84</v>
      </c>
      <c r="X7">
        <f>IF(V7="S",'Vehicle Data'!C$14,IF(Data!V7 = "T1",'Vehicle Data'!P$2,IF(Data!V7="T2",'Vehicle Data'!P$3)))</f>
        <v>13.411199999999999</v>
      </c>
      <c r="Z7">
        <f t="shared" si="8"/>
        <v>8.9054877315210081</v>
      </c>
      <c r="AA7">
        <v>1</v>
      </c>
      <c r="AB7">
        <f>IF(AA7=1,'Vehicle Data'!I$14,IF(AA7=2,'Vehicle Data'!I$15,IF(AA7=3,'Vehicle Data'!I$16)))</f>
        <v>1.773843765627872</v>
      </c>
      <c r="AC7">
        <f>IF(Z7&lt;'Vehicle Data'!C$16,'Vehicle Data'!I$15,IF(Z7&lt;'Vehicle Data'!C$15,'Vehicle Data'!I$15,IF(Z6&gt;'Vehicle Data'!C$15,'Vehicle Data'!I$16)))</f>
        <v>0.98256251041858167</v>
      </c>
      <c r="AD7">
        <f>IF(O7=0.6,'Vehicle Data'!F$21,IF(O7=0.9,'Vehicle Data'!F$20))</f>
        <v>3.5315999999999996</v>
      </c>
      <c r="AE7" s="100">
        <f t="shared" si="9"/>
        <v>0.98256251041858167</v>
      </c>
      <c r="AF7" s="158">
        <f t="shared" si="30"/>
        <v>0.14904780574497406</v>
      </c>
      <c r="AG7" s="148">
        <f t="shared" si="12"/>
        <v>0.99077717562065337</v>
      </c>
      <c r="AH7" s="148">
        <f t="shared" si="31"/>
        <v>0.61085341539037064</v>
      </c>
      <c r="AJ7">
        <f>(Z7^2)*'Vehicle Data'!C$31</f>
        <v>29.145584063079671</v>
      </c>
      <c r="AK7">
        <f>IF(O7=0.6,'Vehicle Data'!C$6*'Vehicle Data'!D$21*9.81,IF(O7=0.9,'Vehicle Data'!C$6*9.81*'Vehicle Data'!D$20))</f>
        <v>86.131799999999998</v>
      </c>
      <c r="AL7">
        <f t="shared" si="10"/>
        <v>115.27738406307967</v>
      </c>
      <c r="AN7">
        <f>IF(AG7&gt;0,AG7*'Vehicle Data'!C$6)</f>
        <v>434.95118009746682</v>
      </c>
      <c r="AO7">
        <f t="shared" si="13"/>
        <v>550.22856416054651</v>
      </c>
      <c r="AP7">
        <f>AO7*'Vehicle Data'!F$3</f>
        <v>140.63842099943568</v>
      </c>
      <c r="AQ7">
        <f>IF(AE7='Vehicle Data'!I$15,AP7/'Vehicle Data'!G$15,IF(AE7='Vehicle Data'!I$16,AP7/'Vehicle Data'!G$16,IF(AE7='Vehicle Data'!I$14,Data!AP7/'Vehicle Data'!G18)))</f>
        <v>17.423701388022337</v>
      </c>
      <c r="AR7">
        <f>IF(Z7&lt;'Vehicle Data'!C$16, Z7*'Vehicle Data'!F$7*'Vehicle Data'!G$14,IF(Z7&lt;'Vehicle Data'!C$15,Z7*'Vehicle Data'!F$7*'Vehicle Data'!G$15,IF(Z7&gt;'Vehicle Data'!C$15,Z7*'Vehicle Data'!F$7*'Vehicle Data'!G$16)))</f>
        <v>115.44150763082789</v>
      </c>
      <c r="AS7">
        <f t="shared" si="32"/>
        <v>6926.4904578496735</v>
      </c>
      <c r="AT7">
        <f t="shared" si="33"/>
        <v>17</v>
      </c>
      <c r="AU7">
        <f t="shared" si="34"/>
        <v>7000</v>
      </c>
      <c r="AW7">
        <f>VLOOKUP(AT7,BSFC!A$64:A$82,1,FALSE)</f>
        <v>17</v>
      </c>
      <c r="AX7" t="e" cm="1">
        <f t="array" ref="AX7">_xlfn.XLOOKUP(AT7,BSFC!A$64:A$82,,-1,_xlfn.XLOOKUP(Data!AU7,BSFC!C$63:Q$63,BSFC!B$64:Q$82,,-1))</f>
        <v>#VALUE!</v>
      </c>
      <c r="AY7">
        <f>HLOOKUP(AU7,BSFC!F$63:Q$63,1)</f>
        <v>7000</v>
      </c>
      <c r="AZ7">
        <f>MATCH(AT7,BSFC!A$64:A$83,0)</f>
        <v>6</v>
      </c>
      <c r="BA7">
        <f>MATCH(AU7,BSFC!C$63:Q$63,0)</f>
        <v>14</v>
      </c>
      <c r="BB7" cm="1">
        <f t="array" ref="BB7">INDEX(BSFC!C$64:Q$82,Data!AZ7,Data!BA7)</f>
        <v>500</v>
      </c>
      <c r="BC7">
        <f>0.5*'Vehicle Data'!C$6*Data!Z7^2</f>
        <v>17408.042726111526</v>
      </c>
      <c r="BD7">
        <f t="shared" si="14"/>
        <v>8.5854718851454521</v>
      </c>
      <c r="BE7">
        <f t="shared" si="35"/>
        <v>4292.7359425727263</v>
      </c>
      <c r="BF7">
        <f t="shared" si="36"/>
        <v>0.17772857580084661</v>
      </c>
      <c r="BG7">
        <f t="shared" si="15"/>
        <v>0.97337023701184</v>
      </c>
      <c r="BH7">
        <f t="shared" si="16"/>
        <v>1371.958407246243</v>
      </c>
      <c r="BI7" s="148">
        <f t="shared" si="17"/>
        <v>6871.6622130335309</v>
      </c>
      <c r="BJ7" s="11">
        <f>U533</f>
        <v>402.0990337280524</v>
      </c>
      <c r="BK7" s="12"/>
      <c r="BL7" s="18"/>
      <c r="BM7" s="15"/>
      <c r="BN7" s="10" t="s">
        <v>168</v>
      </c>
      <c r="BO7">
        <f t="shared" si="18"/>
        <v>202.04380814275342</v>
      </c>
      <c r="BP7">
        <f t="shared" si="19"/>
        <v>1442.2144071020482</v>
      </c>
      <c r="BQ7">
        <f t="shared" si="20"/>
        <v>1442.2144071020482</v>
      </c>
      <c r="BR7" s="148">
        <f t="shared" si="21"/>
        <v>5209.5454549017795</v>
      </c>
      <c r="BS7" s="156">
        <f t="shared" si="22"/>
        <v>202.04380814275342</v>
      </c>
      <c r="BT7" s="156">
        <f t="shared" si="37"/>
        <v>1371.958407246243</v>
      </c>
      <c r="BU7">
        <f t="shared" si="23"/>
        <v>1011.9671226612959</v>
      </c>
      <c r="BV7">
        <f t="shared" si="24"/>
        <v>1011.9671226612959</v>
      </c>
      <c r="BW7" s="148">
        <f t="shared" si="25"/>
        <v>455.4</v>
      </c>
      <c r="BX7" s="148">
        <f t="shared" si="26"/>
        <v>3129354.9718154697</v>
      </c>
      <c r="BY7" s="148">
        <f t="shared" si="27"/>
        <v>0.12801384101665392</v>
      </c>
      <c r="BZ7">
        <f t="shared" si="11"/>
        <v>0.61085341539037064</v>
      </c>
      <c r="CB7">
        <f t="shared" si="28"/>
        <v>809.9233145185425</v>
      </c>
      <c r="CC7" s="162">
        <f t="shared" si="29"/>
        <v>5433.9834824831232</v>
      </c>
      <c r="CD7">
        <f t="shared" si="38"/>
        <v>3035.3905687738225</v>
      </c>
    </row>
    <row r="8" spans="1:85" x14ac:dyDescent="0.2">
      <c r="D8" s="22">
        <f t="shared" si="0"/>
        <v>0</v>
      </c>
      <c r="E8" s="23">
        <v>9.0017015999999987</v>
      </c>
      <c r="F8" s="23">
        <f>IF(K8&lt;6,1,IF(Data!K8&lt;9,2,IF(K8&gt;9,3)))</f>
        <v>3</v>
      </c>
      <c r="G8" s="23">
        <v>724.10567421804865</v>
      </c>
      <c r="H8" s="23">
        <v>211.16666499999999</v>
      </c>
      <c r="I8" s="64">
        <v>28.088893356635399</v>
      </c>
      <c r="J8" s="65">
        <f t="shared" si="1"/>
        <v>2.7251137541864581</v>
      </c>
      <c r="K8" s="65">
        <f t="shared" si="2"/>
        <v>11.235557342654159</v>
      </c>
      <c r="L8" s="65">
        <f t="shared" si="3"/>
        <v>1.0900455016746045</v>
      </c>
      <c r="M8">
        <f t="shared" si="4"/>
        <v>18.003403199999997</v>
      </c>
      <c r="N8">
        <v>0</v>
      </c>
      <c r="O8">
        <f>IF(L8&lt;'Vehicle Data'!F$21,'Vehicle Data'!C$21,IF(L8&gt;'Vehicle Data'!C$21,'Vehicle Data'!C$20))</f>
        <v>0.6</v>
      </c>
      <c r="P8">
        <f>('Vehicle Data'!C$6*9.81*'Vehicle Data'!C$5*SIN(D8))/'Vehicle Data'!C$9</f>
        <v>0</v>
      </c>
      <c r="Q8" s="107">
        <f>'Vehicle Data'!C$6*9.81*SIN(D8)</f>
        <v>0</v>
      </c>
      <c r="R8">
        <f t="shared" si="6"/>
        <v>722.77274365047003</v>
      </c>
      <c r="S8">
        <f>IF(Data!O8=0.6,'Vehicle Data'!E$21,IF(Data!O8 = 0.9,'Vehicle Data'!E$20))+(P8*O8)</f>
        <v>1550.3723999999997</v>
      </c>
      <c r="T8">
        <f>IF(F8=3,'Vehicle Data'!H$16,IF(F8=2,'Vehicle Data'!H$15,IF(F8 = 1,'Vehicle Data'!G$14)))</f>
        <v>466.23005239380637</v>
      </c>
      <c r="U8" s="148">
        <f t="shared" si="7"/>
        <v>6.6342615271539671</v>
      </c>
      <c r="V8" s="70" t="s">
        <v>77</v>
      </c>
      <c r="W8" s="99" t="s">
        <v>84</v>
      </c>
      <c r="X8">
        <f>IF(V8="S",'Vehicle Data'!C$14,IF(Data!V8 = "T1",'Vehicle Data'!P$2,IF(Data!V8="T2",'Vehicle Data'!P$3)))</f>
        <v>13.411199999999999</v>
      </c>
      <c r="Z8">
        <f t="shared" si="8"/>
        <v>9.0513619594946935</v>
      </c>
      <c r="AA8">
        <v>1</v>
      </c>
      <c r="AB8">
        <f>IF(AA8=1,'Vehicle Data'!I$14,IF(AA8=2,'Vehicle Data'!I$15,IF(AA8=3,'Vehicle Data'!I$16)))</f>
        <v>1.773843765627872</v>
      </c>
      <c r="AC8">
        <v>0.46202700000000002</v>
      </c>
      <c r="AD8">
        <f>IF(O8=0.6,'Vehicle Data'!F$21,IF(O8=0.9,'Vehicle Data'!F$20))</f>
        <v>3.5315999999999996</v>
      </c>
      <c r="AE8" s="100">
        <f t="shared" si="9"/>
        <v>0.46202700000000002</v>
      </c>
      <c r="AF8" s="158">
        <f t="shared" si="30"/>
        <v>0.14726671528497001</v>
      </c>
      <c r="AG8" s="148">
        <f t="shared" si="12"/>
        <v>0.99054445324871854</v>
      </c>
      <c r="AH8" s="148">
        <f t="shared" si="31"/>
        <v>0.75812013067534068</v>
      </c>
      <c r="AJ8">
        <f>(Z8^2)*'Vehicle Data'!C$31</f>
        <v>30.108228845756958</v>
      </c>
      <c r="AK8">
        <f>IF(O8=0.6,'Vehicle Data'!C$6*'Vehicle Data'!D$21*9.81,IF(O8=0.9,'Vehicle Data'!C$6*9.81*'Vehicle Data'!D$20))</f>
        <v>86.131799999999998</v>
      </c>
      <c r="AL8">
        <f t="shared" si="10"/>
        <v>116.24002884575695</v>
      </c>
      <c r="AN8">
        <f>IF(AG8&gt;0,AG8*'Vehicle Data'!C$6)</f>
        <v>434.84901497618745</v>
      </c>
      <c r="AO8">
        <f t="shared" si="13"/>
        <v>551.08904382194441</v>
      </c>
      <c r="AP8">
        <f>AO8*'Vehicle Data'!F$3</f>
        <v>140.858359600889</v>
      </c>
      <c r="AQ8">
        <v>17.423999999999999</v>
      </c>
      <c r="AR8">
        <f>IF(Z8&lt;'Vehicle Data'!C$16, Z8*'Vehicle Data'!F$7*'Vehicle Data'!G$14,IF(Z8&lt;'Vehicle Data'!C$15,Z8*'Vehicle Data'!F$7*'Vehicle Data'!G$15,IF(Z8&gt;'Vehicle Data'!C$15,Z8*'Vehicle Data'!F$7*'Vehicle Data'!G$16)))</f>
        <v>78.739578010000173</v>
      </c>
      <c r="AS8">
        <f t="shared" si="32"/>
        <v>4724.3746806000108</v>
      </c>
      <c r="AT8">
        <f t="shared" si="33"/>
        <v>17</v>
      </c>
      <c r="AU8">
        <f t="shared" si="34"/>
        <v>4500</v>
      </c>
      <c r="AW8">
        <f>VLOOKUP(AT8,BSFC!A$64:A$82,1,FALSE)</f>
        <v>17</v>
      </c>
      <c r="AX8" t="e" cm="1">
        <f t="array" ref="AX8">_xlfn.XLOOKUP(AT8,BSFC!A$64:A$82,,-1,_xlfn.XLOOKUP(Data!AU8,BSFC!C$63:Q$63,BSFC!B$64:Q$82,,-1))</f>
        <v>#VALUE!</v>
      </c>
      <c r="AY8">
        <f>HLOOKUP(AU8,BSFC!F$63:Q$63,1)</f>
        <v>4500</v>
      </c>
      <c r="AZ8">
        <f>MATCH(AT8,BSFC!A$64:A$83,0)</f>
        <v>6</v>
      </c>
      <c r="BA8">
        <f>MATCH(AU8,BSFC!C$63:Q$63,0)</f>
        <v>9</v>
      </c>
      <c r="BB8" cm="1">
        <f t="array" ref="BB8">INDEX(BSFC!C$64:Q$82,Data!AZ8,Data!BA8)</f>
        <v>650</v>
      </c>
      <c r="BC8">
        <f>0.5*'Vehicle Data'!C$6*Data!Z8^2</f>
        <v>17983.010154132382</v>
      </c>
      <c r="BD8">
        <f t="shared" si="14"/>
        <v>7.502530432487772</v>
      </c>
      <c r="BE8">
        <f t="shared" si="35"/>
        <v>4876.6447811170519</v>
      </c>
      <c r="BF8">
        <f t="shared" si="36"/>
        <v>0.19949096070186104</v>
      </c>
      <c r="BG8">
        <f t="shared" si="15"/>
        <v>1.1728611977137011</v>
      </c>
      <c r="BH8">
        <f t="shared" si="16"/>
        <v>1198.9043631115458</v>
      </c>
      <c r="BI8" s="148">
        <f t="shared" si="17"/>
        <v>6871.6622130335309</v>
      </c>
      <c r="BJ8" s="9"/>
      <c r="BK8" s="20" t="s">
        <v>180</v>
      </c>
      <c r="BL8" s="7" t="s">
        <v>176</v>
      </c>
      <c r="BM8" s="8">
        <f>AVERAGE(BH3:BH533)</f>
        <v>5506.9171838392876</v>
      </c>
      <c r="BN8" s="10">
        <v>490</v>
      </c>
      <c r="BO8">
        <f t="shared" si="18"/>
        <v>175.24184731166289</v>
      </c>
      <c r="BP8">
        <f t="shared" si="19"/>
        <v>1617.4562544137111</v>
      </c>
      <c r="BQ8">
        <f t="shared" si="20"/>
        <v>1617.4562544137111</v>
      </c>
      <c r="BR8" s="148">
        <f t="shared" si="21"/>
        <v>6213.9648376025389</v>
      </c>
      <c r="BS8" s="156">
        <f t="shared" si="22"/>
        <v>175.24184731166289</v>
      </c>
      <c r="BT8" s="156">
        <f t="shared" si="37"/>
        <v>1198.9043631115458</v>
      </c>
      <c r="BU8">
        <f t="shared" si="23"/>
        <v>1004.4193827007591</v>
      </c>
      <c r="BV8">
        <f t="shared" si="24"/>
        <v>1004.4193827007591</v>
      </c>
      <c r="BW8" s="148">
        <f t="shared" si="25"/>
        <v>455.4</v>
      </c>
      <c r="BX8" s="148">
        <f t="shared" si="26"/>
        <v>3129354.9718154697</v>
      </c>
      <c r="BY8" s="148">
        <f t="shared" si="27"/>
        <v>0.12705905191164601</v>
      </c>
      <c r="BZ8">
        <f t="shared" si="11"/>
        <v>0.75812013067534068</v>
      </c>
      <c r="CB8">
        <f t="shared" si="28"/>
        <v>829.17753538909619</v>
      </c>
      <c r="CC8" s="162">
        <f t="shared" si="29"/>
        <v>5630.4476798072619</v>
      </c>
      <c r="CD8">
        <f t="shared" si="38"/>
        <v>3864.5681041629186</v>
      </c>
    </row>
    <row r="9" spans="1:85" ht="16" thickBot="1" x14ac:dyDescent="0.25">
      <c r="D9" s="22">
        <f t="shared" si="0"/>
        <v>0</v>
      </c>
      <c r="E9" s="23">
        <v>8.9017032</v>
      </c>
      <c r="F9" s="23">
        <f>IF(K9&lt;6,1,IF(Data!K9&lt;9,2,IF(K9&gt;9,3)))</f>
        <v>3</v>
      </c>
      <c r="G9" s="23">
        <v>725.44295026541488</v>
      </c>
      <c r="H9" s="23">
        <v>211.21666499999998</v>
      </c>
      <c r="I9" s="64">
        <v>28.225149044344676</v>
      </c>
      <c r="J9" s="65">
        <f t="shared" si="1"/>
        <v>2.9401784238458073</v>
      </c>
      <c r="K9" s="65">
        <f t="shared" si="2"/>
        <v>11.290059617737871</v>
      </c>
      <c r="L9" s="65">
        <f t="shared" si="3"/>
        <v>1.1760713695383087</v>
      </c>
      <c r="M9">
        <f t="shared" si="4"/>
        <v>17.8034064</v>
      </c>
      <c r="N9">
        <f t="shared" si="5"/>
        <v>0</v>
      </c>
      <c r="O9">
        <f>IF(L9&lt;'Vehicle Data'!F$21,'Vehicle Data'!C$21,IF(L9&gt;'Vehicle Data'!C$21,'Vehicle Data'!C$20))</f>
        <v>0.6</v>
      </c>
      <c r="P9">
        <f>('Vehicle Data'!C$6*9.81*'Vehicle Data'!C$5*SIN(D9))/'Vehicle Data'!C$9</f>
        <v>0</v>
      </c>
      <c r="Q9" s="107">
        <f>'Vehicle Data'!C$6*9.81*SIN(D9)</f>
        <v>0</v>
      </c>
      <c r="R9">
        <f t="shared" si="6"/>
        <v>724.10567421804865</v>
      </c>
      <c r="S9">
        <f>IF(Data!O9=0.6,'Vehicle Data'!E$21,IF(Data!O9 = 0.9,'Vehicle Data'!E$20))+(P9*O9)</f>
        <v>1550.3723999999997</v>
      </c>
      <c r="T9">
        <f>IF(F9=3,'Vehicle Data'!H$16,IF(F9=2,'Vehicle Data'!H$15,IF(F9 = 1,'Vehicle Data'!G$14)))</f>
        <v>466.23005239380637</v>
      </c>
      <c r="U9" s="148">
        <f t="shared" si="7"/>
        <v>7.9671920947325816</v>
      </c>
      <c r="V9" s="70" t="s">
        <v>77</v>
      </c>
      <c r="W9" s="99" t="s">
        <v>84</v>
      </c>
      <c r="X9">
        <f>IF(V9="S",'Vehicle Data'!C$14,IF(Data!V9 = "T1",'Vehicle Data'!P$2,IF(Data!V9="T2",'Vehicle Data'!P$3)))</f>
        <v>13.411199999999999</v>
      </c>
      <c r="Z9">
        <f t="shared" si="8"/>
        <v>9.1191476106312095</v>
      </c>
      <c r="AA9">
        <v>1</v>
      </c>
      <c r="AB9">
        <f>IF(AA9=1,'Vehicle Data'!I$14,IF(AA9=2,'Vehicle Data'!I$15,IF(AA9=3,'Vehicle Data'!I$16)))</f>
        <v>1.773843765627872</v>
      </c>
      <c r="AC9">
        <f>IF(Z9&lt;'Vehicle Data'!C$16,'Vehicle Data'!I$15,IF(Z9&lt;'Vehicle Data'!C$15,'Vehicle Data'!I$15,IF(Z8&gt;'Vehicle Data'!C$15,'Vehicle Data'!I$16)))</f>
        <v>0.46202745420001456</v>
      </c>
      <c r="AD9">
        <f>IF(O9=0.6,'Vehicle Data'!F$21,IF(O9=0.9,'Vehicle Data'!F$20))</f>
        <v>3.5315999999999996</v>
      </c>
      <c r="AE9" s="100">
        <f t="shared" si="9"/>
        <v>0.46202745420001456</v>
      </c>
      <c r="AF9" s="158">
        <f t="shared" si="30"/>
        <v>0.14616832893730861</v>
      </c>
      <c r="AG9" s="148">
        <f t="shared" si="12"/>
        <v>0.46375060609462943</v>
      </c>
      <c r="AH9" s="148">
        <f t="shared" si="31"/>
        <v>0.90428845961264925</v>
      </c>
      <c r="AJ9">
        <f>(Z9^2)*'Vehicle Data'!C$31</f>
        <v>30.560878530596739</v>
      </c>
      <c r="AK9">
        <f>IF(O9=0.6,'Vehicle Data'!C$6*'Vehicle Data'!D$21*9.81,IF(O9=0.9,'Vehicle Data'!C$6*9.81*'Vehicle Data'!D$20))</f>
        <v>86.131799999999998</v>
      </c>
      <c r="AL9">
        <f t="shared" si="10"/>
        <v>116.69267853059674</v>
      </c>
      <c r="AN9">
        <f>IF(AG9&gt;0,AG9*'Vehicle Data'!C$6)</f>
        <v>203.58651607554231</v>
      </c>
      <c r="AO9">
        <f t="shared" si="13"/>
        <v>320.27919460613907</v>
      </c>
      <c r="AP9">
        <f>AO9*'Vehicle Data'!F$3</f>
        <v>81.863362141329148</v>
      </c>
      <c r="AQ9">
        <f>IF(AE9='Vehicle Data'!I$15,AP9/'Vehicle Data'!G$15,IF(AE9='Vehicle Data'!I$16,AP9/'Vehicle Data'!G$16,IF(AE9='Vehicle Data'!I$14,Data!AP9/'Vehicle Data'!G20)))</f>
        <v>15.113016085422691</v>
      </c>
      <c r="AR9">
        <f>IF(Z9&lt;'Vehicle Data'!C$16, Z9*'Vehicle Data'!F$7*'Vehicle Data'!G$14,IF(Z9&lt;'Vehicle Data'!C$15,Z9*'Vehicle Data'!F$7*'Vehicle Data'!G$15,IF(Z9&gt;'Vehicle Data'!C$15,Z9*'Vehicle Data'!F$7*'Vehicle Data'!G$16)))</f>
        <v>79.329258722086109</v>
      </c>
      <c r="AS9">
        <f t="shared" si="32"/>
        <v>4759.7555233251669</v>
      </c>
      <c r="AT9">
        <f t="shared" si="33"/>
        <v>15</v>
      </c>
      <c r="AU9">
        <f t="shared" si="34"/>
        <v>5000</v>
      </c>
      <c r="AW9">
        <f>VLOOKUP(AT9,BSFC!A$64:A$82,1,FALSE)</f>
        <v>15</v>
      </c>
      <c r="AX9" t="e" cm="1">
        <f t="array" ref="AX9">_xlfn.XLOOKUP(AT9,BSFC!A$64:A$82,,-1,_xlfn.XLOOKUP(Data!AU9,BSFC!C$63:Q$63,BSFC!B$64:Q$82,,-1))</f>
        <v>#VALUE!</v>
      </c>
      <c r="AY9">
        <f>HLOOKUP(AU9,BSFC!F$63:Q$63,1)</f>
        <v>5000</v>
      </c>
      <c r="AZ9">
        <f>MATCH(AT9,BSFC!A$64:A$83,0)</f>
        <v>8</v>
      </c>
      <c r="BA9">
        <f>MATCH(AU9,BSFC!C$63:Q$63,0)</f>
        <v>10</v>
      </c>
      <c r="BB9" cm="1">
        <f t="array" ref="BB9">INDEX(BSFC!C$64:Q$82,Data!AZ9,Data!BA9)</f>
        <v>705.8</v>
      </c>
      <c r="BC9">
        <f>0.5*'Vehicle Data'!C$6*Data!Z9^2</f>
        <v>18253.368265213558</v>
      </c>
      <c r="BD9">
        <f t="shared" si="14"/>
        <v>7.5685833614902522</v>
      </c>
      <c r="BE9">
        <f t="shared" si="35"/>
        <v>5341.9061365398193</v>
      </c>
      <c r="BF9">
        <f t="shared" si="36"/>
        <v>0.21689374814388324</v>
      </c>
      <c r="BG9">
        <f t="shared" si="15"/>
        <v>1.3897549458575844</v>
      </c>
      <c r="BH9">
        <f t="shared" si="16"/>
        <v>1209.4596211661421</v>
      </c>
      <c r="BI9" s="148">
        <f t="shared" si="17"/>
        <v>6871.6622130335309</v>
      </c>
      <c r="BJ9" s="9"/>
      <c r="BK9" s="19">
        <f>SUM(BY3:BY533)</f>
        <v>159.8340902005128</v>
      </c>
      <c r="BL9" s="160" t="s">
        <v>177</v>
      </c>
      <c r="BM9" s="161">
        <f>AVERAGE(BT3:BT533)</f>
        <v>6871.6622130335309</v>
      </c>
      <c r="BN9" s="10">
        <v>455.4</v>
      </c>
      <c r="BO9">
        <f t="shared" si="18"/>
        <v>176.05776649726084</v>
      </c>
      <c r="BP9">
        <f t="shared" si="19"/>
        <v>1793.514020910972</v>
      </c>
      <c r="BQ9">
        <f t="shared" si="20"/>
        <v>1793.514020910972</v>
      </c>
      <c r="BR9" s="148">
        <f t="shared" si="21"/>
        <v>7214.2541239731154</v>
      </c>
      <c r="BS9" s="156">
        <f t="shared" si="22"/>
        <v>176.05776649726084</v>
      </c>
      <c r="BT9" s="156">
        <f t="shared" si="37"/>
        <v>1209.4596211661421</v>
      </c>
      <c r="BU9">
        <f t="shared" si="23"/>
        <v>1000.2892863705764</v>
      </c>
      <c r="BV9">
        <f t="shared" si="24"/>
        <v>1000.2892863705764</v>
      </c>
      <c r="BW9" s="148">
        <f t="shared" si="25"/>
        <v>455.4</v>
      </c>
      <c r="BX9" s="148">
        <f t="shared" si="26"/>
        <v>3129354.9718154697</v>
      </c>
      <c r="BY9" s="148">
        <f t="shared" si="27"/>
        <v>0.12653659472587792</v>
      </c>
      <c r="BZ9">
        <f t="shared" si="11"/>
        <v>0.90428845961264925</v>
      </c>
      <c r="CB9">
        <f t="shared" si="28"/>
        <v>824.23151987331562</v>
      </c>
      <c r="CC9" s="162">
        <f t="shared" si="29"/>
        <v>5638.9200442103129</v>
      </c>
      <c r="CD9">
        <f t="shared" si="38"/>
        <v>4688.7996240362345</v>
      </c>
    </row>
    <row r="10" spans="1:85" ht="16" thickBot="1" x14ac:dyDescent="0.25">
      <c r="D10" s="22">
        <f t="shared" si="0"/>
        <v>0</v>
      </c>
      <c r="E10" s="23">
        <v>8.9017032</v>
      </c>
      <c r="F10" s="23">
        <f>IF(K10&lt;6,1,IF(Data!K10&lt;9,2,IF(K10&gt;9,3)))</f>
        <v>3</v>
      </c>
      <c r="G10" s="23">
        <v>726.78227233973098</v>
      </c>
      <c r="H10" s="23">
        <v>211.26666499999999</v>
      </c>
      <c r="I10" s="64">
        <v>28.372157965536999</v>
      </c>
      <c r="J10" s="65">
        <f t="shared" si="1"/>
        <v>2.981708988158648</v>
      </c>
      <c r="K10" s="65">
        <f t="shared" si="2"/>
        <v>11.3488631862148</v>
      </c>
      <c r="L10" s="65">
        <f t="shared" si="3"/>
        <v>1.1926835952634594</v>
      </c>
      <c r="M10">
        <f t="shared" si="4"/>
        <v>17.8034064</v>
      </c>
      <c r="N10">
        <f t="shared" si="5"/>
        <v>0</v>
      </c>
      <c r="O10">
        <f>IF(L10&lt;'Vehicle Data'!F$21,'Vehicle Data'!C$21,IF(L10&gt;'Vehicle Data'!C$21,'Vehicle Data'!C$20))</f>
        <v>0.6</v>
      </c>
      <c r="P10">
        <f>('Vehicle Data'!C$6*9.81*'Vehicle Data'!C$5*SIN(D10))/'Vehicle Data'!C$9</f>
        <v>0</v>
      </c>
      <c r="Q10" s="107">
        <f>'Vehicle Data'!C$6*9.81*SIN(D10)</f>
        <v>0</v>
      </c>
      <c r="R10">
        <f t="shared" si="6"/>
        <v>725.44295026541488</v>
      </c>
      <c r="S10">
        <f>IF(Data!O10=0.6,'Vehicle Data'!E$21,IF(Data!O10 = 0.9,'Vehicle Data'!E$20))+(P10*O10)</f>
        <v>1550.3723999999997</v>
      </c>
      <c r="T10">
        <f>IF(F10=3,'Vehicle Data'!H$16,IF(F10=2,'Vehicle Data'!H$15,IF(F10 = 1,'Vehicle Data'!G$14)))</f>
        <v>466.23005239380637</v>
      </c>
      <c r="U10" s="148">
        <f t="shared" si="7"/>
        <v>9.3044681420988127</v>
      </c>
      <c r="V10" s="70" t="s">
        <v>77</v>
      </c>
      <c r="W10" s="99" t="s">
        <v>84</v>
      </c>
      <c r="X10">
        <f>IF(V10="S",'Vehicle Data'!C$14,IF(Data!V10 = "T1",'Vehicle Data'!P$2,IF(Data!V10="T2",'Vehicle Data'!P$3)))</f>
        <v>13.411199999999999</v>
      </c>
      <c r="Z10">
        <f t="shared" si="8"/>
        <v>9.1866517099504463</v>
      </c>
      <c r="AB10" t="b">
        <f>IF(AA10=1,'Vehicle Data'!I$14,IF(AA10=2,'Vehicle Data'!I$15,IF(AA10=3,'Vehicle Data'!I$16)))</f>
        <v>0</v>
      </c>
      <c r="AC10">
        <f>IF(Z10&lt;'Vehicle Data'!C$16,'Vehicle Data'!I$15,IF(Z10&lt;'Vehicle Data'!C$15,'Vehicle Data'!I$15,IF(Z9&gt;'Vehicle Data'!C$15,'Vehicle Data'!I$16)))</f>
        <v>0.46202745420001456</v>
      </c>
      <c r="AD10">
        <f>IF(O10=0.6,'Vehicle Data'!F$21,IF(O10=0.9,'Vehicle Data'!F$20))</f>
        <v>3.5315999999999996</v>
      </c>
      <c r="AE10" s="100">
        <f t="shared" si="9"/>
        <v>0.46202745420001456</v>
      </c>
      <c r="AF10" s="158">
        <f t="shared" si="30"/>
        <v>0.14556729585358846</v>
      </c>
      <c r="AG10" s="148">
        <f t="shared" si="12"/>
        <v>0.46373121739605883</v>
      </c>
      <c r="AH10" s="148">
        <f t="shared" si="31"/>
        <v>1.0498557554662378</v>
      </c>
      <c r="AJ10">
        <f>(Z10^2)*'Vehicle Data'!C$31</f>
        <v>31.015004342676288</v>
      </c>
      <c r="AK10">
        <f>IF(O10=0.6,'Vehicle Data'!C$6*'Vehicle Data'!D$21*9.81,IF(O10=0.9,'Vehicle Data'!C$6*9.81*'Vehicle Data'!D$20))</f>
        <v>86.131799999999998</v>
      </c>
      <c r="AL10">
        <f t="shared" si="10"/>
        <v>117.14680434267629</v>
      </c>
      <c r="AN10">
        <f>IF(AG10&gt;0,AG10*'Vehicle Data'!C$6)</f>
        <v>203.57800443686983</v>
      </c>
      <c r="AO10">
        <f t="shared" si="13"/>
        <v>320.72480877954615</v>
      </c>
      <c r="AP10">
        <f>AO10*'Vehicle Data'!F$3</f>
        <v>81.977261124051992</v>
      </c>
      <c r="AQ10">
        <f>IF(AE10='Vehicle Data'!I$15,AP10/'Vehicle Data'!G$15,IF(AE10='Vehicle Data'!I$16,AP10/'Vehicle Data'!G$16,IF(AE10='Vehicle Data'!I$14,Data!AP10/'Vehicle Data'!G21)))</f>
        <v>15.134043283829616</v>
      </c>
      <c r="AR10">
        <f>IF(Z10&lt;'Vehicle Data'!C$16, Z10*'Vehicle Data'!F$7*'Vehicle Data'!G$14,IF(Z10&lt;'Vehicle Data'!C$15,Z10*'Vehicle Data'!F$7*'Vehicle Data'!G$15,IF(Z10&gt;'Vehicle Data'!C$15,Z10*'Vehicle Data'!F$7*'Vehicle Data'!G$16)))</f>
        <v>79.916490159534732</v>
      </c>
      <c r="AS10">
        <f t="shared" si="32"/>
        <v>4794.9894095720838</v>
      </c>
      <c r="AT10">
        <f t="shared" si="33"/>
        <v>15</v>
      </c>
      <c r="AU10">
        <f t="shared" si="34"/>
        <v>5000</v>
      </c>
      <c r="AW10">
        <f>VLOOKUP(AT10,BSFC!A$64:A$82,1,FALSE)</f>
        <v>15</v>
      </c>
      <c r="AX10" t="e" cm="1">
        <f t="array" ref="AX10">_xlfn.XLOOKUP(AT10,BSFC!A$64:A$82,,-1,_xlfn.XLOOKUP(Data!AU10,BSFC!C$63:Q$63,BSFC!B$64:Q$82,,-1))</f>
        <v>#VALUE!</v>
      </c>
      <c r="AY10">
        <f>HLOOKUP(AU10,BSFC!F$63:Q$63,1)</f>
        <v>5000</v>
      </c>
      <c r="AZ10">
        <f>MATCH(AT10,BSFC!A$64:A$83,0)</f>
        <v>8</v>
      </c>
      <c r="BA10">
        <f>MATCH(AU10,BSFC!C$63:Q$63,0)</f>
        <v>10</v>
      </c>
      <c r="BB10" cm="1">
        <f t="array" ref="BB10">INDEX(BSFC!C$64:Q$82,Data!AZ10,Data!BA10)</f>
        <v>705.8</v>
      </c>
      <c r="BC10">
        <f>0.5*'Vehicle Data'!C$6*Data!Z10^2</f>
        <v>18524.608035965834</v>
      </c>
      <c r="BD10">
        <f t="shared" si="14"/>
        <v>7.6344558733011434</v>
      </c>
      <c r="BE10">
        <f t="shared" si="35"/>
        <v>5388.3989553759466</v>
      </c>
      <c r="BF10">
        <f t="shared" si="36"/>
        <v>0.21788185136510482</v>
      </c>
      <c r="BG10">
        <f t="shared" si="15"/>
        <v>1.6076367972226893</v>
      </c>
      <c r="BH10">
        <f t="shared" si="16"/>
        <v>1219.9860485535228</v>
      </c>
      <c r="BI10" s="148">
        <f t="shared" si="17"/>
        <v>6871.6622130335309</v>
      </c>
      <c r="BJ10" s="9"/>
      <c r="BK10" s="15"/>
      <c r="BL10" s="15"/>
      <c r="BM10" s="15"/>
      <c r="BN10" s="10"/>
      <c r="BO10">
        <f t="shared" si="18"/>
        <v>176.57182225964257</v>
      </c>
      <c r="BP10">
        <f t="shared" si="19"/>
        <v>1970.0858431706147</v>
      </c>
      <c r="BQ10">
        <f t="shared" si="20"/>
        <v>1970.0858431706147</v>
      </c>
      <c r="BR10" s="148">
        <f t="shared" si="21"/>
        <v>8208.8080537878523</v>
      </c>
      <c r="BS10" s="156">
        <f t="shared" si="22"/>
        <v>176.57182225964257</v>
      </c>
      <c r="BT10" s="156">
        <f t="shared" si="37"/>
        <v>1219.9860485535228</v>
      </c>
      <c r="BU10">
        <f t="shared" si="23"/>
        <v>994.5539298147371</v>
      </c>
      <c r="BV10">
        <f t="shared" si="24"/>
        <v>994.5539298147371</v>
      </c>
      <c r="BW10" s="148">
        <f t="shared" si="25"/>
        <v>455.4</v>
      </c>
      <c r="BX10" s="148">
        <f t="shared" si="26"/>
        <v>3129354.9718154697</v>
      </c>
      <c r="BY10" s="148">
        <f t="shared" si="27"/>
        <v>0.12581107212156423</v>
      </c>
      <c r="BZ10">
        <f t="shared" si="11"/>
        <v>1.0498557554662378</v>
      </c>
      <c r="CB10">
        <f t="shared" si="28"/>
        <v>817.98210755509456</v>
      </c>
      <c r="CC10" s="162">
        <f t="shared" si="29"/>
        <v>5619.2711608644595</v>
      </c>
      <c r="CD10">
        <f t="shared" si="38"/>
        <v>5506.7817315913289</v>
      </c>
    </row>
    <row r="11" spans="1:85" x14ac:dyDescent="0.2">
      <c r="D11" s="22">
        <f t="shared" si="0"/>
        <v>0</v>
      </c>
      <c r="E11" s="23">
        <v>8.9017032</v>
      </c>
      <c r="F11" s="23">
        <f>IF(K11&lt;6,1,IF(Data!K11&lt;9,2,IF(K11&gt;9,3)))</f>
        <v>3</v>
      </c>
      <c r="G11" s="23">
        <v>728.12481574520302</v>
      </c>
      <c r="H11" s="23">
        <v>211.316665</v>
      </c>
      <c r="I11" s="64">
        <v>28.521243414944966</v>
      </c>
      <c r="J11" s="65">
        <f t="shared" si="1"/>
        <v>3.0118737901185324</v>
      </c>
      <c r="K11" s="65">
        <f t="shared" si="2"/>
        <v>11.408497365977986</v>
      </c>
      <c r="L11" s="65">
        <f t="shared" si="3"/>
        <v>1.2047495160473987</v>
      </c>
      <c r="M11">
        <f t="shared" si="4"/>
        <v>17.8034064</v>
      </c>
      <c r="N11">
        <f t="shared" si="5"/>
        <v>0</v>
      </c>
      <c r="O11">
        <f>IF(L11&lt;'Vehicle Data'!F$21,'Vehicle Data'!C$21,IF(L11&gt;'Vehicle Data'!C$21,'Vehicle Data'!C$20))</f>
        <v>0.6</v>
      </c>
      <c r="P11">
        <f>('Vehicle Data'!C$6*9.81*'Vehicle Data'!C$5*SIN(D11))/'Vehicle Data'!C$9</f>
        <v>0</v>
      </c>
      <c r="Q11" s="107">
        <f>'Vehicle Data'!C$6*9.81*SIN(D11)</f>
        <v>0</v>
      </c>
      <c r="R11">
        <f t="shared" si="6"/>
        <v>726.78227233973098</v>
      </c>
      <c r="S11">
        <f>IF(Data!O11=0.6,'Vehicle Data'!E$21,IF(Data!O11 = 0.9,'Vehicle Data'!E$20))+(P11*O11)</f>
        <v>1550.3723999999997</v>
      </c>
      <c r="T11">
        <f>IF(F11=3,'Vehicle Data'!H$16,IF(F11=2,'Vehicle Data'!H$15,IF(F11 = 1,'Vehicle Data'!G$14)))</f>
        <v>466.23005239380637</v>
      </c>
      <c r="U11" s="148">
        <f t="shared" si="7"/>
        <v>10.643790216414914</v>
      </c>
      <c r="V11" s="70" t="s">
        <v>77</v>
      </c>
      <c r="W11" s="99" t="s">
        <v>84</v>
      </c>
      <c r="X11">
        <f>IF(V11="S",'Vehicle Data'!C$14,IF(Data!V11 = "T1",'Vehicle Data'!P$2,IF(Data!V11="T2",'Vehicle Data'!P$3)))</f>
        <v>13.411199999999999</v>
      </c>
      <c r="Z11">
        <f t="shared" si="8"/>
        <v>9.2537655458000323</v>
      </c>
      <c r="AB11" t="b">
        <f>IF(AA11=1,'Vehicle Data'!I$14,IF(AA11=2,'Vehicle Data'!I$15,IF(AA11=3,'Vehicle Data'!I$16)))</f>
        <v>0</v>
      </c>
      <c r="AC11">
        <f>IF(Z11&lt;'Vehicle Data'!C$16,'Vehicle Data'!I$15,IF(Z11&lt;'Vehicle Data'!C$15,'Vehicle Data'!I$15,IF(Z10&gt;'Vehicle Data'!C$15,'Vehicle Data'!I$16)))</f>
        <v>0.46202745420001456</v>
      </c>
      <c r="AD11">
        <f>IF(O11=0.6,'Vehicle Data'!F$21,IF(O11=0.9,'Vehicle Data'!F$20))</f>
        <v>3.5315999999999996</v>
      </c>
      <c r="AE11" s="100">
        <f t="shared" si="9"/>
        <v>0.46202745420001456</v>
      </c>
      <c r="AF11" s="158">
        <f t="shared" si="30"/>
        <v>0.14473265695865545</v>
      </c>
      <c r="AG11" s="148">
        <f t="shared" si="12"/>
        <v>0.46370900154729977</v>
      </c>
      <c r="AH11" s="148">
        <f t="shared" si="31"/>
        <v>1.1945884124248933</v>
      </c>
      <c r="AJ11">
        <f>(Z11^2)*'Vehicle Data'!C$31</f>
        <v>31.469824965413657</v>
      </c>
      <c r="AK11">
        <f>IF(O11=0.6,'Vehicle Data'!C$6*'Vehicle Data'!D$21*9.81,IF(O11=0.9,'Vehicle Data'!C$6*9.81*'Vehicle Data'!D$20))</f>
        <v>86.131799999999998</v>
      </c>
      <c r="AL11">
        <f t="shared" si="10"/>
        <v>117.60162496541366</v>
      </c>
      <c r="AN11">
        <f>IF(AG11&gt;0,AG11*'Vehicle Data'!C$6)</f>
        <v>203.56825167926459</v>
      </c>
      <c r="AO11">
        <f t="shared" si="13"/>
        <v>321.16987664467825</v>
      </c>
      <c r="AP11">
        <f>AO11*'Vehicle Data'!F$3</f>
        <v>82.09102047037976</v>
      </c>
      <c r="AQ11">
        <f>IF(AE11='Vehicle Data'!I$15,AP11/'Vehicle Data'!G$15,IF(AE11='Vehicle Data'!I$16,AP11/'Vehicle Data'!G$16,IF(AE11='Vehicle Data'!I$14,Data!AP11/'Vehicle Data'!G22)))</f>
        <v>15.15504470358502</v>
      </c>
      <c r="AR11">
        <f>IF(Z11&lt;'Vehicle Data'!C$16, Z11*'Vehicle Data'!F$7*'Vehicle Data'!G$14,IF(Z11&lt;'Vehicle Data'!C$15,Z11*'Vehicle Data'!F$7*'Vehicle Data'!G$15,IF(Z11&gt;'Vehicle Data'!C$15,Z11*'Vehicle Data'!F$7*'Vehicle Data'!G$16)))</f>
        <v>80.500326618299411</v>
      </c>
      <c r="AS11">
        <f t="shared" si="32"/>
        <v>4830.0195970979648</v>
      </c>
      <c r="AT11">
        <f t="shared" si="33"/>
        <v>15</v>
      </c>
      <c r="AU11">
        <f t="shared" si="34"/>
        <v>5000</v>
      </c>
      <c r="AW11">
        <f>VLOOKUP(AT11,BSFC!A$64:A$82,1,FALSE)</f>
        <v>15</v>
      </c>
      <c r="AX11" t="e" cm="1">
        <f t="array" ref="AX11">_xlfn.XLOOKUP(AT11,BSFC!A$64:A$82,,-1,_xlfn.XLOOKUP(Data!AU11,BSFC!C$63:Q$63,BSFC!B$64:Q$82,,-1))</f>
        <v>#VALUE!</v>
      </c>
      <c r="AY11">
        <f>HLOOKUP(AU11,BSFC!F$63:Q$63,1)</f>
        <v>5000</v>
      </c>
      <c r="AZ11">
        <f>MATCH(AT11,BSFC!A$64:A$83,0)</f>
        <v>8</v>
      </c>
      <c r="BA11">
        <f>MATCH(AU11,BSFC!C$63:Q$63,0)</f>
        <v>10</v>
      </c>
      <c r="BB11" cm="1">
        <f t="array" ref="BB11">INDEX(BSFC!C$64:Q$82,Data!AZ11,Data!BA11)</f>
        <v>705.8</v>
      </c>
      <c r="BC11">
        <f>0.5*'Vehicle Data'!C$6*Data!Z11^2</f>
        <v>18796.262802471552</v>
      </c>
      <c r="BD11">
        <f t="shared" si="14"/>
        <v>7.7002622066297643</v>
      </c>
      <c r="BE11">
        <f t="shared" si="35"/>
        <v>5434.8450654392873</v>
      </c>
      <c r="BF11">
        <f t="shared" si="36"/>
        <v>0.21849987957768494</v>
      </c>
      <c r="BG11">
        <f t="shared" si="15"/>
        <v>1.8261366768003742</v>
      </c>
      <c r="BH11">
        <f t="shared" si="16"/>
        <v>1230.5019006194364</v>
      </c>
      <c r="BI11" s="148">
        <f t="shared" si="17"/>
        <v>6871.6622130335309</v>
      </c>
      <c r="BJ11" s="9"/>
      <c r="BK11" s="7" t="s">
        <v>169</v>
      </c>
      <c r="BL11" s="20">
        <f>BQ533</f>
        <v>1330255.9852693952</v>
      </c>
      <c r="BM11" s="15"/>
      <c r="BN11" s="10"/>
      <c r="BO11">
        <f t="shared" si="18"/>
        <v>177.24288613697601</v>
      </c>
      <c r="BP11">
        <f t="shared" si="19"/>
        <v>2147.3287293075905</v>
      </c>
      <c r="BQ11">
        <f t="shared" si="20"/>
        <v>2147.3287293075905</v>
      </c>
      <c r="BR11" s="148">
        <f t="shared" si="21"/>
        <v>9198.6100545676509</v>
      </c>
      <c r="BS11" s="156">
        <f t="shared" si="22"/>
        <v>177.24288613697601</v>
      </c>
      <c r="BT11" s="156">
        <f t="shared" si="37"/>
        <v>1230.5019006194364</v>
      </c>
      <c r="BU11">
        <f t="shared" si="23"/>
        <v>989.80200077979839</v>
      </c>
      <c r="BV11">
        <f t="shared" si="24"/>
        <v>989.80200077979839</v>
      </c>
      <c r="BW11" s="148">
        <f t="shared" si="25"/>
        <v>455.4</v>
      </c>
      <c r="BX11" s="148">
        <f t="shared" si="26"/>
        <v>3129354.9718154697</v>
      </c>
      <c r="BY11" s="148">
        <f t="shared" si="27"/>
        <v>0.12520995309864449</v>
      </c>
      <c r="BZ11">
        <f t="shared" si="11"/>
        <v>1.1945884124248933</v>
      </c>
      <c r="CB11">
        <f t="shared" si="28"/>
        <v>812.55911464282235</v>
      </c>
      <c r="CC11" s="162">
        <f t="shared" si="29"/>
        <v>5614.2071300117059</v>
      </c>
      <c r="CD11">
        <f t="shared" si="38"/>
        <v>6319.3408462341513</v>
      </c>
    </row>
    <row r="12" spans="1:85" x14ac:dyDescent="0.2">
      <c r="D12" s="22">
        <f t="shared" si="0"/>
        <v>0</v>
      </c>
      <c r="E12" s="23">
        <v>8.9017032</v>
      </c>
      <c r="F12" s="23">
        <f>IF(K12&lt;6,1,IF(Data!K12&lt;9,2,IF(K12&gt;9,3)))</f>
        <v>3</v>
      </c>
      <c r="G12" s="23">
        <v>729.470765177624</v>
      </c>
      <c r="H12" s="23">
        <v>211.36666499999998</v>
      </c>
      <c r="I12" s="64">
        <v>28.671837104450841</v>
      </c>
      <c r="J12" s="65">
        <f t="shared" si="1"/>
        <v>3.0867561420981904</v>
      </c>
      <c r="K12" s="65">
        <f t="shared" si="2"/>
        <v>11.468734841780336</v>
      </c>
      <c r="L12" s="65">
        <f t="shared" si="3"/>
        <v>1.2347024568392975</v>
      </c>
      <c r="M12">
        <f t="shared" si="4"/>
        <v>17.8034064</v>
      </c>
      <c r="N12">
        <f t="shared" si="5"/>
        <v>0</v>
      </c>
      <c r="O12">
        <f>IF(L12&lt;'Vehicle Data'!F$21,'Vehicle Data'!C$21,IF(L12&gt;'Vehicle Data'!C$21,'Vehicle Data'!C$20))</f>
        <v>0.6</v>
      </c>
      <c r="P12">
        <f>('Vehicle Data'!C$6*9.81*'Vehicle Data'!C$5*SIN(D12))/'Vehicle Data'!C$9</f>
        <v>0</v>
      </c>
      <c r="Q12" s="107">
        <f>'Vehicle Data'!C$6*9.81*SIN(D12)</f>
        <v>0</v>
      </c>
      <c r="R12">
        <f t="shared" si="6"/>
        <v>728.12481574520302</v>
      </c>
      <c r="S12">
        <f>IF(Data!O12=0.6,'Vehicle Data'!E$21,IF(Data!O12 = 0.9,'Vehicle Data'!E$20))+(P12*O12)</f>
        <v>1550.3723999999997</v>
      </c>
      <c r="T12">
        <f>IF(F12=3,'Vehicle Data'!H$16,IF(F12=2,'Vehicle Data'!H$15,IF(F12 = 1,'Vehicle Data'!G$14)))</f>
        <v>466.23005239380637</v>
      </c>
      <c r="U12" s="148">
        <f t="shared" si="7"/>
        <v>11.986333621886956</v>
      </c>
      <c r="V12" s="70" t="s">
        <v>77</v>
      </c>
      <c r="W12" s="99" t="s">
        <v>84</v>
      </c>
      <c r="X12">
        <f>IF(V12="S",'Vehicle Data'!C$14,IF(Data!V12 = "T1",'Vehicle Data'!P$2,IF(Data!V12="T2",'Vehicle Data'!P$3)))</f>
        <v>13.411199999999999</v>
      </c>
      <c r="Z12">
        <f t="shared" si="8"/>
        <v>9.3205558096179182</v>
      </c>
      <c r="AB12" t="b">
        <f>IF(AA12=1,'Vehicle Data'!I$14,IF(AA12=2,'Vehicle Data'!I$15,IF(AA12=3,'Vehicle Data'!I$16)))</f>
        <v>0</v>
      </c>
      <c r="AC12">
        <f>IF(Z12&lt;'Vehicle Data'!C$16,'Vehicle Data'!I$15,IF(Z12&lt;'Vehicle Data'!C$15,'Vehicle Data'!I$15,IF(Z11&gt;'Vehicle Data'!C$15,'Vehicle Data'!I$16)))</f>
        <v>0.46202745420001456</v>
      </c>
      <c r="AD12">
        <f>IF(O12=0.6,'Vehicle Data'!F$21,IF(O12=0.9,'Vehicle Data'!F$20))</f>
        <v>3.5315999999999996</v>
      </c>
      <c r="AE12" s="100">
        <f t="shared" si="9"/>
        <v>0.46202745420001456</v>
      </c>
      <c r="AF12" s="158">
        <f t="shared" si="30"/>
        <v>0.14404113154782752</v>
      </c>
      <c r="AG12" s="148">
        <f t="shared" si="12"/>
        <v>0.46368883040681197</v>
      </c>
      <c r="AH12" s="148">
        <f t="shared" si="31"/>
        <v>1.3386295439727209</v>
      </c>
      <c r="AJ12">
        <f>(Z12^2)*'Vehicle Data'!C$31</f>
        <v>31.925739520574364</v>
      </c>
      <c r="AK12">
        <f>IF(O12=0.6,'Vehicle Data'!C$6*'Vehicle Data'!D$21*9.81,IF(O12=0.9,'Vehicle Data'!C$6*9.81*'Vehicle Data'!D$20))</f>
        <v>86.131799999999998</v>
      </c>
      <c r="AL12">
        <f t="shared" si="10"/>
        <v>118.05753952057437</v>
      </c>
      <c r="AN12">
        <f>IF(AG12&gt;0,AG12*'Vehicle Data'!C$6)</f>
        <v>203.55939654859046</v>
      </c>
      <c r="AO12">
        <f t="shared" si="13"/>
        <v>321.61693606916481</v>
      </c>
      <c r="AP12">
        <f>AO12*'Vehicle Data'!F$3</f>
        <v>82.205288859278525</v>
      </c>
      <c r="AQ12">
        <f>IF(AE12='Vehicle Data'!I$15,AP12/'Vehicle Data'!G$15,IF(AE12='Vehicle Data'!I$16,AP12/'Vehicle Data'!G$16,IF(AE12='Vehicle Data'!I$14,Data!AP12/'Vehicle Data'!G23)))</f>
        <v>15.176140099062437</v>
      </c>
      <c r="AR12">
        <f>IF(Z12&lt;'Vehicle Data'!C$16, Z12*'Vehicle Data'!F$7*'Vehicle Data'!G$14,IF(Z12&lt;'Vehicle Data'!C$15,Z12*'Vehicle Data'!F$7*'Vehicle Data'!G$15,IF(Z12&gt;'Vehicle Data'!C$15,Z12*'Vehicle Data'!F$7*'Vehicle Data'!G$16)))</f>
        <v>81.081348260316545</v>
      </c>
      <c r="AS12">
        <f t="shared" si="32"/>
        <v>4864.8808956189923</v>
      </c>
      <c r="AT12">
        <f t="shared" si="33"/>
        <v>15</v>
      </c>
      <c r="AU12">
        <f t="shared" si="34"/>
        <v>5000</v>
      </c>
      <c r="AW12">
        <f>VLOOKUP(AT12,BSFC!A$64:A$82,1,FALSE)</f>
        <v>15</v>
      </c>
      <c r="AX12" t="e" cm="1">
        <f t="array" ref="AX12">_xlfn.XLOOKUP(AT12,BSFC!A$64:A$82,,-1,_xlfn.XLOOKUP(Data!AU12,BSFC!C$63:Q$63,BSFC!B$64:Q$82,,-1))</f>
        <v>#VALUE!</v>
      </c>
      <c r="AY12">
        <f>HLOOKUP(AU12,BSFC!F$63:Q$63,1)</f>
        <v>5000</v>
      </c>
      <c r="AZ12">
        <f>MATCH(AT12,BSFC!A$64:A$83,0)</f>
        <v>8</v>
      </c>
      <c r="BA12">
        <f>MATCH(AU12,BSFC!C$63:Q$63,0)</f>
        <v>10</v>
      </c>
      <c r="BB12" cm="1">
        <f t="array" ref="BB12">INDEX(BSFC!C$64:Q$82,Data!AZ12,Data!BA12)</f>
        <v>705.8</v>
      </c>
      <c r="BC12">
        <f>0.5*'Vehicle Data'!C$6*Data!Z12^2</f>
        <v>19068.570951744412</v>
      </c>
      <c r="BD12">
        <f t="shared" si="14"/>
        <v>7.7660031996974821</v>
      </c>
      <c r="BE12">
        <f t="shared" si="35"/>
        <v>5481.2450583464824</v>
      </c>
      <c r="BF12">
        <f t="shared" si="36"/>
        <v>0.21931242791532365</v>
      </c>
      <c r="BG12">
        <f t="shared" si="15"/>
        <v>2.045449104715698</v>
      </c>
      <c r="BH12">
        <f t="shared" si="16"/>
        <v>1241.0073113116575</v>
      </c>
      <c r="BI12" s="148">
        <f t="shared" si="17"/>
        <v>6871.6622130335309</v>
      </c>
      <c r="BJ12" s="9"/>
      <c r="BK12" s="9" t="s">
        <v>166</v>
      </c>
      <c r="BL12" s="18">
        <f>BM9*BL5</f>
        <v>1264585.3979327106</v>
      </c>
      <c r="BM12" s="15"/>
      <c r="BN12" s="10"/>
      <c r="BO12">
        <f t="shared" si="18"/>
        <v>177.94036814563916</v>
      </c>
      <c r="BP12">
        <f t="shared" si="19"/>
        <v>2325.2690974532297</v>
      </c>
      <c r="BQ12">
        <f t="shared" si="20"/>
        <v>2325.2690974532297</v>
      </c>
      <c r="BR12" s="148">
        <f t="shared" si="21"/>
        <v>10183.895228002533</v>
      </c>
      <c r="BS12" s="156">
        <f t="shared" si="22"/>
        <v>177.94036814563916</v>
      </c>
      <c r="BT12" s="156">
        <f t="shared" si="37"/>
        <v>1241.0073113116575</v>
      </c>
      <c r="BU12">
        <f t="shared" si="23"/>
        <v>985.28517343488261</v>
      </c>
      <c r="BV12">
        <f t="shared" si="24"/>
        <v>985.28517343488261</v>
      </c>
      <c r="BW12" s="148">
        <f t="shared" si="25"/>
        <v>455.4</v>
      </c>
      <c r="BX12" s="148">
        <f t="shared" si="26"/>
        <v>3129354.9718154697</v>
      </c>
      <c r="BY12" s="148">
        <f t="shared" si="27"/>
        <v>0.12463857443951264</v>
      </c>
      <c r="BZ12">
        <f t="shared" si="11"/>
        <v>1.3386295439727209</v>
      </c>
      <c r="CB12">
        <f t="shared" si="28"/>
        <v>807.34480528924348</v>
      </c>
      <c r="CC12" s="162">
        <f t="shared" si="29"/>
        <v>5604.9601708465589</v>
      </c>
      <c r="CD12">
        <f t="shared" si="38"/>
        <v>7126.6856515233949</v>
      </c>
    </row>
    <row r="13" spans="1:85" ht="16" thickBot="1" x14ac:dyDescent="0.25">
      <c r="D13" s="22">
        <f t="shared" si="0"/>
        <v>0</v>
      </c>
      <c r="E13" s="23">
        <v>8.9017032</v>
      </c>
      <c r="F13" s="23">
        <f>IF(K13&lt;6,1,IF(Data!K13&lt;9,2,IF(K13&gt;9,3)))</f>
        <v>3</v>
      </c>
      <c r="G13" s="23">
        <v>730.81820122499028</v>
      </c>
      <c r="H13" s="23">
        <v>211.41666499999999</v>
      </c>
      <c r="I13" s="64">
        <v>28.826174911555785</v>
      </c>
      <c r="J13" s="65">
        <f t="shared" si="1"/>
        <v>3.2287339093518952</v>
      </c>
      <c r="K13" s="65">
        <f t="shared" si="2"/>
        <v>11.530469964622315</v>
      </c>
      <c r="L13" s="65">
        <f t="shared" si="3"/>
        <v>1.2914935637407652</v>
      </c>
      <c r="M13">
        <f t="shared" si="4"/>
        <v>17.8034064</v>
      </c>
      <c r="N13">
        <f t="shared" si="5"/>
        <v>0</v>
      </c>
      <c r="O13">
        <f>IF(L13&lt;'Vehicle Data'!F$21,'Vehicle Data'!C$21,IF(L13&gt;'Vehicle Data'!C$21,'Vehicle Data'!C$20))</f>
        <v>0.6</v>
      </c>
      <c r="P13">
        <f>('Vehicle Data'!C$6*9.81*'Vehicle Data'!C$5*SIN(D13))/'Vehicle Data'!C$9</f>
        <v>0</v>
      </c>
      <c r="Q13" s="107">
        <f>'Vehicle Data'!C$6*9.81*SIN(D13)</f>
        <v>0</v>
      </c>
      <c r="R13">
        <f t="shared" si="6"/>
        <v>729.470765177624</v>
      </c>
      <c r="S13">
        <f>IF(Data!O13=0.6,'Vehicle Data'!E$21,IF(Data!O13 = 0.9,'Vehicle Data'!E$20))+(P13*O13)</f>
        <v>1550.3723999999997</v>
      </c>
      <c r="T13">
        <f>IF(F13=3,'Vehicle Data'!H$16,IF(F13=2,'Vehicle Data'!H$15,IF(F13 = 1,'Vehicle Data'!G$14)))</f>
        <v>466.23005239380637</v>
      </c>
      <c r="U13" s="148">
        <f t="shared" si="7"/>
        <v>13.332283054307936</v>
      </c>
      <c r="V13" s="70" t="s">
        <v>77</v>
      </c>
      <c r="W13" s="99" t="s">
        <v>84</v>
      </c>
      <c r="X13">
        <f>IF(V13="S",'Vehicle Data'!C$14,IF(Data!V13 = "T1",'Vehicle Data'!P$2,IF(Data!V13="T2",'Vehicle Data'!P$3)))</f>
        <v>13.411199999999999</v>
      </c>
      <c r="Z13">
        <f t="shared" si="8"/>
        <v>9.3870384988924584</v>
      </c>
      <c r="AB13" t="b">
        <f>IF(AA13=1,'Vehicle Data'!I$14,IF(AA13=2,'Vehicle Data'!I$15,IF(AA13=3,'Vehicle Data'!I$16)))</f>
        <v>0</v>
      </c>
      <c r="AC13">
        <f>IF(Z13&lt;'Vehicle Data'!C$16,'Vehicle Data'!I$15,IF(Z13&lt;'Vehicle Data'!C$15,'Vehicle Data'!I$15,IF(Z12&gt;'Vehicle Data'!C$15,'Vehicle Data'!I$16)))</f>
        <v>0.46202745420001456</v>
      </c>
      <c r="AD13">
        <f>IF(O13=0.6,'Vehicle Data'!F$21,IF(O13=0.9,'Vehicle Data'!F$20))</f>
        <v>3.5315999999999996</v>
      </c>
      <c r="AE13" s="100">
        <f t="shared" si="9"/>
        <v>0.46202745420001456</v>
      </c>
      <c r="AF13" s="158">
        <f t="shared" si="30"/>
        <v>0.14338381935684866</v>
      </c>
      <c r="AG13" s="148">
        <f t="shared" si="12"/>
        <v>0.4636693984910561</v>
      </c>
      <c r="AH13" s="148">
        <f t="shared" si="31"/>
        <v>1.4820133633295696</v>
      </c>
      <c r="AJ13">
        <f>(Z13^2)*'Vehicle Data'!C$31</f>
        <v>32.382810729035782</v>
      </c>
      <c r="AK13">
        <f>IF(O13=0.6,'Vehicle Data'!C$6*'Vehicle Data'!D$21*9.81,IF(O13=0.9,'Vehicle Data'!C$6*9.81*'Vehicle Data'!D$20))</f>
        <v>86.131799999999998</v>
      </c>
      <c r="AL13">
        <f t="shared" si="10"/>
        <v>118.51461072903578</v>
      </c>
      <c r="AN13">
        <f>IF(AG13&gt;0,AG13*'Vehicle Data'!C$6)</f>
        <v>203.55086593757363</v>
      </c>
      <c r="AO13">
        <f t="shared" si="13"/>
        <v>322.06547666660941</v>
      </c>
      <c r="AP13">
        <f>AO13*'Vehicle Data'!F$3</f>
        <v>82.319935835985362</v>
      </c>
      <c r="AQ13">
        <f>IF(AE13='Vehicle Data'!I$15,AP13/'Vehicle Data'!G$15,IF(AE13='Vehicle Data'!I$16,AP13/'Vehicle Data'!G$16,IF(AE13='Vehicle Data'!I$14,Data!AP13/'Vehicle Data'!G24)))</f>
        <v>15.197305386656224</v>
      </c>
      <c r="AR13">
        <f>IF(Z13&lt;'Vehicle Data'!C$16, Z13*'Vehicle Data'!F$7*'Vehicle Data'!G$14,IF(Z13&lt;'Vehicle Data'!C$15,Z13*'Vehicle Data'!F$7*'Vehicle Data'!G$15,IF(Z13&gt;'Vehicle Data'!C$15,Z13*'Vehicle Data'!F$7*'Vehicle Data'!G$16)))</f>
        <v>81.659694250883859</v>
      </c>
      <c r="AS13">
        <f t="shared" si="32"/>
        <v>4899.5816550530317</v>
      </c>
      <c r="AT13">
        <f t="shared" si="33"/>
        <v>15</v>
      </c>
      <c r="AU13">
        <f t="shared" si="34"/>
        <v>5000</v>
      </c>
      <c r="AW13">
        <f>VLOOKUP(AT13,BSFC!A$64:A$82,1,FALSE)</f>
        <v>15</v>
      </c>
      <c r="AX13" t="e" cm="1">
        <f t="array" ref="AX13">_xlfn.XLOOKUP(AT13,BSFC!A$64:A$82,,-1,_xlfn.XLOOKUP(Data!AU13,BSFC!C$63:Q$63,BSFC!B$64:Q$82,,-1))</f>
        <v>#VALUE!</v>
      </c>
      <c r="AY13">
        <f>HLOOKUP(AU13,BSFC!F$63:Q$63,1)</f>
        <v>5000</v>
      </c>
      <c r="AZ13">
        <f>MATCH(AT13,BSFC!A$64:A$83,0)</f>
        <v>8</v>
      </c>
      <c r="BA13">
        <f>MATCH(AU13,BSFC!C$63:Q$63,0)</f>
        <v>10</v>
      </c>
      <c r="BB13" cm="1">
        <f t="array" ref="BB13">INDEX(BSFC!C$64:Q$82,Data!AZ13,Data!BA13)</f>
        <v>705.8</v>
      </c>
      <c r="BC13">
        <f>0.5*'Vehicle Data'!C$6*Data!Z13^2</f>
        <v>19341.569945641775</v>
      </c>
      <c r="BD13">
        <f t="shared" si="14"/>
        <v>7.8315632432726874</v>
      </c>
      <c r="BE13">
        <f t="shared" si="35"/>
        <v>5527.5173371018627</v>
      </c>
      <c r="BF13">
        <f t="shared" si="36"/>
        <v>0.22015459648746183</v>
      </c>
      <c r="BG13">
        <f t="shared" si="15"/>
        <v>2.26560370120316</v>
      </c>
      <c r="BH13">
        <f t="shared" si="16"/>
        <v>1251.4838062749754</v>
      </c>
      <c r="BI13" s="148">
        <f t="shared" si="17"/>
        <v>6871.6622130335309</v>
      </c>
      <c r="BJ13" s="9"/>
      <c r="BK13" s="11"/>
      <c r="BL13" s="19">
        <f>BR533</f>
        <v>1263510.5944704562</v>
      </c>
      <c r="BM13" s="15"/>
      <c r="BN13" s="10" t="s">
        <v>184</v>
      </c>
      <c r="BO13">
        <f t="shared" si="18"/>
        <v>178.38483707564646</v>
      </c>
      <c r="BP13">
        <f t="shared" si="19"/>
        <v>2503.6539345288761</v>
      </c>
      <c r="BQ13">
        <f t="shared" si="20"/>
        <v>2503.6539345288761</v>
      </c>
      <c r="BR13" s="148">
        <f t="shared" si="21"/>
        <v>11163.372819454109</v>
      </c>
      <c r="BS13" s="156">
        <f t="shared" si="22"/>
        <v>178.38483707564646</v>
      </c>
      <c r="BT13" s="156">
        <f t="shared" si="37"/>
        <v>1251.4838062749754</v>
      </c>
      <c r="BU13">
        <f t="shared" si="23"/>
        <v>979.47759145157522</v>
      </c>
      <c r="BV13">
        <f t="shared" si="24"/>
        <v>979.47759145157522</v>
      </c>
      <c r="BW13" s="148">
        <f t="shared" si="25"/>
        <v>455.4</v>
      </c>
      <c r="BX13" s="148">
        <f t="shared" si="26"/>
        <v>3129354.9718154697</v>
      </c>
      <c r="BY13" s="148">
        <f t="shared" si="27"/>
        <v>0.12390391531862424</v>
      </c>
      <c r="BZ13">
        <f t="shared" si="11"/>
        <v>1.4820133633295696</v>
      </c>
      <c r="CB13">
        <f t="shared" si="28"/>
        <v>801.09275437592873</v>
      </c>
      <c r="CC13" s="162">
        <f t="shared" si="29"/>
        <v>5587.0513002739672</v>
      </c>
      <c r="CD13">
        <f t="shared" si="38"/>
        <v>7927.7784058993238</v>
      </c>
    </row>
    <row r="14" spans="1:85" x14ac:dyDescent="0.2">
      <c r="D14" s="22">
        <f t="shared" si="0"/>
        <v>0</v>
      </c>
      <c r="E14" s="23">
        <v>8.9017032</v>
      </c>
      <c r="F14" s="23">
        <f>IF(K14&lt;6,1,IF(Data!K14&lt;9,2,IF(K14&gt;9,3)))</f>
        <v>3</v>
      </c>
      <c r="G14" s="23">
        <v>732.17118650877956</v>
      </c>
      <c r="H14" s="23">
        <v>211.46666499999998</v>
      </c>
      <c r="I14" s="64">
        <v>28.987611607023325</v>
      </c>
      <c r="J14" s="65">
        <f t="shared" si="1"/>
        <v>3.2779455189865923</v>
      </c>
      <c r="K14" s="65">
        <f t="shared" si="2"/>
        <v>11.595044642809331</v>
      </c>
      <c r="L14" s="65">
        <f t="shared" si="3"/>
        <v>1.3111782075946226</v>
      </c>
      <c r="M14">
        <f t="shared" si="4"/>
        <v>17.8034064</v>
      </c>
      <c r="N14">
        <f t="shared" si="5"/>
        <v>0</v>
      </c>
      <c r="O14">
        <f>IF(L14&lt;'Vehicle Data'!F$21,'Vehicle Data'!C$21,IF(L14&gt;'Vehicle Data'!C$21,'Vehicle Data'!C$20))</f>
        <v>0.6</v>
      </c>
      <c r="P14">
        <f>('Vehicle Data'!C$6*9.81*'Vehicle Data'!C$5*SIN(D14))/'Vehicle Data'!C$9</f>
        <v>0</v>
      </c>
      <c r="Q14" s="107">
        <f>'Vehicle Data'!C$6*9.81*SIN(D14)</f>
        <v>0</v>
      </c>
      <c r="R14">
        <f t="shared" si="6"/>
        <v>730.81820122499028</v>
      </c>
      <c r="S14">
        <f>IF(Data!O14=0.6,'Vehicle Data'!E$21,IF(Data!O14 = 0.9,'Vehicle Data'!E$20))+(P14*O14)</f>
        <v>1550.3723999999997</v>
      </c>
      <c r="T14">
        <f>IF(F14=3,'Vehicle Data'!H$16,IF(F14=2,'Vehicle Data'!H$15,IF(F14 = 1,'Vehicle Data'!G$14)))</f>
        <v>466.23005239380637</v>
      </c>
      <c r="U14" s="148">
        <f t="shared" si="7"/>
        <v>14.679719101674209</v>
      </c>
      <c r="V14" s="70" t="s">
        <v>77</v>
      </c>
      <c r="W14" s="99" t="s">
        <v>84</v>
      </c>
      <c r="X14">
        <f>IF(V14="S",'Vehicle Data'!C$14,IF(Data!V14 = "T1",'Vehicle Data'!P$2,IF(Data!V14="T2",'Vehicle Data'!P$3)))</f>
        <v>13.411199999999999</v>
      </c>
      <c r="Z14">
        <f t="shared" si="8"/>
        <v>9.4531262909692018</v>
      </c>
      <c r="AB14" t="b">
        <f>IF(AA14=1,'Vehicle Data'!I$14,IF(AA14=2,'Vehicle Data'!I$15,IF(AA14=3,'Vehicle Data'!I$16)))</f>
        <v>0</v>
      </c>
      <c r="AC14">
        <f>IF(Z14&lt;'Vehicle Data'!C$16,'Vehicle Data'!I$15,IF(Z14&lt;'Vehicle Data'!C$15,'Vehicle Data'!I$15,IF(Z13&gt;'Vehicle Data'!C$15,'Vehicle Data'!I$16)))</f>
        <v>0.46202745420001456</v>
      </c>
      <c r="AD14">
        <f>IF(O14=0.6,'Vehicle Data'!F$21,IF(O14=0.9,'Vehicle Data'!F$20))</f>
        <v>3.5315999999999996</v>
      </c>
      <c r="AE14" s="100">
        <f t="shared" si="9"/>
        <v>0.46202745420001456</v>
      </c>
      <c r="AF14" s="158">
        <f t="shared" si="30"/>
        <v>0.14253866984232622</v>
      </c>
      <c r="AG14" s="148">
        <f t="shared" si="12"/>
        <v>0.46364816052968977</v>
      </c>
      <c r="AH14" s="148">
        <f t="shared" si="31"/>
        <v>1.6245520331718959</v>
      </c>
      <c r="AJ14">
        <f>(Z14^2)*'Vehicle Data'!C$31</f>
        <v>32.840386777332341</v>
      </c>
      <c r="AK14">
        <f>IF(O14=0.6,'Vehicle Data'!C$6*'Vehicle Data'!D$21*9.81,IF(O14=0.9,'Vehicle Data'!C$6*9.81*'Vehicle Data'!D$20))</f>
        <v>86.131799999999998</v>
      </c>
      <c r="AL14">
        <f t="shared" si="10"/>
        <v>118.97218677733234</v>
      </c>
      <c r="AN14">
        <f>IF(AG14&gt;0,AG14*'Vehicle Data'!C$6)</f>
        <v>203.54154247253382</v>
      </c>
      <c r="AO14">
        <f t="shared" si="13"/>
        <v>322.51372924986617</v>
      </c>
      <c r="AP14">
        <f>AO14*'Vehicle Data'!F$3</f>
        <v>82.434509196265793</v>
      </c>
      <c r="AQ14">
        <f>IF(AE14='Vehicle Data'!I$15,AP14/'Vehicle Data'!G$15,IF(AE14='Vehicle Data'!I$16,AP14/'Vehicle Data'!G$16,IF(AE14='Vehicle Data'!I$14,Data!AP14/'Vehicle Data'!G25)))</f>
        <v>15.218457083722974</v>
      </c>
      <c r="AR14">
        <f>IF(Z14&lt;'Vehicle Data'!C$16, Z14*'Vehicle Data'!F$7*'Vehicle Data'!G$14,IF(Z14&lt;'Vehicle Data'!C$15,Z14*'Vehicle Data'!F$7*'Vehicle Data'!G$15,IF(Z14&gt;'Vehicle Data'!C$15,Z14*'Vehicle Data'!F$7*'Vehicle Data'!G$16)))</f>
        <v>82.234604953054685</v>
      </c>
      <c r="AS14">
        <f t="shared" si="32"/>
        <v>4934.076297183281</v>
      </c>
      <c r="AT14">
        <f t="shared" si="33"/>
        <v>15</v>
      </c>
      <c r="AU14">
        <f t="shared" si="34"/>
        <v>5000</v>
      </c>
      <c r="AW14">
        <f>VLOOKUP(AT14,BSFC!A$64:A$82,1,FALSE)</f>
        <v>15</v>
      </c>
      <c r="AX14" t="e" cm="1">
        <f t="array" ref="AX14">_xlfn.XLOOKUP(AT14,BSFC!A$64:A$82,,-1,_xlfn.XLOOKUP(Data!AU14,BSFC!C$63:Q$63,BSFC!B$64:Q$82,,-1))</f>
        <v>#VALUE!</v>
      </c>
      <c r="AY14">
        <f>HLOOKUP(AU14,BSFC!F$63:Q$63,1)</f>
        <v>5000</v>
      </c>
      <c r="AZ14">
        <f>MATCH(AT14,BSFC!A$64:A$83,0)</f>
        <v>8</v>
      </c>
      <c r="BA14">
        <f>MATCH(AU14,BSFC!C$63:Q$63,0)</f>
        <v>10</v>
      </c>
      <c r="BB14" cm="1">
        <f t="array" ref="BB14">INDEX(BSFC!C$64:Q$82,Data!AZ14,Data!BA14)</f>
        <v>705.8</v>
      </c>
      <c r="BC14">
        <f>0.5*'Vehicle Data'!C$6*Data!Z14^2</f>
        <v>19614.870469726386</v>
      </c>
      <c r="BD14">
        <f t="shared" si="14"/>
        <v>7.8972217780320468</v>
      </c>
      <c r="BE14">
        <f t="shared" si="35"/>
        <v>5573.8591309350186</v>
      </c>
      <c r="BF14">
        <f t="shared" si="36"/>
        <v>0.22069179622555052</v>
      </c>
      <c r="BG14">
        <f t="shared" si="15"/>
        <v>2.4862954974287104</v>
      </c>
      <c r="BH14">
        <f t="shared" si="16"/>
        <v>1261.9760401295209</v>
      </c>
      <c r="BI14" s="148">
        <f t="shared" si="17"/>
        <v>6871.6622130335309</v>
      </c>
      <c r="BJ14" s="9"/>
      <c r="BK14" s="15"/>
      <c r="BL14" s="15"/>
      <c r="BM14" s="15"/>
      <c r="BN14" s="10" t="s">
        <v>185</v>
      </c>
      <c r="BO14">
        <f t="shared" si="18"/>
        <v>179.37079503990844</v>
      </c>
      <c r="BP14">
        <f t="shared" si="19"/>
        <v>2683.0247295687846</v>
      </c>
      <c r="BQ14">
        <f t="shared" si="20"/>
        <v>2683.0247295687846</v>
      </c>
      <c r="BR14" s="148">
        <f t="shared" si="21"/>
        <v>12140.075605563279</v>
      </c>
      <c r="BS14" s="156">
        <f t="shared" si="22"/>
        <v>179.37079503990844</v>
      </c>
      <c r="BT14" s="156">
        <f t="shared" si="37"/>
        <v>1261.9760401295209</v>
      </c>
      <c r="BU14">
        <f t="shared" si="23"/>
        <v>976.70278610917023</v>
      </c>
      <c r="BV14">
        <f t="shared" si="24"/>
        <v>976.70278610917023</v>
      </c>
      <c r="BW14" s="148">
        <f t="shared" si="25"/>
        <v>455.4</v>
      </c>
      <c r="BX14" s="148">
        <f t="shared" si="26"/>
        <v>3129354.9718154697</v>
      </c>
      <c r="BY14" s="148">
        <f t="shared" si="27"/>
        <v>0.12355290244281</v>
      </c>
      <c r="BZ14">
        <f t="shared" si="11"/>
        <v>1.6245520331718959</v>
      </c>
      <c r="CB14">
        <f t="shared" si="28"/>
        <v>797.33199106926179</v>
      </c>
      <c r="CC14" s="162">
        <f t="shared" si="29"/>
        <v>5593.7942451073513</v>
      </c>
      <c r="CD14">
        <f t="shared" si="38"/>
        <v>8725.1103969685864</v>
      </c>
    </row>
    <row r="15" spans="1:85" x14ac:dyDescent="0.2">
      <c r="D15" s="22">
        <f t="shared" si="0"/>
        <v>0</v>
      </c>
      <c r="E15" s="23">
        <v>8.9017032</v>
      </c>
      <c r="F15" s="23">
        <f>IF(K15&lt;6,1,IF(Data!K15&lt;9,2,IF(K15&gt;9,3)))</f>
        <v>3</v>
      </c>
      <c r="G15" s="23">
        <v>733.52557840751376</v>
      </c>
      <c r="H15" s="23">
        <v>211.51666499999999</v>
      </c>
      <c r="I15" s="64">
        <v>29.151508882972692</v>
      </c>
      <c r="J15" s="65">
        <f t="shared" si="1"/>
        <v>3.337711562270536</v>
      </c>
      <c r="K15" s="65">
        <f t="shared" si="2"/>
        <v>11.660603553189077</v>
      </c>
      <c r="L15" s="65">
        <f t="shared" si="3"/>
        <v>1.3350846249082144</v>
      </c>
      <c r="M15">
        <f t="shared" si="4"/>
        <v>17.8034064</v>
      </c>
      <c r="N15">
        <f t="shared" si="5"/>
        <v>0</v>
      </c>
      <c r="O15">
        <f>IF(L15&lt;'Vehicle Data'!F$21,'Vehicle Data'!C$21,IF(L15&gt;'Vehicle Data'!C$21,'Vehicle Data'!C$20))</f>
        <v>0.6</v>
      </c>
      <c r="P15">
        <f>('Vehicle Data'!C$6*9.81*'Vehicle Data'!C$5*SIN(D15))/'Vehicle Data'!C$9</f>
        <v>0</v>
      </c>
      <c r="Q15" s="107">
        <f>'Vehicle Data'!C$6*9.81*SIN(D15)</f>
        <v>0</v>
      </c>
      <c r="R15">
        <f t="shared" si="6"/>
        <v>732.17118650877956</v>
      </c>
      <c r="S15">
        <f>IF(Data!O15=0.6,'Vehicle Data'!E$21,IF(Data!O15 = 0.9,'Vehicle Data'!E$20))+(P15*O15)</f>
        <v>1550.3723999999997</v>
      </c>
      <c r="T15">
        <f>IF(F15=3,'Vehicle Data'!H$16,IF(F15=2,'Vehicle Data'!H$15,IF(F15 = 1,'Vehicle Data'!G$14)))</f>
        <v>466.23005239380637</v>
      </c>
      <c r="U15" s="148">
        <f t="shared" si="7"/>
        <v>16.032704385463489</v>
      </c>
      <c r="V15" s="70" t="s">
        <v>77</v>
      </c>
      <c r="W15" s="99" t="s">
        <v>84</v>
      </c>
      <c r="X15">
        <f>IF(V15="S",'Vehicle Data'!C$14,IF(Data!V15 = "T1",'Vehicle Data'!P$2,IF(Data!V15="T2",'Vehicle Data'!P$3)))</f>
        <v>13.411199999999999</v>
      </c>
      <c r="Z15">
        <f t="shared" si="8"/>
        <v>9.5190246015803339</v>
      </c>
      <c r="AB15" t="b">
        <f>IF(AA15=1,'Vehicle Data'!I$14,IF(AA15=2,'Vehicle Data'!I$15,IF(AA15=3,'Vehicle Data'!I$16)))</f>
        <v>0</v>
      </c>
      <c r="AC15">
        <f>IF(Z15&lt;'Vehicle Data'!C$16,'Vehicle Data'!I$15,IF(Z15&lt;'Vehicle Data'!C$15,'Vehicle Data'!I$15,IF(Z14&gt;'Vehicle Data'!C$15,'Vehicle Data'!I$16)))</f>
        <v>0.46202745420001456</v>
      </c>
      <c r="AD15">
        <f>IF(O15=0.6,'Vehicle Data'!F$21,IF(O15=0.9,'Vehicle Data'!F$20))</f>
        <v>3.5315999999999996</v>
      </c>
      <c r="AE15" s="100">
        <f t="shared" si="9"/>
        <v>0.46202745420001456</v>
      </c>
      <c r="AF15" s="158">
        <f t="shared" si="30"/>
        <v>0.14213486574713335</v>
      </c>
      <c r="AG15" s="148">
        <f t="shared" si="12"/>
        <v>0.46363227111614752</v>
      </c>
      <c r="AH15" s="148">
        <f t="shared" si="31"/>
        <v>1.7666868989190292</v>
      </c>
      <c r="AJ15">
        <f>(Z15^2)*'Vehicle Data'!C$31</f>
        <v>33.299847291818182</v>
      </c>
      <c r="AK15">
        <f>IF(O15=0.6,'Vehicle Data'!C$6*'Vehicle Data'!D$21*9.81,IF(O15=0.9,'Vehicle Data'!C$6*9.81*'Vehicle Data'!D$20))</f>
        <v>86.131799999999998</v>
      </c>
      <c r="AL15">
        <f t="shared" si="10"/>
        <v>119.43164729181818</v>
      </c>
      <c r="AN15">
        <f>IF(AG15&gt;0,AG15*'Vehicle Data'!C$6)</f>
        <v>203.53456701998877</v>
      </c>
      <c r="AO15">
        <f t="shared" si="13"/>
        <v>322.96621431180694</v>
      </c>
      <c r="AP15">
        <f>AO15*'Vehicle Data'!F$3</f>
        <v>82.550164378097847</v>
      </c>
      <c r="AQ15">
        <f>IF(AE15='Vehicle Data'!I$15,AP15/'Vehicle Data'!G$15,IF(AE15='Vehicle Data'!I$16,AP15/'Vehicle Data'!G$16,IF(AE15='Vehicle Data'!I$14,Data!AP15/'Vehicle Data'!G26)))</f>
        <v>15.239808498784241</v>
      </c>
      <c r="AR15">
        <f>IF(Z15&lt;'Vehicle Data'!C$16, Z15*'Vehicle Data'!F$7*'Vehicle Data'!G$14,IF(Z15&lt;'Vehicle Data'!C$15,Z15*'Vehicle Data'!F$7*'Vehicle Data'!G$15,IF(Z15&gt;'Vehicle Data'!C$15,Z15*'Vehicle Data'!F$7*'Vehicle Data'!G$16)))</f>
        <v>82.807867318686803</v>
      </c>
      <c r="AS15">
        <f t="shared" si="32"/>
        <v>4968.4720391212086</v>
      </c>
      <c r="AT15">
        <f t="shared" si="33"/>
        <v>15</v>
      </c>
      <c r="AU15">
        <f t="shared" si="34"/>
        <v>5000</v>
      </c>
      <c r="AW15">
        <f>VLOOKUP(AT15,BSFC!A$64:A$82,1,FALSE)</f>
        <v>15</v>
      </c>
      <c r="AX15" t="e" cm="1">
        <f t="array" ref="AX15">_xlfn.XLOOKUP(AT15,BSFC!A$64:A$82,,-1,_xlfn.XLOOKUP(Data!AU15,BSFC!C$63:Q$63,BSFC!B$64:Q$82,,-1))</f>
        <v>#VALUE!</v>
      </c>
      <c r="AY15">
        <f>HLOOKUP(AU15,BSFC!F$63:Q$63,1)</f>
        <v>5000</v>
      </c>
      <c r="AZ15">
        <f>MATCH(AT15,BSFC!A$64:A$83,0)</f>
        <v>8</v>
      </c>
      <c r="BA15">
        <f>MATCH(AU15,BSFC!C$63:Q$63,0)</f>
        <v>10</v>
      </c>
      <c r="BB15" cm="1">
        <f t="array" ref="BB15">INDEX(BSFC!C$64:Q$82,Data!AZ15,Data!BA15)</f>
        <v>705.8</v>
      </c>
      <c r="BC15">
        <f>0.5*'Vehicle Data'!C$6*Data!Z15^2</f>
        <v>19889.296545725414</v>
      </c>
      <c r="BD15">
        <f t="shared" si="14"/>
        <v>7.9626768983885174</v>
      </c>
      <c r="BE15">
        <f t="shared" si="35"/>
        <v>5620.0573548826151</v>
      </c>
      <c r="BF15">
        <f t="shared" si="36"/>
        <v>0.2218905826742861</v>
      </c>
      <c r="BG15">
        <f t="shared" si="15"/>
        <v>2.7081860801029967</v>
      </c>
      <c r="BH15">
        <f t="shared" si="16"/>
        <v>1272.4357683624849</v>
      </c>
      <c r="BI15" s="148">
        <f t="shared" si="17"/>
        <v>6871.6622130335309</v>
      </c>
      <c r="BJ15" s="9"/>
      <c r="BK15" s="15" t="s">
        <v>165</v>
      </c>
      <c r="BL15" s="15"/>
      <c r="BM15" s="15">
        <f>SUM(BV3:BV533)</f>
        <v>1263510.5944704562</v>
      </c>
      <c r="BN15" s="10" t="s">
        <v>186</v>
      </c>
      <c r="BO15">
        <f t="shared" si="18"/>
        <v>179.80801582284795</v>
      </c>
      <c r="BP15">
        <f t="shared" si="19"/>
        <v>2862.8327453916327</v>
      </c>
      <c r="BQ15">
        <f t="shared" si="20"/>
        <v>2862.8327453916327</v>
      </c>
      <c r="BR15" s="148">
        <f t="shared" si="21"/>
        <v>13111.110826869957</v>
      </c>
      <c r="BS15" s="156">
        <f t="shared" si="22"/>
        <v>179.80801582284795</v>
      </c>
      <c r="BT15" s="156">
        <f t="shared" si="37"/>
        <v>1272.4357683624849</v>
      </c>
      <c r="BU15">
        <f t="shared" si="23"/>
        <v>971.03522130667886</v>
      </c>
      <c r="BV15">
        <f t="shared" si="24"/>
        <v>971.03522130667886</v>
      </c>
      <c r="BW15" s="148">
        <f t="shared" si="25"/>
        <v>455.4</v>
      </c>
      <c r="BX15" s="148">
        <f t="shared" si="26"/>
        <v>3129354.9718154697</v>
      </c>
      <c r="BY15" s="148">
        <f t="shared" si="27"/>
        <v>0.12283595549529486</v>
      </c>
      <c r="BZ15">
        <f t="shared" si="11"/>
        <v>1.7666868989190292</v>
      </c>
      <c r="CB15">
        <f t="shared" si="28"/>
        <v>791.22720548383086</v>
      </c>
      <c r="CC15" s="162">
        <f t="shared" si="29"/>
        <v>5566.7355178811149</v>
      </c>
      <c r="CD15">
        <f t="shared" si="38"/>
        <v>9516.3376024524168</v>
      </c>
    </row>
    <row r="16" spans="1:85" x14ac:dyDescent="0.2">
      <c r="D16" s="22">
        <f t="shared" si="0"/>
        <v>0</v>
      </c>
      <c r="E16" s="23">
        <v>8.9017032</v>
      </c>
      <c r="F16" s="23">
        <f>IF(K16&lt;6,1,IF(Data!K16&lt;9,2,IF(K16&gt;9,3)))</f>
        <v>3</v>
      </c>
      <c r="G16" s="23">
        <v>734.88723331972324</v>
      </c>
      <c r="H16" s="23">
        <v>211.566665</v>
      </c>
      <c r="I16" s="64">
        <v>29.318394461086257</v>
      </c>
      <c r="J16" s="65">
        <f t="shared" si="1"/>
        <v>3.1817079428338442</v>
      </c>
      <c r="K16" s="65">
        <f t="shared" si="2"/>
        <v>11.727357784434503</v>
      </c>
      <c r="L16" s="65">
        <f t="shared" si="3"/>
        <v>1.2726831771335234</v>
      </c>
      <c r="M16">
        <f t="shared" si="4"/>
        <v>17.8034064</v>
      </c>
      <c r="N16">
        <f t="shared" si="5"/>
        <v>0</v>
      </c>
      <c r="O16">
        <f>IF(L16&lt;'Vehicle Data'!F$21,'Vehicle Data'!C$21,IF(L16&gt;'Vehicle Data'!C$21,'Vehicle Data'!C$20))</f>
        <v>0.6</v>
      </c>
      <c r="P16">
        <f>('Vehicle Data'!C$6*9.81*'Vehicle Data'!C$5*SIN(D16))/'Vehicle Data'!C$9</f>
        <v>0</v>
      </c>
      <c r="Q16" s="107">
        <f>'Vehicle Data'!C$6*9.81*SIN(D16)</f>
        <v>0</v>
      </c>
      <c r="R16">
        <f t="shared" si="6"/>
        <v>733.52557840751376</v>
      </c>
      <c r="S16">
        <f>IF(Data!O16=0.6,'Vehicle Data'!E$21,IF(Data!O16 = 0.9,'Vehicle Data'!E$20))+(P16*O16)</f>
        <v>1550.3723999999997</v>
      </c>
      <c r="T16">
        <f>IF(F16=3,'Vehicle Data'!H$16,IF(F16=2,'Vehicle Data'!H$15,IF(F16 = 1,'Vehicle Data'!G$14)))</f>
        <v>466.23005239380637</v>
      </c>
      <c r="U16" s="148">
        <f t="shared" si="7"/>
        <v>17.387096284197696</v>
      </c>
      <c r="V16" s="70" t="s">
        <v>77</v>
      </c>
      <c r="W16" s="99" t="s">
        <v>84</v>
      </c>
      <c r="X16">
        <f>IF(V16="S",'Vehicle Data'!C$14,IF(Data!V16 = "T1",'Vehicle Data'!P$2,IF(Data!V16="T2",'Vehicle Data'!P$3)))</f>
        <v>13.411199999999999</v>
      </c>
      <c r="Z16">
        <f t="shared" si="8"/>
        <v>9.5845376439040724</v>
      </c>
      <c r="AB16" t="b">
        <f>IF(AA16=1,'Vehicle Data'!I$14,IF(AA16=2,'Vehicle Data'!I$15,IF(AA16=3,'Vehicle Data'!I$16)))</f>
        <v>0</v>
      </c>
      <c r="AC16">
        <f>IF(Z16&lt;'Vehicle Data'!C$16,'Vehicle Data'!I$15,IF(Z16&lt;'Vehicle Data'!C$15,'Vehicle Data'!I$15,IF(Z15&gt;'Vehicle Data'!C$15,'Vehicle Data'!I$16)))</f>
        <v>0.46202745420001456</v>
      </c>
      <c r="AD16">
        <f>IF(O16=0.6,'Vehicle Data'!F$21,IF(O16=0.9,'Vehicle Data'!F$20))</f>
        <v>3.5315999999999996</v>
      </c>
      <c r="AE16" s="100">
        <f t="shared" si="9"/>
        <v>0.46202745420001456</v>
      </c>
      <c r="AF16" s="158">
        <f t="shared" si="30"/>
        <v>0.14131009226048821</v>
      </c>
      <c r="AG16" s="148">
        <f t="shared" si="12"/>
        <v>0.46361191388208145</v>
      </c>
      <c r="AH16" s="148">
        <f t="shared" si="31"/>
        <v>1.9079969911795174</v>
      </c>
      <c r="AJ16">
        <f>(Z16^2)*'Vehicle Data'!C$31</f>
        <v>33.759785478924741</v>
      </c>
      <c r="AK16">
        <f>IF(O16=0.6,'Vehicle Data'!C$6*'Vehicle Data'!D$21*9.81,IF(O16=0.9,'Vehicle Data'!C$6*9.81*'Vehicle Data'!D$20))</f>
        <v>86.131799999999998</v>
      </c>
      <c r="AL16">
        <f t="shared" si="10"/>
        <v>119.89158547892474</v>
      </c>
      <c r="AN16">
        <f>IF(AG16&gt;0,AG16*'Vehicle Data'!C$6)</f>
        <v>203.52563019423377</v>
      </c>
      <c r="AO16">
        <f t="shared" si="13"/>
        <v>323.41721567315852</v>
      </c>
      <c r="AP16">
        <f>AO16*'Vehicle Data'!F$3</f>
        <v>82.665440326059311</v>
      </c>
      <c r="AQ16">
        <f>IF(AE16='Vehicle Data'!I$15,AP16/'Vehicle Data'!G$15,IF(AE16='Vehicle Data'!I$16,AP16/'Vehicle Data'!G$16,IF(AE16='Vehicle Data'!I$14,Data!AP16/'Vehicle Data'!G27)))</f>
        <v>15.261089902457794</v>
      </c>
      <c r="AR16">
        <f>IF(Z16&lt;'Vehicle Data'!C$16, Z16*'Vehicle Data'!F$7*'Vehicle Data'!G$14,IF(Z16&lt;'Vehicle Data'!C$15,Z16*'Vehicle Data'!F$7*'Vehicle Data'!G$15,IF(Z16&gt;'Vehicle Data'!C$15,Z16*'Vehicle Data'!F$7*'Vehicle Data'!G$16)))</f>
        <v>83.377778159707944</v>
      </c>
      <c r="AS16">
        <f t="shared" si="32"/>
        <v>5002.6666895824765</v>
      </c>
      <c r="AT16">
        <f t="shared" si="33"/>
        <v>15</v>
      </c>
      <c r="AU16">
        <f t="shared" si="34"/>
        <v>5000</v>
      </c>
      <c r="AW16">
        <f>VLOOKUP(AT16,BSFC!A$64:A$82,1,FALSE)</f>
        <v>15</v>
      </c>
      <c r="AX16" t="e" cm="1">
        <f t="array" ref="AX16">_xlfn.XLOOKUP(AT16,BSFC!A$64:A$82,,-1,_xlfn.XLOOKUP(Data!AU16,BSFC!C$63:Q$63,BSFC!B$64:Q$82,,-1))</f>
        <v>#VALUE!</v>
      </c>
      <c r="AY16">
        <f>HLOOKUP(AU16,BSFC!F$63:Q$63,1)</f>
        <v>5000</v>
      </c>
      <c r="AZ16">
        <f>MATCH(AT16,BSFC!A$64:A$83,0)</f>
        <v>8</v>
      </c>
      <c r="BA16">
        <f>MATCH(AU16,BSFC!C$63:Q$63,0)</f>
        <v>10</v>
      </c>
      <c r="BB16" cm="1">
        <f t="array" ref="BB16">INDEX(BSFC!C$64:Q$82,Data!AZ16,Data!BA16)</f>
        <v>705.8</v>
      </c>
      <c r="BC16">
        <f>0.5*'Vehicle Data'!C$6*Data!Z16^2</f>
        <v>20164.007925507423</v>
      </c>
      <c r="BD16">
        <f t="shared" si="14"/>
        <v>8.0283430400407063</v>
      </c>
      <c r="BE16">
        <f t="shared" si="35"/>
        <v>5666.4045176607306</v>
      </c>
      <c r="BF16">
        <f t="shared" si="36"/>
        <v>0.22242226254885697</v>
      </c>
      <c r="BG16">
        <f t="shared" si="15"/>
        <v>2.9306083426518534</v>
      </c>
      <c r="BH16">
        <f t="shared" si="16"/>
        <v>1282.9292177985046</v>
      </c>
      <c r="BI16" s="148">
        <f t="shared" si="17"/>
        <v>6871.6622130335309</v>
      </c>
      <c r="BJ16" s="9"/>
      <c r="BK16" s="15"/>
      <c r="BL16" s="15"/>
      <c r="BM16" s="15"/>
      <c r="BN16" s="10" t="s">
        <v>187</v>
      </c>
      <c r="BO16">
        <f t="shared" si="18"/>
        <v>181.02748799912146</v>
      </c>
      <c r="BP16">
        <f t="shared" si="19"/>
        <v>3043.8602333907543</v>
      </c>
      <c r="BQ16">
        <f t="shared" si="20"/>
        <v>3043.8602333907543</v>
      </c>
      <c r="BR16" s="148">
        <f t="shared" si="21"/>
        <v>14080.735441810575</v>
      </c>
      <c r="BS16" s="156">
        <f t="shared" si="22"/>
        <v>181.02748799912146</v>
      </c>
      <c r="BT16" s="156">
        <f t="shared" si="37"/>
        <v>1282.9292177985046</v>
      </c>
      <c r="BU16">
        <f t="shared" si="23"/>
        <v>969.62461494061847</v>
      </c>
      <c r="BV16">
        <f t="shared" si="24"/>
        <v>969.62461494061847</v>
      </c>
      <c r="BW16" s="148">
        <f t="shared" si="25"/>
        <v>455.4</v>
      </c>
      <c r="BX16" s="148">
        <f t="shared" si="26"/>
        <v>3129354.9718154697</v>
      </c>
      <c r="BY16" s="148">
        <f t="shared" si="27"/>
        <v>0.12265751378998821</v>
      </c>
      <c r="BZ16">
        <f t="shared" si="11"/>
        <v>1.9079969911795174</v>
      </c>
      <c r="CB16">
        <f t="shared" si="28"/>
        <v>788.59712694149698</v>
      </c>
      <c r="CC16" s="162">
        <f t="shared" si="29"/>
        <v>5580.6143377771832</v>
      </c>
      <c r="CD16">
        <f t="shared" si="38"/>
        <v>10304.934729393914</v>
      </c>
    </row>
    <row r="17" spans="4:82" ht="16" thickBot="1" x14ac:dyDescent="0.25">
      <c r="D17" s="22">
        <f t="shared" si="0"/>
        <v>0</v>
      </c>
      <c r="E17" s="23">
        <v>8.9017032</v>
      </c>
      <c r="F17" s="23">
        <f>IF(K17&lt;6,1,IF(Data!K17&lt;9,2,IF(K17&gt;9,3)))</f>
        <v>3</v>
      </c>
      <c r="G17" s="23">
        <v>736.25116615761567</v>
      </c>
      <c r="H17" s="23">
        <v>211.61666499999998</v>
      </c>
      <c r="I17" s="64">
        <v>29.477479858227895</v>
      </c>
      <c r="J17" s="65">
        <f t="shared" si="1"/>
        <v>3.0343313352381278</v>
      </c>
      <c r="K17" s="65">
        <f t="shared" si="2"/>
        <v>11.790991943291157</v>
      </c>
      <c r="L17" s="65">
        <f t="shared" si="3"/>
        <v>1.2137325340952725</v>
      </c>
      <c r="M17">
        <f t="shared" si="4"/>
        <v>17.8034064</v>
      </c>
      <c r="N17">
        <f t="shared" si="5"/>
        <v>0</v>
      </c>
      <c r="O17">
        <f>IF(L17&lt;'Vehicle Data'!F$21,'Vehicle Data'!C$21,IF(L17&gt;'Vehicle Data'!C$21,'Vehicle Data'!C$20))</f>
        <v>0.6</v>
      </c>
      <c r="P17">
        <f>('Vehicle Data'!C$6*9.81*'Vehicle Data'!C$5*SIN(D17))/'Vehicle Data'!C$9</f>
        <v>0</v>
      </c>
      <c r="Q17" s="107">
        <f>'Vehicle Data'!C$6*9.81*SIN(D17)</f>
        <v>0</v>
      </c>
      <c r="R17">
        <f t="shared" si="6"/>
        <v>734.88723331972324</v>
      </c>
      <c r="S17">
        <f>IF(Data!O17=0.6,'Vehicle Data'!E$21,IF(Data!O17 = 0.9,'Vehicle Data'!E$20))+(P17*O17)</f>
        <v>1550.3723999999997</v>
      </c>
      <c r="T17">
        <f>IF(F17=3,'Vehicle Data'!H$16,IF(F17=2,'Vehicle Data'!H$15,IF(F17 = 1,'Vehicle Data'!G$14)))</f>
        <v>466.23005239380637</v>
      </c>
      <c r="U17" s="148">
        <f t="shared" si="7"/>
        <v>18.74875119640717</v>
      </c>
      <c r="V17" s="70" t="s">
        <v>77</v>
      </c>
      <c r="W17" s="99" t="s">
        <v>84</v>
      </c>
      <c r="X17">
        <f>IF(V17="S",'Vehicle Data'!C$14,IF(Data!V17 = "T1",'Vehicle Data'!P$2,IF(Data!V17="T2",'Vehicle Data'!P$3)))</f>
        <v>13.411199999999999</v>
      </c>
      <c r="Z17">
        <f t="shared" si="8"/>
        <v>9.6499536658259863</v>
      </c>
      <c r="AB17" t="b">
        <f>IF(AA17=1,'Vehicle Data'!I$14,IF(AA17=2,'Vehicle Data'!I$15,IF(AA17=3,'Vehicle Data'!I$16)))</f>
        <v>0</v>
      </c>
      <c r="AC17">
        <f>IF(Z17&lt;'Vehicle Data'!C$16,'Vehicle Data'!I$15,IF(Z17&lt;'Vehicle Data'!C$15,'Vehicle Data'!I$15,IF(Z16&gt;'Vehicle Data'!C$15,'Vehicle Data'!I$16)))</f>
        <v>0.46202745420001456</v>
      </c>
      <c r="AD17">
        <f>IF(O17=0.6,'Vehicle Data'!F$21,IF(O17=0.9,'Vehicle Data'!F$20))</f>
        <v>3.5315999999999996</v>
      </c>
      <c r="AE17" s="100">
        <f t="shared" si="9"/>
        <v>0.46202745420001456</v>
      </c>
      <c r="AF17" s="158">
        <f t="shared" si="30"/>
        <v>0.14110481349061724</v>
      </c>
      <c r="AG17" s="148">
        <f t="shared" si="12"/>
        <v>0.46359879796916936</v>
      </c>
      <c r="AH17" s="148">
        <f t="shared" si="31"/>
        <v>2.0491018046701348</v>
      </c>
      <c r="AJ17">
        <f>(Z17^2)*'Vehicle Data'!C$31</f>
        <v>34.222190114076241</v>
      </c>
      <c r="AK17">
        <f>IF(O17=0.6,'Vehicle Data'!C$6*'Vehicle Data'!D$21*9.81,IF(O17=0.9,'Vehicle Data'!C$6*9.81*'Vehicle Data'!D$20))</f>
        <v>86.131799999999998</v>
      </c>
      <c r="AL17">
        <f t="shared" si="10"/>
        <v>120.35399011407624</v>
      </c>
      <c r="AN17">
        <f>IF(AG17&gt;0,AG17*'Vehicle Data'!C$6)</f>
        <v>203.51987230846535</v>
      </c>
      <c r="AO17">
        <f t="shared" si="13"/>
        <v>323.87386242254161</v>
      </c>
      <c r="AP17">
        <f>AO17*'Vehicle Data'!F$3</f>
        <v>82.782159235201632</v>
      </c>
      <c r="AQ17">
        <f>IF(AE17='Vehicle Data'!I$15,AP17/'Vehicle Data'!G$15,IF(AE17='Vehicle Data'!I$16,AP17/'Vehicle Data'!G$16,IF(AE17='Vehicle Data'!I$14,Data!AP17/'Vehicle Data'!G28)))</f>
        <v>15.282637695086878</v>
      </c>
      <c r="AR17">
        <f>IF(Z17&lt;'Vehicle Data'!C$16, Z17*'Vehicle Data'!F$7*'Vehicle Data'!G$14,IF(Z17&lt;'Vehicle Data'!C$15,Z17*'Vehicle Data'!F$7*'Vehicle Data'!G$15,IF(Z17&gt;'Vehicle Data'!C$15,Z17*'Vehicle Data'!F$7*'Vehicle Data'!G$16)))</f>
        <v>83.946845001170558</v>
      </c>
      <c r="AS17">
        <f t="shared" si="32"/>
        <v>5036.8107000702339</v>
      </c>
      <c r="AT17">
        <f t="shared" si="33"/>
        <v>15</v>
      </c>
      <c r="AU17">
        <f t="shared" si="34"/>
        <v>5000</v>
      </c>
      <c r="AW17">
        <f>VLOOKUP(AT17,BSFC!A$64:A$82,1,FALSE)</f>
        <v>15</v>
      </c>
      <c r="AX17" t="e" cm="1">
        <f t="array" ref="AX17">_xlfn.XLOOKUP(AT17,BSFC!A$64:A$82,,-1,_xlfn.XLOOKUP(Data!AU17,BSFC!C$63:Q$63,BSFC!B$64:Q$82,,-1))</f>
        <v>#VALUE!</v>
      </c>
      <c r="AY17">
        <f>HLOOKUP(AU17,BSFC!F$63:Q$63,1)</f>
        <v>5000</v>
      </c>
      <c r="AZ17">
        <f>MATCH(AT17,BSFC!A$64:A$83,0)</f>
        <v>8</v>
      </c>
      <c r="BA17">
        <f>MATCH(AU17,BSFC!C$63:Q$63,0)</f>
        <v>10</v>
      </c>
      <c r="BB17" cm="1">
        <f t="array" ref="BB17">INDEX(BSFC!C$64:Q$82,Data!AZ17,Data!BA17)</f>
        <v>705.8</v>
      </c>
      <c r="BC17">
        <f>0.5*'Vehicle Data'!C$6*Data!Z17^2</f>
        <v>20440.192462693154</v>
      </c>
      <c r="BD17">
        <f t="shared" si="14"/>
        <v>8.0938461051800807</v>
      </c>
      <c r="BE17">
        <f t="shared" si="35"/>
        <v>5712.6365810361003</v>
      </c>
      <c r="BF17">
        <f t="shared" si="36"/>
        <v>0.22391125536299339</v>
      </c>
      <c r="BG17">
        <f t="shared" si="15"/>
        <v>3.154519598014847</v>
      </c>
      <c r="BH17">
        <f t="shared" si="16"/>
        <v>1293.396607607777</v>
      </c>
      <c r="BI17" s="148">
        <f t="shared" si="17"/>
        <v>6871.6622130335309</v>
      </c>
      <c r="BJ17" s="9"/>
      <c r="BK17" s="15"/>
      <c r="BL17" s="15"/>
      <c r="BM17" s="15"/>
      <c r="BN17" s="10"/>
      <c r="BO17">
        <f t="shared" si="18"/>
        <v>181.58510418157178</v>
      </c>
      <c r="BP17">
        <f t="shared" si="19"/>
        <v>3225.445337572326</v>
      </c>
      <c r="BQ17">
        <f t="shared" si="20"/>
        <v>3225.445337572326</v>
      </c>
      <c r="BR17" s="148">
        <f t="shared" si="21"/>
        <v>15045.475484821927</v>
      </c>
      <c r="BS17" s="156">
        <f t="shared" si="22"/>
        <v>181.58510418157178</v>
      </c>
      <c r="BT17" s="156">
        <f t="shared" si="37"/>
        <v>1293.396607607777</v>
      </c>
      <c r="BU17">
        <f t="shared" si="23"/>
        <v>964.74004301135221</v>
      </c>
      <c r="BV17">
        <f t="shared" si="24"/>
        <v>964.74004301135221</v>
      </c>
      <c r="BW17" s="148">
        <f t="shared" si="25"/>
        <v>455.4</v>
      </c>
      <c r="BX17" s="148">
        <f t="shared" si="26"/>
        <v>3129354.9718154697</v>
      </c>
      <c r="BY17" s="148">
        <f t="shared" si="27"/>
        <v>0.12203961544093604</v>
      </c>
      <c r="BZ17">
        <f t="shared" si="11"/>
        <v>2.0491018046701348</v>
      </c>
      <c r="CB17">
        <f t="shared" si="28"/>
        <v>783.15493882978046</v>
      </c>
      <c r="CC17" s="162">
        <f t="shared" si="29"/>
        <v>5550.1645865670998</v>
      </c>
      <c r="CD17">
        <f t="shared" si="38"/>
        <v>11088.089668223694</v>
      </c>
    </row>
    <row r="18" spans="4:82" x14ac:dyDescent="0.2">
      <c r="D18" s="22">
        <f t="shared" si="0"/>
        <v>0</v>
      </c>
      <c r="E18" s="23">
        <v>8.9017032</v>
      </c>
      <c r="F18" s="23">
        <f>IF(K18&lt;6,1,IF(Data!K18&lt;9,2,IF(K18&gt;9,3)))</f>
        <v>3</v>
      </c>
      <c r="G18" s="23">
        <v>737.62162541445537</v>
      </c>
      <c r="H18" s="23">
        <v>211.66666499999999</v>
      </c>
      <c r="I18" s="64">
        <v>29.629196424989836</v>
      </c>
      <c r="J18" s="65">
        <f t="shared" si="1"/>
        <v>3.0295883838312352</v>
      </c>
      <c r="K18" s="65">
        <f t="shared" si="2"/>
        <v>11.851678569995935</v>
      </c>
      <c r="L18" s="65">
        <f t="shared" si="3"/>
        <v>1.2118353535324868</v>
      </c>
      <c r="M18">
        <f t="shared" si="4"/>
        <v>17.8034064</v>
      </c>
      <c r="N18">
        <f t="shared" si="5"/>
        <v>0</v>
      </c>
      <c r="O18">
        <f>IF(L18&lt;'Vehicle Data'!F$21,'Vehicle Data'!C$21,IF(L18&gt;'Vehicle Data'!C$21,'Vehicle Data'!C$20))</f>
        <v>0.6</v>
      </c>
      <c r="P18">
        <f>('Vehicle Data'!C$6*9.81*'Vehicle Data'!C$5*SIN(D18))/'Vehicle Data'!C$9</f>
        <v>0</v>
      </c>
      <c r="Q18" s="107">
        <f>'Vehicle Data'!C$6*9.81*SIN(D18)</f>
        <v>0</v>
      </c>
      <c r="R18">
        <f t="shared" si="6"/>
        <v>736.25116615761567</v>
      </c>
      <c r="S18">
        <f>IF(Data!O18=0.6,'Vehicle Data'!E$21,IF(Data!O18 = 0.9,'Vehicle Data'!E$20))+(P18*O18)</f>
        <v>1550.3723999999997</v>
      </c>
      <c r="T18">
        <f>IF(F18=3,'Vehicle Data'!H$16,IF(F18=2,'Vehicle Data'!H$15,IF(F18 = 1,'Vehicle Data'!G$14)))</f>
        <v>466.23005239380637</v>
      </c>
      <c r="U18" s="148">
        <f t="shared" si="7"/>
        <v>20.112684034299605</v>
      </c>
      <c r="V18" s="70" t="s">
        <v>77</v>
      </c>
      <c r="W18" s="99" t="s">
        <v>84</v>
      </c>
      <c r="X18">
        <f>IF(V18="S",'Vehicle Data'!C$14,IF(Data!V18 = "T1",'Vehicle Data'!P$2,IF(Data!V18="T2",'Vehicle Data'!P$3)))</f>
        <v>13.411199999999999</v>
      </c>
      <c r="Z18">
        <f t="shared" si="8"/>
        <v>9.7150375493958272</v>
      </c>
      <c r="AB18" t="b">
        <f>IF(AA18=1,'Vehicle Data'!I$14,IF(AA18=2,'Vehicle Data'!I$15,IF(AA18=3,'Vehicle Data'!I$16)))</f>
        <v>0</v>
      </c>
      <c r="AC18">
        <f>IF(Z18&lt;'Vehicle Data'!C$16,'Vehicle Data'!I$15,IF(Z18&lt;'Vehicle Data'!C$15,'Vehicle Data'!I$15,IF(Z17&gt;'Vehicle Data'!C$15,'Vehicle Data'!I$16)))</f>
        <v>0.46202745420001456</v>
      </c>
      <c r="AD18">
        <f>IF(O18=0.6,'Vehicle Data'!F$21,IF(O18=0.9,'Vehicle Data'!F$20))</f>
        <v>3.5315999999999996</v>
      </c>
      <c r="AE18" s="100">
        <f t="shared" si="9"/>
        <v>0.46202745420001456</v>
      </c>
      <c r="AF18" s="158">
        <f t="shared" si="30"/>
        <v>0.14039398519640894</v>
      </c>
      <c r="AG18" s="148">
        <f t="shared" si="12"/>
        <v>0.46358028428917047</v>
      </c>
      <c r="AH18" s="148">
        <f t="shared" si="31"/>
        <v>2.1894957898665437</v>
      </c>
      <c r="AJ18">
        <f>(Z18^2)*'Vehicle Data'!C$31</f>
        <v>34.685368310417807</v>
      </c>
      <c r="AK18">
        <f>IF(O18=0.6,'Vehicle Data'!C$6*'Vehicle Data'!D$21*9.81,IF(O18=0.9,'Vehicle Data'!C$6*9.81*'Vehicle Data'!D$20))</f>
        <v>86.131799999999998</v>
      </c>
      <c r="AL18">
        <f t="shared" si="10"/>
        <v>120.8171683104178</v>
      </c>
      <c r="AN18">
        <f>IF(AG18&gt;0,AG18*'Vehicle Data'!C$6)</f>
        <v>203.51174480294583</v>
      </c>
      <c r="AO18">
        <f t="shared" si="13"/>
        <v>324.32891311336363</v>
      </c>
      <c r="AP18">
        <f>AO18*'Vehicle Data'!F$3</f>
        <v>82.898470191775743</v>
      </c>
      <c r="AQ18">
        <f>IF(AE18='Vehicle Data'!I$15,AP18/'Vehicle Data'!G$15,IF(AE18='Vehicle Data'!I$16,AP18/'Vehicle Data'!G$16,IF(AE18='Vehicle Data'!I$14,Data!AP18/'Vehicle Data'!G29)))</f>
        <v>15.30411017449202</v>
      </c>
      <c r="AR18">
        <f>IF(Z18&lt;'Vehicle Data'!C$16, Z18*'Vehicle Data'!F$7*'Vehicle Data'!G$14,IF(Z18&lt;'Vehicle Data'!C$15,Z18*'Vehicle Data'!F$7*'Vehicle Data'!G$15,IF(Z18&gt;'Vehicle Data'!C$15,Z18*'Vehicle Data'!F$7*'Vehicle Data'!G$16)))</f>
        <v>84.513022505779745</v>
      </c>
      <c r="AS18">
        <f t="shared" si="32"/>
        <v>5070.7813503467851</v>
      </c>
      <c r="AT18">
        <f t="shared" si="33"/>
        <v>15</v>
      </c>
      <c r="AU18">
        <f t="shared" si="34"/>
        <v>5000</v>
      </c>
      <c r="AW18">
        <f>VLOOKUP(AT18,BSFC!A$64:A$82,1,FALSE)</f>
        <v>15</v>
      </c>
      <c r="AX18" t="e" cm="1">
        <f t="array" ref="AX18">_xlfn.XLOOKUP(AT18,BSFC!A$64:A$82,,-1,_xlfn.XLOOKUP(Data!AU18,BSFC!C$63:Q$63,BSFC!B$64:Q$82,,-1))</f>
        <v>#VALUE!</v>
      </c>
      <c r="AY18">
        <f>HLOOKUP(AU18,BSFC!F$63:Q$63,1)</f>
        <v>5000</v>
      </c>
      <c r="AZ18">
        <f>MATCH(AT18,BSFC!A$64:A$83,0)</f>
        <v>8</v>
      </c>
      <c r="BA18">
        <f>MATCH(AU18,BSFC!C$63:Q$63,0)</f>
        <v>10</v>
      </c>
      <c r="BB18" cm="1">
        <f t="array" ref="BB18">INDEX(BSFC!C$64:Q$82,Data!AZ18,Data!BA18)</f>
        <v>705.8</v>
      </c>
      <c r="BC18">
        <f>0.5*'Vehicle Data'!C$6*Data!Z18^2</f>
        <v>20716.839031664509</v>
      </c>
      <c r="BD18">
        <f t="shared" si="14"/>
        <v>8.1595102122450349</v>
      </c>
      <c r="BE18">
        <f t="shared" si="35"/>
        <v>5758.9823078025456</v>
      </c>
      <c r="BF18">
        <f t="shared" si="36"/>
        <v>0.22459068801889212</v>
      </c>
      <c r="BG18">
        <f t="shared" si="15"/>
        <v>3.3791102860337392</v>
      </c>
      <c r="BH18">
        <f t="shared" si="16"/>
        <v>1303.8897319167565</v>
      </c>
      <c r="BI18" s="148">
        <f t="shared" si="17"/>
        <v>6871.6622130335309</v>
      </c>
      <c r="BJ18" s="9"/>
      <c r="BK18" s="7" t="s">
        <v>172</v>
      </c>
      <c r="BL18" s="8">
        <f>SUM(BO3:BO533)</f>
        <v>937350.73107702681</v>
      </c>
      <c r="BM18" s="15"/>
      <c r="BN18" s="10"/>
      <c r="BO18">
        <f t="shared" si="18"/>
        <v>182.71251203995641</v>
      </c>
      <c r="BP18">
        <f t="shared" si="19"/>
        <v>3408.1578496122825</v>
      </c>
      <c r="BQ18">
        <f t="shared" si="20"/>
        <v>3408.1578496122825</v>
      </c>
      <c r="BR18" s="148">
        <f t="shared" si="21"/>
        <v>16008.39330992645</v>
      </c>
      <c r="BS18" s="156">
        <f t="shared" si="22"/>
        <v>182.71251203995641</v>
      </c>
      <c r="BT18" s="156">
        <f t="shared" si="37"/>
        <v>1303.8897319167565</v>
      </c>
      <c r="BU18">
        <f t="shared" si="23"/>
        <v>962.91782510452276</v>
      </c>
      <c r="BV18">
        <f t="shared" si="24"/>
        <v>962.91782510452276</v>
      </c>
      <c r="BW18" s="148">
        <f t="shared" si="25"/>
        <v>455.4</v>
      </c>
      <c r="BX18" s="148">
        <f t="shared" si="26"/>
        <v>3129354.9718154697</v>
      </c>
      <c r="BY18" s="148">
        <f t="shared" si="27"/>
        <v>0.12180910487572211</v>
      </c>
      <c r="BZ18">
        <f t="shared" si="11"/>
        <v>2.1894957898665437</v>
      </c>
      <c r="CB18">
        <f t="shared" si="28"/>
        <v>780.20531306456633</v>
      </c>
      <c r="CC18" s="162">
        <f t="shared" si="29"/>
        <v>5557.2559748415988</v>
      </c>
      <c r="CD18">
        <f t="shared" si="38"/>
        <v>11868.294981288262</v>
      </c>
    </row>
    <row r="19" spans="4:82" ht="16" thickBot="1" x14ac:dyDescent="0.25">
      <c r="D19" s="22">
        <f t="shared" si="0"/>
        <v>0</v>
      </c>
      <c r="E19" s="23">
        <v>8.9017032</v>
      </c>
      <c r="F19" s="23">
        <f>IF(K19&lt;6,1,IF(Data!K19&lt;9,2,IF(K19&gt;9,3)))</f>
        <v>3</v>
      </c>
      <c r="G19" s="23">
        <v>738.99514126582335</v>
      </c>
      <c r="H19" s="23">
        <v>211.71666499999998</v>
      </c>
      <c r="I19" s="64">
        <v>29.780675844181346</v>
      </c>
      <c r="J19" s="65">
        <f t="shared" si="1"/>
        <v>3.040182827275705</v>
      </c>
      <c r="K19" s="65">
        <f t="shared" si="2"/>
        <v>11.912270337672538</v>
      </c>
      <c r="L19" s="65">
        <f t="shared" si="3"/>
        <v>1.2160731309102679</v>
      </c>
      <c r="M19">
        <f t="shared" si="4"/>
        <v>17.8034064</v>
      </c>
      <c r="N19">
        <f t="shared" si="5"/>
        <v>0</v>
      </c>
      <c r="O19">
        <f>IF(L19&lt;'Vehicle Data'!F$21,'Vehicle Data'!C$21,IF(L19&gt;'Vehicle Data'!C$21,'Vehicle Data'!C$20))</f>
        <v>0.6</v>
      </c>
      <c r="P19">
        <f>('Vehicle Data'!C$6*9.81*'Vehicle Data'!C$5*SIN(D19))/'Vehicle Data'!C$9</f>
        <v>0</v>
      </c>
      <c r="Q19" s="107">
        <f>'Vehicle Data'!C$6*9.81*SIN(D19)</f>
        <v>0</v>
      </c>
      <c r="R19">
        <f t="shared" si="6"/>
        <v>737.62162541445537</v>
      </c>
      <c r="S19">
        <f>IF(Data!O19=0.6,'Vehicle Data'!E$21,IF(Data!O19 = 0.9,'Vehicle Data'!E$20))+(P19*O19)</f>
        <v>1550.3723999999997</v>
      </c>
      <c r="T19">
        <f>IF(F19=3,'Vehicle Data'!H$16,IF(F19=2,'Vehicle Data'!H$15,IF(F19 = 1,'Vehicle Data'!G$14)))</f>
        <v>466.23005239380637</v>
      </c>
      <c r="U19" s="148">
        <f t="shared" si="7"/>
        <v>21.483143291139299</v>
      </c>
      <c r="V19" s="70" t="s">
        <v>77</v>
      </c>
      <c r="W19" s="99" t="s">
        <v>84</v>
      </c>
      <c r="X19">
        <f>IF(V19="S",'Vehicle Data'!C$14,IF(Data!V19 = "T1",'Vehicle Data'!P$2,IF(Data!V19="T2",'Vehicle Data'!P$3)))</f>
        <v>13.411199999999999</v>
      </c>
      <c r="Z19">
        <f t="shared" si="8"/>
        <v>9.7799966354399057</v>
      </c>
      <c r="AB19" t="b">
        <f>IF(AA19=1,'Vehicle Data'!I$14,IF(AA19=2,'Vehicle Data'!I$15,IF(AA19=3,'Vehicle Data'!I$16)))</f>
        <v>0</v>
      </c>
      <c r="AC19">
        <f>IF(Z19&lt;'Vehicle Data'!C$16,'Vehicle Data'!I$15,IF(Z19&lt;'Vehicle Data'!C$15,'Vehicle Data'!I$15,IF(Z18&gt;'Vehicle Data'!C$15,'Vehicle Data'!I$16)))</f>
        <v>0.46202745420001456</v>
      </c>
      <c r="AD19">
        <f>IF(O19=0.6,'Vehicle Data'!F$21,IF(O19=0.9,'Vehicle Data'!F$20))</f>
        <v>3.5315999999999996</v>
      </c>
      <c r="AE19" s="100">
        <f t="shared" si="9"/>
        <v>0.46202745420001456</v>
      </c>
      <c r="AF19" s="158">
        <f t="shared" si="30"/>
        <v>0.1401288065758165</v>
      </c>
      <c r="AG19" s="148">
        <f t="shared" si="12"/>
        <v>0.46356696835873279</v>
      </c>
      <c r="AH19" s="148">
        <f t="shared" si="31"/>
        <v>2.3296245964423603</v>
      </c>
      <c r="AJ19">
        <f>(Z19^2)*'Vehicle Data'!C$31</f>
        <v>35.15076281453684</v>
      </c>
      <c r="AK19">
        <f>IF(O19=0.6,'Vehicle Data'!C$6*'Vehicle Data'!D$21*9.81,IF(O19=0.9,'Vehicle Data'!C$6*9.81*'Vehicle Data'!D$20))</f>
        <v>86.131799999999998</v>
      </c>
      <c r="AL19">
        <f t="shared" si="10"/>
        <v>121.28256281453685</v>
      </c>
      <c r="AN19">
        <f>IF(AG19&gt;0,AG19*'Vehicle Data'!C$6)</f>
        <v>203.50589910948369</v>
      </c>
      <c r="AO19">
        <f t="shared" si="13"/>
        <v>324.78846192402057</v>
      </c>
      <c r="AP19">
        <f>AO19*'Vehicle Data'!F$3</f>
        <v>83.015930867779659</v>
      </c>
      <c r="AQ19">
        <f>IF(AE19='Vehicle Data'!I$15,AP19/'Vehicle Data'!G$15,IF(AE19='Vehicle Data'!I$16,AP19/'Vehicle Data'!G$16,IF(AE19='Vehicle Data'!I$14,Data!AP19/'Vehicle Data'!G30)))</f>
        <v>15.325794906702104</v>
      </c>
      <c r="AR19">
        <f>IF(Z19&lt;'Vehicle Data'!C$16, Z19*'Vehicle Data'!F$7*'Vehicle Data'!G$14,IF(Z19&lt;'Vehicle Data'!C$15,Z19*'Vehicle Data'!F$7*'Vehicle Data'!G$15,IF(Z19&gt;'Vehicle Data'!C$15,Z19*'Vehicle Data'!F$7*'Vehicle Data'!G$16)))</f>
        <v>85.078114372165729</v>
      </c>
      <c r="AS19">
        <f t="shared" si="32"/>
        <v>5104.6868623299433</v>
      </c>
      <c r="AT19">
        <f t="shared" si="33"/>
        <v>15</v>
      </c>
      <c r="AU19">
        <f t="shared" si="34"/>
        <v>5000</v>
      </c>
      <c r="AW19">
        <f>VLOOKUP(AT19,BSFC!A$64:A$82,1,FALSE)</f>
        <v>15</v>
      </c>
      <c r="AX19" t="e" cm="1">
        <f t="array" ref="AX19">_xlfn.XLOOKUP(AT19,BSFC!A$64:A$82,,-1,_xlfn.XLOOKUP(Data!AU19,BSFC!C$63:Q$63,BSFC!B$64:Q$82,,-1))</f>
        <v>#VALUE!</v>
      </c>
      <c r="AY19">
        <f>HLOOKUP(AU19,BSFC!F$63:Q$63,1)</f>
        <v>5000</v>
      </c>
      <c r="AZ19">
        <f>MATCH(AT19,BSFC!A$64:A$83,0)</f>
        <v>8</v>
      </c>
      <c r="BA19">
        <f>MATCH(AU19,BSFC!C$63:Q$63,0)</f>
        <v>10</v>
      </c>
      <c r="BB19" cm="1">
        <f t="array" ref="BB19">INDEX(BSFC!C$64:Q$82,Data!AZ19,Data!BA19)</f>
        <v>705.8</v>
      </c>
      <c r="BC19">
        <f>0.5*'Vehicle Data'!C$6*Data!Z19^2</f>
        <v>20994.809354532885</v>
      </c>
      <c r="BD19">
        <f t="shared" si="14"/>
        <v>8.2250760738230024</v>
      </c>
      <c r="BE19">
        <f t="shared" si="35"/>
        <v>5805.2586929042745</v>
      </c>
      <c r="BF19">
        <f t="shared" si="36"/>
        <v>0.22596777013904454</v>
      </c>
      <c r="BG19">
        <f t="shared" si="15"/>
        <v>3.6050780561727835</v>
      </c>
      <c r="BH19">
        <f t="shared" si="16"/>
        <v>1314.3671565969157</v>
      </c>
      <c r="BI19" s="148">
        <f t="shared" si="17"/>
        <v>6871.6622130335309</v>
      </c>
      <c r="BJ19" s="9"/>
      <c r="BK19" s="11" t="s">
        <v>178</v>
      </c>
      <c r="BL19" s="12">
        <f>BL13-BL18</f>
        <v>326159.86339342943</v>
      </c>
      <c r="BM19" s="15"/>
      <c r="BN19" s="10"/>
      <c r="BO19">
        <f t="shared" si="18"/>
        <v>183.37882560832827</v>
      </c>
      <c r="BP19">
        <f t="shared" si="19"/>
        <v>3591.536675220611</v>
      </c>
      <c r="BQ19">
        <f t="shared" si="20"/>
        <v>3591.536675220611</v>
      </c>
      <c r="BR19" s="148">
        <f t="shared" si="21"/>
        <v>16967.118838237609</v>
      </c>
      <c r="BS19" s="156">
        <f t="shared" si="22"/>
        <v>183.37882560832827</v>
      </c>
      <c r="BT19" s="156">
        <f t="shared" si="37"/>
        <v>1314.3671565969157</v>
      </c>
      <c r="BU19">
        <f t="shared" si="23"/>
        <v>958.72552831115979</v>
      </c>
      <c r="BV19">
        <f t="shared" si="24"/>
        <v>958.72552831115979</v>
      </c>
      <c r="BW19" s="148">
        <f t="shared" si="25"/>
        <v>455.4</v>
      </c>
      <c r="BX19" s="148">
        <f t="shared" si="26"/>
        <v>3129354.9718154697</v>
      </c>
      <c r="BY19" s="148">
        <f t="shared" si="27"/>
        <v>0.12127877933136171</v>
      </c>
      <c r="BZ19">
        <f t="shared" si="11"/>
        <v>2.3296245964423603</v>
      </c>
      <c r="CB19">
        <f t="shared" si="28"/>
        <v>775.34670270283152</v>
      </c>
      <c r="CC19" s="162">
        <f t="shared" si="29"/>
        <v>5533.1000216813427</v>
      </c>
      <c r="CD19">
        <f t="shared" si="38"/>
        <v>12643.641683991093</v>
      </c>
    </row>
    <row r="20" spans="4:82" x14ac:dyDescent="0.2">
      <c r="D20" s="22">
        <f t="shared" si="0"/>
        <v>0</v>
      </c>
      <c r="E20" s="23">
        <v>8.9017032</v>
      </c>
      <c r="F20" s="23">
        <f>IF(K20&lt;6,1,IF(Data!K20&lt;9,2,IF(K20&gt;9,3)))</f>
        <v>3</v>
      </c>
      <c r="G20" s="23">
        <v>740.37425316455744</v>
      </c>
      <c r="H20" s="23">
        <v>211.76666499999999</v>
      </c>
      <c r="I20" s="64">
        <v>29.932684985545166</v>
      </c>
      <c r="J20" s="65">
        <f t="shared" si="1"/>
        <v>3.0797119346674253</v>
      </c>
      <c r="K20" s="65">
        <f t="shared" si="2"/>
        <v>11.973073994218066</v>
      </c>
      <c r="L20" s="65">
        <f t="shared" si="3"/>
        <v>1.2318847738669845</v>
      </c>
      <c r="M20">
        <f t="shared" si="4"/>
        <v>17.8034064</v>
      </c>
      <c r="N20">
        <v>0</v>
      </c>
      <c r="O20">
        <f>IF(L20&lt;'Vehicle Data'!F$21,'Vehicle Data'!C$21,IF(L20&gt;'Vehicle Data'!C$21,'Vehicle Data'!C$20))</f>
        <v>0.6</v>
      </c>
      <c r="P20">
        <f>('Vehicle Data'!C$6*9.81*'Vehicle Data'!C$5*SIN(D20))/'Vehicle Data'!C$9</f>
        <v>0</v>
      </c>
      <c r="Q20" s="107">
        <f>'Vehicle Data'!C$6*9.81*SIN(D20)</f>
        <v>0</v>
      </c>
      <c r="R20">
        <f t="shared" si="6"/>
        <v>738.99514126582335</v>
      </c>
      <c r="S20">
        <f>IF(Data!O20=0.6,'Vehicle Data'!E$21,IF(Data!O20 = 0.9,'Vehicle Data'!E$20))+(P20*O20)</f>
        <v>1550.3723999999997</v>
      </c>
      <c r="T20">
        <f>IF(F20=3,'Vehicle Data'!H$16,IF(F20=2,'Vehicle Data'!H$15,IF(F20 = 1,'Vehicle Data'!G$14)))</f>
        <v>466.23005239380637</v>
      </c>
      <c r="U20" s="148">
        <f t="shared" si="7"/>
        <v>22.856659142507283</v>
      </c>
      <c r="V20" s="70" t="s">
        <v>77</v>
      </c>
      <c r="W20" s="99" t="s">
        <v>84</v>
      </c>
      <c r="X20">
        <f>IF(V20="S",'Vehicle Data'!C$14,IF(Data!V20 = "T1",'Vehicle Data'!P$2,IF(Data!V20="T2",'Vehicle Data'!P$3)))</f>
        <v>13.411199999999999</v>
      </c>
      <c r="Z20">
        <f t="shared" si="8"/>
        <v>9.844670550782169</v>
      </c>
      <c r="AB20" t="b">
        <f>IF(AA20=1,'Vehicle Data'!I$14,IF(AA20=2,'Vehicle Data'!I$15,IF(AA20=3,'Vehicle Data'!I$16)))</f>
        <v>0</v>
      </c>
      <c r="AC20">
        <f>IF(Z20&lt;'Vehicle Data'!C$16,'Vehicle Data'!I$15,IF(Z20&lt;'Vehicle Data'!C$15,'Vehicle Data'!I$15,IF(Z19&gt;'Vehicle Data'!C$15,'Vehicle Data'!I$16)))</f>
        <v>0.46202745420001456</v>
      </c>
      <c r="AD20">
        <f>IF(O20=0.6,'Vehicle Data'!F$21,IF(O20=0.9,'Vehicle Data'!F$20))</f>
        <v>3.5315999999999996</v>
      </c>
      <c r="AE20" s="100">
        <f t="shared" si="9"/>
        <v>0.46202745420001456</v>
      </c>
      <c r="AF20" s="158">
        <f t="shared" si="30"/>
        <v>0.13951872175741384</v>
      </c>
      <c r="AG20" s="148">
        <f t="shared" si="12"/>
        <v>0.46355008508975687</v>
      </c>
      <c r="AH20" s="148">
        <f t="shared" si="31"/>
        <v>2.469143318199774</v>
      </c>
      <c r="AJ20">
        <f>(Z20^2)*'Vehicle Data'!C$31</f>
        <v>35.617195308138363</v>
      </c>
      <c r="AK20">
        <f>IF(O20=0.6,'Vehicle Data'!C$6*'Vehicle Data'!D$21*9.81,IF(O20=0.9,'Vehicle Data'!C$6*9.81*'Vehicle Data'!D$20))</f>
        <v>86.131799999999998</v>
      </c>
      <c r="AL20">
        <f t="shared" si="10"/>
        <v>121.74899530813836</v>
      </c>
      <c r="AN20">
        <f>IF(AG20&gt;0,AG20*'Vehicle Data'!C$6)</f>
        <v>203.49848735440327</v>
      </c>
      <c r="AO20">
        <f t="shared" si="13"/>
        <v>325.24748266254164</v>
      </c>
      <c r="AP20">
        <f>AO20*'Vehicle Data'!F$3</f>
        <v>83.133256568545647</v>
      </c>
      <c r="AQ20">
        <f>IF(AE20='Vehicle Data'!I$15,AP20/'Vehicle Data'!G$15,IF(AE20='Vehicle Data'!I$16,AP20/'Vehicle Data'!G$16,IF(AE20='Vehicle Data'!I$14,Data!AP20/'Vehicle Data'!G31)))</f>
        <v>15.347454720769461</v>
      </c>
      <c r="AR20">
        <f>IF(Z20&lt;'Vehicle Data'!C$16, Z20*'Vehicle Data'!F$7*'Vehicle Data'!G$14,IF(Z20&lt;'Vehicle Data'!C$15,Z20*'Vehicle Data'!F$7*'Vehicle Data'!G$15,IF(Z20&gt;'Vehicle Data'!C$15,Z20*'Vehicle Data'!F$7*'Vehicle Data'!G$16)))</f>
        <v>85.640725482526037</v>
      </c>
      <c r="AS20">
        <f t="shared" si="32"/>
        <v>5138.4435289515623</v>
      </c>
      <c r="AT20">
        <f t="shared" si="33"/>
        <v>15</v>
      </c>
      <c r="AU20">
        <f t="shared" si="34"/>
        <v>5000</v>
      </c>
      <c r="AW20">
        <f>VLOOKUP(AT20,BSFC!A$64:A$82,1,FALSE)</f>
        <v>15</v>
      </c>
      <c r="AX20" t="e" cm="1">
        <f t="array" ref="AX20">_xlfn.XLOOKUP(AT20,BSFC!A$64:A$82,,-1,_xlfn.XLOOKUP(Data!AU20,BSFC!C$63:Q$63,BSFC!B$64:Q$82,,-1))</f>
        <v>#VALUE!</v>
      </c>
      <c r="AY20">
        <f>HLOOKUP(AU20,BSFC!F$63:Q$63,1)</f>
        <v>5000</v>
      </c>
      <c r="AZ20">
        <f>MATCH(AT20,BSFC!A$64:A$83,0)</f>
        <v>8</v>
      </c>
      <c r="BA20">
        <f>MATCH(AU20,BSFC!C$63:Q$63,0)</f>
        <v>10</v>
      </c>
      <c r="BB20" cm="1">
        <f t="array" ref="BB20">INDEX(BSFC!C$64:Q$82,Data!AZ20,Data!BA20)</f>
        <v>705.8</v>
      </c>
      <c r="BC20">
        <f>0.5*'Vehicle Data'!C$6*Data!Z20^2</f>
        <v>21273.399646629576</v>
      </c>
      <c r="BD20">
        <f t="shared" si="14"/>
        <v>8.2907432321720105</v>
      </c>
      <c r="BE20">
        <f t="shared" si="35"/>
        <v>5851.6065732670049</v>
      </c>
      <c r="BF20">
        <f t="shared" si="36"/>
        <v>0.22678018592485921</v>
      </c>
      <c r="BG20">
        <f t="shared" si="15"/>
        <v>3.8318582420976428</v>
      </c>
      <c r="BH20">
        <f t="shared" si="16"/>
        <v>1324.8607685010868</v>
      </c>
      <c r="BI20" s="148">
        <f t="shared" si="17"/>
        <v>6871.6622130335309</v>
      </c>
      <c r="BJ20" s="9"/>
      <c r="BK20" s="15"/>
      <c r="BL20" s="15"/>
      <c r="BM20" s="15"/>
      <c r="BN20" s="10"/>
      <c r="BO20">
        <f t="shared" si="18"/>
        <v>184.38767328078688</v>
      </c>
      <c r="BP20">
        <f t="shared" si="19"/>
        <v>3775.9243485013976</v>
      </c>
      <c r="BQ20">
        <f t="shared" si="20"/>
        <v>3775.9243485013976</v>
      </c>
      <c r="BR20" s="148">
        <f t="shared" si="21"/>
        <v>17923.483338687165</v>
      </c>
      <c r="BS20" s="156">
        <f t="shared" si="22"/>
        <v>184.38767328078688</v>
      </c>
      <c r="BT20" s="156">
        <f t="shared" si="37"/>
        <v>1324.8607685010868</v>
      </c>
      <c r="BU20">
        <f t="shared" si="23"/>
        <v>956.36450044955518</v>
      </c>
      <c r="BV20">
        <f t="shared" si="24"/>
        <v>956.36450044955518</v>
      </c>
      <c r="BW20" s="148">
        <f t="shared" si="25"/>
        <v>455.4</v>
      </c>
      <c r="BX20" s="148">
        <f t="shared" si="26"/>
        <v>3129354.9718154697</v>
      </c>
      <c r="BY20" s="148">
        <f t="shared" si="27"/>
        <v>0.12098010930686871</v>
      </c>
      <c r="BZ20">
        <f t="shared" si="11"/>
        <v>2.469143318199774</v>
      </c>
      <c r="CB20">
        <f t="shared" si="28"/>
        <v>771.9768271687683</v>
      </c>
      <c r="CC20" s="162">
        <f t="shared" si="29"/>
        <v>5533.1414841302294</v>
      </c>
      <c r="CD20">
        <f t="shared" si="38"/>
        <v>13415.618511159861</v>
      </c>
    </row>
    <row r="21" spans="4:82" x14ac:dyDescent="0.2">
      <c r="D21" s="22">
        <f t="shared" si="0"/>
        <v>0</v>
      </c>
      <c r="E21" s="23">
        <v>9.0017015999999987</v>
      </c>
      <c r="F21" s="23">
        <f>IF(K21&lt;6,1,IF(Data!K21&lt;9,2,IF(K21&gt;9,3)))</f>
        <v>3</v>
      </c>
      <c r="G21" s="23">
        <v>741.7575963740311</v>
      </c>
      <c r="H21" s="23">
        <v>211.816665</v>
      </c>
      <c r="I21" s="64">
        <v>30.086670582278572</v>
      </c>
      <c r="J21" s="65">
        <f t="shared" si="1"/>
        <v>3.0029275622704015</v>
      </c>
      <c r="K21" s="65">
        <f t="shared" si="2"/>
        <v>12.034668232911429</v>
      </c>
      <c r="L21" s="65">
        <f t="shared" si="3"/>
        <v>1.2011710249081464</v>
      </c>
      <c r="M21">
        <f t="shared" si="4"/>
        <v>18.003403199999997</v>
      </c>
      <c r="N21">
        <f t="shared" si="5"/>
        <v>0</v>
      </c>
      <c r="O21">
        <f>IF(L21&lt;'Vehicle Data'!F$21,'Vehicle Data'!C$21,IF(L21&gt;'Vehicle Data'!C$21,'Vehicle Data'!C$20))</f>
        <v>0.6</v>
      </c>
      <c r="P21">
        <f>('Vehicle Data'!C$6*9.81*'Vehicle Data'!C$5*SIN(D21))/'Vehicle Data'!C$9</f>
        <v>0</v>
      </c>
      <c r="Q21" s="107">
        <f>'Vehicle Data'!C$6*9.81*SIN(D21)</f>
        <v>0</v>
      </c>
      <c r="R21">
        <f t="shared" si="6"/>
        <v>740.37425316455744</v>
      </c>
      <c r="S21">
        <f>IF(Data!O21=0.6,'Vehicle Data'!E$21,IF(Data!O21 = 0.9,'Vehicle Data'!E$20))+(P21*O21)</f>
        <v>1550.3723999999997</v>
      </c>
      <c r="T21">
        <f>IF(F21=3,'Vehicle Data'!H$16,IF(F21=2,'Vehicle Data'!H$15,IF(F21 = 1,'Vehicle Data'!G$14)))</f>
        <v>466.23005239380637</v>
      </c>
      <c r="U21" s="148">
        <f t="shared" si="7"/>
        <v>24.235771041241378</v>
      </c>
      <c r="V21" s="70" t="s">
        <v>77</v>
      </c>
      <c r="W21" s="99" t="s">
        <v>84</v>
      </c>
      <c r="X21">
        <f>IF(V21="S",'Vehicle Data'!C$14,IF(Data!V21 = "T1",'Vehicle Data'!P$2,IF(Data!V21="T2",'Vehicle Data'!P$3)))</f>
        <v>13.411199999999999</v>
      </c>
      <c r="Z21">
        <f t="shared" si="8"/>
        <v>9.9091832848472343</v>
      </c>
      <c r="AB21" t="b">
        <f>IF(AA21=1,'Vehicle Data'!I$14,IF(AA21=2,'Vehicle Data'!I$15,IF(AA21=3,'Vehicle Data'!I$16)))</f>
        <v>0</v>
      </c>
      <c r="AC21">
        <f>IF(Z21&lt;'Vehicle Data'!C$16,'Vehicle Data'!I$15,IF(Z21&lt;'Vehicle Data'!C$15,'Vehicle Data'!I$15,IF(Z20&gt;'Vehicle Data'!C$15,'Vehicle Data'!I$16)))</f>
        <v>0.46202745420001456</v>
      </c>
      <c r="AD21">
        <f>IF(O21=0.6,'Vehicle Data'!F$21,IF(O21=0.9,'Vehicle Data'!F$20))</f>
        <v>3.5315999999999996</v>
      </c>
      <c r="AE21" s="100">
        <f t="shared" si="9"/>
        <v>0.46202745420001456</v>
      </c>
      <c r="AF21" s="158">
        <f t="shared" si="30"/>
        <v>0.13917513271179305</v>
      </c>
      <c r="AG21" s="148">
        <f t="shared" si="12"/>
        <v>0.46353635745158372</v>
      </c>
      <c r="AH21" s="148">
        <f t="shared" si="31"/>
        <v>2.6083184509115669</v>
      </c>
      <c r="AJ21">
        <f>(Z21^2)*'Vehicle Data'!C$31</f>
        <v>36.085528164465728</v>
      </c>
      <c r="AK21">
        <f>IF(O21=0.6,'Vehicle Data'!C$6*'Vehicle Data'!D$21*9.81,IF(O21=0.9,'Vehicle Data'!C$6*9.81*'Vehicle Data'!D$20))</f>
        <v>86.131799999999998</v>
      </c>
      <c r="AL21">
        <f t="shared" si="10"/>
        <v>122.21732816446573</v>
      </c>
      <c r="AN21">
        <f>IF(AG21&gt;0,AG21*'Vehicle Data'!C$6)</f>
        <v>203.49246092124525</v>
      </c>
      <c r="AO21">
        <f t="shared" si="13"/>
        <v>325.70978908571101</v>
      </c>
      <c r="AP21">
        <f>AO21*'Vehicle Data'!F$3</f>
        <v>83.251422090307727</v>
      </c>
      <c r="AQ21">
        <f>IF(AE21='Vehicle Data'!I$15,AP21/'Vehicle Data'!G$15,IF(AE21='Vehicle Data'!I$16,AP21/'Vehicle Data'!G$16,IF(AE21='Vehicle Data'!I$14,Data!AP21/'Vehicle Data'!G32)))</f>
        <v>15.369269576456057</v>
      </c>
      <c r="AR21">
        <f>IF(Z21&lt;'Vehicle Data'!C$16, Z21*'Vehicle Data'!F$7*'Vehicle Data'!G$14,IF(Z21&lt;'Vehicle Data'!C$15,Z21*'Vehicle Data'!F$7*'Vehicle Data'!G$15,IF(Z21&gt;'Vehicle Data'!C$15,Z21*'Vehicle Data'!F$7*'Vehicle Data'!G$16)))</f>
        <v>86.201934445253031</v>
      </c>
      <c r="AS21">
        <f t="shared" si="32"/>
        <v>5172.1160667151817</v>
      </c>
      <c r="AT21">
        <f t="shared" si="33"/>
        <v>15</v>
      </c>
      <c r="AU21">
        <f t="shared" si="34"/>
        <v>5000</v>
      </c>
      <c r="AW21">
        <f>VLOOKUP(AT21,BSFC!A$64:A$82,1,FALSE)</f>
        <v>15</v>
      </c>
      <c r="AX21" t="e" cm="1">
        <f t="array" ref="AX21">_xlfn.XLOOKUP(AT21,BSFC!A$64:A$82,,-1,_xlfn.XLOOKUP(Data!AU21,BSFC!C$63:Q$63,BSFC!B$64:Q$82,,-1))</f>
        <v>#VALUE!</v>
      </c>
      <c r="AY21">
        <f>HLOOKUP(AU21,BSFC!F$63:Q$63,1)</f>
        <v>5000</v>
      </c>
      <c r="AZ21">
        <f>MATCH(AT21,BSFC!A$64:A$83,0)</f>
        <v>8</v>
      </c>
      <c r="BA21">
        <f>MATCH(AU21,BSFC!C$63:Q$63,0)</f>
        <v>10</v>
      </c>
      <c r="BB21" cm="1">
        <f t="array" ref="BB21">INDEX(BSFC!C$64:Q$82,Data!AZ21,Data!BA21)</f>
        <v>705.8</v>
      </c>
      <c r="BC21">
        <f>0.5*'Vehicle Data'!C$6*Data!Z21^2</f>
        <v>21553.124985306735</v>
      </c>
      <c r="BD21">
        <f t="shared" si="14"/>
        <v>8.3564016546027062</v>
      </c>
      <c r="BE21">
        <f t="shared" si="35"/>
        <v>5897.94828781859</v>
      </c>
      <c r="BF21">
        <f t="shared" si="36"/>
        <v>0.22801325991234578</v>
      </c>
      <c r="BG21">
        <f t="shared" si="15"/>
        <v>4.0598715020099885</v>
      </c>
      <c r="BH21">
        <f t="shared" si="16"/>
        <v>1335.3529844055124</v>
      </c>
      <c r="BI21" s="148">
        <f t="shared" si="17"/>
        <v>6871.6622130335309</v>
      </c>
      <c r="BJ21" s="9"/>
      <c r="BK21" s="15"/>
      <c r="BL21" s="15"/>
      <c r="BM21" s="15"/>
      <c r="BN21" s="10"/>
      <c r="BO21">
        <f t="shared" si="18"/>
        <v>185.21643968338338</v>
      </c>
      <c r="BP21">
        <f t="shared" si="19"/>
        <v>3961.1407881847808</v>
      </c>
      <c r="BQ21">
        <f t="shared" si="20"/>
        <v>3961.1407881847808</v>
      </c>
      <c r="BR21" s="148">
        <f t="shared" si="21"/>
        <v>18876.59822641217</v>
      </c>
      <c r="BS21" s="156">
        <f t="shared" si="22"/>
        <v>185.21643968338338</v>
      </c>
      <c r="BT21" s="156">
        <f t="shared" si="37"/>
        <v>1335.3529844055124</v>
      </c>
      <c r="BU21">
        <f t="shared" si="23"/>
        <v>953.11488772500468</v>
      </c>
      <c r="BV21">
        <f t="shared" si="24"/>
        <v>953.11488772500468</v>
      </c>
      <c r="BW21" s="148">
        <f t="shared" si="25"/>
        <v>455.4</v>
      </c>
      <c r="BX21" s="148">
        <f t="shared" si="26"/>
        <v>3129354.9718154697</v>
      </c>
      <c r="BY21" s="148">
        <f t="shared" si="27"/>
        <v>0.12056903329721307</v>
      </c>
      <c r="BZ21">
        <f t="shared" si="11"/>
        <v>2.6083184509115669</v>
      </c>
      <c r="CB21">
        <f t="shared" si="28"/>
        <v>767.89844804162135</v>
      </c>
      <c r="CC21" s="162">
        <f t="shared" si="29"/>
        <v>5517.497508924982</v>
      </c>
      <c r="CD21">
        <f t="shared" si="38"/>
        <v>14183.516959201483</v>
      </c>
    </row>
    <row r="22" spans="4:82" x14ac:dyDescent="0.2">
      <c r="D22" s="22">
        <f t="shared" si="0"/>
        <v>0</v>
      </c>
      <c r="E22" s="23">
        <v>9.0017015999999987</v>
      </c>
      <c r="F22" s="23">
        <f>IF(K22&lt;6,1,IF(Data!K22&lt;9,2,IF(K22&gt;9,3)))</f>
        <v>3</v>
      </c>
      <c r="G22" s="23">
        <v>743.14531034708102</v>
      </c>
      <c r="H22" s="23">
        <v>211.86666499999998</v>
      </c>
      <c r="I22" s="64">
        <v>30.236816960392041</v>
      </c>
      <c r="J22" s="65">
        <f t="shared" si="1"/>
        <v>2.9947265986109826</v>
      </c>
      <c r="K22" s="65">
        <f t="shared" si="2"/>
        <v>12.094726784156816</v>
      </c>
      <c r="L22" s="65">
        <f t="shared" si="3"/>
        <v>1.1978906394443929</v>
      </c>
      <c r="M22">
        <f t="shared" si="4"/>
        <v>18.003403199999997</v>
      </c>
      <c r="N22">
        <f t="shared" si="5"/>
        <v>0</v>
      </c>
      <c r="O22">
        <f>IF(L22&lt;'Vehicle Data'!F$21,'Vehicle Data'!C$21,IF(L22&gt;'Vehicle Data'!C$21,'Vehicle Data'!C$20))</f>
        <v>0.6</v>
      </c>
      <c r="P22">
        <f>('Vehicle Data'!C$6*9.81*'Vehicle Data'!C$5*SIN(D22))/'Vehicle Data'!C$9</f>
        <v>0</v>
      </c>
      <c r="Q22" s="107">
        <f>'Vehicle Data'!C$6*9.81*SIN(D22)</f>
        <v>0</v>
      </c>
      <c r="R22">
        <f t="shared" si="6"/>
        <v>741.7575963740311</v>
      </c>
      <c r="S22">
        <f>IF(Data!O22=0.6,'Vehicle Data'!E$21,IF(Data!O22 = 0.9,'Vehicle Data'!E$20))+(P22*O22)</f>
        <v>1550.3723999999997</v>
      </c>
      <c r="T22">
        <f>IF(F22=3,'Vehicle Data'!H$16,IF(F22=2,'Vehicle Data'!H$15,IF(F22 = 1,'Vehicle Data'!G$14)))</f>
        <v>466.23005239380637</v>
      </c>
      <c r="U22" s="148">
        <f t="shared" si="7"/>
        <v>25.619114250715029</v>
      </c>
      <c r="V22" s="70" t="s">
        <v>77</v>
      </c>
      <c r="W22" s="99" t="s">
        <v>84</v>
      </c>
      <c r="X22">
        <f>IF(V22="S",'Vehicle Data'!C$14,IF(Data!V22 = "T1",'Vehicle Data'!P$2,IF(Data!V22="T2",'Vehicle Data'!P$3)))</f>
        <v>13.411199999999999</v>
      </c>
      <c r="Z22">
        <f t="shared" si="8"/>
        <v>9.9734747433084632</v>
      </c>
      <c r="AB22" t="b">
        <f>IF(AA22=1,'Vehicle Data'!I$14,IF(AA22=2,'Vehicle Data'!I$15,IF(AA22=3,'Vehicle Data'!I$16)))</f>
        <v>0</v>
      </c>
      <c r="AC22">
        <f>IF(Z22&lt;'Vehicle Data'!C$16,'Vehicle Data'!I$15,IF(Z22&lt;'Vehicle Data'!C$15,'Vehicle Data'!I$15,IF(Z21&gt;'Vehicle Data'!C$15,'Vehicle Data'!I$16)))</f>
        <v>0.46202745420001456</v>
      </c>
      <c r="AD22">
        <f>IF(O22=0.6,'Vehicle Data'!F$21,IF(O22=0.9,'Vehicle Data'!F$20))</f>
        <v>3.5315999999999996</v>
      </c>
      <c r="AE22" s="100">
        <f t="shared" si="9"/>
        <v>0.46202745420001456</v>
      </c>
      <c r="AF22" s="158">
        <f t="shared" si="30"/>
        <v>0.13870223217858771</v>
      </c>
      <c r="AG22" s="148">
        <f t="shared" si="12"/>
        <v>0.46352144050897193</v>
      </c>
      <c r="AH22" s="148">
        <f t="shared" si="31"/>
        <v>2.7470206830901547</v>
      </c>
      <c r="AJ22">
        <f>(Z22^2)*'Vehicle Data'!C$31</f>
        <v>36.555297932363857</v>
      </c>
      <c r="AK22">
        <f>IF(O22=0.6,'Vehicle Data'!C$6*'Vehicle Data'!D$21*9.81,IF(O22=0.9,'Vehicle Data'!C$6*9.81*'Vehicle Data'!D$20))</f>
        <v>86.131799999999998</v>
      </c>
      <c r="AL22">
        <f t="shared" si="10"/>
        <v>122.68709793236386</v>
      </c>
      <c r="AN22">
        <f>IF(AG22&gt;0,AG22*'Vehicle Data'!C$6)</f>
        <v>203.48591238343869</v>
      </c>
      <c r="AO22">
        <f t="shared" si="13"/>
        <v>326.17301031580257</v>
      </c>
      <c r="AP22">
        <f>AO22*'Vehicle Data'!F$3</f>
        <v>83.369821436719135</v>
      </c>
      <c r="AQ22">
        <f>IF(AE22='Vehicle Data'!I$15,AP22/'Vehicle Data'!G$15,IF(AE22='Vehicle Data'!I$16,AP22/'Vehicle Data'!G$16,IF(AE22='Vehicle Data'!I$14,Data!AP22/'Vehicle Data'!G33)))</f>
        <v>15.391127599141834</v>
      </c>
      <c r="AR22">
        <f>IF(Z22&lt;'Vehicle Data'!C$16, Z22*'Vehicle Data'!F$7*'Vehicle Data'!G$14,IF(Z22&lt;'Vehicle Data'!C$15,Z22*'Vehicle Data'!F$7*'Vehicle Data'!G$15,IF(Z22&gt;'Vehicle Data'!C$15,Z22*'Vehicle Data'!F$7*'Vehicle Data'!G$16)))</f>
        <v>86.761218487979264</v>
      </c>
      <c r="AS22">
        <f t="shared" si="32"/>
        <v>5205.6731092787559</v>
      </c>
      <c r="AT22">
        <f t="shared" si="33"/>
        <v>15</v>
      </c>
      <c r="AU22">
        <f t="shared" si="34"/>
        <v>5000</v>
      </c>
      <c r="AW22">
        <f>VLOOKUP(AT22,BSFC!A$64:A$82,1,FALSE)</f>
        <v>15</v>
      </c>
      <c r="AX22" t="e" cm="1">
        <f t="array" ref="AX22">_xlfn.XLOOKUP(AT22,BSFC!A$64:A$82,,-1,_xlfn.XLOOKUP(Data!AU22,BSFC!C$63:Q$63,BSFC!B$64:Q$82,,-1))</f>
        <v>#VALUE!</v>
      </c>
      <c r="AY22">
        <f>HLOOKUP(AU22,BSFC!F$63:Q$63,1)</f>
        <v>5000</v>
      </c>
      <c r="AZ22">
        <f>MATCH(AT22,BSFC!A$64:A$83,0)</f>
        <v>8</v>
      </c>
      <c r="BA22">
        <f>MATCH(AU22,BSFC!C$63:Q$63,0)</f>
        <v>10</v>
      </c>
      <c r="BB22" cm="1">
        <f t="array" ref="BB22">INDEX(BSFC!C$64:Q$82,Data!AZ22,Data!BA22)</f>
        <v>705.8</v>
      </c>
      <c r="BC22">
        <f>0.5*'Vehicle Data'!C$6*Data!Z22^2</f>
        <v>21833.708560962896</v>
      </c>
      <c r="BD22">
        <f t="shared" si="14"/>
        <v>8.4220799647446043</v>
      </c>
      <c r="BE22">
        <f t="shared" si="35"/>
        <v>5944.3040391167415</v>
      </c>
      <c r="BF22">
        <f t="shared" si="36"/>
        <v>0.22902451082602418</v>
      </c>
      <c r="BG22">
        <f t="shared" si="15"/>
        <v>4.2888960128360125</v>
      </c>
      <c r="BH22">
        <f t="shared" si="16"/>
        <v>1345.8483783661875</v>
      </c>
      <c r="BI22" s="148">
        <f t="shared" si="17"/>
        <v>6871.6622130335309</v>
      </c>
      <c r="BJ22" s="9"/>
      <c r="BK22" s="15"/>
      <c r="BL22" s="15"/>
      <c r="BM22" s="15"/>
      <c r="BN22" s="10"/>
      <c r="BO22">
        <f t="shared" si="18"/>
        <v>186.06647626600912</v>
      </c>
      <c r="BP22">
        <f t="shared" si="19"/>
        <v>4147.2072644507898</v>
      </c>
      <c r="BQ22">
        <f t="shared" si="20"/>
        <v>4147.2072644507898</v>
      </c>
      <c r="BR22" s="148">
        <f t="shared" si="21"/>
        <v>19826.620528048847</v>
      </c>
      <c r="BS22" s="156">
        <f t="shared" si="22"/>
        <v>186.06647626600912</v>
      </c>
      <c r="BT22" s="156">
        <f t="shared" si="37"/>
        <v>1345.8483783661875</v>
      </c>
      <c r="BU22">
        <f t="shared" si="23"/>
        <v>950.0223016366773</v>
      </c>
      <c r="BV22">
        <f t="shared" si="24"/>
        <v>950.0223016366773</v>
      </c>
      <c r="BW22" s="148">
        <f t="shared" si="25"/>
        <v>455.4</v>
      </c>
      <c r="BX22" s="148">
        <f t="shared" si="26"/>
        <v>3129354.9718154697</v>
      </c>
      <c r="BY22" s="148">
        <f t="shared" si="27"/>
        <v>0.12017782115703968</v>
      </c>
      <c r="BZ22">
        <f t="shared" si="11"/>
        <v>2.7470206830901547</v>
      </c>
      <c r="CB22">
        <f t="shared" si="28"/>
        <v>763.95582537066821</v>
      </c>
      <c r="CC22" s="162">
        <f t="shared" si="29"/>
        <v>5507.8841441212517</v>
      </c>
      <c r="CD22">
        <f t="shared" si="38"/>
        <v>14947.47278457215</v>
      </c>
    </row>
    <row r="23" spans="4:82" x14ac:dyDescent="0.2">
      <c r="D23" s="22">
        <f t="shared" si="0"/>
        <v>0</v>
      </c>
      <c r="E23" s="23">
        <v>9.0017015999999987</v>
      </c>
      <c r="F23" s="23">
        <f>IF(K23&lt;6,1,IF(Data!K23&lt;9,2,IF(K23&gt;9,3)))</f>
        <v>3</v>
      </c>
      <c r="G23" s="23">
        <v>744.55951911800787</v>
      </c>
      <c r="H23" s="23">
        <v>211.91666499999999</v>
      </c>
      <c r="I23" s="64">
        <v>30.386553290322624</v>
      </c>
      <c r="J23" s="65">
        <f t="shared" si="1"/>
        <v>2.9152160980002146</v>
      </c>
      <c r="K23" s="65">
        <f t="shared" si="2"/>
        <v>12.154621316129049</v>
      </c>
      <c r="L23" s="65">
        <f t="shared" si="3"/>
        <v>1.1660864392001071</v>
      </c>
      <c r="M23">
        <f t="shared" si="4"/>
        <v>18.003403199999997</v>
      </c>
      <c r="N23">
        <f t="shared" si="5"/>
        <v>0</v>
      </c>
      <c r="O23">
        <f>IF(L23&lt;'Vehicle Data'!F$21,'Vehicle Data'!C$21,IF(L23&gt;'Vehicle Data'!C$21,'Vehicle Data'!C$20))</f>
        <v>0.6</v>
      </c>
      <c r="P23">
        <f>('Vehicle Data'!C$6*9.81*'Vehicle Data'!C$5*SIN(D23))/'Vehicle Data'!C$9</f>
        <v>0</v>
      </c>
      <c r="Q23" s="107">
        <f>'Vehicle Data'!C$6*9.81*SIN(D23)</f>
        <v>0</v>
      </c>
      <c r="R23">
        <f t="shared" si="6"/>
        <v>743.14531034708102</v>
      </c>
      <c r="S23">
        <f>IF(Data!O23=0.6,'Vehicle Data'!E$21,IF(Data!O23 = 0.9,'Vehicle Data'!E$20))+(P23*O23)</f>
        <v>1550.3723999999997</v>
      </c>
      <c r="T23">
        <f>IF(F23=3,'Vehicle Data'!H$16,IF(F23=2,'Vehicle Data'!H$15,IF(F23 = 1,'Vehicle Data'!G$14)))</f>
        <v>466.23005239380637</v>
      </c>
      <c r="U23" s="148">
        <f t="shared" si="7"/>
        <v>27.006828223764956</v>
      </c>
      <c r="V23" s="70" t="s">
        <v>77</v>
      </c>
      <c r="W23" s="99" t="s">
        <v>84</v>
      </c>
      <c r="X23">
        <f>IF(V23="S",'Vehicle Data'!C$14,IF(Data!V23 = "T1",'Vehicle Data'!P$2,IF(Data!V23="T2",'Vehicle Data'!P$3)))</f>
        <v>13.411199999999999</v>
      </c>
      <c r="Z23">
        <f t="shared" si="8"/>
        <v>10.037555597039745</v>
      </c>
      <c r="AB23" t="b">
        <f>IF(AA23=1,'Vehicle Data'!I$14,IF(AA23=2,'Vehicle Data'!I$15,IF(AA23=3,'Vehicle Data'!I$16)))</f>
        <v>0</v>
      </c>
      <c r="AC23">
        <f>IF(Z23&lt;'Vehicle Data'!C$16,'Vehicle Data'!I$15,IF(Z23&lt;'Vehicle Data'!C$15,'Vehicle Data'!I$15,IF(Z22&gt;'Vehicle Data'!C$15,'Vehicle Data'!I$16)))</f>
        <v>0.46202745420001456</v>
      </c>
      <c r="AD23">
        <f>IF(O23=0.6,'Vehicle Data'!F$21,IF(O23=0.9,'Vehicle Data'!F$20))</f>
        <v>3.5315999999999996</v>
      </c>
      <c r="AE23" s="100">
        <f t="shared" si="9"/>
        <v>0.46202745420001456</v>
      </c>
      <c r="AF23" s="158">
        <f t="shared" si="30"/>
        <v>0.13825218297761541</v>
      </c>
      <c r="AG23" s="148">
        <f t="shared" si="12"/>
        <v>0.46350699389431865</v>
      </c>
      <c r="AH23" s="148">
        <f t="shared" si="31"/>
        <v>2.88527286606777</v>
      </c>
      <c r="AJ23">
        <f>(Z23^2)*'Vehicle Data'!C$31</f>
        <v>37.026551968646501</v>
      </c>
      <c r="AK23">
        <f>IF(O23=0.6,'Vehicle Data'!C$6*'Vehicle Data'!D$21*9.81,IF(O23=0.9,'Vehicle Data'!C$6*9.81*'Vehicle Data'!D$20))</f>
        <v>86.131799999999998</v>
      </c>
      <c r="AL23">
        <f t="shared" si="10"/>
        <v>123.1583519686465</v>
      </c>
      <c r="AN23">
        <f>IF(AG23&gt;0,AG23*'Vehicle Data'!C$6)</f>
        <v>203.4795703196059</v>
      </c>
      <c r="AO23">
        <f t="shared" si="13"/>
        <v>326.63792228825241</v>
      </c>
      <c r="AP23">
        <f>AO23*'Vehicle Data'!F$3</f>
        <v>83.488652936877315</v>
      </c>
      <c r="AQ23">
        <f>IF(AE23='Vehicle Data'!I$15,AP23/'Vehicle Data'!G$15,IF(AE23='Vehicle Data'!I$16,AP23/'Vehicle Data'!G$16,IF(AE23='Vehicle Data'!I$14,Data!AP23/'Vehicle Data'!G34)))</f>
        <v>15.4130654028964</v>
      </c>
      <c r="AR23">
        <f>IF(Z23&lt;'Vehicle Data'!C$16, Z23*'Vehicle Data'!F$7*'Vehicle Data'!G$14,IF(Z23&lt;'Vehicle Data'!C$15,Z23*'Vehicle Data'!F$7*'Vehicle Data'!G$15,IF(Z23&gt;'Vehicle Data'!C$15,Z23*'Vehicle Data'!F$7*'Vehicle Data'!G$16)))</f>
        <v>87.318670438735552</v>
      </c>
      <c r="AS23">
        <f t="shared" si="32"/>
        <v>5239.120226324133</v>
      </c>
      <c r="AT23">
        <f t="shared" si="33"/>
        <v>15</v>
      </c>
      <c r="AU23">
        <f t="shared" si="34"/>
        <v>5000</v>
      </c>
      <c r="AW23">
        <f>VLOOKUP(AT23,BSFC!A$64:A$82,1,FALSE)</f>
        <v>15</v>
      </c>
      <c r="AX23" t="e" cm="1">
        <f t="array" ref="AX23">_xlfn.XLOOKUP(AT23,BSFC!A$64:A$82,,-1,_xlfn.XLOOKUP(Data!AU23,BSFC!C$63:Q$63,BSFC!B$64:Q$82,,-1))</f>
        <v>#VALUE!</v>
      </c>
      <c r="AY23">
        <f>HLOOKUP(AU23,BSFC!F$63:Q$63,1)</f>
        <v>5000</v>
      </c>
      <c r="AZ23">
        <f>MATCH(AT23,BSFC!A$64:A$83,0)</f>
        <v>8</v>
      </c>
      <c r="BA23">
        <f>MATCH(AU23,BSFC!C$63:Q$63,0)</f>
        <v>10</v>
      </c>
      <c r="BB23" cm="1">
        <f t="array" ref="BB23">INDEX(BSFC!C$64:Q$82,Data!AZ23,Data!BA23)</f>
        <v>705.8</v>
      </c>
      <c r="BC23">
        <f>0.5*'Vehicle Data'!C$6*Data!Z23^2</f>
        <v>22115.178658824228</v>
      </c>
      <c r="BD23">
        <f t="shared" si="14"/>
        <v>8.4890885662329651</v>
      </c>
      <c r="BE23">
        <f t="shared" si="35"/>
        <v>5991.5987100472266</v>
      </c>
      <c r="BF23">
        <f t="shared" si="36"/>
        <v>0.2300976669971927</v>
      </c>
      <c r="BG23">
        <f t="shared" si="15"/>
        <v>4.5189936798332049</v>
      </c>
      <c r="BH23">
        <f>AQ23*(AS23/9.588)</f>
        <v>8422.0799647446038</v>
      </c>
      <c r="BI23" s="148">
        <f t="shared" si="17"/>
        <v>6871.6622130335309</v>
      </c>
      <c r="BJ23" s="9"/>
      <c r="BK23" s="15"/>
      <c r="BL23" s="15"/>
      <c r="BM23" s="15"/>
      <c r="BN23" s="10"/>
      <c r="BO23">
        <f t="shared" si="18"/>
        <v>1178.9802577653629</v>
      </c>
      <c r="BP23">
        <f t="shared" si="19"/>
        <v>5326.1875222161525</v>
      </c>
      <c r="BQ23">
        <f t="shared" si="20"/>
        <v>5326.1875222161525</v>
      </c>
      <c r="BR23" s="148">
        <f t="shared" si="21"/>
        <v>20788.562722983166</v>
      </c>
      <c r="BS23" s="156">
        <f t="shared" si="22"/>
        <v>1178.9802577653629</v>
      </c>
      <c r="BT23" s="156">
        <f t="shared" si="37"/>
        <v>8422.0799647446038</v>
      </c>
      <c r="BU23">
        <f t="shared" si="23"/>
        <v>961.9421949343191</v>
      </c>
      <c r="BV23">
        <f t="shared" si="24"/>
        <v>961.9421949343191</v>
      </c>
      <c r="BW23" s="148">
        <f t="shared" si="25"/>
        <v>455.4</v>
      </c>
      <c r="BX23" s="148">
        <f t="shared" si="26"/>
        <v>3129354.9718154697</v>
      </c>
      <c r="BY23" s="148">
        <f t="shared" si="27"/>
        <v>0.12168568765919134</v>
      </c>
      <c r="BZ23">
        <f t="shared" si="11"/>
        <v>2.88527286606777</v>
      </c>
      <c r="CB23">
        <f t="shared" si="28"/>
        <v>-217.03806283104382</v>
      </c>
      <c r="CC23" s="162">
        <f t="shared" si="29"/>
        <v>-1569.8707836402473</v>
      </c>
      <c r="CD23">
        <f t="shared" si="38"/>
        <v>14730.434721741107</v>
      </c>
    </row>
    <row r="24" spans="4:82" x14ac:dyDescent="0.2">
      <c r="D24" s="22">
        <f t="shared" si="0"/>
        <v>0</v>
      </c>
      <c r="E24" s="23">
        <v>9.0017015999999987</v>
      </c>
      <c r="F24" s="23">
        <f>IF(K24&lt;6,1,IF(Data!K24&lt;9,2,IF(K24&gt;9,3)))</f>
        <v>3</v>
      </c>
      <c r="G24" s="23">
        <v>746.00997403021688</v>
      </c>
      <c r="H24" s="23">
        <v>211.96666499999998</v>
      </c>
      <c r="I24" s="64">
        <v>30.532314095222585</v>
      </c>
      <c r="J24" s="65">
        <f t="shared" si="1"/>
        <v>3.0120901200483532</v>
      </c>
      <c r="K24" s="65">
        <f t="shared" si="2"/>
        <v>12.212925638089034</v>
      </c>
      <c r="L24" s="65">
        <f t="shared" si="3"/>
        <v>1.2048360480193412</v>
      </c>
      <c r="M24">
        <f t="shared" si="4"/>
        <v>18.003403199999997</v>
      </c>
      <c r="N24">
        <f t="shared" si="5"/>
        <v>0</v>
      </c>
      <c r="O24">
        <f>IF(L24&lt;'Vehicle Data'!F$21,'Vehicle Data'!C$21,IF(L24&gt;'Vehicle Data'!C$21,'Vehicle Data'!C$20))</f>
        <v>0.6</v>
      </c>
      <c r="P24">
        <f>('Vehicle Data'!C$6*9.81*'Vehicle Data'!C$5*SIN(D24))/'Vehicle Data'!C$9</f>
        <v>0</v>
      </c>
      <c r="Q24" s="107">
        <f>'Vehicle Data'!C$6*9.81*SIN(D24)</f>
        <v>0</v>
      </c>
      <c r="R24">
        <f t="shared" si="6"/>
        <v>744.55951911800787</v>
      </c>
      <c r="S24">
        <f>IF(Data!O24=0.6,'Vehicle Data'!E$21,IF(Data!O24 = 0.9,'Vehicle Data'!E$20))+(P24*O24)</f>
        <v>1550.3723999999997</v>
      </c>
      <c r="T24">
        <f>IF(F24=3,'Vehicle Data'!H$16,IF(F24=2,'Vehicle Data'!H$15,IF(F24 = 1,'Vehicle Data'!G$14)))</f>
        <v>466.23005239380637</v>
      </c>
      <c r="U24" s="148">
        <f t="shared" si="7"/>
        <v>28.421036994691804</v>
      </c>
      <c r="V24" s="70" t="s">
        <v>77</v>
      </c>
      <c r="W24" s="99" t="s">
        <v>84</v>
      </c>
      <c r="X24">
        <f>IF(V24="S",'Vehicle Data'!C$14,IF(Data!V24 = "T1",'Vehicle Data'!P$2,IF(Data!V24="T2",'Vehicle Data'!P$3)))</f>
        <v>13.411199999999999</v>
      </c>
      <c r="Z24">
        <f t="shared" si="8"/>
        <v>10.102441730588762</v>
      </c>
      <c r="AB24" t="b">
        <f>IF(AA24=1,'Vehicle Data'!I$14,IF(AA24=2,'Vehicle Data'!I$15,IF(AA24=3,'Vehicle Data'!I$16)))</f>
        <v>0</v>
      </c>
      <c r="AC24">
        <f>IF(Z24&lt;'Vehicle Data'!C$16,'Vehicle Data'!I$15,IF(Z24&lt;'Vehicle Data'!C$15,'Vehicle Data'!I$15,IF(Z23&gt;'Vehicle Data'!C$15,'Vehicle Data'!I$16)))</f>
        <v>0.46202745420001456</v>
      </c>
      <c r="AD24">
        <f>IF(O24=0.6,'Vehicle Data'!F$21,IF(O24=0.9,'Vehicle Data'!F$20))</f>
        <v>3.5315999999999996</v>
      </c>
      <c r="AE24" s="100">
        <f t="shared" si="9"/>
        <v>0.46202745420001456</v>
      </c>
      <c r="AF24" s="158">
        <f t="shared" si="30"/>
        <v>0.13998682780271074</v>
      </c>
      <c r="AG24" s="148">
        <f t="shared" si="12"/>
        <v>0.46351599337948757</v>
      </c>
      <c r="AH24" s="148">
        <f t="shared" si="31"/>
        <v>3.0252596938704808</v>
      </c>
      <c r="AJ24">
        <f>(Z24^2)*'Vehicle Data'!C$31</f>
        <v>37.506803378078423</v>
      </c>
      <c r="AK24">
        <f>IF(O24=0.6,'Vehicle Data'!C$6*'Vehicle Data'!D$21*9.81,IF(O24=0.9,'Vehicle Data'!C$6*9.81*'Vehicle Data'!D$20))</f>
        <v>86.131799999999998</v>
      </c>
      <c r="AL24">
        <f t="shared" si="10"/>
        <v>123.63860337807841</v>
      </c>
      <c r="AN24">
        <f>IF(AG24&gt;0,AG24*'Vehicle Data'!C$6)</f>
        <v>203.48352109359504</v>
      </c>
      <c r="AO24">
        <f t="shared" si="13"/>
        <v>327.12212447167349</v>
      </c>
      <c r="AP24">
        <f>AO24*'Vehicle Data'!F$3</f>
        <v>83.612415014959737</v>
      </c>
      <c r="AQ24">
        <f>IF(AE24='Vehicle Data'!I$15,AP24/'Vehicle Data'!G$15,IF(AE24='Vehicle Data'!I$16,AP24/'Vehicle Data'!G$16,IF(AE24='Vehicle Data'!I$14,Data!AP24/'Vehicle Data'!G35)))</f>
        <v>15.435913453940234</v>
      </c>
      <c r="AR24">
        <f>IF(Z24&lt;'Vehicle Data'!C$16, Z24*'Vehicle Data'!F$7*'Vehicle Data'!G$14,IF(Z24&lt;'Vehicle Data'!C$15,Z24*'Vehicle Data'!F$7*'Vehicle Data'!G$15,IF(Z24&gt;'Vehicle Data'!C$15,Z24*'Vehicle Data'!F$7*'Vehicle Data'!G$16)))</f>
        <v>87.883127677017896</v>
      </c>
      <c r="AS24">
        <f t="shared" si="32"/>
        <v>5272.9876606210737</v>
      </c>
      <c r="AT24">
        <f t="shared" si="33"/>
        <v>15</v>
      </c>
      <c r="AU24">
        <f t="shared" si="34"/>
        <v>5500</v>
      </c>
      <c r="AW24">
        <f>VLOOKUP(AT24,BSFC!A$64:A$82,1,FALSE)</f>
        <v>15</v>
      </c>
      <c r="AX24" t="e" cm="1">
        <f t="array" ref="AX24">_xlfn.XLOOKUP(AT24,BSFC!A$64:A$82,,-1,_xlfn.XLOOKUP(Data!AU24,BSFC!C$63:Q$63,BSFC!B$64:Q$82,,-1))</f>
        <v>#VALUE!</v>
      </c>
      <c r="AY24">
        <f>HLOOKUP(AU24,BSFC!F$63:Q$63,1)</f>
        <v>5500</v>
      </c>
      <c r="AZ24">
        <f>MATCH(AT24,BSFC!A$64:A$83,0)</f>
        <v>8</v>
      </c>
      <c r="BA24">
        <f>MATCH(AU24,BSFC!C$63:Q$63,0)</f>
        <v>11</v>
      </c>
      <c r="BB24" cm="1">
        <f t="array" ref="BB24">INDEX(BSFC!C$64:Q$82,Data!AZ24,Data!BA24)</f>
        <v>635.6</v>
      </c>
      <c r="BC24">
        <f>0.5*'Vehicle Data'!C$6*Data!Z24^2</f>
        <v>22402.022697927103</v>
      </c>
      <c r="BD24">
        <f t="shared" si="14"/>
        <v>8.5577264057105467</v>
      </c>
      <c r="BE24">
        <f t="shared" si="35"/>
        <v>5439.290903469624</v>
      </c>
      <c r="BF24">
        <f t="shared" si="36"/>
        <v>0.21150807752023698</v>
      </c>
      <c r="BG24">
        <f t="shared" si="15"/>
        <v>4.7305017573534416</v>
      </c>
      <c r="BH24">
        <f t="shared" ref="BH24:BH87" si="39">AQ24*(AS24/9.588)</f>
        <v>8489.0885662329656</v>
      </c>
      <c r="BI24" s="148">
        <f t="shared" si="17"/>
        <v>6871.6622130335309</v>
      </c>
      <c r="BJ24" s="9"/>
      <c r="BK24" s="15"/>
      <c r="BL24" s="15"/>
      <c r="BM24" s="15"/>
      <c r="BN24" s="10"/>
      <c r="BO24">
        <f t="shared" si="18"/>
        <v>1210.8931090505228</v>
      </c>
      <c r="BP24">
        <f t="shared" si="19"/>
        <v>6537.0806312666755</v>
      </c>
      <c r="BQ24">
        <f t="shared" si="20"/>
        <v>6537.0806312666755</v>
      </c>
      <c r="BR24" s="148">
        <f t="shared" si="21"/>
        <v>21768.744323936535</v>
      </c>
      <c r="BS24" s="156">
        <f t="shared" si="22"/>
        <v>1210.8931090505228</v>
      </c>
      <c r="BT24" s="156">
        <f t="shared" si="37"/>
        <v>8489.0885662329656</v>
      </c>
      <c r="BU24">
        <f t="shared" si="23"/>
        <v>980.18160095336896</v>
      </c>
      <c r="BV24">
        <f t="shared" si="24"/>
        <v>980.18160095336896</v>
      </c>
      <c r="BW24" s="148">
        <f t="shared" si="25"/>
        <v>455.4</v>
      </c>
      <c r="BX24" s="148">
        <f t="shared" si="26"/>
        <v>3129354.9718154697</v>
      </c>
      <c r="BY24" s="148">
        <f t="shared" si="27"/>
        <v>0.12399297252060115</v>
      </c>
      <c r="BZ24">
        <f t="shared" si="11"/>
        <v>3.0252596938704808</v>
      </c>
      <c r="CB24">
        <f t="shared" si="28"/>
        <v>-230.7115080971538</v>
      </c>
      <c r="CC24" s="162">
        <f t="shared" si="29"/>
        <v>-1648.094408013196</v>
      </c>
      <c r="CD24">
        <f t="shared" si="38"/>
        <v>14499.723213643952</v>
      </c>
    </row>
    <row r="25" spans="4:82" x14ac:dyDescent="0.2">
      <c r="D25" s="22">
        <f t="shared" si="0"/>
        <v>0</v>
      </c>
      <c r="E25" s="23">
        <v>9.0017015999999987</v>
      </c>
      <c r="F25" s="23">
        <f>IF(K25&lt;6,1,IF(Data!K25&lt;9,2,IF(K25&gt;9,3)))</f>
        <v>3</v>
      </c>
      <c r="G25" s="23">
        <v>747.4787297672525</v>
      </c>
      <c r="H25" s="23">
        <v>212.01666499999999</v>
      </c>
      <c r="I25" s="64">
        <v>30.682918601225037</v>
      </c>
      <c r="J25" s="65">
        <f t="shared" si="1"/>
        <v>3.1049735630872322</v>
      </c>
      <c r="K25" s="65">
        <f t="shared" si="2"/>
        <v>12.273167440490015</v>
      </c>
      <c r="L25" s="65">
        <f t="shared" si="3"/>
        <v>1.2419894252348858</v>
      </c>
      <c r="M25">
        <f t="shared" si="4"/>
        <v>18.003403199999997</v>
      </c>
      <c r="N25">
        <v>0</v>
      </c>
      <c r="O25">
        <f>IF(L25&lt;'Vehicle Data'!F$21,'Vehicle Data'!C$21,IF(L25&gt;'Vehicle Data'!C$21,'Vehicle Data'!C$20))</f>
        <v>0.6</v>
      </c>
      <c r="P25">
        <f>('Vehicle Data'!C$6*9.81*'Vehicle Data'!C$5*SIN(D25))/'Vehicle Data'!C$9</f>
        <v>0</v>
      </c>
      <c r="Q25" s="107">
        <f>'Vehicle Data'!C$6*9.81*SIN(D25)</f>
        <v>0</v>
      </c>
      <c r="R25">
        <f t="shared" si="6"/>
        <v>746.00997403021688</v>
      </c>
      <c r="S25">
        <f>IF(Data!O25=0.6,'Vehicle Data'!E$21,IF(Data!O25 = 0.9,'Vehicle Data'!E$20))+(P25*O25)</f>
        <v>1550.3723999999997</v>
      </c>
      <c r="T25">
        <f>IF(F25=3,'Vehicle Data'!H$16,IF(F25=2,'Vehicle Data'!H$15,IF(F25 = 1,'Vehicle Data'!G$14)))</f>
        <v>466.23005239380637</v>
      </c>
      <c r="U25" s="148">
        <f t="shared" si="7"/>
        <v>29.871491906900815</v>
      </c>
      <c r="V25" s="70" t="s">
        <v>77</v>
      </c>
      <c r="W25" s="99" t="s">
        <v>84</v>
      </c>
      <c r="X25">
        <f>IF(V25="S",'Vehicle Data'!C$14,IF(Data!V25 = "T1",'Vehicle Data'!P$2,IF(Data!V25="T2",'Vehicle Data'!P$3)))</f>
        <v>13.411199999999999</v>
      </c>
      <c r="Z25">
        <f t="shared" si="8"/>
        <v>10.16856080775352</v>
      </c>
      <c r="AB25" t="b">
        <f>IF(AA25=1,'Vehicle Data'!I$14,IF(AA25=2,'Vehicle Data'!I$15,IF(AA25=3,'Vehicle Data'!I$16)))</f>
        <v>0</v>
      </c>
      <c r="AC25">
        <f>IF(Z25&lt;'Vehicle Data'!C$16,'Vehicle Data'!I$15,IF(Z25&lt;'Vehicle Data'!C$15,'Vehicle Data'!I$15,IF(Z24&gt;'Vehicle Data'!C$15,'Vehicle Data'!I$16)))</f>
        <v>0.46202745420001456</v>
      </c>
      <c r="AD25">
        <f>IF(O25=0.6,'Vehicle Data'!F$21,IF(O25=0.9,'Vehicle Data'!F$20))</f>
        <v>3.5315999999999996</v>
      </c>
      <c r="AE25" s="100">
        <f t="shared" si="9"/>
        <v>0.46202745420001456</v>
      </c>
      <c r="AF25" s="158">
        <f t="shared" si="30"/>
        <v>0.14264112096404441</v>
      </c>
      <c r="AG25" s="148">
        <f t="shared" si="12"/>
        <v>0.46353447531743164</v>
      </c>
      <c r="AH25" s="148">
        <f t="shared" si="31"/>
        <v>3.1679008148345251</v>
      </c>
      <c r="AJ25">
        <f>(Z25^2)*'Vehicle Data'!C$31</f>
        <v>37.999363621110504</v>
      </c>
      <c r="AK25">
        <f>IF(O25=0.6,'Vehicle Data'!C$6*'Vehicle Data'!D$21*9.81,IF(O25=0.9,'Vehicle Data'!C$6*9.81*'Vehicle Data'!D$20))</f>
        <v>86.131799999999998</v>
      </c>
      <c r="AL25">
        <f t="shared" si="10"/>
        <v>124.1311636211105</v>
      </c>
      <c r="AN25">
        <f>IF(AG25&gt;0,AG25*'Vehicle Data'!C$6)</f>
        <v>203.49163466435249</v>
      </c>
      <c r="AO25">
        <f t="shared" si="13"/>
        <v>327.62279828546298</v>
      </c>
      <c r="AP25">
        <f>AO25*'Vehicle Data'!F$3</f>
        <v>83.740387241764338</v>
      </c>
      <c r="AQ25">
        <f>IF(AE25='Vehicle Data'!I$15,AP25/'Vehicle Data'!G$15,IF(AE25='Vehicle Data'!I$16,AP25/'Vehicle Data'!G$16,IF(AE25='Vehicle Data'!I$14,Data!AP25/'Vehicle Data'!G36)))</f>
        <v>15.459538751895215</v>
      </c>
      <c r="AR25">
        <f>IF(Z25&lt;'Vehicle Data'!C$16, Z25*'Vehicle Data'!F$7*'Vehicle Data'!G$14,IF(Z25&lt;'Vehicle Data'!C$15,Z25*'Vehicle Data'!F$7*'Vehicle Data'!G$15,IF(Z25&gt;'Vehicle Data'!C$15,Z25*'Vehicle Data'!F$7*'Vehicle Data'!G$16)))</f>
        <v>88.458310534322862</v>
      </c>
      <c r="AS25">
        <f t="shared" si="32"/>
        <v>5307.4986320593716</v>
      </c>
      <c r="AT25">
        <f t="shared" si="33"/>
        <v>15</v>
      </c>
      <c r="AU25">
        <f t="shared" si="34"/>
        <v>5500</v>
      </c>
      <c r="AW25">
        <f>VLOOKUP(AT25,BSFC!A$64:A$82,1,FALSE)</f>
        <v>15</v>
      </c>
      <c r="AX25" t="e" cm="1">
        <f t="array" ref="AX25">_xlfn.XLOOKUP(AT25,BSFC!A$64:A$82,,-1,_xlfn.XLOOKUP(Data!AU25,BSFC!C$63:Q$63,BSFC!B$64:Q$82,,-1))</f>
        <v>#VALUE!</v>
      </c>
      <c r="AY25">
        <f>HLOOKUP(AU25,BSFC!F$63:Q$63,1)</f>
        <v>5500</v>
      </c>
      <c r="AZ25">
        <f>MATCH(AT25,BSFC!A$64:A$83,0)</f>
        <v>8</v>
      </c>
      <c r="BA25">
        <f>MATCH(AU25,BSFC!C$63:Q$63,0)</f>
        <v>11</v>
      </c>
      <c r="BB25" cm="1">
        <f t="array" ref="BB25">INDEX(BSFC!C$64:Q$82,Data!AZ25,Data!BA25)</f>
        <v>635.6</v>
      </c>
      <c r="BC25">
        <f>0.5*'Vehicle Data'!C$6*Data!Z25^2</f>
        <v>22696.218543765313</v>
      </c>
      <c r="BD25">
        <f t="shared" si="14"/>
        <v>8.6268119168732742</v>
      </c>
      <c r="BE25">
        <f t="shared" si="35"/>
        <v>5483.2016543646532</v>
      </c>
      <c r="BF25">
        <f t="shared" si="36"/>
        <v>0.21725834179179915</v>
      </c>
      <c r="BG25">
        <f t="shared" si="15"/>
        <v>4.9477600991452411</v>
      </c>
      <c r="BH25">
        <f t="shared" si="39"/>
        <v>8557.7264057105458</v>
      </c>
      <c r="BI25" s="148">
        <f t="shared" si="17"/>
        <v>6871.6622130335309</v>
      </c>
      <c r="BJ25" s="9"/>
      <c r="BK25" s="15"/>
      <c r="BL25" s="15"/>
      <c r="BM25" s="15"/>
      <c r="BN25" s="10"/>
      <c r="BO25">
        <f t="shared" si="18"/>
        <v>1228.0520640420755</v>
      </c>
      <c r="BP25">
        <f t="shared" si="19"/>
        <v>7765.132695308751</v>
      </c>
      <c r="BQ25">
        <f t="shared" si="20"/>
        <v>7765.132695308751</v>
      </c>
      <c r="BR25" s="148">
        <f t="shared" si="21"/>
        <v>22754.842565928077</v>
      </c>
      <c r="BS25" s="156">
        <f t="shared" si="22"/>
        <v>1228.0520640420755</v>
      </c>
      <c r="BT25" s="156">
        <f t="shared" si="37"/>
        <v>8557.7264057105458</v>
      </c>
      <c r="BU25">
        <f t="shared" si="23"/>
        <v>986.09824199154173</v>
      </c>
      <c r="BV25">
        <f t="shared" si="24"/>
        <v>986.09824199154173</v>
      </c>
      <c r="BW25" s="148">
        <f t="shared" si="25"/>
        <v>455.4</v>
      </c>
      <c r="BX25" s="148">
        <f t="shared" si="26"/>
        <v>3129354.9718154697</v>
      </c>
      <c r="BY25" s="148">
        <f t="shared" si="27"/>
        <v>0.12474142761193001</v>
      </c>
      <c r="BZ25">
        <f t="shared" si="11"/>
        <v>3.1679008148345251</v>
      </c>
      <c r="CB25">
        <f t="shared" si="28"/>
        <v>-241.95382205053374</v>
      </c>
      <c r="CC25" s="162">
        <f t="shared" si="29"/>
        <v>-1696.2417318041353</v>
      </c>
      <c r="CD25">
        <f t="shared" si="38"/>
        <v>14257.769391593418</v>
      </c>
    </row>
    <row r="26" spans="4:82" x14ac:dyDescent="0.2">
      <c r="D26" s="22">
        <f t="shared" si="0"/>
        <v>0</v>
      </c>
      <c r="E26" s="23">
        <v>9.1017071999999999</v>
      </c>
      <c r="F26" s="23">
        <f>IF(K26&lt;6,1,IF(Data!K26&lt;9,2,IF(K26&gt;9,3)))</f>
        <v>3</v>
      </c>
      <c r="G26" s="23">
        <v>748.98037618619935</v>
      </c>
      <c r="H26" s="23">
        <v>212.066665</v>
      </c>
      <c r="I26" s="64">
        <v>30.838167279379434</v>
      </c>
      <c r="J26" s="65">
        <f t="shared" si="1"/>
        <v>3.1982970877910581</v>
      </c>
      <c r="K26" s="65">
        <f t="shared" si="2"/>
        <v>12.335266911751773</v>
      </c>
      <c r="L26" s="65">
        <f t="shared" si="3"/>
        <v>1.2793188351164375</v>
      </c>
      <c r="M26">
        <f t="shared" si="4"/>
        <v>18.2034144</v>
      </c>
      <c r="N26">
        <f t="shared" si="5"/>
        <v>0</v>
      </c>
      <c r="O26">
        <f>IF(L26&lt;'Vehicle Data'!F$21,'Vehicle Data'!C$21,IF(L26&gt;'Vehicle Data'!C$21,'Vehicle Data'!C$20))</f>
        <v>0.6</v>
      </c>
      <c r="P26">
        <f>('Vehicle Data'!C$6*9.81*'Vehicle Data'!C$5*SIN(D26))/'Vehicle Data'!C$9</f>
        <v>0</v>
      </c>
      <c r="Q26" s="107">
        <f>'Vehicle Data'!C$6*9.81*SIN(D26)</f>
        <v>0</v>
      </c>
      <c r="R26">
        <f t="shared" si="6"/>
        <v>747.4787297672525</v>
      </c>
      <c r="S26">
        <f>IF(Data!O26=0.6,'Vehicle Data'!E$21,IF(Data!O26 = 0.9,'Vehicle Data'!E$20))+(P26*O26)</f>
        <v>1550.3723999999997</v>
      </c>
      <c r="T26">
        <f>IF(F26=3,'Vehicle Data'!H$16,IF(F26=2,'Vehicle Data'!H$15,IF(F26 = 1,'Vehicle Data'!G$14)))</f>
        <v>466.23005239380637</v>
      </c>
      <c r="U26" s="148">
        <f t="shared" si="7"/>
        <v>31.340247643936436</v>
      </c>
      <c r="V26" s="70" t="s">
        <v>77</v>
      </c>
      <c r="W26" s="99" t="s">
        <v>84</v>
      </c>
      <c r="X26">
        <f>IF(V26="S",'Vehicle Data'!C$14,IF(Data!V26 = "T1",'Vehicle Data'!P$2,IF(Data!V26="T2",'Vehicle Data'!P$3)))</f>
        <v>13.411199999999999</v>
      </c>
      <c r="Z26" s="107">
        <f t="shared" si="8"/>
        <v>10.235078888266051</v>
      </c>
      <c r="AA26" s="107"/>
      <c r="AB26" s="107" t="b">
        <f>IF(AA26=1,'Vehicle Data'!I$14,IF(AA26=2,'Vehicle Data'!I$15,IF(AA26=3,'Vehicle Data'!I$16)))</f>
        <v>0</v>
      </c>
      <c r="AC26" s="107">
        <f>IF(Z26&lt;'Vehicle Data'!C$16,'Vehicle Data'!I$15,IF(Z26&lt;'Vehicle Data'!C$15,'Vehicle Data'!I$15,IF(Z25&gt;'Vehicle Data'!C$15,'Vehicle Data'!I$16)))</f>
        <v>0.46202745420001456</v>
      </c>
      <c r="AD26">
        <f>IF(O26=0.6,'Vehicle Data'!F$21,IF(O26=0.9,'Vehicle Data'!F$20))</f>
        <v>3.5315999999999996</v>
      </c>
      <c r="AE26" s="101">
        <f t="shared" si="9"/>
        <v>0.46202745420001456</v>
      </c>
      <c r="AF26" s="158">
        <f t="shared" si="30"/>
        <v>0.14350214131905409</v>
      </c>
      <c r="AG26" s="148">
        <f t="shared" si="12"/>
        <v>0.46353371386032455</v>
      </c>
      <c r="AH26" s="148">
        <f t="shared" si="31"/>
        <v>3.3114029561535792</v>
      </c>
      <c r="AI26" s="107"/>
      <c r="AJ26" s="107">
        <f>(Z26^2)*'Vehicle Data'!C$31</f>
        <v>38.49813864451832</v>
      </c>
      <c r="AK26" s="107">
        <f>IF(O26=0.6,'Vehicle Data'!C$6*'Vehicle Data'!D$21*9.81,IF(O26=0.9,'Vehicle Data'!C$6*9.81*'Vehicle Data'!D$20))</f>
        <v>86.131799999999998</v>
      </c>
      <c r="AL26" s="107">
        <f t="shared" si="10"/>
        <v>124.62993864451832</v>
      </c>
      <c r="AM26" s="107"/>
      <c r="AN26">
        <f>IF(AG26&gt;0,AG26*'Vehicle Data'!C$6)</f>
        <v>203.49130038468249</v>
      </c>
      <c r="AO26" s="107">
        <f t="shared" si="13"/>
        <v>328.12123902920081</v>
      </c>
      <c r="AP26" s="107">
        <f>AO26*'Vehicle Data'!F$3</f>
        <v>83.867788695863723</v>
      </c>
      <c r="AQ26" s="107">
        <f>IF(AE26='Vehicle Data'!I$15,AP26/'Vehicle Data'!G$15,IF(AE26='Vehicle Data'!I$16,AP26/'Vehicle Data'!G$16,IF(AE26='Vehicle Data'!I$14,Data!AP26/'Vehicle Data'!G37)))</f>
        <v>15.483058677961605</v>
      </c>
      <c r="AR26" s="107">
        <f>IF(Z26&lt;'Vehicle Data'!C$16, Z26*'Vehicle Data'!F$7*'Vehicle Data'!G$14,IF(Z26&lt;'Vehicle Data'!C$15,Z26*'Vehicle Data'!F$7*'Vehicle Data'!G$15,IF(Z26&gt;'Vehicle Data'!C$15,Z26*'Vehicle Data'!F$7*'Vehicle Data'!G$16)))</f>
        <v>89.036964400230602</v>
      </c>
      <c r="AS26" s="107">
        <f t="shared" si="32"/>
        <v>5342.2178640138363</v>
      </c>
      <c r="AT26">
        <f t="shared" si="33"/>
        <v>15</v>
      </c>
      <c r="AU26">
        <f t="shared" si="34"/>
        <v>5500</v>
      </c>
      <c r="AW26">
        <f>VLOOKUP(AT26,BSFC!A$64:A$82,1,FALSE)</f>
        <v>15</v>
      </c>
      <c r="AX26" t="e" cm="1">
        <f t="array" ref="AX26">_xlfn.XLOOKUP(AT26,BSFC!A$64:A$82,,-1,_xlfn.XLOOKUP(Data!AU26,BSFC!C$63:Q$63,BSFC!B$64:Q$82,,-1))</f>
        <v>#VALUE!</v>
      </c>
      <c r="AY26">
        <f>HLOOKUP(AU26,BSFC!F$63:Q$63,1)</f>
        <v>5500</v>
      </c>
      <c r="AZ26">
        <f>MATCH(AT26,BSFC!A$64:A$83,0)</f>
        <v>8</v>
      </c>
      <c r="BA26">
        <f>MATCH(AU26,BSFC!C$63:Q$63,0)</f>
        <v>11</v>
      </c>
      <c r="BB26" cm="1">
        <f t="array" ref="BB26">INDEX(BSFC!C$64:Q$82,Data!AZ26,Data!BA26)</f>
        <v>635.6</v>
      </c>
      <c r="BC26">
        <f>0.5*'Vehicle Data'!C$6*Data!Z26^2</f>
        <v>22994.126346861958</v>
      </c>
      <c r="BD26">
        <f t="shared" si="14"/>
        <v>8.6974138708739837</v>
      </c>
      <c r="BE26">
        <f t="shared" si="35"/>
        <v>5528.0762563275039</v>
      </c>
      <c r="BF26">
        <f t="shared" si="36"/>
        <v>0.2203585500438936</v>
      </c>
      <c r="BG26">
        <f t="shared" si="15"/>
        <v>5.1681186491891342</v>
      </c>
      <c r="BH26">
        <f t="shared" si="39"/>
        <v>8626.8119168732737</v>
      </c>
      <c r="BI26" s="148">
        <f t="shared" si="17"/>
        <v>6871.6622130335309</v>
      </c>
      <c r="BJ26" s="9"/>
      <c r="BK26" s="15"/>
      <c r="BL26" s="15"/>
      <c r="BM26" s="15"/>
      <c r="BN26" s="10"/>
      <c r="BO26">
        <f t="shared" si="18"/>
        <v>1257.3882044480695</v>
      </c>
      <c r="BP26">
        <f t="shared" si="19"/>
        <v>9022.5208997568207</v>
      </c>
      <c r="BQ26">
        <f t="shared" si="20"/>
        <v>9022.5208997568207</v>
      </c>
      <c r="BR26" s="148">
        <f t="shared" si="21"/>
        <v>23756.411522673283</v>
      </c>
      <c r="BS26" s="156">
        <f t="shared" si="22"/>
        <v>1257.3882044480695</v>
      </c>
      <c r="BT26" s="156">
        <f t="shared" si="37"/>
        <v>8626.8119168732737</v>
      </c>
      <c r="BU26">
        <f t="shared" si="23"/>
        <v>1001.5689567452064</v>
      </c>
      <c r="BV26">
        <f t="shared" si="24"/>
        <v>1001.5689567452064</v>
      </c>
      <c r="BW26" s="148">
        <f t="shared" si="25"/>
        <v>455.4</v>
      </c>
      <c r="BX26" s="148">
        <f t="shared" si="26"/>
        <v>3129354.9718154697</v>
      </c>
      <c r="BY26" s="148">
        <f t="shared" si="27"/>
        <v>0.12669847302826859</v>
      </c>
      <c r="BZ26">
        <f t="shared" si="11"/>
        <v>3.3114029561535792</v>
      </c>
      <c r="CB26">
        <f t="shared" si="28"/>
        <v>-255.81924770286309</v>
      </c>
      <c r="CC26" s="162">
        <f t="shared" si="29"/>
        <v>-1782.6859261569482</v>
      </c>
      <c r="CD26">
        <f t="shared" si="38"/>
        <v>14001.950143890555</v>
      </c>
    </row>
    <row r="27" spans="4:82" x14ac:dyDescent="0.2">
      <c r="D27" s="22">
        <f t="shared" si="0"/>
        <v>0</v>
      </c>
      <c r="E27" s="23">
        <v>9.1017071999999999</v>
      </c>
      <c r="F27" s="23">
        <f>IF(K27&lt;6,1,IF(Data!K27&lt;9,2,IF(K27&gt;9,3)))</f>
        <v>3</v>
      </c>
      <c r="G27" s="23">
        <v>750.48604808493315</v>
      </c>
      <c r="H27" s="23">
        <v>212.11666499999998</v>
      </c>
      <c r="I27" s="64">
        <v>30.998082133768932</v>
      </c>
      <c r="J27" s="65">
        <f t="shared" si="1"/>
        <v>3.2961249685579084</v>
      </c>
      <c r="K27" s="65">
        <f t="shared" si="2"/>
        <v>12.399232853507574</v>
      </c>
      <c r="L27" s="65">
        <f t="shared" si="3"/>
        <v>1.3184499874231492</v>
      </c>
      <c r="M27">
        <f t="shared" si="4"/>
        <v>18.2034144</v>
      </c>
      <c r="N27">
        <f t="shared" si="5"/>
        <v>0</v>
      </c>
      <c r="O27">
        <f>IF(L27&lt;'Vehicle Data'!F$21,'Vehicle Data'!C$21,IF(L27&gt;'Vehicle Data'!C$21,'Vehicle Data'!C$20))</f>
        <v>0.6</v>
      </c>
      <c r="P27">
        <f>('Vehicle Data'!C$6*9.81*'Vehicle Data'!C$5*SIN(D27))/'Vehicle Data'!C$9</f>
        <v>0</v>
      </c>
      <c r="Q27" s="107">
        <f>'Vehicle Data'!C$6*9.81*SIN(D27)</f>
        <v>0</v>
      </c>
      <c r="R27">
        <f t="shared" si="6"/>
        <v>748.98037618619935</v>
      </c>
      <c r="S27">
        <f>IF(Data!O27=0.6,'Vehicle Data'!E$21,IF(Data!O27 = 0.9,'Vehicle Data'!E$20))+(P27*O27)</f>
        <v>1550.3723999999997</v>
      </c>
      <c r="T27">
        <f>IF(F27=3,'Vehicle Data'!H$16,IF(F27=2,'Vehicle Data'!H$15,IF(F27 = 1,'Vehicle Data'!G$14)))</f>
        <v>466.23005239380637</v>
      </c>
      <c r="U27" s="148">
        <f t="shared" si="7"/>
        <v>32.841894062883284</v>
      </c>
      <c r="V27" s="70" t="s">
        <v>77</v>
      </c>
      <c r="W27" s="99" t="s">
        <v>84</v>
      </c>
      <c r="X27">
        <f>IF(V27="S",'Vehicle Data'!C$14,IF(Data!V27 = "T1",'Vehicle Data'!P$2,IF(Data!V27="T2",'Vehicle Data'!P$3)))</f>
        <v>13.411199999999999</v>
      </c>
      <c r="Z27">
        <f t="shared" si="8"/>
        <v>10.302642553885804</v>
      </c>
      <c r="AB27" t="b">
        <f>IF(AA27=1,'Vehicle Data'!I$14,IF(AA27=2,'Vehicle Data'!I$15,IF(AA27=3,'Vehicle Data'!I$16)))</f>
        <v>0</v>
      </c>
      <c r="AC27">
        <f>IF(Z27&lt;'Vehicle Data'!C$16,'Vehicle Data'!I$15,IF(Z27&lt;'Vehicle Data'!C$15,'Vehicle Data'!I$15,IF(Z26&gt;'Vehicle Data'!C$15,'Vehicle Data'!I$16)))</f>
        <v>0.46202745420001456</v>
      </c>
      <c r="AD27">
        <f>IF(O27=0.6,'Vehicle Data'!F$21,IF(O27=0.9,'Vehicle Data'!F$20))</f>
        <v>3.5315999999999996</v>
      </c>
      <c r="AE27" s="100">
        <f t="shared" si="9"/>
        <v>0.46202745420001456</v>
      </c>
      <c r="AF27" s="158">
        <f t="shared" si="30"/>
        <v>0.1457535201374601</v>
      </c>
      <c r="AG27" s="148">
        <f t="shared" si="12"/>
        <v>0.46354740218990004</v>
      </c>
      <c r="AH27" s="148">
        <f t="shared" si="31"/>
        <v>3.4571564762910394</v>
      </c>
      <c r="AJ27">
        <f>(Z27^2)*'Vehicle Data'!C$31</f>
        <v>39.008083020478445</v>
      </c>
      <c r="AK27">
        <f>IF(O27=0.6,'Vehicle Data'!C$6*'Vehicle Data'!D$21*9.81,IF(O27=0.9,'Vehicle Data'!C$6*9.81*'Vehicle Data'!D$20))</f>
        <v>86.131799999999998</v>
      </c>
      <c r="AL27">
        <f t="shared" si="10"/>
        <v>125.13988302047844</v>
      </c>
      <c r="AN27">
        <f>IF(AG27&gt;0,AG27*'Vehicle Data'!C$6)</f>
        <v>203.49730956136611</v>
      </c>
      <c r="AO27">
        <f t="shared" si="13"/>
        <v>328.63719258184454</v>
      </c>
      <c r="AP27">
        <f>AO27*'Vehicle Data'!F$3</f>
        <v>83.999666423919464</v>
      </c>
      <c r="AQ27">
        <f>IF(AE27='Vehicle Data'!I$15,AP27/'Vehicle Data'!G$15,IF(AE27='Vehicle Data'!I$16,AP27/'Vehicle Data'!G$16,IF(AE27='Vehicle Data'!I$14,Data!AP27/'Vehicle Data'!G38)))</f>
        <v>15.507404981036411</v>
      </c>
      <c r="AR27">
        <f>IF(Z27&lt;'Vehicle Data'!C$16, Z27*'Vehicle Data'!F$7*'Vehicle Data'!G$14,IF(Z27&lt;'Vehicle Data'!C$15,Z27*'Vehicle Data'!F$7*'Vehicle Data'!G$15,IF(Z27&gt;'Vehicle Data'!C$15,Z27*'Vehicle Data'!F$7*'Vehicle Data'!G$16)))</f>
        <v>89.62471401664358</v>
      </c>
      <c r="AS27">
        <f t="shared" si="32"/>
        <v>5377.4828409986148</v>
      </c>
      <c r="AT27">
        <f t="shared" si="33"/>
        <v>16</v>
      </c>
      <c r="AU27">
        <f t="shared" si="34"/>
        <v>5500</v>
      </c>
      <c r="AW27">
        <f>VLOOKUP(AT27,BSFC!A$64:A$82,1,FALSE)</f>
        <v>16</v>
      </c>
      <c r="AX27" t="e" cm="1">
        <f t="array" ref="AX27">_xlfn.XLOOKUP(AT27,BSFC!A$64:A$82,,-1,_xlfn.XLOOKUP(Data!AU27,BSFC!C$63:Q$63,BSFC!B$64:Q$82,,-1))</f>
        <v>#VALUE!</v>
      </c>
      <c r="AY27">
        <f>HLOOKUP(AU27,BSFC!F$63:Q$63,1)</f>
        <v>5500</v>
      </c>
      <c r="AZ27">
        <f>MATCH(AT27,BSFC!A$64:A$83,0)</f>
        <v>7</v>
      </c>
      <c r="BA27">
        <f>MATCH(AU27,BSFC!C$63:Q$63,0)</f>
        <v>11</v>
      </c>
      <c r="BB27" cm="1">
        <f t="array" ref="BB27">INDEX(BSFC!C$64:Q$82,Data!AZ27,Data!BA27)</f>
        <v>632.5</v>
      </c>
      <c r="BC27">
        <f>0.5*'Vehicle Data'!C$6*Data!Z27^2</f>
        <v>23298.705368693922</v>
      </c>
      <c r="BD27">
        <f t="shared" si="14"/>
        <v>8.7676665793996982</v>
      </c>
      <c r="BE27">
        <f t="shared" si="35"/>
        <v>5545.5491114703091</v>
      </c>
      <c r="BF27">
        <f t="shared" si="36"/>
        <v>0.22452314002554491</v>
      </c>
      <c r="BG27">
        <f t="shared" si="15"/>
        <v>5.3926417892146787</v>
      </c>
      <c r="BH27">
        <f t="shared" si="39"/>
        <v>8697.4138708739829</v>
      </c>
      <c r="BI27" s="148">
        <f t="shared" si="17"/>
        <v>6871.6622130335309</v>
      </c>
      <c r="BJ27" s="9"/>
      <c r="BK27" s="15"/>
      <c r="BL27" s="15"/>
      <c r="BM27" s="15"/>
      <c r="BN27" s="10"/>
      <c r="BO27">
        <f t="shared" si="18"/>
        <v>1262.8274481866804</v>
      </c>
      <c r="BP27">
        <f t="shared" si="19"/>
        <v>10285.348347943502</v>
      </c>
      <c r="BQ27">
        <f t="shared" si="20"/>
        <v>10285.348347943502</v>
      </c>
      <c r="BR27" s="148">
        <f t="shared" si="21"/>
        <v>24754.147606769046</v>
      </c>
      <c r="BS27" s="156">
        <f t="shared" si="22"/>
        <v>1262.8274481866804</v>
      </c>
      <c r="BT27" s="156">
        <f t="shared" si="37"/>
        <v>8697.4138708739829</v>
      </c>
      <c r="BU27">
        <f t="shared" si="23"/>
        <v>997.73608409576195</v>
      </c>
      <c r="BV27">
        <f t="shared" si="24"/>
        <v>997.73608409576195</v>
      </c>
      <c r="BW27" s="148">
        <f t="shared" si="25"/>
        <v>455.4</v>
      </c>
      <c r="BX27" s="148">
        <f t="shared" si="26"/>
        <v>3129354.9718154697</v>
      </c>
      <c r="BY27" s="148">
        <f t="shared" si="27"/>
        <v>0.12621361463811387</v>
      </c>
      <c r="BZ27">
        <f t="shared" si="11"/>
        <v>3.4571564762910394</v>
      </c>
      <c r="CB27">
        <f t="shared" si="28"/>
        <v>-265.09136409091843</v>
      </c>
      <c r="CC27" s="162">
        <f t="shared" si="29"/>
        <v>-1818.7647464082556</v>
      </c>
      <c r="CD27">
        <f t="shared" si="38"/>
        <v>13736.858779799637</v>
      </c>
    </row>
    <row r="28" spans="4:82" x14ac:dyDescent="0.2">
      <c r="D28" s="22">
        <f t="shared" si="0"/>
        <v>0</v>
      </c>
      <c r="E28" s="23">
        <v>9.1017071999999999</v>
      </c>
      <c r="F28" s="23">
        <f>IF(K28&lt;6,1,IF(Data!K28&lt;9,2,IF(K28&gt;9,3)))</f>
        <v>3</v>
      </c>
      <c r="G28" s="23">
        <v>751.9977324295636</v>
      </c>
      <c r="H28" s="23">
        <v>212.16666499999999</v>
      </c>
      <c r="I28" s="64">
        <v>31.162888382196865</v>
      </c>
      <c r="J28" s="65">
        <f t="shared" si="1"/>
        <v>3.3653162596989827</v>
      </c>
      <c r="K28" s="65">
        <f t="shared" si="2"/>
        <v>12.465155352878746</v>
      </c>
      <c r="L28" s="65">
        <f t="shared" si="3"/>
        <v>1.3461265038796073</v>
      </c>
      <c r="M28">
        <f t="shared" si="4"/>
        <v>18.2034144</v>
      </c>
      <c r="N28">
        <f t="shared" si="5"/>
        <v>0</v>
      </c>
      <c r="O28">
        <f>IF(L28&lt;'Vehicle Data'!F$21,'Vehicle Data'!C$21,IF(L28&gt;'Vehicle Data'!C$21,'Vehicle Data'!C$20))</f>
        <v>0.6</v>
      </c>
      <c r="P28">
        <f>('Vehicle Data'!C$6*9.81*'Vehicle Data'!C$5*SIN(D28))/'Vehicle Data'!C$9</f>
        <v>0</v>
      </c>
      <c r="Q28" s="107">
        <f>'Vehicle Data'!C$6*9.81*SIN(D28)</f>
        <v>0</v>
      </c>
      <c r="R28">
        <f t="shared" si="6"/>
        <v>750.48604808493315</v>
      </c>
      <c r="S28">
        <f>IF(Data!O28=0.6,'Vehicle Data'!E$21,IF(Data!O28 = 0.9,'Vehicle Data'!E$20))+(P28*O28)</f>
        <v>1550.3723999999997</v>
      </c>
      <c r="T28">
        <f>IF(F28=3,'Vehicle Data'!H$16,IF(F28=2,'Vehicle Data'!H$15,IF(F28 = 1,'Vehicle Data'!G$14)))</f>
        <v>466.23005239380637</v>
      </c>
      <c r="U28" s="148">
        <f t="shared" si="7"/>
        <v>34.347565961617079</v>
      </c>
      <c r="V28" s="70" t="s">
        <v>77</v>
      </c>
      <c r="W28" s="99" t="s">
        <v>84</v>
      </c>
      <c r="X28">
        <f>IF(V28="S",'Vehicle Data'!C$14,IF(Data!V28 = "T1",'Vehicle Data'!P$2,IF(Data!V28="T2",'Vehicle Data'!P$3)))</f>
        <v>13.411199999999999</v>
      </c>
      <c r="Z28">
        <f t="shared" si="8"/>
        <v>10.369945376018311</v>
      </c>
      <c r="AB28" t="b">
        <f>IF(AA28=1,'Vehicle Data'!I$14,IF(AA28=2,'Vehicle Data'!I$15,IF(AA28=3,'Vehicle Data'!I$16)))</f>
        <v>0</v>
      </c>
      <c r="AC28">
        <f>IF(Z28&lt;'Vehicle Data'!C$16,'Vehicle Data'!I$15,IF(Z28&lt;'Vehicle Data'!C$15,'Vehicle Data'!I$15,IF(Z27&gt;'Vehicle Data'!C$15,'Vehicle Data'!I$16)))</f>
        <v>0.46202745420001456</v>
      </c>
      <c r="AD28">
        <f>IF(O28=0.6,'Vehicle Data'!F$21,IF(O28=0.9,'Vehicle Data'!F$20))</f>
        <v>3.5315999999999996</v>
      </c>
      <c r="AE28" s="100">
        <f t="shared" si="9"/>
        <v>0.46202745420001456</v>
      </c>
      <c r="AF28" s="158">
        <f t="shared" si="30"/>
        <v>0.14519574058855059</v>
      </c>
      <c r="AG28" s="148">
        <f t="shared" si="12"/>
        <v>0.46353165636743732</v>
      </c>
      <c r="AH28" s="148">
        <f t="shared" si="31"/>
        <v>3.6023522168795901</v>
      </c>
      <c r="AJ28">
        <f>(Z28^2)*'Vehicle Data'!C$31</f>
        <v>39.519394409839315</v>
      </c>
      <c r="AK28">
        <f>IF(O28=0.6,'Vehicle Data'!C$6*'Vehicle Data'!D$21*9.81,IF(O28=0.9,'Vehicle Data'!C$6*9.81*'Vehicle Data'!D$20))</f>
        <v>86.131799999999998</v>
      </c>
      <c r="AL28">
        <f t="shared" si="10"/>
        <v>125.65119440983932</v>
      </c>
      <c r="AN28">
        <f>IF(AG28&gt;0,AG28*'Vehicle Data'!C$6)</f>
        <v>203.490397145305</v>
      </c>
      <c r="AO28">
        <f t="shared" si="13"/>
        <v>329.14159155514432</v>
      </c>
      <c r="AP28">
        <f>AO28*'Vehicle Data'!F$3</f>
        <v>84.12859080149488</v>
      </c>
      <c r="AQ28">
        <f>IF(AE28='Vehicle Data'!I$15,AP28/'Vehicle Data'!G$15,IF(AE28='Vehicle Data'!I$16,AP28/'Vehicle Data'!G$16,IF(AE28='Vehicle Data'!I$14,Data!AP28/'Vehicle Data'!G39)))</f>
        <v>15.531206058113316</v>
      </c>
      <c r="AR28">
        <f>IF(Z28&lt;'Vehicle Data'!C$16, Z28*'Vehicle Data'!F$7*'Vehicle Data'!G$14,IF(Z28&lt;'Vehicle Data'!C$15,Z28*'Vehicle Data'!F$7*'Vehicle Data'!G$15,IF(Z28&gt;'Vehicle Data'!C$15,Z28*'Vehicle Data'!F$7*'Vehicle Data'!G$16)))</f>
        <v>90.210194504255369</v>
      </c>
      <c r="AS28">
        <f t="shared" si="32"/>
        <v>5412.6116702553218</v>
      </c>
      <c r="AT28">
        <f t="shared" si="33"/>
        <v>16</v>
      </c>
      <c r="AU28">
        <f t="shared" si="34"/>
        <v>5500</v>
      </c>
      <c r="AW28">
        <f>VLOOKUP(AT28,BSFC!A$64:A$82,1,FALSE)</f>
        <v>16</v>
      </c>
      <c r="AX28" t="e" cm="1">
        <f t="array" ref="AX28">_xlfn.XLOOKUP(AT28,BSFC!A$64:A$82,,-1,_xlfn.XLOOKUP(Data!AU28,BSFC!C$63:Q$63,BSFC!B$64:Q$82,,-1))</f>
        <v>#VALUE!</v>
      </c>
      <c r="AY28">
        <f>HLOOKUP(AU28,BSFC!F$63:Q$63,1)</f>
        <v>5500</v>
      </c>
      <c r="AZ28">
        <f>MATCH(AT28,BSFC!A$64:A$83,0)</f>
        <v>7</v>
      </c>
      <c r="BA28">
        <f>MATCH(AU28,BSFC!C$63:Q$63,0)</f>
        <v>11</v>
      </c>
      <c r="BB28" cm="1">
        <f t="array" ref="BB28">INDEX(BSFC!C$64:Q$82,Data!AZ28,Data!BA28)</f>
        <v>632.5</v>
      </c>
      <c r="BC28">
        <f>0.5*'Vehicle Data'!C$6*Data!Z28^2</f>
        <v>23604.100878801979</v>
      </c>
      <c r="BD28">
        <f t="shared" si="14"/>
        <v>8.8380333827933111</v>
      </c>
      <c r="BE28">
        <f t="shared" si="35"/>
        <v>5590.0561146167693</v>
      </c>
      <c r="BF28">
        <f t="shared" si="36"/>
        <v>0.22545898263703817</v>
      </c>
      <c r="BG28">
        <f t="shared" si="15"/>
        <v>5.6181007718517169</v>
      </c>
      <c r="BH28">
        <f t="shared" si="39"/>
        <v>8767.6665793996981</v>
      </c>
      <c r="BI28" s="148">
        <f t="shared" si="17"/>
        <v>6871.6622130335309</v>
      </c>
      <c r="BJ28" s="9"/>
      <c r="BK28" s="15"/>
      <c r="BL28" s="15"/>
      <c r="BM28" s="15"/>
      <c r="BN28" s="10"/>
      <c r="BO28">
        <f t="shared" si="18"/>
        <v>1269.890031494604</v>
      </c>
      <c r="BP28">
        <f t="shared" si="19"/>
        <v>11555.238379438106</v>
      </c>
      <c r="BQ28">
        <f t="shared" si="20"/>
        <v>11555.238379438106</v>
      </c>
      <c r="BR28" s="148">
        <f t="shared" si="21"/>
        <v>25749.42443043755</v>
      </c>
      <c r="BS28" s="156">
        <f t="shared" si="22"/>
        <v>1269.890031494604</v>
      </c>
      <c r="BT28" s="156">
        <f t="shared" si="37"/>
        <v>8767.6665793996981</v>
      </c>
      <c r="BU28">
        <f t="shared" si="23"/>
        <v>995.27682366850422</v>
      </c>
      <c r="BV28">
        <f t="shared" si="24"/>
        <v>995.27682366850422</v>
      </c>
      <c r="BW28" s="148">
        <f t="shared" si="25"/>
        <v>455.4</v>
      </c>
      <c r="BX28" s="148">
        <f t="shared" si="26"/>
        <v>3129354.9718154697</v>
      </c>
      <c r="BY28" s="148">
        <f t="shared" si="27"/>
        <v>0.12590251819406578</v>
      </c>
      <c r="BZ28">
        <f t="shared" si="11"/>
        <v>3.6023522168795901</v>
      </c>
      <c r="CB28">
        <f t="shared" si="28"/>
        <v>-274.61320782609982</v>
      </c>
      <c r="CC28" s="162">
        <f t="shared" si="29"/>
        <v>-1891.3310177898861</v>
      </c>
      <c r="CD28">
        <f t="shared" si="38"/>
        <v>13462.245571973537</v>
      </c>
    </row>
    <row r="29" spans="4:82" x14ac:dyDescent="0.2">
      <c r="D29" s="22">
        <f t="shared" si="0"/>
        <v>0</v>
      </c>
      <c r="E29" s="23">
        <v>9.1017071999999999</v>
      </c>
      <c r="F29" s="23">
        <f>IF(K29&lt;6,1,IF(Data!K29&lt;9,2,IF(K29&gt;9,3)))</f>
        <v>3</v>
      </c>
      <c r="G29" s="23">
        <v>753.5144275377711</v>
      </c>
      <c r="H29" s="23">
        <v>212.21666499999998</v>
      </c>
      <c r="I29" s="64">
        <v>31.331154195181757</v>
      </c>
      <c r="J29" s="65">
        <f t="shared" si="1"/>
        <v>3.3580438317672372</v>
      </c>
      <c r="K29" s="65">
        <f t="shared" si="2"/>
        <v>12.532461678072703</v>
      </c>
      <c r="L29" s="65">
        <f t="shared" si="3"/>
        <v>1.3432175327068807</v>
      </c>
      <c r="M29">
        <f t="shared" si="4"/>
        <v>18.2034144</v>
      </c>
      <c r="N29">
        <v>0</v>
      </c>
      <c r="O29">
        <f>IF(L29&lt;'Vehicle Data'!F$21,'Vehicle Data'!C$21,IF(L29&gt;'Vehicle Data'!C$21,'Vehicle Data'!C$20))</f>
        <v>0.6</v>
      </c>
      <c r="P29">
        <f>('Vehicle Data'!C$6*9.81*'Vehicle Data'!C$5*SIN(D29))/'Vehicle Data'!C$9</f>
        <v>0</v>
      </c>
      <c r="Q29" s="107">
        <f>'Vehicle Data'!C$6*9.81*SIN(D29)</f>
        <v>0</v>
      </c>
      <c r="R29">
        <f t="shared" si="6"/>
        <v>751.9977324295636</v>
      </c>
      <c r="S29">
        <f>IF(Data!O29=0.6,'Vehicle Data'!E$21,IF(Data!O29 = 0.9,'Vehicle Data'!E$20))+(P29*O29)</f>
        <v>1550.3723999999997</v>
      </c>
      <c r="T29">
        <f>IF(F29=3,'Vehicle Data'!H$16,IF(F29=2,'Vehicle Data'!H$15,IF(F29 = 1,'Vehicle Data'!G$14)))</f>
        <v>466.23005239380637</v>
      </c>
      <c r="U29" s="148">
        <f t="shared" si="7"/>
        <v>35.859250306247532</v>
      </c>
      <c r="V29" s="70" t="s">
        <v>77</v>
      </c>
      <c r="W29" s="99" t="s">
        <v>84</v>
      </c>
      <c r="X29">
        <f>IF(V29="S",'Vehicle Data'!C$14,IF(Data!V29 = "T1",'Vehicle Data'!P$2,IF(Data!V29="T2",'Vehicle Data'!P$3)))</f>
        <v>13.411199999999999</v>
      </c>
      <c r="Z29">
        <f t="shared" si="8"/>
        <v>10.437080359957511</v>
      </c>
      <c r="AB29" t="b">
        <f>IF(AA29=1,'Vehicle Data'!I$14,IF(AA29=2,'Vehicle Data'!I$15,IF(AA29=3,'Vehicle Data'!I$16)))</f>
        <v>0</v>
      </c>
      <c r="AC29">
        <f>IF(Z29&lt;'Vehicle Data'!C$16,'Vehicle Data'!I$15,IF(Z29&lt;'Vehicle Data'!C$15,'Vehicle Data'!I$15,IF(Z28&gt;'Vehicle Data'!C$15,'Vehicle Data'!I$16)))</f>
        <v>0.46202745420001456</v>
      </c>
      <c r="AD29">
        <f>IF(O29=0.6,'Vehicle Data'!F$21,IF(O29=0.9,'Vehicle Data'!F$20))</f>
        <v>3.5315999999999996</v>
      </c>
      <c r="AE29" s="100">
        <f t="shared" si="9"/>
        <v>0.46202745420001456</v>
      </c>
      <c r="AF29" s="158">
        <f t="shared" si="30"/>
        <v>0.14483785622942227</v>
      </c>
      <c r="AG29" s="148">
        <f t="shared" si="12"/>
        <v>0.46351821054889336</v>
      </c>
      <c r="AH29" s="148">
        <f t="shared" si="31"/>
        <v>3.7471900731090124</v>
      </c>
      <c r="AJ29">
        <f>(Z29^2)*'Vehicle Data'!C$31</f>
        <v>40.032747566777481</v>
      </c>
      <c r="AK29">
        <f>IF(O29=0.6,'Vehicle Data'!C$6*'Vehicle Data'!D$21*9.81,IF(O29=0.9,'Vehicle Data'!C$6*9.81*'Vehicle Data'!D$20))</f>
        <v>86.131799999999998</v>
      </c>
      <c r="AL29">
        <f t="shared" si="10"/>
        <v>126.16454756677749</v>
      </c>
      <c r="AN29">
        <f>IF(AG29&gt;0,AG29*'Vehicle Data'!C$6)</f>
        <v>203.48449443096419</v>
      </c>
      <c r="AO29">
        <f t="shared" si="13"/>
        <v>329.64904199774168</v>
      </c>
      <c r="AP29">
        <f>AO29*'Vehicle Data'!F$3</f>
        <v>84.25829513462277</v>
      </c>
      <c r="AQ29">
        <f>IF(AE29='Vehicle Data'!I$15,AP29/'Vehicle Data'!G$15,IF(AE29='Vehicle Data'!I$16,AP29/'Vehicle Data'!G$16,IF(AE29='Vehicle Data'!I$14,Data!AP29/'Vehicle Data'!G40)))</f>
        <v>15.555151124888447</v>
      </c>
      <c r="AR29">
        <f>IF(Z29&lt;'Vehicle Data'!C$16, Z29*'Vehicle Data'!F$7*'Vehicle Data'!G$14,IF(Z29&lt;'Vehicle Data'!C$15,Z29*'Vehicle Data'!F$7*'Vehicle Data'!G$15,IF(Z29&gt;'Vehicle Data'!C$15,Z29*'Vehicle Data'!F$7*'Vehicle Data'!G$16)))</f>
        <v>90.794214934411272</v>
      </c>
      <c r="AS29">
        <f t="shared" si="32"/>
        <v>5447.6528960646765</v>
      </c>
      <c r="AT29">
        <f t="shared" si="33"/>
        <v>16</v>
      </c>
      <c r="AU29">
        <f t="shared" si="34"/>
        <v>5500</v>
      </c>
      <c r="AW29">
        <f>VLOOKUP(AT29,BSFC!A$64:A$82,1,FALSE)</f>
        <v>16</v>
      </c>
      <c r="AX29" t="e" cm="1">
        <f t="array" ref="AX29">_xlfn.XLOOKUP(AT29,BSFC!A$64:A$82,,-1,_xlfn.XLOOKUP(Data!AU29,BSFC!C$63:Q$63,BSFC!B$64:Q$82,,-1))</f>
        <v>#VALUE!</v>
      </c>
      <c r="AY29">
        <f>HLOOKUP(AU29,BSFC!F$63:Q$63,1)</f>
        <v>5500</v>
      </c>
      <c r="AZ29">
        <f>MATCH(AT29,BSFC!A$64:A$83,0)</f>
        <v>7</v>
      </c>
      <c r="BA29">
        <f>MATCH(AU29,BSFC!C$63:Q$63,0)</f>
        <v>11</v>
      </c>
      <c r="BB29" cm="1">
        <f t="array" ref="BB29">INDEX(BSFC!C$64:Q$82,Data!AZ29,Data!BA29)</f>
        <v>632.5</v>
      </c>
      <c r="BC29">
        <f>0.5*'Vehicle Data'!C$6*Data!Z29^2</f>
        <v>23910.715893626271</v>
      </c>
      <c r="BD29">
        <f t="shared" si="14"/>
        <v>8.9084358289284928</v>
      </c>
      <c r="BE29">
        <f t="shared" si="35"/>
        <v>5634.5856617972713</v>
      </c>
      <c r="BF29">
        <f t="shared" si="36"/>
        <v>0.22669480777659926</v>
      </c>
      <c r="BG29">
        <f t="shared" si="15"/>
        <v>5.8447955796283164</v>
      </c>
      <c r="BH29">
        <f t="shared" si="39"/>
        <v>8838.0333827933118</v>
      </c>
      <c r="BI29" s="148">
        <f t="shared" si="17"/>
        <v>6871.6622130335309</v>
      </c>
      <c r="BJ29" s="9"/>
      <c r="BK29" s="15"/>
      <c r="BL29" s="15"/>
      <c r="BM29" s="15"/>
      <c r="BN29" s="10"/>
      <c r="BO29">
        <f t="shared" si="18"/>
        <v>1276.1418025055448</v>
      </c>
      <c r="BP29">
        <f t="shared" si="19"/>
        <v>12831.38018194365</v>
      </c>
      <c r="BQ29">
        <f t="shared" si="20"/>
        <v>12831.38018194365</v>
      </c>
      <c r="BR29" s="148">
        <f t="shared" si="21"/>
        <v>26741.637858803024</v>
      </c>
      <c r="BS29" s="156">
        <f t="shared" si="22"/>
        <v>1276.1418025055448</v>
      </c>
      <c r="BT29" s="156">
        <f t="shared" si="37"/>
        <v>8838.0333827933118</v>
      </c>
      <c r="BU29">
        <f t="shared" si="23"/>
        <v>992.21342836547308</v>
      </c>
      <c r="BV29">
        <f t="shared" si="24"/>
        <v>992.21342836547308</v>
      </c>
      <c r="BW29" s="148">
        <f t="shared" si="25"/>
        <v>455.4</v>
      </c>
      <c r="BX29" s="148">
        <f t="shared" si="26"/>
        <v>3129354.9718154697</v>
      </c>
      <c r="BY29" s="148">
        <f t="shared" si="27"/>
        <v>0.12551499868823232</v>
      </c>
      <c r="BZ29">
        <f t="shared" si="11"/>
        <v>3.7471900731090124</v>
      </c>
      <c r="CB29">
        <f t="shared" si="28"/>
        <v>-283.9283741400717</v>
      </c>
      <c r="CC29" s="162">
        <f t="shared" si="29"/>
        <v>-1960.3188111976108</v>
      </c>
      <c r="CD29">
        <f t="shared" si="38"/>
        <v>13178.317197833465</v>
      </c>
    </row>
    <row r="30" spans="4:82" x14ac:dyDescent="0.2">
      <c r="D30" s="22">
        <f t="shared" si="0"/>
        <v>0</v>
      </c>
      <c r="E30" s="23">
        <v>9.2017056000000004</v>
      </c>
      <c r="F30" s="23">
        <f>IF(K30&lt;6,1,IF(Data!K30&lt;9,2,IF(K30&gt;9,3)))</f>
        <v>3</v>
      </c>
      <c r="G30" s="23">
        <v>755.03862565945337</v>
      </c>
      <c r="H30" s="23">
        <v>212.26666499999999</v>
      </c>
      <c r="I30" s="64">
        <v>31.499056386770157</v>
      </c>
      <c r="J30" s="65">
        <f t="shared" si="1"/>
        <v>3.1121670167416258</v>
      </c>
      <c r="K30" s="65">
        <f t="shared" si="2"/>
        <v>12.599622554708063</v>
      </c>
      <c r="L30" s="65">
        <f t="shared" si="3"/>
        <v>1.2448668066966573</v>
      </c>
      <c r="M30">
        <f t="shared" si="4"/>
        <v>18.403411200000001</v>
      </c>
      <c r="N30">
        <f t="shared" si="5"/>
        <v>0</v>
      </c>
      <c r="O30">
        <f>IF(L30&lt;'Vehicle Data'!F$21,'Vehicle Data'!C$21,IF(L30&gt;'Vehicle Data'!C$21,'Vehicle Data'!C$20))</f>
        <v>0.6</v>
      </c>
      <c r="P30">
        <f>('Vehicle Data'!C$6*9.81*'Vehicle Data'!C$5*SIN(D30))/'Vehicle Data'!C$9</f>
        <v>0</v>
      </c>
      <c r="Q30" s="107">
        <f>'Vehicle Data'!C$6*9.81*SIN(D30)</f>
        <v>0</v>
      </c>
      <c r="R30">
        <f t="shared" si="6"/>
        <v>753.5144275377711</v>
      </c>
      <c r="S30">
        <f>IF(Data!O30=0.6,'Vehicle Data'!E$21,IF(Data!O30 = 0.9,'Vehicle Data'!E$20))+(P30*O30)</f>
        <v>1550.3723999999997</v>
      </c>
      <c r="T30">
        <f>IF(F30=3,'Vehicle Data'!H$16,IF(F30=2,'Vehicle Data'!H$15,IF(F30 = 1,'Vehicle Data'!G$14)))</f>
        <v>466.23005239380637</v>
      </c>
      <c r="U30" s="148">
        <f t="shared" si="7"/>
        <v>37.375945414455032</v>
      </c>
      <c r="V30" s="70" t="s">
        <v>77</v>
      </c>
      <c r="W30" s="99" t="s">
        <v>84</v>
      </c>
      <c r="X30">
        <f>IF(V30="S",'Vehicle Data'!C$14,IF(Data!V30 = "T1",'Vehicle Data'!P$2,IF(Data!V30="T2",'Vehicle Data'!P$3)))</f>
        <v>13.411199999999999</v>
      </c>
      <c r="Z30">
        <f t="shared" si="8"/>
        <v>10.504006664101858</v>
      </c>
      <c r="AB30" t="b">
        <f>IF(AA30=1,'Vehicle Data'!I$14,IF(AA30=2,'Vehicle Data'!I$15,IF(AA30=3,'Vehicle Data'!I$16)))</f>
        <v>0</v>
      </c>
      <c r="AC30">
        <f>IF(Z30&lt;'Vehicle Data'!C$16,'Vehicle Data'!I$15,IF(Z30&lt;'Vehicle Data'!C$15,'Vehicle Data'!I$15,IF(Z29&gt;'Vehicle Data'!C$15,'Vehicle Data'!I$16)))</f>
        <v>0.46202745420001456</v>
      </c>
      <c r="AD30">
        <f>IF(O30=0.6,'Vehicle Data'!F$21,IF(O30=0.9,'Vehicle Data'!F$20))</f>
        <v>3.5315999999999996</v>
      </c>
      <c r="AE30" s="100">
        <f t="shared" si="9"/>
        <v>0.46202745420001456</v>
      </c>
      <c r="AF30" s="158">
        <f t="shared" si="30"/>
        <v>0.14439205502324237</v>
      </c>
      <c r="AG30" s="148">
        <f t="shared" si="12"/>
        <v>0.46350406283486023</v>
      </c>
      <c r="AH30" s="148">
        <f t="shared" si="31"/>
        <v>3.8915821281322547</v>
      </c>
      <c r="AJ30">
        <f>(Z30^2)*'Vehicle Data'!C$31</f>
        <v>40.547802329814886</v>
      </c>
      <c r="AK30">
        <f>IF(O30=0.6,'Vehicle Data'!C$6*'Vehicle Data'!D$21*9.81,IF(O30=0.9,'Vehicle Data'!C$6*9.81*'Vehicle Data'!D$20))</f>
        <v>86.131799999999998</v>
      </c>
      <c r="AL30">
        <f t="shared" si="10"/>
        <v>126.67960232981488</v>
      </c>
      <c r="AN30">
        <f>IF(AG30&gt;0,AG30*'Vehicle Data'!C$6)</f>
        <v>203.47828358450363</v>
      </c>
      <c r="AO30">
        <f t="shared" si="13"/>
        <v>330.15788591431851</v>
      </c>
      <c r="AP30">
        <f>AO30*'Vehicle Data'!F$3</f>
        <v>84.38835563969981</v>
      </c>
      <c r="AQ30">
        <f>IF(AE30='Vehicle Data'!I$15,AP30/'Vehicle Data'!G$15,IF(AE30='Vehicle Data'!I$16,AP30/'Vehicle Data'!G$16,IF(AE30='Vehicle Data'!I$14,Data!AP30/'Vehicle Data'!G41)))</f>
        <v>15.579161945527771</v>
      </c>
      <c r="AR30">
        <f>IF(Z30&lt;'Vehicle Data'!C$16, Z30*'Vehicle Data'!F$7*'Vehicle Data'!G$14,IF(Z30&lt;'Vehicle Data'!C$15,Z30*'Vehicle Data'!F$7*'Vehicle Data'!G$15,IF(Z30&gt;'Vehicle Data'!C$15,Z30*'Vehicle Data'!F$7*'Vehicle Data'!G$16)))</f>
        <v>91.376420017986234</v>
      </c>
      <c r="AS30">
        <f t="shared" si="32"/>
        <v>5482.5852010791741</v>
      </c>
      <c r="AT30">
        <f t="shared" si="33"/>
        <v>16</v>
      </c>
      <c r="AU30">
        <f t="shared" si="34"/>
        <v>5500</v>
      </c>
      <c r="AW30">
        <f>VLOOKUP(AT30,BSFC!A$64:A$82,1,FALSE)</f>
        <v>16</v>
      </c>
      <c r="AX30" t="e" cm="1">
        <f t="array" ref="AX30">_xlfn.XLOOKUP(AT30,BSFC!A$64:A$82,,-1,_xlfn.XLOOKUP(Data!AU30,BSFC!C$63:Q$63,BSFC!B$64:Q$82,,-1))</f>
        <v>#VALUE!</v>
      </c>
      <c r="AY30">
        <f>HLOOKUP(AU30,BSFC!F$63:Q$63,1)</f>
        <v>5500</v>
      </c>
      <c r="AZ30">
        <f>MATCH(AT30,BSFC!A$64:A$83,0)</f>
        <v>7</v>
      </c>
      <c r="BA30">
        <f>MATCH(AU30,BSFC!C$63:Q$63,0)</f>
        <v>11</v>
      </c>
      <c r="BB30" cm="1">
        <f t="array" ref="BB30">INDEX(BSFC!C$64:Q$82,Data!AZ30,Data!BA30)</f>
        <v>632.5</v>
      </c>
      <c r="BC30">
        <f>0.5*'Vehicle Data'!C$6*Data!Z30^2</f>
        <v>24218.347241889427</v>
      </c>
      <c r="BD30">
        <f t="shared" si="14"/>
        <v>8.9790329619510931</v>
      </c>
      <c r="BE30">
        <f t="shared" si="35"/>
        <v>5679.2383484340662</v>
      </c>
      <c r="BF30">
        <f t="shared" si="36"/>
        <v>0.2277880266936666</v>
      </c>
      <c r="BG30">
        <f t="shared" si="15"/>
        <v>6.0725836063219827</v>
      </c>
      <c r="BH30">
        <f t="shared" si="39"/>
        <v>8908.4358289284937</v>
      </c>
      <c r="BI30" s="148">
        <f t="shared" si="17"/>
        <v>6871.6622130335309</v>
      </c>
      <c r="BJ30" s="9"/>
      <c r="BK30" s="15"/>
      <c r="BL30" s="15"/>
      <c r="BM30" s="15"/>
      <c r="BN30" s="10"/>
      <c r="BO30">
        <f t="shared" si="18"/>
        <v>1284.4981832724761</v>
      </c>
      <c r="BP30">
        <f t="shared" si="19"/>
        <v>14115.878365216126</v>
      </c>
      <c r="BQ30">
        <f t="shared" si="20"/>
        <v>14115.878365216126</v>
      </c>
      <c r="BR30" s="148">
        <f t="shared" si="21"/>
        <v>27732.455753010763</v>
      </c>
      <c r="BS30" s="156">
        <f t="shared" si="22"/>
        <v>1284.4981832724761</v>
      </c>
      <c r="BT30" s="156">
        <f t="shared" si="37"/>
        <v>8908.4358289284937</v>
      </c>
      <c r="BU30">
        <f t="shared" si="23"/>
        <v>990.81789420773771</v>
      </c>
      <c r="BV30">
        <f t="shared" si="24"/>
        <v>990.81789420773771</v>
      </c>
      <c r="BW30" s="148">
        <f t="shared" si="25"/>
        <v>455.4</v>
      </c>
      <c r="BX30" s="148">
        <f t="shared" si="26"/>
        <v>3129354.9718154697</v>
      </c>
      <c r="BY30" s="148">
        <f t="shared" si="27"/>
        <v>0.12533846361727879</v>
      </c>
      <c r="BZ30">
        <f t="shared" si="11"/>
        <v>3.8915821281322547</v>
      </c>
      <c r="CB30">
        <f t="shared" si="28"/>
        <v>-293.68028906473842</v>
      </c>
      <c r="CC30" s="162">
        <f t="shared" si="29"/>
        <v>-2033.9089226028798</v>
      </c>
      <c r="CD30">
        <f t="shared" si="38"/>
        <v>12884.636908768727</v>
      </c>
    </row>
    <row r="31" spans="4:82" x14ac:dyDescent="0.2">
      <c r="D31" s="22">
        <f t="shared" si="0"/>
        <v>0</v>
      </c>
      <c r="E31" s="23">
        <v>9.2017056000000004</v>
      </c>
      <c r="F31" s="23">
        <f>IF(K31&lt;6,1,IF(Data!K31&lt;9,2,IF(K31&gt;9,3)))</f>
        <v>3</v>
      </c>
      <c r="G31" s="23">
        <v>756.57018397713455</v>
      </c>
      <c r="H31" s="23">
        <v>212.316665</v>
      </c>
      <c r="I31" s="64">
        <v>31.654664737607273</v>
      </c>
      <c r="J31" s="65">
        <f t="shared" si="1"/>
        <v>3.0150263846469354</v>
      </c>
      <c r="K31" s="65">
        <f t="shared" si="2"/>
        <v>12.66186589504291</v>
      </c>
      <c r="L31" s="65">
        <f t="shared" si="3"/>
        <v>1.2060105538587811</v>
      </c>
      <c r="M31">
        <f t="shared" si="4"/>
        <v>18.403411200000001</v>
      </c>
      <c r="N31">
        <f t="shared" si="5"/>
        <v>0</v>
      </c>
      <c r="O31">
        <f>IF(L31&lt;'Vehicle Data'!F$21,'Vehicle Data'!C$21,IF(L31&gt;'Vehicle Data'!C$21,'Vehicle Data'!C$20))</f>
        <v>0.6</v>
      </c>
      <c r="P31">
        <f>('Vehicle Data'!C$6*9.81*'Vehicle Data'!C$5*SIN(D31))/'Vehicle Data'!C$9</f>
        <v>0</v>
      </c>
      <c r="Q31" s="107">
        <f>'Vehicle Data'!C$6*9.81*SIN(D31)</f>
        <v>0</v>
      </c>
      <c r="R31">
        <f t="shared" si="6"/>
        <v>755.03862565945337</v>
      </c>
      <c r="S31">
        <f>IF(Data!O31=0.6,'Vehicle Data'!E$21,IF(Data!O31 = 0.9,'Vehicle Data'!E$20))+(P31*O31)</f>
        <v>1550.3723999999997</v>
      </c>
      <c r="T31">
        <f>IF(F31=3,'Vehicle Data'!H$16,IF(F31=2,'Vehicle Data'!H$15,IF(F31 = 1,'Vehicle Data'!G$14)))</f>
        <v>466.23005239380637</v>
      </c>
      <c r="U31" s="148">
        <f t="shared" si="7"/>
        <v>38.900143536137307</v>
      </c>
      <c r="V31" s="70" t="s">
        <v>77</v>
      </c>
      <c r="W31" s="99" t="s">
        <v>84</v>
      </c>
      <c r="X31">
        <f>IF(V31="S",'Vehicle Data'!C$14,IF(Data!V31 = "T1",'Vehicle Data'!P$2,IF(Data!V31="T2",'Vehicle Data'!P$3)))</f>
        <v>13.411199999999999</v>
      </c>
      <c r="Z31">
        <f t="shared" si="8"/>
        <v>10.570837183270342</v>
      </c>
      <c r="AB31" t="b">
        <f>IF(AA31=1,'Vehicle Data'!I$14,IF(AA31=2,'Vehicle Data'!I$15,IF(AA31=3,'Vehicle Data'!I$16)))</f>
        <v>0</v>
      </c>
      <c r="AC31">
        <f>IF(Z31&lt;'Vehicle Data'!C$16,'Vehicle Data'!I$15,IF(Z31&lt;'Vehicle Data'!C$15,'Vehicle Data'!I$15,IF(Z30&gt;'Vehicle Data'!C$15,'Vehicle Data'!I$16)))</f>
        <v>0.46202745420001456</v>
      </c>
      <c r="AD31">
        <f>IF(O31=0.6,'Vehicle Data'!F$21,IF(O31=0.9,'Vehicle Data'!F$20))</f>
        <v>3.5315999999999996</v>
      </c>
      <c r="AE31" s="100">
        <f t="shared" si="9"/>
        <v>0.46202745420001456</v>
      </c>
      <c r="AF31" s="158">
        <f t="shared" si="30"/>
        <v>0.14418896963946312</v>
      </c>
      <c r="AG31" s="148">
        <f t="shared" si="12"/>
        <v>0.46349259125430936</v>
      </c>
      <c r="AH31" s="148">
        <f t="shared" si="31"/>
        <v>4.0357710977717174</v>
      </c>
      <c r="AJ31">
        <f>(Z31^2)*'Vehicle Data'!C$31</f>
        <v>41.065405042540007</v>
      </c>
      <c r="AK31">
        <f>IF(O31=0.6,'Vehicle Data'!C$6*'Vehicle Data'!D$21*9.81,IF(O31=0.9,'Vehicle Data'!C$6*9.81*'Vehicle Data'!D$20))</f>
        <v>86.131799999999998</v>
      </c>
      <c r="AL31">
        <f t="shared" si="10"/>
        <v>127.19720504254001</v>
      </c>
      <c r="AN31">
        <f>IF(AG31&gt;0,AG31*'Vehicle Data'!C$6)</f>
        <v>203.47324756064182</v>
      </c>
      <c r="AO31">
        <f t="shared" si="13"/>
        <v>330.67045260318184</v>
      </c>
      <c r="AP31">
        <f>AO31*'Vehicle Data'!F$3</f>
        <v>84.519367685373282</v>
      </c>
      <c r="AQ31">
        <f>IF(AE31='Vehicle Data'!I$15,AP31/'Vehicle Data'!G$15,IF(AE31='Vehicle Data'!I$16,AP31/'Vehicle Data'!G$16,IF(AE31='Vehicle Data'!I$14,Data!AP31/'Vehicle Data'!G42)))</f>
        <v>15.603348432643083</v>
      </c>
      <c r="AR31">
        <f>IF(Z31&lt;'Vehicle Data'!C$16, Z31*'Vehicle Data'!F$7*'Vehicle Data'!G$14,IF(Z31&lt;'Vehicle Data'!C$15,Z31*'Vehicle Data'!F$7*'Vehicle Data'!G$15,IF(Z31&gt;'Vehicle Data'!C$15,Z31*'Vehicle Data'!F$7*'Vehicle Data'!G$16)))</f>
        <v>91.957791849216079</v>
      </c>
      <c r="AS31">
        <f t="shared" si="32"/>
        <v>5517.4675109529644</v>
      </c>
      <c r="AT31">
        <f t="shared" si="33"/>
        <v>16</v>
      </c>
      <c r="AU31">
        <f t="shared" si="34"/>
        <v>5500</v>
      </c>
      <c r="AW31">
        <f>VLOOKUP(AT31,BSFC!A$64:A$82,1,FALSE)</f>
        <v>16</v>
      </c>
      <c r="AX31" t="e" cm="1">
        <f t="array" ref="AX31">_xlfn.XLOOKUP(AT31,BSFC!A$64:A$82,,-1,_xlfn.XLOOKUP(Data!AU31,BSFC!C$63:Q$63,BSFC!B$64:Q$82,,-1))</f>
        <v>#VALUE!</v>
      </c>
      <c r="AY31">
        <f>HLOOKUP(AU31,BSFC!F$63:Q$63,1)</f>
        <v>5500</v>
      </c>
      <c r="AZ31">
        <f>MATCH(AT31,BSFC!A$64:A$83,0)</f>
        <v>7</v>
      </c>
      <c r="BA31">
        <f>MATCH(AU31,BSFC!C$63:Q$63,0)</f>
        <v>11</v>
      </c>
      <c r="BB31" cm="1">
        <f t="array" ref="BB31">INDEX(BSFC!C$64:Q$82,Data!AZ31,Data!BA31)</f>
        <v>632.5</v>
      </c>
      <c r="BC31">
        <f>0.5*'Vehicle Data'!C$6*Data!Z31^2</f>
        <v>24527.500426768784</v>
      </c>
      <c r="BD31">
        <f t="shared" si="14"/>
        <v>9.0497898992570445</v>
      </c>
      <c r="BE31">
        <f t="shared" si="35"/>
        <v>5723.9921112800803</v>
      </c>
      <c r="BF31">
        <f t="shared" si="36"/>
        <v>0.22926014576385831</v>
      </c>
      <c r="BG31">
        <f t="shared" si="15"/>
        <v>6.3018437520858406</v>
      </c>
      <c r="BH31">
        <f t="shared" si="39"/>
        <v>8979.032961951094</v>
      </c>
      <c r="BI31" s="148">
        <f t="shared" si="17"/>
        <v>6871.6622130335309</v>
      </c>
      <c r="BJ31" s="9"/>
      <c r="BK31" s="15"/>
      <c r="BL31" s="15"/>
      <c r="BM31" s="15"/>
      <c r="BN31" s="10"/>
      <c r="BO31">
        <f t="shared" si="18"/>
        <v>1292.7685386854448</v>
      </c>
      <c r="BP31">
        <f t="shared" si="19"/>
        <v>15408.64690390157</v>
      </c>
      <c r="BQ31">
        <f t="shared" si="20"/>
        <v>15408.64690390157</v>
      </c>
      <c r="BR31" s="148">
        <f t="shared" si="21"/>
        <v>28721.812708835216</v>
      </c>
      <c r="BS31" s="156">
        <f t="shared" si="22"/>
        <v>1292.7685386854448</v>
      </c>
      <c r="BT31" s="156">
        <f t="shared" si="37"/>
        <v>8979.032961951094</v>
      </c>
      <c r="BU31">
        <f t="shared" si="23"/>
        <v>989.35695582445203</v>
      </c>
      <c r="BV31">
        <f t="shared" si="24"/>
        <v>989.35695582445203</v>
      </c>
      <c r="BW31" s="148">
        <f t="shared" si="25"/>
        <v>455.4</v>
      </c>
      <c r="BX31" s="148">
        <f t="shared" si="26"/>
        <v>3129354.9718154697</v>
      </c>
      <c r="BY31" s="148">
        <f t="shared" si="27"/>
        <v>0.12515365491179317</v>
      </c>
      <c r="BZ31">
        <f t="shared" si="11"/>
        <v>4.0357710977717174</v>
      </c>
      <c r="CB31">
        <f t="shared" si="28"/>
        <v>-303.41158286099278</v>
      </c>
      <c r="CC31" s="162">
        <f t="shared" si="29"/>
        <v>-2104.2634788199002</v>
      </c>
      <c r="CD31">
        <f t="shared" si="38"/>
        <v>12581.225325907735</v>
      </c>
    </row>
    <row r="32" spans="4:82" x14ac:dyDescent="0.2">
      <c r="D32" s="22">
        <f t="shared" si="0"/>
        <v>0</v>
      </c>
      <c r="E32" s="23">
        <v>9.2017056000000004</v>
      </c>
      <c r="F32" s="23">
        <f>IF(K32&lt;6,1,IF(Data!K32&lt;9,2,IF(K32&gt;9,3)))</f>
        <v>3</v>
      </c>
      <c r="G32" s="23">
        <v>758.11050851776281</v>
      </c>
      <c r="H32" s="23">
        <v>212.36666499999998</v>
      </c>
      <c r="I32" s="64">
        <v>31.805416056839569</v>
      </c>
      <c r="J32" s="65">
        <f t="shared" si="1"/>
        <v>2.7163613033885743</v>
      </c>
      <c r="K32" s="65">
        <f t="shared" si="2"/>
        <v>12.722166422735828</v>
      </c>
      <c r="L32" s="65">
        <f t="shared" si="3"/>
        <v>1.0865445213554297</v>
      </c>
      <c r="M32">
        <f t="shared" si="4"/>
        <v>18.403411200000001</v>
      </c>
      <c r="N32">
        <f t="shared" si="5"/>
        <v>0</v>
      </c>
      <c r="O32">
        <f>IF(L32&lt;'Vehicle Data'!F$21,'Vehicle Data'!C$21,IF(L32&gt;'Vehicle Data'!C$21,'Vehicle Data'!C$20))</f>
        <v>0.6</v>
      </c>
      <c r="P32">
        <f>('Vehicle Data'!C$6*9.81*'Vehicle Data'!C$5*SIN(D32))/'Vehicle Data'!C$9</f>
        <v>0</v>
      </c>
      <c r="Q32" s="107">
        <f>'Vehicle Data'!C$6*9.81*SIN(D32)</f>
        <v>0</v>
      </c>
      <c r="R32">
        <f t="shared" si="6"/>
        <v>756.57018397713455</v>
      </c>
      <c r="S32">
        <f>IF(Data!O32=0.6,'Vehicle Data'!E$21,IF(Data!O32 = 0.9,'Vehicle Data'!E$20))+(P32*O32)</f>
        <v>1550.3723999999997</v>
      </c>
      <c r="T32">
        <f>IF(F32=3,'Vehicle Data'!H$16,IF(F32=2,'Vehicle Data'!H$15,IF(F32 = 1,'Vehicle Data'!G$14)))</f>
        <v>466.23005239380637</v>
      </c>
      <c r="U32" s="148">
        <f t="shared" si="7"/>
        <v>40.431701853818481</v>
      </c>
      <c r="V32" s="70" t="s">
        <v>77</v>
      </c>
      <c r="W32" s="99" t="s">
        <v>84</v>
      </c>
      <c r="X32">
        <f>IF(V32="S",'Vehicle Data'!C$14,IF(Data!V32 = "T1",'Vehicle Data'!P$2,IF(Data!V32="T2",'Vehicle Data'!P$3)))</f>
        <v>13.411199999999999</v>
      </c>
      <c r="Z32">
        <f t="shared" si="8"/>
        <v>10.637567519699465</v>
      </c>
      <c r="AB32" t="b">
        <f>IF(AA32=1,'Vehicle Data'!I$14,IF(AA32=2,'Vehicle Data'!I$15,IF(AA32=3,'Vehicle Data'!I$16)))</f>
        <v>0</v>
      </c>
      <c r="AC32">
        <f>IF(Z32&lt;'Vehicle Data'!C$16,'Vehicle Data'!I$15,IF(Z32&lt;'Vehicle Data'!C$15,'Vehicle Data'!I$15,IF(Z31&gt;'Vehicle Data'!C$15,'Vehicle Data'!I$16)))</f>
        <v>0.46202745420001456</v>
      </c>
      <c r="AD32">
        <f>IF(O32=0.6,'Vehicle Data'!F$21,IF(O32=0.9,'Vehicle Data'!F$20))</f>
        <v>3.5315999999999996</v>
      </c>
      <c r="AE32" s="100">
        <f t="shared" si="9"/>
        <v>0.46202745420001456</v>
      </c>
      <c r="AF32" s="158">
        <f t="shared" si="30"/>
        <v>0.14397636629285002</v>
      </c>
      <c r="AG32" s="148">
        <f t="shared" si="12"/>
        <v>0.46348118199755123</v>
      </c>
      <c r="AH32" s="148">
        <f t="shared" si="31"/>
        <v>4.1797474640645671</v>
      </c>
      <c r="AJ32">
        <f>(Z32^2)*'Vehicle Data'!C$31</f>
        <v>41.585507205540658</v>
      </c>
      <c r="AK32">
        <f>IF(O32=0.6,'Vehicle Data'!C$6*'Vehicle Data'!D$21*9.81,IF(O32=0.9,'Vehicle Data'!C$6*9.81*'Vehicle Data'!D$20))</f>
        <v>86.131799999999998</v>
      </c>
      <c r="AL32">
        <f t="shared" si="10"/>
        <v>127.71730720554066</v>
      </c>
      <c r="AN32">
        <f>IF(AG32&gt;0,AG32*'Vehicle Data'!C$6)</f>
        <v>203.46823889692499</v>
      </c>
      <c r="AO32">
        <f t="shared" si="13"/>
        <v>331.18554610246565</v>
      </c>
      <c r="AP32">
        <f>AO32*'Vehicle Data'!F$3</f>
        <v>84.651025583790215</v>
      </c>
      <c r="AQ32">
        <f>IF(AE32='Vehicle Data'!I$15,AP32/'Vehicle Data'!G$15,IF(AE32='Vehicle Data'!I$16,AP32/'Vehicle Data'!G$16,IF(AE32='Vehicle Data'!I$14,Data!AP32/'Vehicle Data'!G43)))</f>
        <v>15.627654152375348</v>
      </c>
      <c r="AR32">
        <f>IF(Z32&lt;'Vehicle Data'!C$16, Z32*'Vehicle Data'!F$7*'Vehicle Data'!G$14,IF(Z32&lt;'Vehicle Data'!C$15,Z32*'Vehicle Data'!F$7*'Vehicle Data'!G$15,IF(Z32&gt;'Vehicle Data'!C$15,Z32*'Vehicle Data'!F$7*'Vehicle Data'!G$16)))</f>
        <v>92.538292171091143</v>
      </c>
      <c r="AS32">
        <f t="shared" si="32"/>
        <v>5552.2975302654686</v>
      </c>
      <c r="AT32">
        <f t="shared" si="33"/>
        <v>16</v>
      </c>
      <c r="AU32">
        <f t="shared" si="34"/>
        <v>5500</v>
      </c>
      <c r="AW32">
        <f>VLOOKUP(AT32,BSFC!A$64:A$82,1,FALSE)</f>
        <v>16</v>
      </c>
      <c r="AX32" t="e" cm="1">
        <f t="array" ref="AX32">_xlfn.XLOOKUP(AT32,BSFC!A$64:A$82,,-1,_xlfn.XLOOKUP(Data!AU32,BSFC!C$63:Q$63,BSFC!B$64:Q$82,,-1))</f>
        <v>#VALUE!</v>
      </c>
      <c r="AY32">
        <f>HLOOKUP(AU32,BSFC!F$63:Q$63,1)</f>
        <v>5500</v>
      </c>
      <c r="AZ32">
        <f>MATCH(AT32,BSFC!A$64:A$83,0)</f>
        <v>7</v>
      </c>
      <c r="BA32">
        <f>MATCH(AU32,BSFC!C$63:Q$63,0)</f>
        <v>11</v>
      </c>
      <c r="BB32" cm="1">
        <f t="array" ref="BB32">INDEX(BSFC!C$64:Q$82,Data!AZ32,Data!BA32)</f>
        <v>632.5</v>
      </c>
      <c r="BC32">
        <f>0.5*'Vehicle Data'!C$6*Data!Z32^2</f>
        <v>24838.146480588224</v>
      </c>
      <c r="BD32">
        <f t="shared" si="14"/>
        <v>9.1207914116434559</v>
      </c>
      <c r="BE32">
        <f t="shared" si="35"/>
        <v>5768.9005678644862</v>
      </c>
      <c r="BF32">
        <f t="shared" si="36"/>
        <v>0.23071815035163548</v>
      </c>
      <c r="BG32">
        <f t="shared" si="15"/>
        <v>6.5325619024374761</v>
      </c>
      <c r="BH32">
        <f t="shared" si="39"/>
        <v>9049.7898992570445</v>
      </c>
      <c r="BI32" s="148">
        <f t="shared" si="17"/>
        <v>6871.6622130335309</v>
      </c>
      <c r="BJ32" s="9"/>
      <c r="BK32" s="15"/>
      <c r="BL32" s="108"/>
      <c r="BM32" s="15"/>
      <c r="BN32" s="10"/>
      <c r="BO32">
        <f t="shared" si="18"/>
        <v>1302.2491197641989</v>
      </c>
      <c r="BP32">
        <f t="shared" si="19"/>
        <v>16710.896023665769</v>
      </c>
      <c r="BQ32">
        <f t="shared" si="20"/>
        <v>16710.896023665769</v>
      </c>
      <c r="BR32" s="148">
        <f t="shared" si="21"/>
        <v>29710.633020450899</v>
      </c>
      <c r="BS32" s="156">
        <f t="shared" si="22"/>
        <v>1302.2491197641989</v>
      </c>
      <c r="BT32" s="156">
        <f t="shared" si="37"/>
        <v>9049.7898992570445</v>
      </c>
      <c r="BU32">
        <f t="shared" si="23"/>
        <v>988.8203116156842</v>
      </c>
      <c r="BV32">
        <f t="shared" si="24"/>
        <v>988.8203116156842</v>
      </c>
      <c r="BW32" s="148">
        <f t="shared" si="25"/>
        <v>455.4</v>
      </c>
      <c r="BX32" s="148">
        <f t="shared" si="26"/>
        <v>3129354.9718154697</v>
      </c>
      <c r="BY32" s="148">
        <f t="shared" si="27"/>
        <v>0.12508576941938404</v>
      </c>
      <c r="BZ32">
        <f t="shared" si="11"/>
        <v>4.1797474640645671</v>
      </c>
      <c r="CB32">
        <f t="shared" si="28"/>
        <v>-313.42880814851469</v>
      </c>
      <c r="CC32" s="162">
        <f t="shared" si="29"/>
        <v>-2176.946232348972</v>
      </c>
      <c r="CD32">
        <f t="shared" si="38"/>
        <v>12267.79651775922</v>
      </c>
    </row>
    <row r="33" spans="4:82" x14ac:dyDescent="0.2">
      <c r="D33" s="22">
        <f t="shared" si="0"/>
        <v>0</v>
      </c>
      <c r="E33" s="23">
        <v>9.2017056000000004</v>
      </c>
      <c r="F33" s="23">
        <f>IF(K33&lt;6,1,IF(Data!K33&lt;9,2,IF(K33&gt;9,3)))</f>
        <v>3</v>
      </c>
      <c r="G33" s="23">
        <v>759.66005004491683</v>
      </c>
      <c r="H33" s="23">
        <v>212.41666499999999</v>
      </c>
      <c r="I33" s="64">
        <v>31.941234122009028</v>
      </c>
      <c r="J33" s="65">
        <f t="shared" si="1"/>
        <v>3.2629034283392615</v>
      </c>
      <c r="K33" s="65">
        <f t="shared" si="2"/>
        <v>12.776493648803612</v>
      </c>
      <c r="L33" s="65">
        <f t="shared" si="3"/>
        <v>1.3051613713357046</v>
      </c>
      <c r="M33">
        <f t="shared" si="4"/>
        <v>18.403411200000001</v>
      </c>
      <c r="N33">
        <f t="shared" si="5"/>
        <v>0</v>
      </c>
      <c r="O33">
        <f>IF(L33&lt;'Vehicle Data'!F$21,'Vehicle Data'!C$21,IF(L33&gt;'Vehicle Data'!C$21,'Vehicle Data'!C$20))</f>
        <v>0.6</v>
      </c>
      <c r="P33">
        <f>('Vehicle Data'!C$6*9.81*'Vehicle Data'!C$5*SIN(D33))/'Vehicle Data'!C$9</f>
        <v>0</v>
      </c>
      <c r="Q33" s="107">
        <f>'Vehicle Data'!C$6*9.81*SIN(D33)</f>
        <v>0</v>
      </c>
      <c r="R33">
        <f t="shared" si="6"/>
        <v>758.11050851776281</v>
      </c>
      <c r="S33">
        <f>IF(Data!O33=0.6,'Vehicle Data'!E$21,IF(Data!O33 = 0.9,'Vehicle Data'!E$20))+(P33*O33)</f>
        <v>1550.3723999999997</v>
      </c>
      <c r="T33">
        <f>IF(F33=3,'Vehicle Data'!H$16,IF(F33=2,'Vehicle Data'!H$15,IF(F33 = 1,'Vehicle Data'!G$14)))</f>
        <v>466.23005239380637</v>
      </c>
      <c r="U33" s="148">
        <f t="shared" si="7"/>
        <v>41.972026394446743</v>
      </c>
      <c r="V33" s="70" t="s">
        <v>77</v>
      </c>
      <c r="W33" s="99" t="s">
        <v>84</v>
      </c>
      <c r="X33">
        <f>IF(V33="S",'Vehicle Data'!C$14,IF(Data!V33 = "T1",'Vehicle Data'!P$2,IF(Data!V33="T2",'Vehicle Data'!P$3)))</f>
        <v>13.411199999999999</v>
      </c>
      <c r="Z33">
        <f t="shared" si="8"/>
        <v>10.704260235460533</v>
      </c>
      <c r="AB33" t="b">
        <f>IF(AA33=1,'Vehicle Data'!I$14,IF(AA33=2,'Vehicle Data'!I$15,IF(AA33=3,'Vehicle Data'!I$16)))</f>
        <v>0</v>
      </c>
      <c r="AC33">
        <v>0.1</v>
      </c>
      <c r="AD33">
        <f>IF(O33=0.6,'Vehicle Data'!F$21,IF(O33=0.9,'Vehicle Data'!F$20))</f>
        <v>3.5315999999999996</v>
      </c>
      <c r="AE33" s="100">
        <f t="shared" si="9"/>
        <v>0.1</v>
      </c>
      <c r="AF33" s="158">
        <f t="shared" si="30"/>
        <v>0.14389827103843691</v>
      </c>
      <c r="AG33" s="148">
        <f t="shared" si="12"/>
        <v>0.46347127925709086</v>
      </c>
      <c r="AH33" s="148">
        <f t="shared" si="31"/>
        <v>4.3236457351030042</v>
      </c>
      <c r="AJ33">
        <f>(Z33^2)*'Vehicle Data'!C$31</f>
        <v>42.108586291759636</v>
      </c>
      <c r="AK33">
        <f>IF(O33=0.6,'Vehicle Data'!C$6*'Vehicle Data'!D$21*9.81,IF(O33=0.9,'Vehicle Data'!C$6*9.81*'Vehicle Data'!D$20))</f>
        <v>86.131799999999998</v>
      </c>
      <c r="AL33">
        <f t="shared" si="10"/>
        <v>128.24038629175965</v>
      </c>
      <c r="AN33">
        <f>IF(AG33&gt;0,AG33*'Vehicle Data'!C$6)</f>
        <v>203.46389159386288</v>
      </c>
      <c r="AO33">
        <f t="shared" si="13"/>
        <v>331.70427788562256</v>
      </c>
      <c r="AP33">
        <f>AO33*'Vehicle Data'!F$3</f>
        <v>84.783613427565129</v>
      </c>
      <c r="AQ33">
        <f>IF(AE33&lt;'Vehicle Data'!I16,AP33/'Vehicle Data'!G16,IF(AE33='Vehicle Data'!I$15,AP33/'Vehicle Data'!G$15,IF(AE33='Vehicle Data'!I$16,AP33/'Vehicle Data'!G$16,IF(AE33='Vehicle Data'!I$14,Data!AP33/'Vehicle Data'!G44))))</f>
        <v>15.652131551828383</v>
      </c>
      <c r="AR33">
        <f>IF(Z33&lt;'Vehicle Data'!C$16, Z33*'Vehicle Data'!F$7*'Vehicle Data'!G$14,IF(Z33&lt;'Vehicle Data'!C$15,Z33*'Vehicle Data'!F$7*'Vehicle Data'!G$15,IF(Z33&gt;'Vehicle Data'!C$15,Z33*'Vehicle Data'!F$7*'Vehicle Data'!G$16)))</f>
        <v>93.118465223375154</v>
      </c>
      <c r="AS33">
        <f t="shared" si="32"/>
        <v>5587.1079134025094</v>
      </c>
      <c r="AT33">
        <v>20</v>
      </c>
      <c r="AU33">
        <f t="shared" si="34"/>
        <v>5500</v>
      </c>
      <c r="AW33">
        <f>VLOOKUP(AT33,BSFC!A$64:A$82,1,FALSE)</f>
        <v>20</v>
      </c>
      <c r="AX33" t="e" cm="1">
        <f t="array" ref="AX33">_xlfn.XLOOKUP(AT33,BSFC!A$64:A$82,,-1,_xlfn.XLOOKUP(Data!AU33,BSFC!C$63:Q$63,BSFC!B$64:Q$82,,-1))</f>
        <v>#VALUE!</v>
      </c>
      <c r="AY33">
        <f>HLOOKUP(AU33,BSFC!F$63:Q$63,1)</f>
        <v>5500</v>
      </c>
      <c r="AZ33">
        <f>MATCH(AT33,BSFC!A$64:A$83,0)</f>
        <v>3</v>
      </c>
      <c r="BA33">
        <f>MATCH(AU33,BSFC!C$63:Q$63,0)</f>
        <v>11</v>
      </c>
      <c r="BB33" cm="1">
        <f t="array" ref="BB33">INDEX(BSFC!C$64:Q$82,Data!AZ33,Data!BA33)</f>
        <v>578</v>
      </c>
      <c r="BC33">
        <f>0.5*'Vehicle Data'!C$6*Data!Z33^2</f>
        <v>25150.570587867314</v>
      </c>
      <c r="BD33">
        <f t="shared" si="14"/>
        <v>4.7436509664132851</v>
      </c>
      <c r="BE33">
        <f t="shared" si="35"/>
        <v>2741.8302585868787</v>
      </c>
      <c r="BF33">
        <f t="shared" si="36"/>
        <v>0.10959573158097839</v>
      </c>
      <c r="BG33">
        <f t="shared" si="15"/>
        <v>6.6421576340184547</v>
      </c>
      <c r="BH33">
        <f t="shared" si="39"/>
        <v>9120.7914116434567</v>
      </c>
      <c r="BI33" s="148">
        <f t="shared" si="17"/>
        <v>6871.6622130335309</v>
      </c>
      <c r="BJ33" s="9"/>
      <c r="BK33" s="15"/>
      <c r="BL33" s="15"/>
      <c r="BM33" s="15"/>
      <c r="BN33" s="10"/>
      <c r="BO33">
        <f t="shared" si="18"/>
        <v>1318.5377193430643</v>
      </c>
      <c r="BP33">
        <f t="shared" si="19"/>
        <v>18029.433743008834</v>
      </c>
      <c r="BQ33">
        <f t="shared" si="20"/>
        <v>18029.433743008834</v>
      </c>
      <c r="BR33" s="148">
        <f t="shared" si="21"/>
        <v>30704.027717637218</v>
      </c>
      <c r="BS33" s="156">
        <f t="shared" si="22"/>
        <v>1318.5377193430643</v>
      </c>
      <c r="BT33" s="156">
        <f t="shared" si="37"/>
        <v>9120.7914116434567</v>
      </c>
      <c r="BU33">
        <f t="shared" si="23"/>
        <v>993.39469718632063</v>
      </c>
      <c r="BV33">
        <f t="shared" si="24"/>
        <v>993.39469718632063</v>
      </c>
      <c r="BW33" s="148">
        <f t="shared" si="25"/>
        <v>455.4</v>
      </c>
      <c r="BX33" s="148">
        <f t="shared" si="26"/>
        <v>3129354.9718154697</v>
      </c>
      <c r="BY33" s="148">
        <f t="shared" si="27"/>
        <v>0.12566442919406956</v>
      </c>
      <c r="BZ33">
        <f t="shared" si="11"/>
        <v>4.3236457351030042</v>
      </c>
      <c r="CB33">
        <f t="shared" si="28"/>
        <v>-325.14302215674365</v>
      </c>
      <c r="CC33" s="162">
        <f t="shared" si="29"/>
        <v>-2259.5339041279635</v>
      </c>
      <c r="CD33">
        <f t="shared" si="38"/>
        <v>11942.653495602475</v>
      </c>
    </row>
    <row r="34" spans="4:82" x14ac:dyDescent="0.2">
      <c r="D34" s="22">
        <f t="shared" si="0"/>
        <v>0</v>
      </c>
      <c r="E34" s="23">
        <v>9.2017056000000004</v>
      </c>
      <c r="F34" s="23">
        <f>IF(K34&lt;6,1,IF(Data!K34&lt;9,2,IF(K34&gt;9,3)))</f>
        <v>3</v>
      </c>
      <c r="G34" s="23">
        <v>761.22028628828139</v>
      </c>
      <c r="H34" s="23">
        <v>212.46666499999998</v>
      </c>
      <c r="I34" s="64">
        <v>32.104379293425936</v>
      </c>
      <c r="J34" s="65">
        <f t="shared" si="1"/>
        <v>2.9753629269081103</v>
      </c>
      <c r="K34" s="65">
        <f t="shared" si="2"/>
        <v>12.841751717370375</v>
      </c>
      <c r="L34" s="65">
        <f t="shared" si="3"/>
        <v>1.190145170763244</v>
      </c>
      <c r="M34">
        <f t="shared" si="4"/>
        <v>18.403411200000001</v>
      </c>
      <c r="N34">
        <f t="shared" si="5"/>
        <v>0</v>
      </c>
      <c r="O34">
        <f>IF(L34&lt;'Vehicle Data'!F$21,'Vehicle Data'!C$21,IF(L34&gt;'Vehicle Data'!C$21,'Vehicle Data'!C$20))</f>
        <v>0.6</v>
      </c>
      <c r="P34">
        <f>('Vehicle Data'!C$6*9.81*'Vehicle Data'!C$5*SIN(D34))/'Vehicle Data'!C$9</f>
        <v>0</v>
      </c>
      <c r="Q34" s="107">
        <f>'Vehicle Data'!C$6*9.81*SIN(D34)</f>
        <v>0</v>
      </c>
      <c r="R34">
        <f t="shared" si="6"/>
        <v>759.66005004491683</v>
      </c>
      <c r="S34">
        <f>IF(Data!O34=0.6,'Vehicle Data'!E$21,IF(Data!O34 = 0.9,'Vehicle Data'!E$20))+(P34*O34)</f>
        <v>1550.3723999999997</v>
      </c>
      <c r="T34">
        <f>IF(F34=3,'Vehicle Data'!H$16,IF(F34=2,'Vehicle Data'!H$15,IF(F34 = 1,'Vehicle Data'!G$14)))</f>
        <v>466.23005239380637</v>
      </c>
      <c r="U34" s="148">
        <f t="shared" si="7"/>
        <v>43.521567921600763</v>
      </c>
      <c r="V34" s="70" t="s">
        <v>77</v>
      </c>
      <c r="W34" s="99" t="s">
        <v>84</v>
      </c>
      <c r="X34">
        <f>IF(V34="S",'Vehicle Data'!C$14,IF(Data!V34 = "T1",'Vehicle Data'!P$2,IF(Data!V34="T2",'Vehicle Data'!P$3)))</f>
        <v>13.411199999999999</v>
      </c>
      <c r="Z34">
        <f t="shared" si="8"/>
        <v>10.718726393275107</v>
      </c>
      <c r="AB34" t="b">
        <f>IF(AA34=1,'Vehicle Data'!I$14,IF(AA34=2,'Vehicle Data'!I$15,IF(AA34=3,'Vehicle Data'!I$16)))</f>
        <v>0</v>
      </c>
      <c r="AC34">
        <f>IF(Z34&lt;'Vehicle Data'!C$16,'Vehicle Data'!I$15,IF(Z34&lt;'Vehicle Data'!C$15,'Vehicle Data'!I$15,IF(Z33&gt;'Vehicle Data'!C$15,'Vehicle Data'!I$16)))</f>
        <v>0.46202745420001456</v>
      </c>
      <c r="AD34">
        <f>IF(O34=0.6,'Vehicle Data'!F$21,IF(O34=0.9,'Vehicle Data'!F$20))</f>
        <v>3.5315999999999996</v>
      </c>
      <c r="AE34" s="100">
        <f t="shared" si="9"/>
        <v>0.46202745420001456</v>
      </c>
      <c r="AF34" s="158">
        <f t="shared" si="30"/>
        <v>0.14456395940157563</v>
      </c>
      <c r="AG34" s="148">
        <f t="shared" si="12"/>
        <v>0.10006752633545203</v>
      </c>
      <c r="AH34" s="148">
        <f t="shared" si="31"/>
        <v>4.4682096945045799</v>
      </c>
      <c r="AJ34">
        <f>(Z34^2)*'Vehicle Data'!C$31</f>
        <v>42.222477594005461</v>
      </c>
      <c r="AK34">
        <f>IF(O34=0.6,'Vehicle Data'!C$6*'Vehicle Data'!D$21*9.81,IF(O34=0.9,'Vehicle Data'!C$6*9.81*'Vehicle Data'!D$20))</f>
        <v>86.131799999999998</v>
      </c>
      <c r="AL34">
        <f t="shared" si="10"/>
        <v>128.35427759400545</v>
      </c>
      <c r="AN34">
        <f>IF(AG34&gt;0,AG34*'Vehicle Data'!C$6)</f>
        <v>43.929644061263438</v>
      </c>
      <c r="AO34">
        <f t="shared" si="13"/>
        <v>172.2839216552689</v>
      </c>
      <c r="AP34">
        <f>AO34*'Vehicle Data'!F$3</f>
        <v>44.035770375086727</v>
      </c>
      <c r="AQ34">
        <f>IF(AE34='Vehicle Data'!I$15,AP34/'Vehicle Data'!G$15,IF(AE34='Vehicle Data'!I$16,AP34/'Vehicle Data'!G$16,IF(AE34='Vehicle Data'!I$14,Data!AP34/'Vehicle Data'!G45)))</f>
        <v>8.1295623414992608</v>
      </c>
      <c r="AR34">
        <f>IF(Z34&lt;'Vehicle Data'!C$16, Z34*'Vehicle Data'!F$7*'Vehicle Data'!G$14,IF(Z34&lt;'Vehicle Data'!C$15,Z34*'Vehicle Data'!F$7*'Vehicle Data'!G$15,IF(Z34&gt;'Vehicle Data'!C$15,Z34*'Vehicle Data'!F$7*'Vehicle Data'!G$16)))</f>
        <v>93.244309175571857</v>
      </c>
      <c r="AS34">
        <f t="shared" si="32"/>
        <v>5594.6585505343119</v>
      </c>
      <c r="AT34">
        <f t="shared" si="33"/>
        <v>8</v>
      </c>
      <c r="AU34">
        <f t="shared" si="34"/>
        <v>5500</v>
      </c>
      <c r="AW34">
        <f>VLOOKUP(AT34,BSFC!A$64:A$82,1,FALSE)</f>
        <v>8</v>
      </c>
      <c r="AX34" t="e" cm="1">
        <f t="array" ref="AX34">_xlfn.XLOOKUP(AT34,BSFC!A$64:A$82,,-1,_xlfn.XLOOKUP(Data!AU34,BSFC!C$63:Q$63,BSFC!B$64:Q$82,,-1))</f>
        <v>#VALUE!</v>
      </c>
      <c r="AY34">
        <f>HLOOKUP(AU34,BSFC!F$63:Q$63,1)</f>
        <v>5500</v>
      </c>
      <c r="AZ34">
        <f>MATCH(AT34,BSFC!A$64:A$83,0)</f>
        <v>15</v>
      </c>
      <c r="BA34">
        <f>MATCH(AU34,BSFC!C$63:Q$63,0)</f>
        <v>11</v>
      </c>
      <c r="BB34" cm="1">
        <f t="array" ref="BB34">INDEX(BSFC!C$64:Q$82,Data!AZ34,Data!BA34)</f>
        <v>657.5</v>
      </c>
      <c r="BC34">
        <f>0.5*'Vehicle Data'!C$6*Data!Z34^2</f>
        <v>25218.595460909379</v>
      </c>
      <c r="BD34">
        <f t="shared" si="14"/>
        <v>9.2080379747051619</v>
      </c>
      <c r="BE34">
        <f t="shared" si="35"/>
        <v>6054.2849683686436</v>
      </c>
      <c r="BF34">
        <f t="shared" si="36"/>
        <v>0.2431198351035595</v>
      </c>
      <c r="BG34">
        <f t="shared" si="15"/>
        <v>6.8852774691220144</v>
      </c>
      <c r="BH34">
        <f t="shared" si="39"/>
        <v>4743.6509664132855</v>
      </c>
      <c r="BI34" s="148">
        <f t="shared" si="17"/>
        <v>6871.6622130335309</v>
      </c>
      <c r="BJ34" s="9"/>
      <c r="BK34" s="15"/>
      <c r="BL34" s="15"/>
      <c r="BM34" s="15"/>
      <c r="BN34" s="10"/>
      <c r="BO34">
        <f t="shared" si="18"/>
        <v>686.20191288068781</v>
      </c>
      <c r="BP34">
        <f t="shared" si="19"/>
        <v>18715.63565588952</v>
      </c>
      <c r="BQ34">
        <f t="shared" si="20"/>
        <v>18715.63565588952</v>
      </c>
      <c r="BR34" s="148">
        <f t="shared" si="21"/>
        <v>31698.061171750909</v>
      </c>
      <c r="BS34" s="156">
        <f t="shared" si="22"/>
        <v>686.20191288068781</v>
      </c>
      <c r="BT34" s="156">
        <f t="shared" si="37"/>
        <v>4743.6509664132855</v>
      </c>
      <c r="BU34">
        <f t="shared" si="23"/>
        <v>994.03345411369162</v>
      </c>
      <c r="BV34">
        <f t="shared" si="24"/>
        <v>994.03345411369162</v>
      </c>
      <c r="BW34" s="148">
        <f t="shared" si="25"/>
        <v>455.4</v>
      </c>
      <c r="BX34" s="148">
        <f t="shared" si="26"/>
        <v>3129354.9718154697</v>
      </c>
      <c r="BY34" s="148">
        <f t="shared" si="27"/>
        <v>0.12574523194538198</v>
      </c>
      <c r="BZ34">
        <f t="shared" si="11"/>
        <v>4.4682096945045799</v>
      </c>
      <c r="CB34">
        <f t="shared" si="28"/>
        <v>307.8315412330038</v>
      </c>
      <c r="CC34" s="162">
        <f t="shared" si="29"/>
        <v>2129.3795667141121</v>
      </c>
      <c r="CD34">
        <f t="shared" si="38"/>
        <v>12250.485036835478</v>
      </c>
    </row>
    <row r="35" spans="4:82" x14ac:dyDescent="0.2">
      <c r="D35" s="22">
        <f t="shared" si="0"/>
        <v>0</v>
      </c>
      <c r="E35" s="23">
        <v>9.2017056000000004</v>
      </c>
      <c r="F35" s="23">
        <f>IF(K35&lt;6,1,IF(Data!K35&lt;9,2,IF(K35&gt;9,3)))</f>
        <v>3</v>
      </c>
      <c r="G35" s="23">
        <v>762.79285951817121</v>
      </c>
      <c r="H35" s="23">
        <v>212.51666499999999</v>
      </c>
      <c r="I35" s="64">
        <v>32.253147439771375</v>
      </c>
      <c r="J35" s="65">
        <f t="shared" si="1"/>
        <v>2.7737514544711761</v>
      </c>
      <c r="K35" s="65">
        <f t="shared" si="2"/>
        <v>12.901258975908551</v>
      </c>
      <c r="L35" s="65">
        <f t="shared" si="3"/>
        <v>1.1095005817884704</v>
      </c>
      <c r="M35">
        <f t="shared" si="4"/>
        <v>18.403411200000001</v>
      </c>
      <c r="N35">
        <f t="shared" si="5"/>
        <v>0</v>
      </c>
      <c r="O35">
        <f>IF(L35&lt;'Vehicle Data'!F$21,'Vehicle Data'!C$21,IF(L35&gt;'Vehicle Data'!C$21,'Vehicle Data'!C$20))</f>
        <v>0.6</v>
      </c>
      <c r="P35">
        <f>('Vehicle Data'!C$6*9.81*'Vehicle Data'!C$5*SIN(D35))/'Vehicle Data'!C$9</f>
        <v>0</v>
      </c>
      <c r="Q35" s="107">
        <f>'Vehicle Data'!C$6*9.81*SIN(D35)</f>
        <v>0</v>
      </c>
      <c r="R35">
        <f t="shared" si="6"/>
        <v>761.22028628828139</v>
      </c>
      <c r="S35">
        <f>IF(Data!O35=0.6,'Vehicle Data'!E$21,IF(Data!O35 = 0.9,'Vehicle Data'!E$20))+(P35*O35)</f>
        <v>1550.3723999999997</v>
      </c>
      <c r="T35">
        <f>IF(F35=3,'Vehicle Data'!H$16,IF(F35=2,'Vehicle Data'!H$15,IF(F35 = 1,'Vehicle Data'!G$14)))</f>
        <v>466.23005239380637</v>
      </c>
      <c r="U35" s="148">
        <f t="shared" si="7"/>
        <v>45.08180416496532</v>
      </c>
      <c r="V35" s="70" t="s">
        <v>77</v>
      </c>
      <c r="W35" s="99" t="s">
        <v>84</v>
      </c>
      <c r="X35">
        <f>IF(V35="S",'Vehicle Data'!C$14,IF(Data!V35 = "T1",'Vehicle Data'!P$2,IF(Data!V35="T2",'Vehicle Data'!P$3)))</f>
        <v>13.411199999999999</v>
      </c>
      <c r="Z35">
        <f t="shared" si="8"/>
        <v>10.785770229929666</v>
      </c>
      <c r="AB35" t="b">
        <f>IF(AA35=1,'Vehicle Data'!I$14,IF(AA35=2,'Vehicle Data'!I$15,IF(AA35=3,'Vehicle Data'!I$16)))</f>
        <v>0</v>
      </c>
      <c r="AC35">
        <f>IF(Z35&lt;'Vehicle Data'!C$16,'Vehicle Data'!I$15,IF(Z35&lt;'Vehicle Data'!C$15,'Vehicle Data'!I$15,IF(Z34&gt;'Vehicle Data'!C$15,'Vehicle Data'!I$16)))</f>
        <v>0.46202745420001456</v>
      </c>
      <c r="AD35">
        <f>IF(O35=0.6,'Vehicle Data'!F$21,IF(O35=0.9,'Vehicle Data'!F$20))</f>
        <v>3.5315999999999996</v>
      </c>
      <c r="AE35" s="100">
        <f t="shared" si="9"/>
        <v>0.46202745420001456</v>
      </c>
      <c r="AF35" s="158">
        <f t="shared" si="30"/>
        <v>0.14465691462952024</v>
      </c>
      <c r="AG35" s="148">
        <f t="shared" si="12"/>
        <v>0.463467901456798</v>
      </c>
      <c r="AH35" s="148">
        <f t="shared" si="31"/>
        <v>4.6128666091341</v>
      </c>
      <c r="AJ35">
        <f>(Z35^2)*'Vehicle Data'!C$31</f>
        <v>42.752318498917624</v>
      </c>
      <c r="AK35">
        <f>IF(O35=0.6,'Vehicle Data'!C$6*'Vehicle Data'!D$21*9.81,IF(O35=0.9,'Vehicle Data'!C$6*9.81*'Vehicle Data'!D$20))</f>
        <v>86.131799999999998</v>
      </c>
      <c r="AL35">
        <f t="shared" si="10"/>
        <v>128.88411849891762</v>
      </c>
      <c r="AN35">
        <f>IF(AG35&gt;0,AG35*'Vehicle Data'!C$6)</f>
        <v>203.46240873953431</v>
      </c>
      <c r="AO35">
        <f t="shared" si="13"/>
        <v>332.34652723845193</v>
      </c>
      <c r="AP35">
        <f>AO35*'Vehicle Data'!F$3</f>
        <v>84.947772362148314</v>
      </c>
      <c r="AQ35">
        <f>IF(AE35='Vehicle Data'!I$15,AP35/'Vehicle Data'!G$15,IF(AE35='Vehicle Data'!I$16,AP35/'Vehicle Data'!G$16,IF(AE35='Vehicle Data'!I$14,Data!AP35/'Vehicle Data'!G46)))</f>
        <v>15.682437375508558</v>
      </c>
      <c r="AR35">
        <f>IF(Z35&lt;'Vehicle Data'!C$16, Z35*'Vehicle Data'!F$7*'Vehicle Data'!G$14,IF(Z35&lt;'Vehicle Data'!C$15,Z35*'Vehicle Data'!F$7*'Vehicle Data'!G$15,IF(Z35&gt;'Vehicle Data'!C$15,Z35*'Vehicle Data'!F$7*'Vehicle Data'!G$16)))</f>
        <v>93.827536697570778</v>
      </c>
      <c r="AS35">
        <f t="shared" si="32"/>
        <v>5629.6522018542464</v>
      </c>
      <c r="AT35">
        <f t="shared" si="33"/>
        <v>16</v>
      </c>
      <c r="AU35">
        <f t="shared" si="34"/>
        <v>5500</v>
      </c>
      <c r="AW35">
        <f>VLOOKUP(AT35,BSFC!A$64:A$82,1,FALSE)</f>
        <v>16</v>
      </c>
      <c r="AX35" t="e" cm="1">
        <f t="array" ref="AX35">_xlfn.XLOOKUP(AT35,BSFC!A$64:A$82,,-1,_xlfn.XLOOKUP(Data!AU35,BSFC!C$63:Q$63,BSFC!B$64:Q$82,,-1))</f>
        <v>#VALUE!</v>
      </c>
      <c r="AY35">
        <f>HLOOKUP(AU35,BSFC!F$63:Q$63,1)</f>
        <v>5500</v>
      </c>
      <c r="AZ35">
        <f>MATCH(AT35,BSFC!A$64:A$83,0)</f>
        <v>7</v>
      </c>
      <c r="BA35">
        <f>MATCH(AU35,BSFC!C$63:Q$63,0)</f>
        <v>11</v>
      </c>
      <c r="BB35" cm="1">
        <f t="array" ref="BB35">INDEX(BSFC!C$64:Q$82,Data!AZ35,Data!BA35)</f>
        <v>632.5</v>
      </c>
      <c r="BC35">
        <f>0.5*'Vehicle Data'!C$6*Data!Z35^2</f>
        <v>25535.058259897731</v>
      </c>
      <c r="BD35">
        <f t="shared" si="14"/>
        <v>9.2801772310742532</v>
      </c>
      <c r="BE35">
        <f t="shared" si="35"/>
        <v>5869.7120986544651</v>
      </c>
      <c r="BF35">
        <f t="shared" si="36"/>
        <v>0.23585956720970028</v>
      </c>
      <c r="BG35">
        <f t="shared" si="15"/>
        <v>7.1211370363317146</v>
      </c>
      <c r="BH35">
        <f t="shared" si="39"/>
        <v>9208.0379747051611</v>
      </c>
      <c r="BI35" s="148">
        <f t="shared" si="17"/>
        <v>6871.6622130335309</v>
      </c>
      <c r="BJ35" s="9"/>
      <c r="BK35" s="15"/>
      <c r="BL35" s="15"/>
      <c r="BM35" s="15"/>
      <c r="BN35" s="10"/>
      <c r="BO35">
        <f t="shared" si="18"/>
        <v>1334.2314510369583</v>
      </c>
      <c r="BP35">
        <f t="shared" si="19"/>
        <v>20049.867106926478</v>
      </c>
      <c r="BQ35">
        <f t="shared" si="20"/>
        <v>20049.867106926478</v>
      </c>
      <c r="BR35" s="148">
        <f t="shared" si="21"/>
        <v>32693.755137253385</v>
      </c>
      <c r="BS35" s="156">
        <f t="shared" si="22"/>
        <v>1334.2314510369583</v>
      </c>
      <c r="BT35" s="156">
        <f t="shared" si="37"/>
        <v>9208.0379747051611</v>
      </c>
      <c r="BU35">
        <f t="shared" si="23"/>
        <v>995.69396550247541</v>
      </c>
      <c r="BV35">
        <f t="shared" si="24"/>
        <v>995.69396550247541</v>
      </c>
      <c r="BW35" s="148">
        <f t="shared" si="25"/>
        <v>455.4</v>
      </c>
      <c r="BX35" s="148">
        <f t="shared" si="26"/>
        <v>3129354.9718154697</v>
      </c>
      <c r="BY35" s="148">
        <f t="shared" si="27"/>
        <v>0.12595528663606312</v>
      </c>
      <c r="BZ35">
        <f t="shared" si="11"/>
        <v>4.6128666091341</v>
      </c>
      <c r="CB35">
        <f t="shared" si="28"/>
        <v>-338.53748553448293</v>
      </c>
      <c r="CC35" s="162">
        <f t="shared" si="29"/>
        <v>-2340.2786268565819</v>
      </c>
      <c r="CD35">
        <f t="shared" si="38"/>
        <v>11911.947551300995</v>
      </c>
    </row>
    <row r="36" spans="4:82" x14ac:dyDescent="0.2">
      <c r="D36" s="22">
        <f t="shared" si="0"/>
        <v>0</v>
      </c>
      <c r="E36" s="23">
        <v>9.2017056000000004</v>
      </c>
      <c r="F36" s="23">
        <f>IF(K36&lt;6,1,IF(Data!K36&lt;9,2,IF(K36&gt;9,3)))</f>
        <v>3</v>
      </c>
      <c r="G36" s="23">
        <v>764.37801368722023</v>
      </c>
      <c r="H36" s="23">
        <v>212.566665</v>
      </c>
      <c r="I36" s="64">
        <v>32.391835012494965</v>
      </c>
      <c r="J36" s="65">
        <f t="shared" si="1"/>
        <v>2.5572918775013616</v>
      </c>
      <c r="K36" s="65">
        <f t="shared" si="2"/>
        <v>12.956734004997987</v>
      </c>
      <c r="L36" s="65">
        <f t="shared" si="3"/>
        <v>1.0229167510005446</v>
      </c>
      <c r="M36">
        <f t="shared" si="4"/>
        <v>18.403411200000001</v>
      </c>
      <c r="N36">
        <f t="shared" si="5"/>
        <v>0</v>
      </c>
      <c r="O36">
        <f>IF(L36&lt;'Vehicle Data'!F$21,'Vehicle Data'!C$21,IF(L36&gt;'Vehicle Data'!C$21,'Vehicle Data'!C$20))</f>
        <v>0.6</v>
      </c>
      <c r="P36">
        <f>('Vehicle Data'!C$6*9.81*'Vehicle Data'!C$5*SIN(D36))/'Vehicle Data'!C$9</f>
        <v>0</v>
      </c>
      <c r="Q36" s="107">
        <f>'Vehicle Data'!C$6*9.81*SIN(D36)</f>
        <v>0</v>
      </c>
      <c r="R36">
        <f t="shared" si="6"/>
        <v>762.79285951817121</v>
      </c>
      <c r="S36">
        <f>IF(Data!O36=0.6,'Vehicle Data'!E$21,IF(Data!O36 = 0.9,'Vehicle Data'!E$20))+(P36*O36)</f>
        <v>1550.3723999999997</v>
      </c>
      <c r="T36">
        <f>IF(F36=3,'Vehicle Data'!H$16,IF(F36=2,'Vehicle Data'!H$15,IF(F36 = 1,'Vehicle Data'!G$14)))</f>
        <v>466.23005239380637</v>
      </c>
      <c r="U36" s="148">
        <f t="shared" si="7"/>
        <v>46.654377394855146</v>
      </c>
      <c r="V36" s="70" t="s">
        <v>77</v>
      </c>
      <c r="W36" s="99" t="s">
        <v>84</v>
      </c>
      <c r="X36">
        <f>IF(V36="S",'Vehicle Data'!C$14,IF(Data!V36 = "T1",'Vehicle Data'!P$2,IF(Data!V36="T2",'Vehicle Data'!P$3)))</f>
        <v>13.411199999999999</v>
      </c>
      <c r="Z36">
        <f t="shared" si="8"/>
        <v>10.852925110988982</v>
      </c>
      <c r="AB36" t="b">
        <f>IF(AA36=1,'Vehicle Data'!I$14,IF(AA36=2,'Vehicle Data'!I$15,IF(AA36=3,'Vehicle Data'!I$16)))</f>
        <v>0</v>
      </c>
      <c r="AC36">
        <f>IF(Z36&lt;'Vehicle Data'!C$16,'Vehicle Data'!I$15,IF(Z36&lt;'Vehicle Data'!C$15,'Vehicle Data'!I$15,IF(Z35&gt;'Vehicle Data'!C$15,'Vehicle Data'!I$16)))</f>
        <v>0.46202745420001456</v>
      </c>
      <c r="AD36">
        <f>IF(O36=0.6,'Vehicle Data'!F$21,IF(O36=0.9,'Vehicle Data'!F$20))</f>
        <v>3.5315999999999996</v>
      </c>
      <c r="AE36" s="100">
        <f t="shared" si="9"/>
        <v>0.46202745420001456</v>
      </c>
      <c r="AF36" s="158">
        <f t="shared" si="30"/>
        <v>0.14489856087715364</v>
      </c>
      <c r="AG36" s="148">
        <f t="shared" si="12"/>
        <v>0.46346133911054571</v>
      </c>
      <c r="AH36" s="148">
        <f t="shared" si="31"/>
        <v>4.757765170011254</v>
      </c>
      <c r="AJ36">
        <f>(Z36^2)*'Vehicle Data'!C$31</f>
        <v>43.286348923290205</v>
      </c>
      <c r="AK36">
        <f>IF(O36=0.6,'Vehicle Data'!C$6*'Vehicle Data'!D$21*9.81,IF(O36=0.9,'Vehicle Data'!C$6*9.81*'Vehicle Data'!D$20))</f>
        <v>86.131799999999998</v>
      </c>
      <c r="AL36">
        <f t="shared" si="10"/>
        <v>129.4181489232902</v>
      </c>
      <c r="AN36">
        <f>IF(AG36&gt;0,AG36*'Vehicle Data'!C$6)</f>
        <v>203.45952786952958</v>
      </c>
      <c r="AO36">
        <f t="shared" si="13"/>
        <v>332.87767679281978</v>
      </c>
      <c r="AP36">
        <f>AO36*'Vehicle Data'!F$3</f>
        <v>85.083534188244741</v>
      </c>
      <c r="AQ36">
        <f>IF(AE36='Vehicle Data'!I$15,AP36/'Vehicle Data'!G$15,IF(AE36='Vehicle Data'!I$16,AP36/'Vehicle Data'!G$16,IF(AE36='Vehicle Data'!I$14,Data!AP36/'Vehicle Data'!G47)))</f>
        <v>15.707500732398781</v>
      </c>
      <c r="AR36">
        <f>IF(Z36&lt;'Vehicle Data'!C$16, Z36*'Vehicle Data'!F$7*'Vehicle Data'!G$14,IF(Z36&lt;'Vehicle Data'!C$15,Z36*'Vehicle Data'!F$7*'Vehicle Data'!G$15,IF(Z36&gt;'Vehicle Data'!C$15,Z36*'Vehicle Data'!F$7*'Vehicle Data'!G$16)))</f>
        <v>94.411730216688156</v>
      </c>
      <c r="AS36">
        <f t="shared" si="32"/>
        <v>5664.7038130012897</v>
      </c>
      <c r="AT36">
        <f t="shared" si="33"/>
        <v>16</v>
      </c>
      <c r="AU36">
        <f t="shared" si="34"/>
        <v>5500</v>
      </c>
      <c r="AW36">
        <f>VLOOKUP(AT36,BSFC!A$64:A$82,1,FALSE)</f>
        <v>16</v>
      </c>
      <c r="AX36" t="e" cm="1">
        <f t="array" ref="AX36">_xlfn.XLOOKUP(AT36,BSFC!A$64:A$82,,-1,_xlfn.XLOOKUP(Data!AU36,BSFC!C$63:Q$63,BSFC!B$64:Q$82,,-1))</f>
        <v>#VALUE!</v>
      </c>
      <c r="AY36">
        <f>HLOOKUP(AU36,BSFC!F$63:Q$63,1)</f>
        <v>5500</v>
      </c>
      <c r="AZ36">
        <f>MATCH(AT36,BSFC!A$64:A$83,0)</f>
        <v>7</v>
      </c>
      <c r="BA36">
        <f>MATCH(AU36,BSFC!C$63:Q$63,0)</f>
        <v>11</v>
      </c>
      <c r="BB36" cm="1">
        <f t="array" ref="BB36">INDEX(BSFC!C$64:Q$82,Data!AZ36,Data!BA36)</f>
        <v>632.5</v>
      </c>
      <c r="BC36">
        <f>0.5*'Vehicle Data'!C$6*Data!Z36^2</f>
        <v>25854.023370509378</v>
      </c>
      <c r="BD36">
        <f t="shared" si="14"/>
        <v>38.420518740328447</v>
      </c>
      <c r="BE36">
        <f t="shared" si="35"/>
        <v>24300.978103257741</v>
      </c>
      <c r="BF36">
        <f t="shared" si="36"/>
        <v>0.97810465418590808</v>
      </c>
      <c r="BG36">
        <f t="shared" si="15"/>
        <v>8.0992416905176228</v>
      </c>
      <c r="BH36">
        <f t="shared" si="39"/>
        <v>9280.1772310742526</v>
      </c>
      <c r="BI36" s="148">
        <f t="shared" si="17"/>
        <v>6871.6622130335309</v>
      </c>
      <c r="BJ36" s="9"/>
      <c r="BK36" s="108"/>
      <c r="BL36" s="15"/>
      <c r="BM36" s="15"/>
      <c r="BN36" s="10"/>
      <c r="BO36">
        <f t="shared" si="18"/>
        <v>1428.205012364188</v>
      </c>
      <c r="BP36">
        <f t="shared" si="19"/>
        <v>21478.072119290668</v>
      </c>
      <c r="BQ36">
        <f t="shared" si="20"/>
        <v>21478.072119290668</v>
      </c>
      <c r="BR36" s="148">
        <f t="shared" si="21"/>
        <v>33751.293390193845</v>
      </c>
      <c r="BS36" s="156">
        <f t="shared" si="22"/>
        <v>1428.205012364188</v>
      </c>
      <c r="BT36" s="156">
        <f t="shared" si="37"/>
        <v>9280.1772310742526</v>
      </c>
      <c r="BU36">
        <f t="shared" si="23"/>
        <v>1057.5382529404574</v>
      </c>
      <c r="BV36">
        <f t="shared" si="24"/>
        <v>1057.5382529404574</v>
      </c>
      <c r="BW36" s="148">
        <f t="shared" si="25"/>
        <v>455.4</v>
      </c>
      <c r="BX36" s="148">
        <f t="shared" si="26"/>
        <v>3129354.9718154697</v>
      </c>
      <c r="BY36" s="148">
        <f t="shared" si="27"/>
        <v>0.13377858899696785</v>
      </c>
      <c r="BZ36">
        <f t="shared" si="11"/>
        <v>4.757765170011254</v>
      </c>
      <c r="CB36">
        <f t="shared" si="28"/>
        <v>-370.66675942373058</v>
      </c>
      <c r="CC36" s="162">
        <f t="shared" si="29"/>
        <v>-2558.1120832385932</v>
      </c>
      <c r="CD36">
        <f t="shared" si="38"/>
        <v>11541.280791877263</v>
      </c>
    </row>
    <row r="37" spans="4:82" x14ac:dyDescent="0.2">
      <c r="D37" s="22">
        <f t="shared" si="0"/>
        <v>0</v>
      </c>
      <c r="E37" s="23">
        <v>9.2017056000000004</v>
      </c>
      <c r="F37" s="23">
        <f>IF(K37&lt;6,1,IF(Data!K37&lt;9,2,IF(K37&gt;9,3)))</f>
        <v>3</v>
      </c>
      <c r="G37" s="23">
        <v>765.97576163332019</v>
      </c>
      <c r="H37" s="23">
        <v>212.61666499999998</v>
      </c>
      <c r="I37" s="64">
        <v>32.51969960636999</v>
      </c>
      <c r="J37" s="65">
        <f t="shared" si="1"/>
        <v>2.628373821150773</v>
      </c>
      <c r="K37" s="65">
        <f t="shared" si="2"/>
        <v>13.007879842547997</v>
      </c>
      <c r="L37" s="65">
        <f t="shared" si="3"/>
        <v>1.0513495284603021</v>
      </c>
      <c r="M37">
        <f t="shared" si="4"/>
        <v>18.403411200000001</v>
      </c>
      <c r="N37">
        <f t="shared" si="5"/>
        <v>0</v>
      </c>
      <c r="O37">
        <f>IF(L37&lt;'Vehicle Data'!F$21,'Vehicle Data'!C$21,IF(L37&gt;'Vehicle Data'!C$21,'Vehicle Data'!C$20))</f>
        <v>0.6</v>
      </c>
      <c r="P37">
        <f>('Vehicle Data'!C$6*9.81*'Vehicle Data'!C$5*SIN(D37))/'Vehicle Data'!C$9</f>
        <v>0</v>
      </c>
      <c r="Q37" s="107">
        <f>'Vehicle Data'!C$6*9.81*SIN(D37)</f>
        <v>0</v>
      </c>
      <c r="R37">
        <f t="shared" si="6"/>
        <v>764.37801368722023</v>
      </c>
      <c r="S37">
        <f>IF(Data!O37=0.6,'Vehicle Data'!E$21,IF(Data!O37 = 0.9,'Vehicle Data'!E$20))+(P37*O37)</f>
        <v>1550.3723999999997</v>
      </c>
      <c r="T37">
        <f>IF(F37=3,'Vehicle Data'!H$16,IF(F37=2,'Vehicle Data'!H$15,IF(F37 = 1,'Vehicle Data'!G$14)))</f>
        <v>466.23005239380637</v>
      </c>
      <c r="U37" s="148">
        <f t="shared" si="7"/>
        <v>48.239531563904166</v>
      </c>
      <c r="V37" s="70" t="s">
        <v>77</v>
      </c>
      <c r="W37" s="99" t="s">
        <v>84</v>
      </c>
      <c r="X37">
        <f>IF(V37="S",'Vehicle Data'!C$14,IF(Data!V37 = "T1",'Vehicle Data'!P$2,IF(Data!V37="T2",'Vehicle Data'!P$3)))</f>
        <v>13.411199999999999</v>
      </c>
      <c r="Z37">
        <v>10.3</v>
      </c>
      <c r="AB37" t="b">
        <f>IF(AA37=1,'Vehicle Data'!I$14,IF(AA37=2,'Vehicle Data'!I$15,IF(AA37=3,'Vehicle Data'!I$16)))</f>
        <v>0</v>
      </c>
      <c r="AC37">
        <f>IF(Z37&lt;'Vehicle Data'!C$16,'Vehicle Data'!I$15,IF(Z37&lt;'Vehicle Data'!C$15,'Vehicle Data'!I$15,IF(Z36&gt;'Vehicle Data'!C$15,'Vehicle Data'!I$16)))</f>
        <v>0.46202745420001456</v>
      </c>
      <c r="AD37">
        <f>IF(O37=0.6,'Vehicle Data'!F$21,IF(O37=0.9,'Vehicle Data'!F$20))</f>
        <v>3.5315999999999996</v>
      </c>
      <c r="AE37" s="100">
        <f t="shared" si="9"/>
        <v>0.46202745420001456</v>
      </c>
      <c r="AF37" s="158">
        <f t="shared" si="30"/>
        <v>0.15389846301446788</v>
      </c>
      <c r="AG37" s="101">
        <f t="shared" si="12"/>
        <v>-3.592791637802137</v>
      </c>
      <c r="AH37" s="101">
        <f t="shared" si="31"/>
        <v>4.9116636330257215</v>
      </c>
      <c r="AI37" s="101"/>
      <c r="AJ37" s="101">
        <f>(Z37^2)*'Vehicle Data'!C$31</f>
        <v>38.988075000000016</v>
      </c>
      <c r="AK37" s="101">
        <f>IF(O37=0.6,'Vehicle Data'!C$6*'Vehicle Data'!D$21*9.81,IF(O37=0.9,'Vehicle Data'!C$6*9.81*'Vehicle Data'!D$20))</f>
        <v>86.131799999999998</v>
      </c>
      <c r="AL37" s="101">
        <f t="shared" si="10"/>
        <v>125.11987500000001</v>
      </c>
      <c r="AM37" s="101"/>
      <c r="AN37" s="101">
        <f>IF(AG37&lt;0,AG37*'Vehicle Data'!C$6)</f>
        <v>-1577.2355289951381</v>
      </c>
      <c r="AO37" s="101">
        <f t="shared" si="13"/>
        <v>-1452.115653995138</v>
      </c>
      <c r="AP37" s="101">
        <f>AO37*'Vehicle Data'!F$3</f>
        <v>-371.16076116115727</v>
      </c>
      <c r="AQ37" s="101">
        <f>IF(AE37='Vehicle Data'!I$15,AP37/'Vehicle Data'!G$15,IF(AE37='Vehicle Data'!I$16,AP37/'Vehicle Data'!G$16,IF(AE37='Vehicle Data'!I$14,Data!AP37/'Vehicle Data'!G48)))</f>
        <v>-68.520989206652501</v>
      </c>
      <c r="AR37" s="101">
        <f>IF(Z37&lt;'Vehicle Data'!C$16, Z37*'Vehicle Data'!F$7*'Vehicle Data'!G$14,IF(Z37&lt;'Vehicle Data'!C$15,Z37*'Vehicle Data'!F$7*'Vehicle Data'!G$15,IF(Z37&gt;'Vehicle Data'!C$15,Z37*'Vehicle Data'!F$7*'Vehicle Data'!G$16)))</f>
        <v>89.601725920623579</v>
      </c>
      <c r="AS37" s="101">
        <f t="shared" si="32"/>
        <v>5376.1035552374151</v>
      </c>
      <c r="AT37" s="101">
        <f t="shared" si="33"/>
        <v>-69</v>
      </c>
      <c r="AU37" s="101">
        <v>4500</v>
      </c>
      <c r="AV37" s="101"/>
      <c r="AW37" s="101" t="e">
        <f>VLOOKUP(AT37,BSFC!A$64:A$82,1,FALSE)</f>
        <v>#N/A</v>
      </c>
      <c r="AX37" s="101" t="e" cm="1">
        <f t="array" ref="AX37">_xlfn.XLOOKUP(AT37,BSFC!A$64:A$82,,-1,_xlfn.XLOOKUP(Data!AU37,BSFC!C$63:Q$63,BSFC!B$64:Q$82,,-1))</f>
        <v>#VALUE!</v>
      </c>
      <c r="AY37" s="101">
        <f>HLOOKUP(AU37,BSFC!F$63:Q$63,1)</f>
        <v>4500</v>
      </c>
      <c r="AZ37" s="101" t="e">
        <f>MATCH(AT37,BSFC!A$64:A$83,0)</f>
        <v>#N/A</v>
      </c>
      <c r="BA37" s="101">
        <f>MATCH(AU37,BSFC!C$63:Q$63,0)</f>
        <v>9</v>
      </c>
      <c r="BB37" s="101" t="e" cm="1">
        <f t="array" ref="BB37">INDEX(BSFC!C$64:Q$83,Data!AZ37,Data!BA37)</f>
        <v>#N/A</v>
      </c>
      <c r="BC37" s="101">
        <f>0.5*'Vehicle Data'!C$6*Data!Z37^2</f>
        <v>23286.755000000005</v>
      </c>
      <c r="BD37" s="101">
        <f t="shared" si="14"/>
        <v>30.83568730496394</v>
      </c>
      <c r="BE37" s="101">
        <v>0</v>
      </c>
      <c r="BF37" s="101">
        <v>0</v>
      </c>
      <c r="BG37" s="101">
        <f t="shared" si="15"/>
        <v>8.0992416905176228</v>
      </c>
      <c r="BH37">
        <f t="shared" si="39"/>
        <v>-38420.518740328444</v>
      </c>
      <c r="BI37" s="148">
        <f t="shared" si="17"/>
        <v>6871.6622130335309</v>
      </c>
      <c r="BJ37" s="9"/>
      <c r="BK37" s="108"/>
      <c r="BL37" s="15"/>
      <c r="BM37" s="15"/>
      <c r="BN37" s="10"/>
      <c r="BO37">
        <f t="shared" si="18"/>
        <v>-6263.9086638219078</v>
      </c>
      <c r="BP37">
        <f t="shared" si="19"/>
        <v>15214.163455468759</v>
      </c>
      <c r="BQ37">
        <f t="shared" si="20"/>
        <v>21478.072119290668</v>
      </c>
      <c r="BR37" s="148">
        <f t="shared" si="21"/>
        <v>34871.618307251701</v>
      </c>
      <c r="BS37" s="156" t="b">
        <f t="shared" si="22"/>
        <v>0</v>
      </c>
      <c r="BT37" s="156">
        <f t="shared" si="37"/>
        <v>0</v>
      </c>
      <c r="BU37">
        <f t="shared" si="23"/>
        <v>1120.3249170578583</v>
      </c>
      <c r="BV37">
        <f t="shared" si="24"/>
        <v>1120.3249170578583</v>
      </c>
      <c r="BW37" s="148">
        <f t="shared" si="25"/>
        <v>455.4</v>
      </c>
      <c r="BX37" s="148">
        <f t="shared" si="26"/>
        <v>3129354.9718154697</v>
      </c>
      <c r="BY37" s="148">
        <f t="shared" si="27"/>
        <v>0.14172110200781907</v>
      </c>
      <c r="BZ37">
        <f t="shared" si="11"/>
        <v>4.9116636330257215</v>
      </c>
      <c r="CB37">
        <f t="shared" si="28"/>
        <v>1120.3249170578583</v>
      </c>
      <c r="CC37" s="162">
        <f t="shared" si="29"/>
        <v>7279.636814518024</v>
      </c>
      <c r="CD37">
        <f t="shared" si="38"/>
        <v>12661.605708935122</v>
      </c>
    </row>
    <row r="38" spans="4:82" x14ac:dyDescent="0.2">
      <c r="D38" s="22">
        <f t="shared" si="0"/>
        <v>0</v>
      </c>
      <c r="E38" s="23">
        <v>9.2017056000000004</v>
      </c>
      <c r="F38" s="23">
        <f>IF(K38&lt;6,1,IF(Data!K38&lt;9,2,IF(K38&gt;9,3)))</f>
        <v>3</v>
      </c>
      <c r="G38" s="23">
        <v>767.58502523479024</v>
      </c>
      <c r="H38" s="23">
        <v>212.66666499999999</v>
      </c>
      <c r="I38" s="64">
        <v>32.651118297427558</v>
      </c>
      <c r="J38" s="65">
        <f t="shared" si="1"/>
        <v>2.5435020334839611</v>
      </c>
      <c r="K38" s="65">
        <f t="shared" si="2"/>
        <v>13.060447318971024</v>
      </c>
      <c r="L38" s="65">
        <f t="shared" si="3"/>
        <v>1.0174008133935704</v>
      </c>
      <c r="M38">
        <f t="shared" si="4"/>
        <v>18.403411200000001</v>
      </c>
      <c r="N38">
        <f t="shared" si="5"/>
        <v>0</v>
      </c>
      <c r="O38">
        <f>IF(L38&lt;'Vehicle Data'!F$21,'Vehicle Data'!C$21,IF(L38&gt;'Vehicle Data'!C$21,'Vehicle Data'!C$20))</f>
        <v>0.6</v>
      </c>
      <c r="P38">
        <f>('Vehicle Data'!C$6*9.81*'Vehicle Data'!C$5*SIN(D38))/'Vehicle Data'!C$9</f>
        <v>0</v>
      </c>
      <c r="Q38" s="107">
        <f>'Vehicle Data'!C$6*9.81*SIN(D38)</f>
        <v>0</v>
      </c>
      <c r="R38">
        <f t="shared" si="6"/>
        <v>765.97576163332019</v>
      </c>
      <c r="S38">
        <f>IF(Data!O38=0.6,'Vehicle Data'!E$21,IF(Data!O38 = 0.9,'Vehicle Data'!E$20))+(P38*O38)</f>
        <v>1550.3723999999997</v>
      </c>
      <c r="T38">
        <f>IF(F38=3,'Vehicle Data'!H$16,IF(F38=2,'Vehicle Data'!H$15,IF(F38 = 1,'Vehicle Data'!G$14)))</f>
        <v>466.23005239380637</v>
      </c>
      <c r="U38" s="148">
        <f t="shared" si="7"/>
        <v>49.837279510004123</v>
      </c>
      <c r="V38" s="70" t="s">
        <v>77</v>
      </c>
      <c r="W38" s="99" t="s">
        <v>84</v>
      </c>
      <c r="X38">
        <f>IF(V38="S",'Vehicle Data'!C$14,IF(Data!V38 = "T1",'Vehicle Data'!P$2,IF(Data!V38="T2",'Vehicle Data'!P$3)))</f>
        <v>13.411199999999999</v>
      </c>
      <c r="Z38">
        <v>9.8000000000000007</v>
      </c>
      <c r="AB38" t="b">
        <f>IF(AA38=1,'Vehicle Data'!I$14,IF(AA38=2,'Vehicle Data'!I$15,IF(AA38=3,'Vehicle Data'!I$16)))</f>
        <v>0</v>
      </c>
      <c r="AC38">
        <f>IF(Z38&lt;'Vehicle Data'!C$16,'Vehicle Data'!I$15,IF(Z38&lt;'Vehicle Data'!C$15,'Vehicle Data'!I$15,IF(Z37&gt;'Vehicle Data'!C$15,'Vehicle Data'!I$16)))</f>
        <v>0.46202745420001456</v>
      </c>
      <c r="AD38">
        <f>IF(O38=0.6,'Vehicle Data'!F$21,IF(O38=0.9,'Vehicle Data'!F$20))</f>
        <v>3.5315999999999996</v>
      </c>
      <c r="AE38" s="100">
        <f t="shared" si="9"/>
        <v>0.46202745420001456</v>
      </c>
      <c r="AF38" s="158">
        <f t="shared" si="30"/>
        <v>0.16303550470407729</v>
      </c>
      <c r="AG38" s="101">
        <f t="shared" si="12"/>
        <v>-3.0668166477451688</v>
      </c>
      <c r="AH38" s="101">
        <f t="shared" si="31"/>
        <v>5.074699137729799</v>
      </c>
      <c r="AI38" s="101"/>
      <c r="AJ38" s="101">
        <f>(Z38^2)*'Vehicle Data'!C$31</f>
        <v>35.29470000000002</v>
      </c>
      <c r="AK38" s="101">
        <f>IF(O38=0.6,'Vehicle Data'!C$6*'Vehicle Data'!D$21*9.81,IF(O38=0.9,'Vehicle Data'!C$6*9.81*'Vehicle Data'!D$20))</f>
        <v>86.131799999999998</v>
      </c>
      <c r="AL38" s="101">
        <f t="shared" si="10"/>
        <v>121.42650000000002</v>
      </c>
      <c r="AM38" s="101"/>
      <c r="AN38" s="101">
        <f>IF(AG38&lt;0,AG38*'Vehicle Data'!C$6)</f>
        <v>-1346.3325083601292</v>
      </c>
      <c r="AO38" s="101">
        <f t="shared" si="13"/>
        <v>-1224.9060083601291</v>
      </c>
      <c r="AP38" s="101">
        <f>AO38*'Vehicle Data'!F$3</f>
        <v>-313.08597573684898</v>
      </c>
      <c r="AQ38" s="101">
        <f>IF(AE38='Vehicle Data'!I$15,AP38/'Vehicle Data'!G$15,IF(AE38='Vehicle Data'!I$16,AP38/'Vehicle Data'!G$16,IF(AE38='Vehicle Data'!I$14,Data!AP38/'Vehicle Data'!G$14)))</f>
        <v>-57.799646431116308</v>
      </c>
      <c r="AR38" s="101">
        <f>IF(Z38&lt;'Vehicle Data'!C$16, Z38*'Vehicle Data'!F$7*'Vehicle Data'!G$14,IF(Z38&lt;'Vehicle Data'!C$15,Z38*'Vehicle Data'!F$7*'Vehicle Data'!G$15,IF(Z38&gt;'Vehicle Data'!C$15,Z38*'Vehicle Data'!F$7*'Vehicle Data'!G$16)))</f>
        <v>85.25212757496223</v>
      </c>
      <c r="AS38" s="101">
        <f t="shared" si="32"/>
        <v>5115.1276544977336</v>
      </c>
      <c r="AT38" s="101">
        <v>4</v>
      </c>
      <c r="AU38" s="101">
        <f t="shared" si="34"/>
        <v>5000</v>
      </c>
      <c r="AV38" s="101"/>
      <c r="AW38" s="101">
        <f>VLOOKUP(AT38,BSFC!A$64:A$82,1,FALSE)</f>
        <v>4</v>
      </c>
      <c r="AX38" s="101" t="e" cm="1">
        <f t="array" ref="AX38">_xlfn.XLOOKUP(AT38,BSFC!A$64:A$82,,-1,_xlfn.XLOOKUP(Data!AU38,BSFC!C$63:Q$63,BSFC!B$64:Q$82,,-1))</f>
        <v>#VALUE!</v>
      </c>
      <c r="AY38" s="101">
        <f>HLOOKUP(AU38,BSFC!F$63:Q$63,1)</f>
        <v>5000</v>
      </c>
      <c r="AZ38" s="101">
        <f>MATCH(AT38,BSFC!A$64:A$83,0)</f>
        <v>19</v>
      </c>
      <c r="BA38" s="101">
        <f>MATCH(AU38,BSFC!C$63:Q$63,0)</f>
        <v>10</v>
      </c>
      <c r="BB38" s="101" cm="1">
        <f t="array" ref="BB38">INDEX(BSFC!C$64:Q$82,Data!AZ38,Data!BA38)</f>
        <v>700</v>
      </c>
      <c r="BC38" s="101">
        <f>0.5*'Vehicle Data'!C$6*Data!Z38^2</f>
        <v>21080.780000000006</v>
      </c>
      <c r="BD38" s="101">
        <f t="shared" si="14"/>
        <v>0</v>
      </c>
      <c r="BE38" s="101">
        <f t="shared" si="35"/>
        <v>0</v>
      </c>
      <c r="BF38" s="101">
        <f t="shared" si="36"/>
        <v>0</v>
      </c>
      <c r="BG38" s="101">
        <f t="shared" si="15"/>
        <v>8.0992416905176228</v>
      </c>
      <c r="BH38">
        <f t="shared" si="39"/>
        <v>-30835.68730496394</v>
      </c>
      <c r="BI38" s="148">
        <f t="shared" si="17"/>
        <v>6871.6622130335309</v>
      </c>
      <c r="BJ38" s="9"/>
      <c r="BK38" s="15"/>
      <c r="BL38" s="15"/>
      <c r="BM38" s="15"/>
      <c r="BN38" s="10"/>
      <c r="BO38">
        <f t="shared" si="18"/>
        <v>-5575.5897984483699</v>
      </c>
      <c r="BP38">
        <f t="shared" si="19"/>
        <v>9638.5736570203881</v>
      </c>
      <c r="BQ38">
        <f t="shared" si="20"/>
        <v>21478.072119290668</v>
      </c>
      <c r="BR38" s="148">
        <f t="shared" si="21"/>
        <v>36114.125709614847</v>
      </c>
      <c r="BS38" s="156" t="b">
        <f t="shared" si="22"/>
        <v>0</v>
      </c>
      <c r="BT38" s="156">
        <f t="shared" si="37"/>
        <v>0</v>
      </c>
      <c r="BU38">
        <f t="shared" si="23"/>
        <v>1242.5074023631435</v>
      </c>
      <c r="BV38">
        <f t="shared" si="24"/>
        <v>1242.5074023631435</v>
      </c>
      <c r="BW38" s="148">
        <f t="shared" si="25"/>
        <v>455.4</v>
      </c>
      <c r="BX38" s="148">
        <f t="shared" si="26"/>
        <v>3129354.9718154697</v>
      </c>
      <c r="BY38" s="148">
        <f t="shared" si="27"/>
        <v>0.1571771863989376</v>
      </c>
      <c r="BZ38">
        <f t="shared" si="11"/>
        <v>5.074699137729799</v>
      </c>
      <c r="CB38">
        <f t="shared" si="28"/>
        <v>1242.5074023631435</v>
      </c>
      <c r="CC38" s="162">
        <f t="shared" si="29"/>
        <v>7621.0847730277783</v>
      </c>
      <c r="CD38">
        <f t="shared" si="38"/>
        <v>13904.113111298266</v>
      </c>
    </row>
    <row r="39" spans="4:82" x14ac:dyDescent="0.2">
      <c r="D39" s="22">
        <f t="shared" si="0"/>
        <v>0</v>
      </c>
      <c r="E39" s="23">
        <v>9.2017056000000004</v>
      </c>
      <c r="F39" s="23">
        <f>IF(K39&lt;6,1,IF(Data!K39&lt;9,2,IF(K39&gt;9,3)))</f>
        <v>3</v>
      </c>
      <c r="G39" s="23">
        <v>769.20601940383881</v>
      </c>
      <c r="H39" s="23">
        <v>212.71666499999998</v>
      </c>
      <c r="I39" s="64">
        <v>32.778293399101713</v>
      </c>
      <c r="J39" s="65">
        <f t="shared" si="1"/>
        <v>2.7754049750912997</v>
      </c>
      <c r="K39" s="65">
        <f t="shared" si="2"/>
        <v>13.111317359640685</v>
      </c>
      <c r="L39" s="65">
        <f t="shared" si="3"/>
        <v>1.110161990036534</v>
      </c>
      <c r="M39">
        <f t="shared" si="4"/>
        <v>18.403411200000001</v>
      </c>
      <c r="N39">
        <f t="shared" si="5"/>
        <v>0</v>
      </c>
      <c r="O39">
        <f>IF(L39&lt;'Vehicle Data'!F$21,'Vehicle Data'!C$21,IF(L39&gt;'Vehicle Data'!C$21,'Vehicle Data'!C$20))</f>
        <v>0.6</v>
      </c>
      <c r="P39">
        <f>('Vehicle Data'!C$6*9.81*'Vehicle Data'!C$5*SIN(D39))/'Vehicle Data'!C$9</f>
        <v>0</v>
      </c>
      <c r="Q39" s="107">
        <f>'Vehicle Data'!C$6*9.81*SIN(D39)</f>
        <v>0</v>
      </c>
      <c r="R39">
        <f t="shared" si="6"/>
        <v>767.58502523479024</v>
      </c>
      <c r="S39">
        <f>IF(Data!O39=0.6,'Vehicle Data'!E$21,IF(Data!O39 = 0.9,'Vehicle Data'!E$20))+(P39*O39)</f>
        <v>1550.3723999999997</v>
      </c>
      <c r="T39">
        <f>IF(F39=3,'Vehicle Data'!H$16,IF(F39=2,'Vehicle Data'!H$15,IF(F39 = 1,'Vehicle Data'!G$14)))</f>
        <v>466.23005239380637</v>
      </c>
      <c r="U39" s="148">
        <f t="shared" si="7"/>
        <v>51.44654311147417</v>
      </c>
      <c r="V39" s="70" t="s">
        <v>77</v>
      </c>
      <c r="W39" s="99" t="s">
        <v>85</v>
      </c>
      <c r="X39">
        <f>IF(V39="S",'Vehicle Data'!C$14,IF(Data!V39 = "T1",'Vehicle Data'!P$2,IF(Data!V39="T2",'Vehicle Data'!P$3)))</f>
        <v>13.411199999999999</v>
      </c>
      <c r="Z39">
        <v>8.9</v>
      </c>
      <c r="AB39" t="b">
        <f>IF(AA39=1,'Vehicle Data'!I$14,IF(AA39=2,'Vehicle Data'!I$15,IF(AA39=3,'Vehicle Data'!I$16)))</f>
        <v>0</v>
      </c>
      <c r="AC39">
        <f>IF(Z39&lt;'Vehicle Data'!C$16,'Vehicle Data'!I$15,IF(Z39&lt;'Vehicle Data'!C$15,'Vehicle Data'!I$15,IF(Z38&gt;'Vehicle Data'!C$15,'Vehicle Data'!I$16)))</f>
        <v>0.98256251041858167</v>
      </c>
      <c r="AD39">
        <f>IF(O39=0.6,'Vehicle Data'!F$21,IF(O39=0.9,'Vehicle Data'!F$20))</f>
        <v>3.5315999999999996</v>
      </c>
      <c r="AE39" s="100">
        <f t="shared" si="9"/>
        <v>-3.5315999999999996</v>
      </c>
      <c r="AF39" s="158">
        <f t="shared" si="30"/>
        <v>0.18081613499663454</v>
      </c>
      <c r="AG39" s="101">
        <f t="shared" si="12"/>
        <v>-4.977431909031524</v>
      </c>
      <c r="AH39" s="101">
        <f t="shared" si="31"/>
        <v>5.2555152727264334</v>
      </c>
      <c r="AI39" s="101"/>
      <c r="AJ39" s="101">
        <f>(Z39^2)*'Vehicle Data'!C$31</f>
        <v>29.10967500000001</v>
      </c>
      <c r="AK39" s="101">
        <f>IF(O39=0.6,'Vehicle Data'!C$6*'Vehicle Data'!D$21*9.81,IF(O39=0.9,'Vehicle Data'!C$6*9.81*'Vehicle Data'!D$20))</f>
        <v>86.131799999999998</v>
      </c>
      <c r="AL39" s="101">
        <f t="shared" si="10"/>
        <v>115.24147500000001</v>
      </c>
      <c r="AM39" s="101"/>
      <c r="AN39" s="101">
        <f>IF(AG39&lt;0,AG39*'Vehicle Data'!C$6)</f>
        <v>-2185.0926080648392</v>
      </c>
      <c r="AO39" s="101">
        <f t="shared" si="13"/>
        <v>-2069.8511330648394</v>
      </c>
      <c r="AP39" s="101">
        <f>AO39*'Vehicle Data'!F$3</f>
        <v>-529.0539496113729</v>
      </c>
      <c r="AQ39" s="101" t="b">
        <f>IF(AE39='Vehicle Data'!I$15,AP39/'Vehicle Data'!G$15,IF(AE39='Vehicle Data'!I$16,AP39/'Vehicle Data'!G$16,IF(AE39='Vehicle Data'!I$14,Data!AP39/'Vehicle Data'!G$14)))</f>
        <v>0</v>
      </c>
      <c r="AR39" s="101">
        <f>IF(Z39&lt;'Vehicle Data'!C$16, Z39*'Vehicle Data'!F$7*'Vehicle Data'!G$14,IF(Z39&lt;'Vehicle Data'!C$15,Z39*'Vehicle Data'!F$7*'Vehicle Data'!G$15,IF(Z39&gt;'Vehicle Data'!C$15,Z39*'Vehicle Data'!F$7*'Vehicle Data'!G$16)))</f>
        <v>115.37037037037037</v>
      </c>
      <c r="AS39" s="101">
        <f>AR39*60</f>
        <v>6922.2222222222217</v>
      </c>
      <c r="AT39" s="101">
        <f t="shared" si="33"/>
        <v>0</v>
      </c>
      <c r="AU39" s="101">
        <v>5500</v>
      </c>
      <c r="AV39" s="101"/>
      <c r="AW39" s="101" t="e">
        <f>VLOOKUP(AT39,BSFC!A$64:A$82,1,FALSE)</f>
        <v>#N/A</v>
      </c>
      <c r="AX39" s="101" t="e" cm="1">
        <f t="array" ref="AX39">_xlfn.XLOOKUP(AT39,BSFC!A$64:A$82,,-1,_xlfn.XLOOKUP(Data!AU39,BSFC!C$63:Q$63,BSFC!B$64:Q$82,,-1))</f>
        <v>#VALUE!</v>
      </c>
      <c r="AY39" s="101">
        <f>HLOOKUP(AU39,BSFC!F$63:Q$63,1)</f>
        <v>5500</v>
      </c>
      <c r="AZ39" s="101">
        <f>MATCH(AT39,BSFC!A$64:A$83,-1)</f>
        <v>20</v>
      </c>
      <c r="BA39" s="101">
        <f>MATCH(AU39,BSFC!C$63:Q$63,0)</f>
        <v>11</v>
      </c>
      <c r="BB39" s="101" cm="1">
        <f t="array" ref="BB39">INDEX(BSFC!C$64:Q$83,Data!AZ39,Data!BA39)</f>
        <v>650</v>
      </c>
      <c r="BC39" s="101">
        <f>0.5*'Vehicle Data'!C$6*Data!Z39^2</f>
        <v>17386.595000000001</v>
      </c>
      <c r="BD39" s="101">
        <f t="shared" si="14"/>
        <v>0</v>
      </c>
      <c r="BE39" s="101">
        <f t="shared" si="35"/>
        <v>0</v>
      </c>
      <c r="BF39" s="101">
        <f t="shared" si="36"/>
        <v>0</v>
      </c>
      <c r="BG39" s="101">
        <f t="shared" si="15"/>
        <v>8.0992416905176228</v>
      </c>
      <c r="BH39">
        <f t="shared" si="39"/>
        <v>0</v>
      </c>
      <c r="BI39" s="148">
        <f t="shared" si="17"/>
        <v>6871.6622130335309</v>
      </c>
      <c r="BJ39" s="9"/>
      <c r="BK39" s="15"/>
      <c r="BL39" s="15"/>
      <c r="BM39" s="15"/>
      <c r="BN39" s="10"/>
      <c r="BO39">
        <f t="shared" si="18"/>
        <v>0</v>
      </c>
      <c r="BP39">
        <f t="shared" si="19"/>
        <v>9638.5736570203881</v>
      </c>
      <c r="BQ39">
        <f t="shared" si="20"/>
        <v>21478.072119290668</v>
      </c>
      <c r="BR39" s="148">
        <f t="shared" si="21"/>
        <v>37467.30285277855</v>
      </c>
      <c r="BS39" s="156" t="b">
        <f t="shared" si="22"/>
        <v>0</v>
      </c>
      <c r="BT39" s="156">
        <f t="shared" si="37"/>
        <v>0</v>
      </c>
      <c r="BU39">
        <f t="shared" si="23"/>
        <v>1353.1771431637012</v>
      </c>
      <c r="BV39">
        <f t="shared" si="24"/>
        <v>1353.1771431637012</v>
      </c>
      <c r="BW39" s="148">
        <f t="shared" si="25"/>
        <v>455.4</v>
      </c>
      <c r="BX39" s="148">
        <f t="shared" si="26"/>
        <v>3129354.9718154697</v>
      </c>
      <c r="BY39" s="148">
        <f t="shared" si="27"/>
        <v>0.17117690861020815</v>
      </c>
      <c r="BZ39">
        <f t="shared" si="11"/>
        <v>5.2555152727264334</v>
      </c>
      <c r="CB39">
        <f t="shared" si="28"/>
        <v>1353.1771431637012</v>
      </c>
      <c r="CC39" s="162">
        <f t="shared" si="29"/>
        <v>7483.7189899501409</v>
      </c>
      <c r="CD39">
        <f t="shared" si="38"/>
        <v>15257.290254461966</v>
      </c>
    </row>
    <row r="40" spans="4:82" x14ac:dyDescent="0.2">
      <c r="D40" s="22">
        <f t="shared" si="0"/>
        <v>0</v>
      </c>
      <c r="E40" s="23">
        <v>9.2017056000000004</v>
      </c>
      <c r="F40" s="23">
        <f>IF(K40&lt;6,1,IF(Data!K40&lt;9,2,IF(K40&gt;9,3)))</f>
        <v>3</v>
      </c>
      <c r="G40" s="23">
        <v>770.83668093099277</v>
      </c>
      <c r="H40" s="23">
        <v>212.76666499999999</v>
      </c>
      <c r="I40" s="64">
        <v>32.91706364785631</v>
      </c>
      <c r="J40" s="65">
        <f t="shared" si="1"/>
        <v>2.8141111245408719</v>
      </c>
      <c r="K40" s="65">
        <f t="shared" si="2"/>
        <v>13.166825459142524</v>
      </c>
      <c r="L40" s="65">
        <f t="shared" si="3"/>
        <v>1.1256444498163558</v>
      </c>
      <c r="M40">
        <f t="shared" si="4"/>
        <v>18.403411200000001</v>
      </c>
      <c r="N40">
        <f t="shared" si="5"/>
        <v>0</v>
      </c>
      <c r="O40">
        <f>IF(L40&lt;'Vehicle Data'!F$21,'Vehicle Data'!C$21,IF(L40&gt;'Vehicle Data'!C$21,'Vehicle Data'!C$20))</f>
        <v>0.6</v>
      </c>
      <c r="P40">
        <f>('Vehicle Data'!C$6*9.81*'Vehicle Data'!C$5*SIN(D40))/'Vehicle Data'!C$9</f>
        <v>0</v>
      </c>
      <c r="Q40" s="107">
        <f>'Vehicle Data'!C$6*9.81*SIN(D40)</f>
        <v>0</v>
      </c>
      <c r="R40">
        <f t="shared" si="6"/>
        <v>769.20601940383881</v>
      </c>
      <c r="S40">
        <f>IF(Data!O40=0.6,'Vehicle Data'!E$21,IF(Data!O40 = 0.9,'Vehicle Data'!E$20))+(P40*O40)</f>
        <v>1550.3723999999997</v>
      </c>
      <c r="T40">
        <f>IF(F40=3,'Vehicle Data'!H$16,IF(F40=2,'Vehicle Data'!H$15,IF(F40 = 1,'Vehicle Data'!G$14)))</f>
        <v>466.23005239380637</v>
      </c>
      <c r="U40" s="148">
        <f t="shared" si="7"/>
        <v>53.067537280522743</v>
      </c>
      <c r="V40" s="70" t="s">
        <v>77</v>
      </c>
      <c r="W40" s="99" t="s">
        <v>85</v>
      </c>
      <c r="X40">
        <f>IF(V40="S",'Vehicle Data'!C$14,IF(Data!V40 = "T1",'Vehicle Data'!P$2,IF(Data!V40="T2",'Vehicle Data'!P$3)))</f>
        <v>13.411199999999999</v>
      </c>
      <c r="Z40">
        <f t="shared" si="8"/>
        <v>8.2316823301908411</v>
      </c>
      <c r="AB40" t="b">
        <f>IF(AA40=1,'Vehicle Data'!I$14,IF(AA40=2,'Vehicle Data'!I$15,IF(AA40=3,'Vehicle Data'!I$16)))</f>
        <v>0</v>
      </c>
      <c r="AC40">
        <f>IF(Z40&lt;'Vehicle Data'!C$16,'Vehicle Data'!I$15,IF(Z40&lt;'Vehicle Data'!C$15,'Vehicle Data'!I$15,IF(Z39&gt;'Vehicle Data'!C$15,'Vehicle Data'!I$16)))</f>
        <v>0.98256251041858167</v>
      </c>
      <c r="AD40">
        <f>IF(O40=0.6,'Vehicle Data'!F$21,IF(O40=0.9,'Vehicle Data'!F$20))</f>
        <v>3.5315999999999996</v>
      </c>
      <c r="AE40" s="100">
        <f t="shared" si="9"/>
        <v>-3.5315999999999996</v>
      </c>
      <c r="AF40" s="158">
        <f t="shared" si="30"/>
        <v>0.19692137087255546</v>
      </c>
      <c r="AG40" s="101">
        <f t="shared" si="12"/>
        <v>-3.3938300695747463</v>
      </c>
      <c r="AH40" s="101">
        <f t="shared" si="31"/>
        <v>5.4524366435989888</v>
      </c>
      <c r="AI40" s="101"/>
      <c r="AJ40" s="101">
        <f>(Z40^2)*'Vehicle Data'!C$31</f>
        <v>24.902018289552231</v>
      </c>
      <c r="AK40" s="101">
        <f>IF(O40=0.6,'Vehicle Data'!C$6*'Vehicle Data'!D$21*9.81,IF(O40=0.9,'Vehicle Data'!C$6*9.81*'Vehicle Data'!D$20))</f>
        <v>86.131799999999998</v>
      </c>
      <c r="AL40" s="101">
        <f t="shared" si="10"/>
        <v>111.03381828955223</v>
      </c>
      <c r="AM40" s="101"/>
      <c r="AN40" s="101">
        <f>IF(AG40&lt;0,AG40*'Vehicle Data'!C$6)</f>
        <v>-1489.8914005433137</v>
      </c>
      <c r="AO40" s="101">
        <f t="shared" si="13"/>
        <v>-1378.8575822537614</v>
      </c>
      <c r="AP40" s="101">
        <f>AO40*'Vehicle Data'!F$3</f>
        <v>-352.4359980240614</v>
      </c>
      <c r="AQ40" s="101" t="b">
        <f>IF(AE40='Vehicle Data'!I$15,AP40/'Vehicle Data'!G$15,IF(AE40='Vehicle Data'!I$16,AP40/'Vehicle Data'!G$16,IF(AE40='Vehicle Data'!I$14,Data!AP40/'Vehicle Data'!G$14)))</f>
        <v>0</v>
      </c>
      <c r="AR40" s="101">
        <f>IF(Z40&lt;'Vehicle Data'!C$16, Z40*'Vehicle Data'!F$7*'Vehicle Data'!G$14,IF(Z40&lt;'Vehicle Data'!C$15,Z40*'Vehicle Data'!F$7*'Vehicle Data'!G$15,IF(Z40&gt;'Vehicle Data'!C$15,Z40*'Vehicle Data'!F$7*'Vehicle Data'!G$16)))</f>
        <v>106.70699316914055</v>
      </c>
      <c r="AS40" s="101">
        <f t="shared" si="32"/>
        <v>6402.4195901484327</v>
      </c>
      <c r="AT40" s="101">
        <f t="shared" si="33"/>
        <v>0</v>
      </c>
      <c r="AU40" s="101">
        <f t="shared" si="34"/>
        <v>6500</v>
      </c>
      <c r="AV40" s="101"/>
      <c r="AW40" s="101" t="e">
        <f>VLOOKUP(AT40,BSFC!A$64:A$82,1,FALSE)</f>
        <v>#N/A</v>
      </c>
      <c r="AX40" s="101" t="e" cm="1">
        <f t="array" ref="AX40">_xlfn.XLOOKUP(AT40,BSFC!A$64:A$82,,-1,_xlfn.XLOOKUP(Data!AU40,BSFC!C$63:Q$63,BSFC!B$64:Q$82,,-1))</f>
        <v>#VALUE!</v>
      </c>
      <c r="AY40" s="101">
        <f>HLOOKUP(AU40,BSFC!F$63:Q$63,1)</f>
        <v>6500</v>
      </c>
      <c r="AZ40" s="101">
        <f>MATCH(AT40,BSFC!A$64:A$83,0)</f>
        <v>20</v>
      </c>
      <c r="BA40" s="101">
        <f>MATCH(AU40,BSFC!C$63:Q$63,0)</f>
        <v>13</v>
      </c>
      <c r="BB40" s="101" cm="1">
        <f t="array" ref="BB40">INDEX(BSFC!C$64:Q$83,Data!AZ40,Data!BA40)</f>
        <v>675</v>
      </c>
      <c r="BC40" s="101">
        <f>0.5*'Vehicle Data'!C$6*Data!Z40^2</f>
        <v>14873.450379746157</v>
      </c>
      <c r="BD40" s="101">
        <f t="shared" si="14"/>
        <v>0</v>
      </c>
      <c r="BE40" s="101">
        <f t="shared" si="35"/>
        <v>0</v>
      </c>
      <c r="BF40" s="101">
        <f t="shared" si="36"/>
        <v>0</v>
      </c>
      <c r="BG40" s="101">
        <f t="shared" si="15"/>
        <v>8.0992416905176228</v>
      </c>
      <c r="BH40">
        <f t="shared" si="39"/>
        <v>0</v>
      </c>
      <c r="BI40" s="148">
        <f t="shared" si="17"/>
        <v>6871.6622130335309</v>
      </c>
      <c r="BJ40" s="9"/>
      <c r="BK40" s="15"/>
      <c r="BL40" s="15"/>
      <c r="BM40" s="15"/>
      <c r="BN40" s="99"/>
      <c r="BO40">
        <f t="shared" si="18"/>
        <v>0</v>
      </c>
      <c r="BP40">
        <f t="shared" si="19"/>
        <v>9638.5736570203881</v>
      </c>
      <c r="BQ40">
        <f t="shared" si="20"/>
        <v>21478.072119290668</v>
      </c>
      <c r="BR40" s="148">
        <f t="shared" si="21"/>
        <v>38961.444439602237</v>
      </c>
      <c r="BS40" s="156" t="b">
        <f t="shared" si="22"/>
        <v>0</v>
      </c>
      <c r="BT40" s="156">
        <f t="shared" si="37"/>
        <v>0</v>
      </c>
      <c r="BU40">
        <f t="shared" si="23"/>
        <v>1494.1415868236902</v>
      </c>
      <c r="BV40">
        <f t="shared" si="24"/>
        <v>1494.1415868236902</v>
      </c>
      <c r="BW40" s="148">
        <f t="shared" si="25"/>
        <v>455.4</v>
      </c>
      <c r="BX40" s="148">
        <f t="shared" si="26"/>
        <v>3129354.9718154697</v>
      </c>
      <c r="BY40" s="148">
        <f t="shared" si="27"/>
        <v>0.18900891073319678</v>
      </c>
      <c r="BZ40">
        <f t="shared" si="11"/>
        <v>5.4524366435989888</v>
      </c>
      <c r="CB40">
        <f t="shared" si="28"/>
        <v>1494.1415868236902</v>
      </c>
      <c r="CC40" s="162">
        <f t="shared" si="29"/>
        <v>7587.5034802122927</v>
      </c>
      <c r="CD40">
        <f t="shared" si="38"/>
        <v>16751.431841285656</v>
      </c>
    </row>
    <row r="41" spans="4:82" x14ac:dyDescent="0.2">
      <c r="D41" s="22">
        <f t="shared" si="0"/>
        <v>0</v>
      </c>
      <c r="E41" s="23">
        <v>9.2017056000000004</v>
      </c>
      <c r="F41" s="23">
        <f>IF(K41&lt;6,1,IF(Data!K41&lt;9,2,IF(K41&gt;9,3)))</f>
        <v>3</v>
      </c>
      <c r="G41" s="23">
        <v>772.47916981625258</v>
      </c>
      <c r="H41" s="23">
        <v>212.816665</v>
      </c>
      <c r="I41" s="64">
        <v>33.057769204083385</v>
      </c>
      <c r="J41" s="65">
        <f t="shared" si="1"/>
        <v>2.8591922907309968</v>
      </c>
      <c r="K41" s="65">
        <f t="shared" si="2"/>
        <v>13.223107681633355</v>
      </c>
      <c r="L41" s="65">
        <f t="shared" si="3"/>
        <v>1.1436769162923703</v>
      </c>
      <c r="M41">
        <f t="shared" si="4"/>
        <v>18.403411200000001</v>
      </c>
      <c r="N41">
        <f t="shared" si="5"/>
        <v>0</v>
      </c>
      <c r="O41">
        <f>IF(L41&lt;'Vehicle Data'!F$21,'Vehicle Data'!C$21,IF(L41&gt;'Vehicle Data'!C$21,'Vehicle Data'!C$20))</f>
        <v>0.6</v>
      </c>
      <c r="P41">
        <f>('Vehicle Data'!C$6*9.81*'Vehicle Data'!C$5*SIN(D41))/'Vehicle Data'!C$9</f>
        <v>0</v>
      </c>
      <c r="Q41" s="107">
        <f>'Vehicle Data'!C$6*9.81*SIN(D41)</f>
        <v>0</v>
      </c>
      <c r="R41">
        <f t="shared" si="6"/>
        <v>770.83668093099277</v>
      </c>
      <c r="S41">
        <f>IF(Data!O41=0.6,'Vehicle Data'!E$21,IF(Data!O41 = 0.9,'Vehicle Data'!E$20))+(P41*O41)</f>
        <v>1550.3723999999997</v>
      </c>
      <c r="T41">
        <f>IF(F41=3,'Vehicle Data'!H$16,IF(F41=2,'Vehicle Data'!H$15,IF(F41 = 1,'Vehicle Data'!G$14)))</f>
        <v>466.23005239380637</v>
      </c>
      <c r="U41" s="148">
        <f t="shared" si="7"/>
        <v>54.698198807676704</v>
      </c>
      <c r="V41" s="70" t="s">
        <v>77</v>
      </c>
      <c r="W41" s="99" t="s">
        <v>85</v>
      </c>
      <c r="X41">
        <f>IF(V41="S",'Vehicle Data'!C$14,IF(Data!V41 = "T1",'Vehicle Data'!P$2,IF(Data!V41="T2",'Vehicle Data'!P$3)))</f>
        <v>13.411199999999999</v>
      </c>
      <c r="Z41">
        <f t="shared" si="8"/>
        <v>7.499527017524656</v>
      </c>
      <c r="AB41" t="b">
        <f>IF(AA41=1,'Vehicle Data'!I$14,IF(AA41=2,'Vehicle Data'!I$15,IF(AA41=3,'Vehicle Data'!I$16)))</f>
        <v>0</v>
      </c>
      <c r="AC41">
        <f>IF(Z41&lt;'Vehicle Data'!C$16,'Vehicle Data'!I$15,IF(Z41&lt;'Vehicle Data'!C$15,'Vehicle Data'!I$15,IF(Z40&gt;'Vehicle Data'!C$15,'Vehicle Data'!I$16)))</f>
        <v>0.98256251041858167</v>
      </c>
      <c r="AD41">
        <f>IF(O41=0.6,'Vehicle Data'!F$21,IF(O41=0.9,'Vehicle Data'!F$20))</f>
        <v>3.5315999999999996</v>
      </c>
      <c r="AE41" s="100">
        <f t="shared" si="9"/>
        <v>-3.5315999999999996</v>
      </c>
      <c r="AF41" s="158">
        <f t="shared" si="30"/>
        <v>0.21743524936219089</v>
      </c>
      <c r="AG41" s="101">
        <f t="shared" si="12"/>
        <v>-3.3672337618386967</v>
      </c>
      <c r="AH41" s="101">
        <f t="shared" si="31"/>
        <v>5.6698718929611793</v>
      </c>
      <c r="AI41" s="101"/>
      <c r="AJ41" s="101">
        <f>(Z41^2)*'Vehicle Data'!C$31</f>
        <v>20.669267766318985</v>
      </c>
      <c r="AK41" s="101">
        <f>IF(O41=0.6,'Vehicle Data'!C$6*'Vehicle Data'!D$21*9.81,IF(O41=0.9,'Vehicle Data'!C$6*9.81*'Vehicle Data'!D$20))</f>
        <v>86.131799999999998</v>
      </c>
      <c r="AL41" s="101">
        <f t="shared" si="10"/>
        <v>106.80106776631898</v>
      </c>
      <c r="AM41" s="101"/>
      <c r="AN41" s="101">
        <f>IF(AG41&lt;0,AG41*'Vehicle Data'!C$6)</f>
        <v>-1478.2156214471879</v>
      </c>
      <c r="AO41" s="101">
        <f t="shared" si="13"/>
        <v>-1371.4145536808689</v>
      </c>
      <c r="AP41" s="101">
        <f>AO41*'Vehicle Data'!F$3</f>
        <v>-350.5335599208301</v>
      </c>
      <c r="AQ41" s="101" t="b">
        <f>IF(AE41='Vehicle Data'!I$15,AP41/'Vehicle Data'!G$15,IF(AE41='Vehicle Data'!I$16,AP41/'Vehicle Data'!G$16,IF(AE41='Vehicle Data'!I$14,Data!AP41/'Vehicle Data'!G$14)))</f>
        <v>0</v>
      </c>
      <c r="AR41" s="101">
        <f>IF(Z41&lt;'Vehicle Data'!C$16, Z41*'Vehicle Data'!F$7*'Vehicle Data'!G$14,IF(Z41&lt;'Vehicle Data'!C$15,Z41*'Vehicle Data'!F$7*'Vehicle Data'!G$15,IF(Z41&gt;'Vehicle Data'!C$15,Z41*'Vehicle Data'!F$7*'Vehicle Data'!G$16)))</f>
        <v>97.216090967912208</v>
      </c>
      <c r="AS41" s="101">
        <f t="shared" si="32"/>
        <v>5832.9654580747329</v>
      </c>
      <c r="AT41" s="101">
        <f t="shared" si="33"/>
        <v>0</v>
      </c>
      <c r="AU41" s="101">
        <f t="shared" si="34"/>
        <v>6000</v>
      </c>
      <c r="AV41" s="101"/>
      <c r="AW41" s="101" t="e">
        <f>VLOOKUP(AT41,BSFC!A$64:A$82,1,FALSE)</f>
        <v>#N/A</v>
      </c>
      <c r="AX41" s="101" t="e" cm="1">
        <f t="array" ref="AX41">_xlfn.XLOOKUP(AT41,BSFC!A$64:A$82,,-1,_xlfn.XLOOKUP(Data!AU41,BSFC!C$63:Q$63,BSFC!B$64:Q$82,,-1))</f>
        <v>#VALUE!</v>
      </c>
      <c r="AY41" s="101">
        <f>HLOOKUP(AU41,BSFC!F$63:Q$63,1)</f>
        <v>6000</v>
      </c>
      <c r="AZ41" s="101">
        <f>MATCH(AT41,BSFC!A$64:A$83,0)</f>
        <v>20</v>
      </c>
      <c r="BA41" s="101">
        <f>MATCH(AU41,BSFC!C$63:Q$63,0)</f>
        <v>12</v>
      </c>
      <c r="BB41" s="101" cm="1">
        <f t="array" ref="BB41">INDEX(BSFC!C$64:Q$83,Data!AZ41,Data!BA41)</f>
        <v>650</v>
      </c>
      <c r="BC41" s="101">
        <f>0.5*'Vehicle Data'!C$6*Data!Z41^2</f>
        <v>12345.317754304806</v>
      </c>
      <c r="BD41" s="101">
        <f t="shared" si="14"/>
        <v>0</v>
      </c>
      <c r="BE41" s="101">
        <f t="shared" si="35"/>
        <v>0</v>
      </c>
      <c r="BF41" s="101">
        <f t="shared" si="36"/>
        <v>0</v>
      </c>
      <c r="BG41" s="101">
        <f t="shared" si="15"/>
        <v>8.0992416905176228</v>
      </c>
      <c r="BH41">
        <f t="shared" si="39"/>
        <v>0</v>
      </c>
      <c r="BI41" s="148">
        <f t="shared" si="17"/>
        <v>6871.6622130335309</v>
      </c>
      <c r="BJ41" s="9"/>
      <c r="BK41" s="108"/>
      <c r="BL41" s="15"/>
      <c r="BM41" s="15"/>
      <c r="BN41" s="99"/>
      <c r="BO41">
        <f t="shared" si="18"/>
        <v>0</v>
      </c>
      <c r="BP41">
        <f t="shared" si="19"/>
        <v>9638.5736570203881</v>
      </c>
      <c r="BQ41">
        <f t="shared" si="20"/>
        <v>21478.072119290668</v>
      </c>
      <c r="BR41" s="148">
        <f t="shared" si="21"/>
        <v>40650.694670885292</v>
      </c>
      <c r="BS41" s="156" t="b">
        <f t="shared" si="22"/>
        <v>0</v>
      </c>
      <c r="BT41" s="156">
        <f t="shared" si="37"/>
        <v>0</v>
      </c>
      <c r="BU41">
        <f t="shared" si="23"/>
        <v>1689.2502312830584</v>
      </c>
      <c r="BV41">
        <f t="shared" si="24"/>
        <v>1689.2502312830584</v>
      </c>
      <c r="BW41" s="148">
        <f t="shared" si="25"/>
        <v>455.4</v>
      </c>
      <c r="BX41" s="148">
        <f t="shared" si="26"/>
        <v>3129354.9718154697</v>
      </c>
      <c r="BY41" s="148">
        <f t="shared" si="27"/>
        <v>0.21369015425730686</v>
      </c>
      <c r="BZ41">
        <f t="shared" si="11"/>
        <v>5.6698718929611793</v>
      </c>
      <c r="CB41">
        <f t="shared" si="28"/>
        <v>1689.2502312830584</v>
      </c>
      <c r="CC41" s="162">
        <f t="shared" si="29"/>
        <v>7768.980587269948</v>
      </c>
      <c r="CD41">
        <f t="shared" si="38"/>
        <v>18440.682072568714</v>
      </c>
    </row>
    <row r="42" spans="4:82" x14ac:dyDescent="0.2">
      <c r="D42" s="22">
        <f t="shared" si="0"/>
        <v>0</v>
      </c>
      <c r="E42" s="23">
        <v>9.2017056000000004</v>
      </c>
      <c r="F42" s="23">
        <f>IF(K42&lt;6,1,IF(Data!K42&lt;9,2,IF(K42&gt;9,3)))</f>
        <v>3</v>
      </c>
      <c r="G42" s="23">
        <v>774.13205455287925</v>
      </c>
      <c r="H42" s="23">
        <v>212.86666499999998</v>
      </c>
      <c r="I42" s="64">
        <v>33.200728818619886</v>
      </c>
      <c r="J42" s="65">
        <f t="shared" si="1"/>
        <v>2.7212895124534451</v>
      </c>
      <c r="K42" s="65">
        <f t="shared" si="2"/>
        <v>13.280291527447954</v>
      </c>
      <c r="L42" s="65">
        <f t="shared" si="3"/>
        <v>1.0885158049813992</v>
      </c>
      <c r="M42">
        <f t="shared" si="4"/>
        <v>18.403411200000001</v>
      </c>
      <c r="N42">
        <f t="shared" si="5"/>
        <v>0</v>
      </c>
      <c r="O42">
        <f>IF(L42&lt;'Vehicle Data'!F$21,'Vehicle Data'!C$21,IF(L42&gt;'Vehicle Data'!C$21,'Vehicle Data'!C$20))</f>
        <v>0.6</v>
      </c>
      <c r="P42">
        <f>('Vehicle Data'!C$6*9.81*'Vehicle Data'!C$5*SIN(D42))/'Vehicle Data'!C$9</f>
        <v>0</v>
      </c>
      <c r="Q42" s="107">
        <f>'Vehicle Data'!C$6*9.81*SIN(D42)</f>
        <v>0</v>
      </c>
      <c r="R42">
        <f t="shared" si="6"/>
        <v>772.47916981625258</v>
      </c>
      <c r="S42">
        <f>IF(Data!O42=0.6,'Vehicle Data'!E$21,IF(Data!O42 = 0.9,'Vehicle Data'!E$20))+(P42*O42)</f>
        <v>1550.3723999999997</v>
      </c>
      <c r="T42">
        <f>IF(F42=3,'Vehicle Data'!H$16,IF(F42=2,'Vehicle Data'!H$15,IF(F42 = 1,'Vehicle Data'!G$14)))</f>
        <v>466.23005239380637</v>
      </c>
      <c r="U42" s="148">
        <f t="shared" si="7"/>
        <v>56.340687692936513</v>
      </c>
      <c r="V42" s="70" t="s">
        <v>77</v>
      </c>
      <c r="W42" s="99" t="s">
        <v>85</v>
      </c>
      <c r="X42">
        <f>IF(V42="S",'Vehicle Data'!C$14,IF(Data!V42 = "T1",'Vehicle Data'!P$2,IF(Data!V42="T2",'Vehicle Data'!P$3)))</f>
        <v>13.411199999999999</v>
      </c>
      <c r="Z42">
        <f t="shared" si="8"/>
        <v>6.6814428076737418</v>
      </c>
      <c r="AB42" t="b">
        <f>IF(AA42=1,'Vehicle Data'!I$14,IF(AA42=2,'Vehicle Data'!I$15,IF(AA42=3,'Vehicle Data'!I$16)))</f>
        <v>0</v>
      </c>
      <c r="AC42">
        <f>IF(Z42&lt;'Vehicle Data'!C$16,'Vehicle Data'!I$15,IF(Z42&lt;'Vehicle Data'!C$15,'Vehicle Data'!I$15,IF(Z41&gt;'Vehicle Data'!C$15,'Vehicle Data'!I$16)))</f>
        <v>0.98256251041858167</v>
      </c>
      <c r="AD42">
        <f>IF(O42=0.6,'Vehicle Data'!F$21,IF(O42=0.9,'Vehicle Data'!F$20))</f>
        <v>3.5315999999999996</v>
      </c>
      <c r="AE42" s="100">
        <f t="shared" si="9"/>
        <v>-3.5315999999999996</v>
      </c>
      <c r="AF42" s="158">
        <f t="shared" si="30"/>
        <v>0.24582847336108071</v>
      </c>
      <c r="AG42" s="101">
        <f t="shared" si="12"/>
        <v>-3.3278659655071201</v>
      </c>
      <c r="AH42" s="101">
        <f t="shared" si="31"/>
        <v>5.9157003663222598</v>
      </c>
      <c r="AI42" s="101"/>
      <c r="AJ42" s="101">
        <f>(Z42^2)*'Vehicle Data'!C$31</f>
        <v>16.405816662139081</v>
      </c>
      <c r="AK42" s="101">
        <f>IF(O42=0.6,'Vehicle Data'!C$6*'Vehicle Data'!D$21*9.81,IF(O42=0.9,'Vehicle Data'!C$6*9.81*'Vehicle Data'!D$20))</f>
        <v>86.131799999999998</v>
      </c>
      <c r="AL42" s="101">
        <f t="shared" si="10"/>
        <v>102.53761666213907</v>
      </c>
      <c r="AM42" s="101"/>
      <c r="AN42" s="101">
        <f>IF(AG42&lt;0,AG42*'Vehicle Data'!C$6)</f>
        <v>-1460.9331588576258</v>
      </c>
      <c r="AO42" s="101">
        <f t="shared" si="13"/>
        <v>-1358.3955421954868</v>
      </c>
      <c r="AP42" s="101">
        <f>AO42*'Vehicle Data'!F$3</f>
        <v>-347.20590058516643</v>
      </c>
      <c r="AQ42" s="101" t="b">
        <f>IF(AE42='Vehicle Data'!I$15,AP42/'Vehicle Data'!G$15,IF(AE42='Vehicle Data'!I$16,AP42/'Vehicle Data'!G$16,IF(AE42='Vehicle Data'!I$14,Data!AP42/'Vehicle Data'!G$14)))</f>
        <v>0</v>
      </c>
      <c r="AR42" s="101">
        <f>IF(Z42&lt;'Vehicle Data'!C$16, Z42*'Vehicle Data'!F$7*'Vehicle Data'!G$14,IF(Z42&lt;'Vehicle Data'!C$15,Z42*'Vehicle Data'!F$7*'Vehicle Data'!G$15,IF(Z42&gt;'Vehicle Data'!C$15,Z42*'Vehicle Data'!F$7*'Vehicle Data'!G$16)))</f>
        <v>86.611295655029977</v>
      </c>
      <c r="AS42" s="101">
        <f t="shared" si="32"/>
        <v>5196.6777393017983</v>
      </c>
      <c r="AT42" s="101">
        <f t="shared" si="33"/>
        <v>0</v>
      </c>
      <c r="AU42" s="101">
        <f t="shared" si="34"/>
        <v>5000</v>
      </c>
      <c r="AV42" s="101"/>
      <c r="AW42" s="101" t="e">
        <f>VLOOKUP(AT42,BSFC!A$64:A$82,1,FALSE)</f>
        <v>#N/A</v>
      </c>
      <c r="AX42" s="101" t="e" cm="1">
        <f t="array" ref="AX42">_xlfn.XLOOKUP(AT42,BSFC!A$64:A$82,,-1,_xlfn.XLOOKUP(Data!AU42,BSFC!C$63:Q$63,BSFC!B$64:Q$82,,-1))</f>
        <v>#VALUE!</v>
      </c>
      <c r="AY42" s="101">
        <f>HLOOKUP(AU42,BSFC!F$63:Q$63,1)</f>
        <v>5000</v>
      </c>
      <c r="AZ42" s="101">
        <f>MATCH(AT42,BSFC!A$64:A$83,0)</f>
        <v>20</v>
      </c>
      <c r="BA42" s="101">
        <f>MATCH(AU42,BSFC!C$63:Q$63,0)</f>
        <v>10</v>
      </c>
      <c r="BB42" s="101" cm="1">
        <f t="array" ref="BB42">INDEX(BSFC!C$64:Q$83,Data!AZ42,Data!BA42)</f>
        <v>675</v>
      </c>
      <c r="BC42" s="101">
        <f>0.5*'Vehicle Data'!C$6*Data!Z42^2</f>
        <v>9798.8483192912299</v>
      </c>
      <c r="BD42" s="101">
        <f t="shared" si="14"/>
        <v>0</v>
      </c>
      <c r="BE42" s="101">
        <f t="shared" si="35"/>
        <v>0</v>
      </c>
      <c r="BF42" s="101">
        <f t="shared" si="36"/>
        <v>0</v>
      </c>
      <c r="BG42" s="101">
        <f t="shared" si="15"/>
        <v>8.0992416905176228</v>
      </c>
      <c r="BH42">
        <f t="shared" si="39"/>
        <v>0</v>
      </c>
      <c r="BI42" s="148">
        <f t="shared" si="17"/>
        <v>6871.6622130335309</v>
      </c>
      <c r="BJ42" s="9"/>
      <c r="BK42" s="15"/>
      <c r="BL42" s="15"/>
      <c r="BM42" s="15"/>
      <c r="BN42" s="99"/>
      <c r="BO42">
        <f t="shared" si="18"/>
        <v>0</v>
      </c>
      <c r="BP42">
        <f t="shared" si="19"/>
        <v>9638.5736570203881</v>
      </c>
      <c r="BQ42">
        <f t="shared" si="20"/>
        <v>21478.072119290668</v>
      </c>
      <c r="BR42" s="148">
        <f t="shared" si="21"/>
        <v>42628.868763605235</v>
      </c>
      <c r="BS42" s="156" t="b">
        <f t="shared" si="22"/>
        <v>0</v>
      </c>
      <c r="BT42" s="156">
        <f t="shared" si="37"/>
        <v>0</v>
      </c>
      <c r="BU42">
        <f t="shared" si="23"/>
        <v>1978.1740927199448</v>
      </c>
      <c r="BV42">
        <f t="shared" si="24"/>
        <v>1978.1740927199448</v>
      </c>
      <c r="BW42" s="148">
        <f t="shared" si="25"/>
        <v>455.4</v>
      </c>
      <c r="BX42" s="148">
        <f t="shared" si="26"/>
        <v>3129354.9718154697</v>
      </c>
      <c r="BY42" s="148">
        <f t="shared" si="27"/>
        <v>0.250239022729073</v>
      </c>
      <c r="BZ42">
        <f t="shared" si="11"/>
        <v>5.9157003663222598</v>
      </c>
      <c r="CB42">
        <f t="shared" si="28"/>
        <v>1978.1740927199448</v>
      </c>
      <c r="CC42" s="162">
        <f t="shared" si="29"/>
        <v>8046.968952267549</v>
      </c>
      <c r="CD42">
        <f t="shared" si="38"/>
        <v>20418.85616528866</v>
      </c>
    </row>
    <row r="43" spans="4:82" x14ac:dyDescent="0.2">
      <c r="D43" s="22">
        <f t="shared" si="0"/>
        <v>0</v>
      </c>
      <c r="E43" s="23">
        <v>9.2017056000000004</v>
      </c>
      <c r="F43" s="23">
        <f>IF(K43&lt;6,1,IF(Data!K43&lt;9,2,IF(K43&gt;9,3)))</f>
        <v>3</v>
      </c>
      <c r="G43" s="23">
        <v>775.7969602286654</v>
      </c>
      <c r="H43" s="23">
        <v>212.91666499999999</v>
      </c>
      <c r="I43" s="64">
        <v>33.33679329424259</v>
      </c>
      <c r="J43" s="65">
        <f t="shared" si="1"/>
        <v>2.7834209424264147</v>
      </c>
      <c r="K43" s="65">
        <f t="shared" si="2"/>
        <v>13.334717317697036</v>
      </c>
      <c r="L43" s="65">
        <f t="shared" si="3"/>
        <v>1.1133683769705516</v>
      </c>
      <c r="M43">
        <f t="shared" si="4"/>
        <v>18.403411200000001</v>
      </c>
      <c r="N43">
        <f t="shared" si="5"/>
        <v>0</v>
      </c>
      <c r="O43">
        <f>IF(L43&lt;'Vehicle Data'!F$21,'Vehicle Data'!C$21,IF(L43&gt;'Vehicle Data'!C$21,'Vehicle Data'!C$20))</f>
        <v>0.6</v>
      </c>
      <c r="P43">
        <f>('Vehicle Data'!C$6*9.81*'Vehicle Data'!C$5*SIN(D43))/'Vehicle Data'!C$9</f>
        <v>0</v>
      </c>
      <c r="Q43" s="107">
        <f>'Vehicle Data'!C$6*9.81*SIN(D43)</f>
        <v>0</v>
      </c>
      <c r="R43">
        <f t="shared" si="6"/>
        <v>774.13205455287925</v>
      </c>
      <c r="S43">
        <f>IF(Data!O43=0.6,'Vehicle Data'!E$21,IF(Data!O43 = 0.9,'Vehicle Data'!E$20))+(P43*O43)</f>
        <v>1550.3723999999997</v>
      </c>
      <c r="T43">
        <f>IF(F43=3,'Vehicle Data'!H$16,IF(F43=2,'Vehicle Data'!H$15,IF(F43 = 1,'Vehicle Data'!G$14)))</f>
        <v>466.23005239380637</v>
      </c>
      <c r="U43" s="148">
        <f t="shared" si="7"/>
        <v>57.993572429563187</v>
      </c>
      <c r="V43" s="70" t="s">
        <v>77</v>
      </c>
      <c r="W43" s="99" t="s">
        <v>85</v>
      </c>
      <c r="X43">
        <f>IF(V43="S",'Vehicle Data'!C$14,IF(Data!V43 = "T1",'Vehicle Data'!P$2,IF(Data!V43="T2",'Vehicle Data'!P$3)))</f>
        <v>13.411199999999999</v>
      </c>
      <c r="Z43">
        <f t="shared" si="8"/>
        <v>5.7416916079212799</v>
      </c>
      <c r="AB43" t="b">
        <f>IF(AA43=1,'Vehicle Data'!I$14,IF(AA43=2,'Vehicle Data'!I$15,IF(AA43=3,'Vehicle Data'!I$16)))</f>
        <v>0</v>
      </c>
      <c r="AC43">
        <f>IF(Z43&lt;'Vehicle Data'!C$16,'Vehicle Data'!I$15,IF(Z43&lt;'Vehicle Data'!C$15,'Vehicle Data'!I$15,IF(Z42&gt;'Vehicle Data'!C$15,'Vehicle Data'!I$16)))</f>
        <v>0.98256251041858167</v>
      </c>
      <c r="AD43">
        <f>IF(O43=0.6,'Vehicle Data'!F$21,IF(O43=0.9,'Vehicle Data'!F$20))</f>
        <v>3.5315999999999996</v>
      </c>
      <c r="AE43" s="100">
        <f t="shared" si="9"/>
        <v>-3.5315999999999996</v>
      </c>
      <c r="AF43" s="158">
        <f t="shared" si="30"/>
        <v>0.28787417532950438</v>
      </c>
      <c r="AG43" s="101">
        <f t="shared" si="12"/>
        <v>-3.2644512092021141</v>
      </c>
      <c r="AH43" s="101">
        <f t="shared" si="31"/>
        <v>6.203574541651764</v>
      </c>
      <c r="AI43" s="101"/>
      <c r="AJ43" s="101">
        <f>(Z43^2)*'Vehicle Data'!C$31</f>
        <v>12.115380776274073</v>
      </c>
      <c r="AK43" s="101">
        <f>IF(O43=0.6,'Vehicle Data'!C$6*'Vehicle Data'!D$21*9.81,IF(O43=0.9,'Vehicle Data'!C$6*9.81*'Vehicle Data'!D$20))</f>
        <v>86.131799999999998</v>
      </c>
      <c r="AL43" s="101">
        <f t="shared" si="10"/>
        <v>98.247180776274064</v>
      </c>
      <c r="AM43" s="101"/>
      <c r="AN43" s="101">
        <f>IF(AG43&lt;0,AG43*'Vehicle Data'!C$6)</f>
        <v>-1433.0940808397281</v>
      </c>
      <c r="AO43" s="101">
        <f t="shared" si="13"/>
        <v>-1334.8469000634541</v>
      </c>
      <c r="AP43" s="101">
        <f>AO43*'Vehicle Data'!F$3</f>
        <v>-341.18686765621885</v>
      </c>
      <c r="AQ43" s="101" t="b">
        <f>IF(AE43='Vehicle Data'!I$15,AP43/'Vehicle Data'!G$15,IF(AE43='Vehicle Data'!I$16,AP43/'Vehicle Data'!G$16,IF(AE43='Vehicle Data'!I$14,Data!AP43/'Vehicle Data'!G$14)))</f>
        <v>0</v>
      </c>
      <c r="AR43" s="101">
        <f>IF(Z43&lt;'Vehicle Data'!C$16, Z43*'Vehicle Data'!F$7*'Vehicle Data'!G$14,IF(Z43&lt;'Vehicle Data'!C$15,Z43*'Vehicle Data'!F$7*'Vehicle Data'!G$15,IF(Z43&gt;'Vehicle Data'!C$15,Z43*'Vehicle Data'!F$7*'Vehicle Data'!G$16)))</f>
        <v>111.64400348735822</v>
      </c>
      <c r="AS43" s="101">
        <f t="shared" si="32"/>
        <v>6698.6402092414928</v>
      </c>
      <c r="AT43" s="101">
        <f t="shared" si="33"/>
        <v>0</v>
      </c>
      <c r="AU43" s="101">
        <f t="shared" si="34"/>
        <v>6500</v>
      </c>
      <c r="AV43" s="101"/>
      <c r="AW43" s="101" t="e">
        <f>VLOOKUP(AT43,BSFC!A$64:A$82,1,FALSE)</f>
        <v>#N/A</v>
      </c>
      <c r="AX43" s="101" t="e" cm="1">
        <f t="array" ref="AX43">_xlfn.XLOOKUP(AT43,BSFC!A$64:A$82,,-1,_xlfn.XLOOKUP(Data!AU43,BSFC!C$63:Q$63,BSFC!B$64:Q$82,,-1))</f>
        <v>#VALUE!</v>
      </c>
      <c r="AY43" s="101">
        <f>HLOOKUP(AU43,BSFC!F$63:Q$63,1)</f>
        <v>6500</v>
      </c>
      <c r="AZ43" s="101">
        <f>MATCH(AT43,BSFC!A$64:A$83,0)</f>
        <v>20</v>
      </c>
      <c r="BA43" s="101">
        <f>MATCH(AU43,BSFC!C$63:Q$63,0)</f>
        <v>13</v>
      </c>
      <c r="BB43" s="101" cm="1">
        <f t="array" ref="BB43">INDEX(BSFC!C$64:Q$83,Data!AZ43,Data!BA43)</f>
        <v>675</v>
      </c>
      <c r="BC43" s="101">
        <f>0.5*'Vehicle Data'!C$6*Data!Z43^2</f>
        <v>7236.2614432439677</v>
      </c>
      <c r="BD43" s="101">
        <f t="shared" si="14"/>
        <v>0</v>
      </c>
      <c r="BE43" s="101">
        <f t="shared" si="35"/>
        <v>0</v>
      </c>
      <c r="BF43" s="101">
        <f t="shared" si="36"/>
        <v>0</v>
      </c>
      <c r="BG43" s="101">
        <f t="shared" si="15"/>
        <v>8.0992416905176228</v>
      </c>
      <c r="BH43">
        <f t="shared" si="39"/>
        <v>0</v>
      </c>
      <c r="BI43" s="148">
        <f t="shared" si="17"/>
        <v>6871.6622130335309</v>
      </c>
      <c r="BJ43" s="9"/>
      <c r="BK43" s="15"/>
      <c r="BL43" s="15"/>
      <c r="BM43" s="15"/>
      <c r="BN43" s="10"/>
      <c r="BO43">
        <f t="shared" si="18"/>
        <v>0</v>
      </c>
      <c r="BP43">
        <f t="shared" si="19"/>
        <v>9638.5736570203881</v>
      </c>
      <c r="BQ43">
        <f t="shared" si="20"/>
        <v>21478.072119290668</v>
      </c>
      <c r="BR43" s="148">
        <f t="shared" si="21"/>
        <v>45993.771534359563</v>
      </c>
      <c r="BS43" s="156" t="b">
        <f t="shared" si="22"/>
        <v>0</v>
      </c>
      <c r="BT43" s="156">
        <f t="shared" si="37"/>
        <v>0</v>
      </c>
      <c r="BU43">
        <f t="shared" si="23"/>
        <v>3364.9027707543246</v>
      </c>
      <c r="BV43">
        <f t="shared" si="24"/>
        <v>3364.9027707543246</v>
      </c>
      <c r="BW43" s="148">
        <f t="shared" si="25"/>
        <v>455.4</v>
      </c>
      <c r="BX43" s="148">
        <f t="shared" si="26"/>
        <v>3129354.9718154697</v>
      </c>
      <c r="BY43" s="148">
        <f t="shared" si="27"/>
        <v>0.42566020050042197</v>
      </c>
      <c r="BZ43">
        <f t="shared" si="11"/>
        <v>6.203574541651764</v>
      </c>
      <c r="CB43">
        <f t="shared" si="28"/>
        <v>3364.9027707543246</v>
      </c>
      <c r="CC43" s="162">
        <f t="shared" si="29"/>
        <v>11688.796908937096</v>
      </c>
      <c r="CD43">
        <f t="shared" si="38"/>
        <v>23783.758936042985</v>
      </c>
    </row>
    <row r="44" spans="4:82" x14ac:dyDescent="0.2">
      <c r="D44" s="22">
        <f t="shared" si="0"/>
        <v>0</v>
      </c>
      <c r="E44" s="23">
        <v>9.2017056000000004</v>
      </c>
      <c r="F44" s="23">
        <f>IF(K44&lt;6,1,IF(Data!K44&lt;9,2,IF(K44&gt;9,3)))</f>
        <v>3</v>
      </c>
      <c r="G44" s="23">
        <v>777.47179439771401</v>
      </c>
      <c r="H44" s="23">
        <v>212.96666499999998</v>
      </c>
      <c r="I44" s="64">
        <v>33.475964341363863</v>
      </c>
      <c r="J44" s="65">
        <f t="shared" si="1"/>
        <v>3.0419230575738445</v>
      </c>
      <c r="K44" s="65">
        <f t="shared" si="2"/>
        <v>13.390385736545545</v>
      </c>
      <c r="L44" s="65">
        <f t="shared" si="3"/>
        <v>1.2167692230295377</v>
      </c>
      <c r="M44">
        <f t="shared" si="4"/>
        <v>18.403411200000001</v>
      </c>
      <c r="N44">
        <f t="shared" si="5"/>
        <v>0</v>
      </c>
      <c r="O44">
        <f>IF(L44&lt;'Vehicle Data'!F$21,'Vehicle Data'!C$21,IF(L44&gt;'Vehicle Data'!C$21,'Vehicle Data'!C$20))</f>
        <v>0.6</v>
      </c>
      <c r="P44">
        <f>('Vehicle Data'!C$6*9.81*'Vehicle Data'!C$5*SIN(D44))/'Vehicle Data'!C$9</f>
        <v>0</v>
      </c>
      <c r="Q44" s="107">
        <f>'Vehicle Data'!C$6*9.81*SIN(D44)</f>
        <v>0</v>
      </c>
      <c r="R44">
        <f t="shared" si="6"/>
        <v>775.7969602286654</v>
      </c>
      <c r="S44">
        <f>IF(Data!O44=0.6,'Vehicle Data'!E$21,IF(Data!O44 = 0.9,'Vehicle Data'!E$20))+(P44*O44)</f>
        <v>1550.3723999999997</v>
      </c>
      <c r="T44">
        <f>IF(F44=3,'Vehicle Data'!H$16,IF(F44=2,'Vehicle Data'!H$15,IF(F44 = 1,'Vehicle Data'!G$14)))</f>
        <v>466.23005239380637</v>
      </c>
      <c r="U44" s="148">
        <f t="shared" si="7"/>
        <v>59.658478105349332</v>
      </c>
      <c r="V44" s="70" t="s">
        <v>77</v>
      </c>
      <c r="W44" s="99" t="s">
        <v>85</v>
      </c>
      <c r="X44">
        <f>IF(V44="S",'Vehicle Data'!C$14,IF(Data!V44 = "T1",'Vehicle Data'!P$2,IF(Data!V44="T2",'Vehicle Data'!P$3)))</f>
        <v>13.411199999999999</v>
      </c>
      <c r="Z44">
        <v>3.4</v>
      </c>
      <c r="AB44" t="b">
        <f>IF(AA44=1,'Vehicle Data'!I$14,IF(AA44=2,'Vehicle Data'!I$15,IF(AA44=3,'Vehicle Data'!I$16)))</f>
        <v>0</v>
      </c>
      <c r="AC44">
        <f>IF(Z44&lt;'Vehicle Data'!C$16,'Vehicle Data'!I$15,IF(Z44&lt;'Vehicle Data'!C$15,'Vehicle Data'!I$15,IF(Z43&gt;'Vehicle Data'!C$15,'Vehicle Data'!I$16)))</f>
        <v>0.98256251041858167</v>
      </c>
      <c r="AD44">
        <f>IF(O44=0.6,'Vehicle Data'!F$21,IF(O44=0.9,'Vehicle Data'!F$20))</f>
        <v>3.5315999999999996</v>
      </c>
      <c r="AE44" s="100">
        <f t="shared" si="9"/>
        <v>-3.5315999999999996</v>
      </c>
      <c r="AF44" s="158">
        <f t="shared" si="30"/>
        <v>0.4896781399371013</v>
      </c>
      <c r="AG44" s="101">
        <f t="shared" si="12"/>
        <v>-4.7821036246830788</v>
      </c>
      <c r="AH44" s="101">
        <f t="shared" si="31"/>
        <v>6.6932526815888655</v>
      </c>
      <c r="AI44" s="101"/>
      <c r="AJ44" s="101">
        <f>(Z44^2)*'Vehicle Data'!C$31</f>
        <v>4.2483000000000004</v>
      </c>
      <c r="AK44" s="101">
        <f>IF(O44=0.6,'Vehicle Data'!C$6*'Vehicle Data'!D$21*9.81,IF(O44=0.9,'Vehicle Data'!C$6*9.81*'Vehicle Data'!D$20))</f>
        <v>86.131799999999998</v>
      </c>
      <c r="AL44" s="101">
        <f t="shared" si="10"/>
        <v>90.380099999999999</v>
      </c>
      <c r="AM44" s="101"/>
      <c r="AN44" s="101">
        <f>IF(AG44&lt;0,AG44*'Vehicle Data'!C$6)</f>
        <v>-2099.3434912358716</v>
      </c>
      <c r="AO44" s="101">
        <f t="shared" si="13"/>
        <v>-2008.9633912358715</v>
      </c>
      <c r="AP44" s="101">
        <f>AO44*'Vehicle Data'!F$3</f>
        <v>-513.49104279988876</v>
      </c>
      <c r="AQ44" s="101" t="b">
        <f>IF(AE44='Vehicle Data'!I$15,AP44/'Vehicle Data'!G$15,IF(AE44='Vehicle Data'!I$16,AP44/'Vehicle Data'!G$16,IF(AE44='Vehicle Data'!I$14,Data!AP44/'Vehicle Data'!G$14)))</f>
        <v>0</v>
      </c>
      <c r="AR44" s="101">
        <f>IF(Z44&lt;'Vehicle Data'!C$16, Z44*'Vehicle Data'!F$7*'Vehicle Data'!G$14,IF(Z44&lt;'Vehicle Data'!C$15,Z44*'Vehicle Data'!F$7*'Vehicle Data'!G$15,IF(Z44&gt;'Vehicle Data'!C$15,Z44*'Vehicle Data'!F$7*'Vehicle Data'!G$16)))</f>
        <v>66.1111111111111</v>
      </c>
      <c r="AS44" s="101">
        <f t="shared" si="32"/>
        <v>3966.6666666666661</v>
      </c>
      <c r="AT44" s="101">
        <f t="shared" si="33"/>
        <v>0</v>
      </c>
      <c r="AU44" s="101">
        <f t="shared" si="34"/>
        <v>4000</v>
      </c>
      <c r="AV44" s="101"/>
      <c r="AW44" s="101" t="e">
        <f>VLOOKUP(AT44,BSFC!A$64:A$82,1,FALSE)</f>
        <v>#N/A</v>
      </c>
      <c r="AX44" s="101" t="e" cm="1">
        <f t="array" ref="AX44">_xlfn.XLOOKUP(AT44,BSFC!A$64:A$82,,-1,_xlfn.XLOOKUP(Data!AU44,BSFC!C$63:Q$63,BSFC!B$64:Q$82,,-1))</f>
        <v>#VALUE!</v>
      </c>
      <c r="AY44" s="101">
        <f>HLOOKUP(AU44,BSFC!F$63:Q$63,1)</f>
        <v>4000</v>
      </c>
      <c r="AZ44" s="101">
        <f>MATCH(AT44,BSFC!A$64:A$83,0)</f>
        <v>20</v>
      </c>
      <c r="BA44" s="101">
        <f>MATCH(AU44,BSFC!C$63:Q$63,0)</f>
        <v>8</v>
      </c>
      <c r="BB44" s="101" cm="1">
        <f t="array" ref="BB44">INDEX(BSFC!C$64:Q$83,Data!AZ44,Data!BA44)</f>
        <v>750</v>
      </c>
      <c r="BC44" s="101">
        <f>0.5*'Vehicle Data'!C$6*Data!Z44^2</f>
        <v>2537.4199999999996</v>
      </c>
      <c r="BD44" s="101">
        <f t="shared" si="14"/>
        <v>0</v>
      </c>
      <c r="BE44" s="101">
        <f t="shared" si="35"/>
        <v>0</v>
      </c>
      <c r="BF44" s="101">
        <f t="shared" si="36"/>
        <v>0</v>
      </c>
      <c r="BG44" s="101">
        <f t="shared" si="15"/>
        <v>8.0992416905176228</v>
      </c>
      <c r="BH44">
        <f t="shared" si="39"/>
        <v>0</v>
      </c>
      <c r="BI44" s="148">
        <f t="shared" si="17"/>
        <v>6871.6622130335309</v>
      </c>
      <c r="BJ44" s="9"/>
      <c r="BK44" s="108"/>
      <c r="BL44" s="15"/>
      <c r="BM44" s="15"/>
      <c r="BN44" s="10"/>
      <c r="BO44">
        <f t="shared" si="18"/>
        <v>0</v>
      </c>
      <c r="BP44">
        <f t="shared" si="19"/>
        <v>9638.5736570203881</v>
      </c>
      <c r="BQ44">
        <f t="shared" si="20"/>
        <v>21478.072119290668</v>
      </c>
      <c r="BR44" s="148">
        <f t="shared" si="21"/>
        <v>49534.969895143789</v>
      </c>
      <c r="BS44" s="156" t="b">
        <f t="shared" si="22"/>
        <v>0</v>
      </c>
      <c r="BT44" s="156">
        <f t="shared" si="37"/>
        <v>0</v>
      </c>
      <c r="BU44">
        <f t="shared" si="23"/>
        <v>3541.1983607842267</v>
      </c>
      <c r="BV44">
        <f t="shared" si="24"/>
        <v>3541.1983607842267</v>
      </c>
      <c r="BW44" s="148">
        <f t="shared" si="25"/>
        <v>455.4</v>
      </c>
      <c r="BX44" s="148">
        <f t="shared" si="26"/>
        <v>3129354.9718154697</v>
      </c>
      <c r="BY44" s="148">
        <f t="shared" si="27"/>
        <v>0.44796159263920465</v>
      </c>
      <c r="BZ44">
        <f t="shared" si="11"/>
        <v>6.6932526815888655</v>
      </c>
      <c r="CB44">
        <f t="shared" si="28"/>
        <v>3541.1983607842267</v>
      </c>
      <c r="CC44" s="162">
        <f t="shared" si="29"/>
        <v>7231.6856154515881</v>
      </c>
      <c r="CD44">
        <f t="shared" si="38"/>
        <v>27324.957296827211</v>
      </c>
    </row>
    <row r="45" spans="4:82" x14ac:dyDescent="0.2">
      <c r="D45" s="22">
        <f t="shared" si="0"/>
        <v>0</v>
      </c>
      <c r="E45" s="23">
        <v>9.2017056000000004</v>
      </c>
      <c r="F45" s="23">
        <f>IF(K45&lt;6,1,IF(Data!K45&lt;9,2,IF(K45&gt;9,3)))</f>
        <v>3</v>
      </c>
      <c r="G45" s="23">
        <v>779.15716743160533</v>
      </c>
      <c r="H45" s="23">
        <v>213.01666499999999</v>
      </c>
      <c r="I45" s="64">
        <v>33.62806049424259</v>
      </c>
      <c r="J45" s="65">
        <f t="shared" si="1"/>
        <v>3.0165787439773588</v>
      </c>
      <c r="K45" s="65">
        <f t="shared" si="2"/>
        <v>13.451224197697035</v>
      </c>
      <c r="L45" s="65">
        <f t="shared" si="3"/>
        <v>1.2066314975909362</v>
      </c>
      <c r="M45">
        <f t="shared" si="4"/>
        <v>18.403411200000001</v>
      </c>
      <c r="N45">
        <f t="shared" si="5"/>
        <v>0</v>
      </c>
      <c r="O45">
        <f>IF(L45&lt;'Vehicle Data'!F$21,'Vehicle Data'!C$21,IF(L45&gt;'Vehicle Data'!C$21,'Vehicle Data'!C$20))</f>
        <v>0.6</v>
      </c>
      <c r="P45">
        <f>('Vehicle Data'!C$6*9.81*'Vehicle Data'!C$5*SIN(D45))/'Vehicle Data'!C$9</f>
        <v>0</v>
      </c>
      <c r="Q45" s="107">
        <f>'Vehicle Data'!C$6*9.81*SIN(D45)</f>
        <v>0</v>
      </c>
      <c r="R45">
        <f t="shared" si="6"/>
        <v>777.47179439771401</v>
      </c>
      <c r="S45">
        <f>IF(Data!O45=0.6,'Vehicle Data'!E$21,IF(Data!O45 = 0.9,'Vehicle Data'!E$20))+(P45*O45)</f>
        <v>1550.3723999999997</v>
      </c>
      <c r="T45">
        <f>IF(F45=3,'Vehicle Data'!H$16,IF(F45=2,'Vehicle Data'!H$15,IF(F45 = 1,'Vehicle Data'!G$14)))</f>
        <v>466.23005239380637</v>
      </c>
      <c r="U45" s="148">
        <f t="shared" si="7"/>
        <v>61.33331227439794</v>
      </c>
      <c r="V45" s="70" t="s">
        <v>77</v>
      </c>
      <c r="W45" s="99" t="s">
        <v>85</v>
      </c>
      <c r="X45">
        <f>IF(V45="S",'Vehicle Data'!C$14,IF(Data!V45 = "T1",'Vehicle Data'!P$2,IF(Data!V45="T2",'Vehicle Data'!P$3)))</f>
        <v>13.411199999999999</v>
      </c>
      <c r="Z45">
        <v>3.25</v>
      </c>
      <c r="AB45" t="b">
        <f>IF(AA45=1,'Vehicle Data'!I$14,IF(AA45=2,'Vehicle Data'!I$15,IF(AA45=3,'Vehicle Data'!I$16)))</f>
        <v>0</v>
      </c>
      <c r="AC45">
        <f>IF(Z45&lt;'Vehicle Data'!C$16,'Vehicle Data'!I$15,IF(Z45&lt;'Vehicle Data'!C$15,'Vehicle Data'!I$15,IF(Z44&gt;'Vehicle Data'!C$15,'Vehicle Data'!I$16)))</f>
        <v>0.98256251041858167</v>
      </c>
      <c r="AD45">
        <f>IF(O45=0.6,'Vehicle Data'!F$21,IF(O45=0.9,'Vehicle Data'!F$20))</f>
        <v>3.5315999999999996</v>
      </c>
      <c r="AE45" s="100">
        <f t="shared" si="9"/>
        <v>-3.5315999999999996</v>
      </c>
      <c r="AF45" s="158">
        <f t="shared" si="30"/>
        <v>0.51533359047649496</v>
      </c>
      <c r="AG45" s="101">
        <f t="shared" si="12"/>
        <v>-0.29107359343935801</v>
      </c>
      <c r="AH45" s="101">
        <f t="shared" si="31"/>
        <v>7.2085862720653608</v>
      </c>
      <c r="AI45" s="101"/>
      <c r="AJ45" s="101">
        <f>(Z45^2)*'Vehicle Data'!C$31</f>
        <v>3.881718750000001</v>
      </c>
      <c r="AK45" s="101">
        <f>IF(O45=0.6,'Vehicle Data'!C$6*'Vehicle Data'!D$21*9.81,IF(O45=0.9,'Vehicle Data'!C$6*9.81*'Vehicle Data'!D$20))</f>
        <v>86.131799999999998</v>
      </c>
      <c r="AL45" s="101">
        <f t="shared" si="10"/>
        <v>90.013518750000003</v>
      </c>
      <c r="AM45" s="101"/>
      <c r="AN45" s="101">
        <f>IF(AG45&lt;0,AG45*'Vehicle Data'!C$6)</f>
        <v>-127.78130751987817</v>
      </c>
      <c r="AO45" s="101">
        <f t="shared" si="13"/>
        <v>-37.767788769878166</v>
      </c>
      <c r="AP45" s="101">
        <f>AO45*'Vehicle Data'!F$3</f>
        <v>-9.6534468095808599</v>
      </c>
      <c r="AQ45" s="101" t="b">
        <f>IF(AE45='Vehicle Data'!I$15,AP45/'Vehicle Data'!G$15,IF(AE45='Vehicle Data'!I$16,AP45/'Vehicle Data'!G$16,IF(AE45='Vehicle Data'!I$14,Data!AP45/'Vehicle Data'!G$14)))</f>
        <v>0</v>
      </c>
      <c r="AR45" s="101">
        <f>IF(Z45&lt;'Vehicle Data'!C$16, Z45*'Vehicle Data'!F$7*'Vehicle Data'!G$14,IF(Z45&lt;'Vehicle Data'!C$15,Z45*'Vehicle Data'!F$7*'Vehicle Data'!G$15,IF(Z45&gt;'Vehicle Data'!C$15,Z45*'Vehicle Data'!F$7*'Vehicle Data'!G$16)))</f>
        <v>63.194444444444443</v>
      </c>
      <c r="AS45" s="101">
        <f t="shared" si="32"/>
        <v>3791.6666666666665</v>
      </c>
      <c r="AT45" s="101">
        <f t="shared" si="33"/>
        <v>0</v>
      </c>
      <c r="AU45" s="101">
        <f t="shared" si="34"/>
        <v>4000</v>
      </c>
      <c r="AV45" s="101"/>
      <c r="AW45" s="101" t="e">
        <f>VLOOKUP(AT45,BSFC!A$64:A$82,1,FALSE)</f>
        <v>#N/A</v>
      </c>
      <c r="AX45" s="101" t="e" cm="1">
        <f t="array" ref="AX45">_xlfn.XLOOKUP(AT45,BSFC!A$64:A$82,,-1,_xlfn.XLOOKUP(Data!AU45,BSFC!C$63:Q$63,BSFC!B$64:Q$82,,-1))</f>
        <v>#VALUE!</v>
      </c>
      <c r="AY45" s="101">
        <f>HLOOKUP(AU45,BSFC!F$63:Q$63,1)</f>
        <v>4000</v>
      </c>
      <c r="AZ45" s="101">
        <f>MATCH(AT45,BSFC!A$64:A$83,0)</f>
        <v>20</v>
      </c>
      <c r="BA45" s="101">
        <f>MATCH(AU45,BSFC!C$63:Q$63,0)</f>
        <v>8</v>
      </c>
      <c r="BB45" s="101" cm="1">
        <f t="array" ref="BB45">INDEX(BSFC!C$64:Q$83,Data!AZ45,Data!BA45)</f>
        <v>750</v>
      </c>
      <c r="BC45" s="101">
        <f>0.5*'Vehicle Data'!C$6*Data!Z45^2</f>
        <v>2318.46875</v>
      </c>
      <c r="BD45" s="101">
        <f t="shared" si="14"/>
        <v>6.2112456793690738</v>
      </c>
      <c r="BE45" s="101">
        <f t="shared" si="35"/>
        <v>4658.4342595268054</v>
      </c>
      <c r="BF45" s="101">
        <f t="shared" si="36"/>
        <v>0.66684657026685024</v>
      </c>
      <c r="BG45" s="101">
        <f t="shared" si="15"/>
        <v>8.766088260784473</v>
      </c>
      <c r="BH45">
        <f t="shared" si="39"/>
        <v>0</v>
      </c>
      <c r="BI45" s="148">
        <f t="shared" si="17"/>
        <v>6871.6622130335309</v>
      </c>
      <c r="BJ45" s="9"/>
      <c r="BK45" s="15"/>
      <c r="BL45" s="15"/>
      <c r="BM45" s="15"/>
      <c r="BN45" s="10"/>
      <c r="BO45">
        <f t="shared" si="18"/>
        <v>0</v>
      </c>
      <c r="BP45">
        <f t="shared" si="19"/>
        <v>9638.5736570203881</v>
      </c>
      <c r="BQ45">
        <f t="shared" si="20"/>
        <v>21478.072119290668</v>
      </c>
      <c r="BR45" s="148">
        <f t="shared" si="21"/>
        <v>53093.015107562358</v>
      </c>
      <c r="BS45" s="156" t="b">
        <f t="shared" si="22"/>
        <v>0</v>
      </c>
      <c r="BT45" s="156">
        <f t="shared" si="37"/>
        <v>0</v>
      </c>
      <c r="BU45">
        <f t="shared" si="23"/>
        <v>3558.0452124185708</v>
      </c>
      <c r="BV45">
        <f t="shared" si="24"/>
        <v>3558.0452124185708</v>
      </c>
      <c r="BW45" s="148">
        <f t="shared" si="25"/>
        <v>455.4</v>
      </c>
      <c r="BX45" s="148">
        <f t="shared" si="26"/>
        <v>3129354.9718154697</v>
      </c>
      <c r="BY45" s="148">
        <f t="shared" si="27"/>
        <v>0.45009271937094919</v>
      </c>
      <c r="BZ45">
        <f t="shared" si="11"/>
        <v>7.2085862720653608</v>
      </c>
      <c r="CB45">
        <f t="shared" si="28"/>
        <v>3558.0452124185708</v>
      </c>
      <c r="CC45" s="162">
        <f t="shared" si="29"/>
        <v>6904.3533706558483</v>
      </c>
      <c r="CD45">
        <f t="shared" si="38"/>
        <v>30883.002509245784</v>
      </c>
    </row>
    <row r="46" spans="4:82" x14ac:dyDescent="0.2">
      <c r="D46" s="22">
        <f t="shared" si="0"/>
        <v>0</v>
      </c>
      <c r="E46" s="23">
        <v>9.2017056000000004</v>
      </c>
      <c r="F46" s="23">
        <f>IF(K46&lt;6,1,IF(Data!K46&lt;9,2,IF(K46&gt;9,3)))</f>
        <v>3</v>
      </c>
      <c r="G46" s="23">
        <v>780.85267103307592</v>
      </c>
      <c r="H46" s="23">
        <v>213.066665</v>
      </c>
      <c r="I46" s="64">
        <v>33.778889431441492</v>
      </c>
      <c r="J46" s="65">
        <f t="shared" si="1"/>
        <v>2.9820992862393547</v>
      </c>
      <c r="K46" s="65">
        <f t="shared" si="2"/>
        <v>13.511555772576596</v>
      </c>
      <c r="L46" s="65">
        <f t="shared" si="3"/>
        <v>1.1928397144957419</v>
      </c>
      <c r="M46">
        <f t="shared" si="4"/>
        <v>18.403411200000001</v>
      </c>
      <c r="N46">
        <f t="shared" si="5"/>
        <v>0</v>
      </c>
      <c r="O46">
        <f>IF(L46&lt;'Vehicle Data'!F$21,'Vehicle Data'!C$21,IF(L46&gt;'Vehicle Data'!C$21,'Vehicle Data'!C$20))</f>
        <v>0.6</v>
      </c>
      <c r="P46">
        <f>('Vehicle Data'!C$6*9.81*'Vehicle Data'!C$5*SIN(D46))/'Vehicle Data'!C$9</f>
        <v>0</v>
      </c>
      <c r="Q46" s="107">
        <f>'Vehicle Data'!C$6*9.81*SIN(D46)</f>
        <v>0</v>
      </c>
      <c r="R46">
        <f t="shared" si="6"/>
        <v>779.15716743160533</v>
      </c>
      <c r="S46">
        <f>IF(Data!O46=0.6,'Vehicle Data'!E$21,IF(Data!O46 = 0.9,'Vehicle Data'!E$20))+(P46*O46)</f>
        <v>1550.3723999999997</v>
      </c>
      <c r="T46">
        <f>IF(F46=3,'Vehicle Data'!H$16,IF(F46=2,'Vehicle Data'!H$15,IF(F46 = 1,'Vehicle Data'!G$14)))</f>
        <v>466.23005239380637</v>
      </c>
      <c r="U46" s="148">
        <f t="shared" si="7"/>
        <v>63.018685308289264</v>
      </c>
      <c r="V46" s="70" t="s">
        <v>77</v>
      </c>
      <c r="W46" s="99" t="s">
        <v>85</v>
      </c>
      <c r="X46">
        <f>IF(V46="S",'Vehicle Data'!C$14,IF(Data!V46 = "T1",'Vehicle Data'!P$2,IF(Data!V46="T2",'Vehicle Data'!P$3)))</f>
        <v>13.411199999999999</v>
      </c>
      <c r="Z46">
        <f>X48</f>
        <v>3.2549654376045223</v>
      </c>
      <c r="AB46" t="b">
        <f>IF(AA46=1,'Vehicle Data'!I$14,IF(AA46=2,'Vehicle Data'!I$15,IF(AA46=3,'Vehicle Data'!I$16)))</f>
        <v>0</v>
      </c>
      <c r="AC46">
        <f>IF(Z46&lt;'Vehicle Data'!C$16,'Vehicle Data'!I$15,IF(Z46&lt;'Vehicle Data'!C$15,'Vehicle Data'!I$15,IF(Z45&gt;'Vehicle Data'!C$15,'Vehicle Data'!I$16)))</f>
        <v>0.98256251041858167</v>
      </c>
      <c r="AD46">
        <f>IF(O46=0.6,'Vehicle Data'!F$21,IF(O46=0.9,'Vehicle Data'!F$20))</f>
        <v>3.5315999999999996</v>
      </c>
      <c r="AE46" s="100">
        <f t="shared" si="9"/>
        <v>-3.5315999999999996</v>
      </c>
      <c r="AF46" s="158">
        <f t="shared" si="30"/>
        <v>0.5177852318861077</v>
      </c>
      <c r="AG46" s="148">
        <f t="shared" si="12"/>
        <v>9.5897628953899618E-3</v>
      </c>
      <c r="AH46" s="148">
        <f t="shared" si="31"/>
        <v>7.7263715039514684</v>
      </c>
      <c r="AJ46">
        <f>(Z46^2)*'Vehicle Data'!C$31</f>
        <v>3.8935890000000009</v>
      </c>
      <c r="AK46">
        <f>IF(O46=0.6,'Vehicle Data'!C$6*'Vehicle Data'!D$21*9.81,IF(O46=0.9,'Vehicle Data'!C$6*9.81*'Vehicle Data'!D$20))</f>
        <v>86.131799999999998</v>
      </c>
      <c r="AL46">
        <f t="shared" si="10"/>
        <v>90.025389000000004</v>
      </c>
      <c r="AN46">
        <f>IF(AG46&gt;0,AG46*'Vehicle Data'!C$6,IF(AG46=0,AG46))</f>
        <v>4.2099059110761932</v>
      </c>
      <c r="AO46">
        <f t="shared" si="13"/>
        <v>94.235294911076195</v>
      </c>
      <c r="AP46">
        <f>AO46*'Vehicle Data'!F$3</f>
        <v>24.086541379271075</v>
      </c>
      <c r="AQ46">
        <f>IF(AE35='Vehicle Data'!I$15,AP35/'Vehicle Data'!G$15,IF(AE35='Vehicle Data'!I$16,AP35/'Vehicle Data'!G$16,IF(AE35='Vehicle Data'!I$14,Data!AP35/'Vehicle Data'!G46)))</f>
        <v>15.682437375508558</v>
      </c>
      <c r="AR46">
        <f>IF(Z46&lt;'Vehicle Data'!C$16, Z46*'Vehicle Data'!F$7*'Vehicle Data'!G$14,IF(Z46&lt;'Vehicle Data'!C$15,Z46*'Vehicle Data'!F$7*'Vehicle Data'!G$15,IF(Z46&gt;'Vehicle Data'!C$15,Z46*'Vehicle Data'!F$7*'Vehicle Data'!G$16)))</f>
        <v>63.290994620087929</v>
      </c>
      <c r="AS46">
        <f t="shared" si="32"/>
        <v>3797.4596772052755</v>
      </c>
      <c r="AT46">
        <f t="shared" si="33"/>
        <v>16</v>
      </c>
      <c r="AU46">
        <f t="shared" si="34"/>
        <v>4000</v>
      </c>
      <c r="AW46">
        <f>VLOOKUP(AT46,BSFC!A$64:A$82,1,FALSE)</f>
        <v>16</v>
      </c>
      <c r="AX46" t="e" cm="1">
        <f t="array" ref="AX46">_xlfn.XLOOKUP(AT46,BSFC!A$64:A$82,,-1,_xlfn.XLOOKUP(Data!AU46,BSFC!C$63:Q$63,BSFC!B$64:Q$82,,-1))</f>
        <v>#VALUE!</v>
      </c>
      <c r="AY46">
        <f>HLOOKUP(AU46,BSFC!F$63:Q$63,1)</f>
        <v>4000</v>
      </c>
      <c r="AZ46">
        <f>MATCH(AT46,BSFC!A$64:A$83,0)</f>
        <v>7</v>
      </c>
      <c r="BA46">
        <f>MATCH(AU46,BSFC!C$63:Q$63,0)</f>
        <v>8</v>
      </c>
      <c r="BB46" cm="1">
        <f t="array" ref="BB46">INDEX(BSFC!C$64:Q$83,Data!AZ46,Data!BA46)</f>
        <v>550</v>
      </c>
      <c r="BC46">
        <f>0.5*'Vehicle Data'!C$6*Data!Z46^2</f>
        <v>2325.5585999999998</v>
      </c>
      <c r="BD46">
        <f t="shared" si="14"/>
        <v>0</v>
      </c>
      <c r="BE46">
        <f t="shared" si="35"/>
        <v>0</v>
      </c>
      <c r="BF46">
        <f t="shared" si="36"/>
        <v>0</v>
      </c>
      <c r="BG46">
        <f t="shared" si="15"/>
        <v>8.766088260784473</v>
      </c>
      <c r="BH46">
        <f t="shared" si="39"/>
        <v>6211.2456793690735</v>
      </c>
      <c r="BI46" s="148">
        <f t="shared" si="17"/>
        <v>6871.6622130335309</v>
      </c>
      <c r="BJ46" s="9"/>
      <c r="BK46" s="15"/>
      <c r="BL46" s="15"/>
      <c r="BM46" s="15"/>
      <c r="BN46" s="10"/>
      <c r="BO46">
        <f t="shared" si="18"/>
        <v>3235.4228088944924</v>
      </c>
      <c r="BP46">
        <f t="shared" si="19"/>
        <v>12873.996465914881</v>
      </c>
      <c r="BQ46">
        <f t="shared" si="20"/>
        <v>24713.494928185159</v>
      </c>
      <c r="BR46" s="148">
        <f t="shared" si="21"/>
        <v>56672.447286990406</v>
      </c>
      <c r="BS46" s="156">
        <f t="shared" si="22"/>
        <v>3235.4228088944924</v>
      </c>
      <c r="BT46" s="156">
        <f t="shared" si="37"/>
        <v>6211.2456793690735</v>
      </c>
      <c r="BU46">
        <f t="shared" si="23"/>
        <v>3579.4321794280477</v>
      </c>
      <c r="BV46">
        <f t="shared" si="24"/>
        <v>3579.4321794280477</v>
      </c>
      <c r="BW46" s="148">
        <f t="shared" si="25"/>
        <v>455.4</v>
      </c>
      <c r="BX46" s="148">
        <f t="shared" si="26"/>
        <v>3129354.9718154697</v>
      </c>
      <c r="BY46" s="148">
        <f t="shared" si="27"/>
        <v>0.45279817069764799</v>
      </c>
      <c r="BZ46">
        <f t="shared" si="11"/>
        <v>7.7263715039514684</v>
      </c>
      <c r="CB46">
        <f t="shared" si="28"/>
        <v>344.00937053355528</v>
      </c>
      <c r="CC46" s="162">
        <f t="shared" si="29"/>
        <v>664.38621526622421</v>
      </c>
      <c r="CD46">
        <f t="shared" si="38"/>
        <v>31227.01187977934</v>
      </c>
    </row>
    <row r="47" spans="4:82" x14ac:dyDescent="0.2">
      <c r="D47" s="22">
        <f t="shared" si="0"/>
        <v>0</v>
      </c>
      <c r="E47" s="23">
        <v>9.2017056000000004</v>
      </c>
      <c r="F47" s="23">
        <f>IF(K47&lt;6,1,IF(Data!K47&lt;9,2,IF(K47&gt;9,3)))</f>
        <v>3</v>
      </c>
      <c r="G47" s="23">
        <v>782.55742085749341</v>
      </c>
      <c r="H47" s="23">
        <v>213.11666499999998</v>
      </c>
      <c r="I47" s="64">
        <v>33.927994395753409</v>
      </c>
      <c r="J47" s="65">
        <f t="shared" si="1"/>
        <v>2.9739762776637577</v>
      </c>
      <c r="K47" s="65">
        <f t="shared" si="2"/>
        <v>13.571197758301363</v>
      </c>
      <c r="L47" s="65">
        <f t="shared" si="3"/>
        <v>1.1895905110655174</v>
      </c>
      <c r="M47">
        <f t="shared" si="4"/>
        <v>18.403411200000001</v>
      </c>
      <c r="N47">
        <f t="shared" si="5"/>
        <v>0</v>
      </c>
      <c r="O47">
        <f>IF(L47&lt;'Vehicle Data'!F$21,'Vehicle Data'!C$21,IF(L47&gt;'Vehicle Data'!C$21,'Vehicle Data'!C$20))</f>
        <v>0.6</v>
      </c>
      <c r="P47">
        <f>('Vehicle Data'!C$6*9.81*'Vehicle Data'!C$5*SIN(D47))/'Vehicle Data'!C$9</f>
        <v>0</v>
      </c>
      <c r="Q47" s="107">
        <f>'Vehicle Data'!C$6*9.81*SIN(D47)</f>
        <v>0</v>
      </c>
      <c r="R47">
        <f t="shared" si="6"/>
        <v>780.85267103307592</v>
      </c>
      <c r="S47">
        <f>IF(Data!O47=0.6,'Vehicle Data'!E$21,IF(Data!O47 = 0.9,'Vehicle Data'!E$20))+(P47*O47)</f>
        <v>1550.3723999999997</v>
      </c>
      <c r="T47">
        <f>IF(F47=3,'Vehicle Data'!H$16,IF(F47=2,'Vehicle Data'!H$15,IF(F47 = 1,'Vehicle Data'!G$14)))</f>
        <v>466.23005239380637</v>
      </c>
      <c r="U47" s="148">
        <f t="shared" si="7"/>
        <v>64.714188909759855</v>
      </c>
      <c r="V47" s="70" t="s">
        <v>77</v>
      </c>
      <c r="W47" s="99" t="s">
        <v>85</v>
      </c>
      <c r="X47">
        <f>IF(V47="S",'Vehicle Data'!C$14,IF(Data!V47 = "T1",'Vehicle Data'!P$2,IF(Data!V47="T2",'Vehicle Data'!P$3)))</f>
        <v>13.411199999999999</v>
      </c>
      <c r="Z47">
        <f t="shared" ref="Z47:Z50" si="40">X49</f>
        <v>3.2549654376045223</v>
      </c>
      <c r="AB47" t="b">
        <f>IF(AA47=1,'Vehicle Data'!I$14,IF(AA47=2,'Vehicle Data'!I$15,IF(AA47=3,'Vehicle Data'!I$16)))</f>
        <v>0</v>
      </c>
      <c r="AC47">
        <f>IF(Z47&lt;'Vehicle Data'!C$16,'Vehicle Data'!I$15,IF(Z47&lt;'Vehicle Data'!C$15,'Vehicle Data'!I$15,IF(Z46&gt;'Vehicle Data'!C$15,'Vehicle Data'!I$16)))</f>
        <v>0.98256251041858167</v>
      </c>
      <c r="AD47">
        <f>IF(O47=0.6,'Vehicle Data'!F$21,IF(O47=0.9,'Vehicle Data'!F$20))</f>
        <v>3.5315999999999996</v>
      </c>
      <c r="AE47" s="100">
        <f t="shared" si="9"/>
        <v>-3.5315999999999996</v>
      </c>
      <c r="AF47" s="158">
        <f t="shared" si="30"/>
        <v>0.52089757448189367</v>
      </c>
      <c r="AG47" s="148">
        <f t="shared" si="12"/>
        <v>0</v>
      </c>
      <c r="AH47" s="148">
        <f t="shared" si="31"/>
        <v>8.2472690784333622</v>
      </c>
      <c r="AJ47">
        <f>(Z47^2)*'Vehicle Data'!C$31</f>
        <v>3.8935890000000009</v>
      </c>
      <c r="AK47">
        <f>IF(O47=0.6,'Vehicle Data'!C$6*'Vehicle Data'!D$21*9.81,IF(O47=0.9,'Vehicle Data'!C$6*9.81*'Vehicle Data'!D$20))</f>
        <v>86.131799999999998</v>
      </c>
      <c r="AL47">
        <f t="shared" si="10"/>
        <v>90.025389000000004</v>
      </c>
      <c r="AN47">
        <f>IF(AG47&gt;0,AG47*'Vehicle Data'!C$6,IF(AG47=0,AG47))</f>
        <v>0</v>
      </c>
      <c r="AO47">
        <f t="shared" si="13"/>
        <v>90.025389000000004</v>
      </c>
      <c r="AP47">
        <f>AO47*'Vehicle Data'!F$3</f>
        <v>23.0104894284</v>
      </c>
      <c r="AQ47" t="b">
        <f>IF(AE47='Vehicle Data'!I$15,AP36/'Vehicle Data'!G$15,IF(AE47='Vehicle Data'!I$16,AP36/'Vehicle Data'!G$16,IF(AE47='Vehicle Data'!I$14,Data!AP36/'Vehicle Data'!G47)))</f>
        <v>0</v>
      </c>
      <c r="AR47">
        <f>IF(Z47&lt;'Vehicle Data'!C$16, Z47*'Vehicle Data'!F$7*'Vehicle Data'!G$14,IF(Z47&lt;'Vehicle Data'!C$15,Z47*'Vehicle Data'!F$7*'Vehicle Data'!G$15,IF(Z47&gt;'Vehicle Data'!C$15,Z47*'Vehicle Data'!F$7*'Vehicle Data'!G$16)))</f>
        <v>63.290994620087929</v>
      </c>
      <c r="AS47">
        <f t="shared" si="32"/>
        <v>3797.4596772052755</v>
      </c>
      <c r="AT47">
        <f t="shared" si="33"/>
        <v>0</v>
      </c>
      <c r="AU47">
        <f t="shared" si="34"/>
        <v>4000</v>
      </c>
      <c r="AW47" t="e">
        <f>VLOOKUP(AT47,BSFC!A$64:A$82,1,FALSE)</f>
        <v>#N/A</v>
      </c>
      <c r="AX47" t="e" cm="1">
        <f t="array" ref="AX47">_xlfn.XLOOKUP(AT47,BSFC!A$64:A$82,,-1,_xlfn.XLOOKUP(Data!AU47,BSFC!C$63:Q$63,BSFC!B$64:Q$82,,-1))</f>
        <v>#VALUE!</v>
      </c>
      <c r="AY47">
        <f>HLOOKUP(AU47,BSFC!F$63:Q$63,1)</f>
        <v>4000</v>
      </c>
      <c r="AZ47">
        <f>MATCH(AT47,BSFC!A$64:A$83,0)</f>
        <v>20</v>
      </c>
      <c r="BA47">
        <f>MATCH(AU47,BSFC!C$63:Q$63,0)</f>
        <v>8</v>
      </c>
      <c r="BB47" cm="1">
        <f t="array" ref="BB47">INDEX(BSFC!C$64:Q$83,Data!AZ47,Data!BA47)</f>
        <v>750</v>
      </c>
      <c r="BC47">
        <f>0.5*'Vehicle Data'!C$6*Data!Z47^2</f>
        <v>2325.5585999999998</v>
      </c>
      <c r="BD47">
        <f t="shared" si="14"/>
        <v>18.212251542903768</v>
      </c>
      <c r="BE47">
        <f t="shared" si="35"/>
        <v>13659.188657177827</v>
      </c>
      <c r="BF47">
        <f t="shared" si="36"/>
        <v>1.9763995113651456</v>
      </c>
      <c r="BG47">
        <f t="shared" si="15"/>
        <v>10.742487772149619</v>
      </c>
      <c r="BH47">
        <f t="shared" si="39"/>
        <v>0</v>
      </c>
      <c r="BI47" s="148">
        <f t="shared" si="17"/>
        <v>6871.6622130335309</v>
      </c>
      <c r="BJ47" s="9"/>
      <c r="BK47" s="108"/>
      <c r="BL47" s="15"/>
      <c r="BM47" s="15"/>
      <c r="BN47" s="10"/>
      <c r="BO47">
        <f t="shared" si="18"/>
        <v>0</v>
      </c>
      <c r="BP47">
        <f t="shared" si="19"/>
        <v>12873.996465914881</v>
      </c>
      <c r="BQ47">
        <f t="shared" si="20"/>
        <v>24713.494928185159</v>
      </c>
      <c r="BR47" s="148">
        <f t="shared" si="21"/>
        <v>60271.399465034556</v>
      </c>
      <c r="BS47" s="156" t="b">
        <f t="shared" si="22"/>
        <v>0</v>
      </c>
      <c r="BT47" s="156">
        <f t="shared" si="37"/>
        <v>0</v>
      </c>
      <c r="BU47">
        <f t="shared" si="23"/>
        <v>3598.9521780441469</v>
      </c>
      <c r="BV47">
        <f t="shared" si="24"/>
        <v>3598.9521780441469</v>
      </c>
      <c r="BW47" s="148">
        <f t="shared" si="25"/>
        <v>455.4</v>
      </c>
      <c r="BX47" s="148">
        <f t="shared" si="26"/>
        <v>3129354.9718154697</v>
      </c>
      <c r="BY47" s="148">
        <f t="shared" si="27"/>
        <v>0.45526745052258455</v>
      </c>
      <c r="BZ47">
        <f t="shared" si="11"/>
        <v>8.2472690784333622</v>
      </c>
      <c r="CB47">
        <f t="shared" si="28"/>
        <v>3598.9521780441469</v>
      </c>
      <c r="CC47" s="162">
        <f t="shared" si="29"/>
        <v>6909.1359882483866</v>
      </c>
      <c r="CD47">
        <f t="shared" si="38"/>
        <v>34825.96405782349</v>
      </c>
    </row>
    <row r="48" spans="4:82" x14ac:dyDescent="0.2">
      <c r="D48" s="22">
        <f t="shared" si="0"/>
        <v>0</v>
      </c>
      <c r="E48" s="23">
        <v>9.2017056000000004</v>
      </c>
      <c r="F48" s="23">
        <f>IF(K48&lt;6,1,IF(Data!K48&lt;9,2,IF(K48&gt;9,3)))</f>
        <v>3</v>
      </c>
      <c r="G48" s="23">
        <v>784.27164860759547</v>
      </c>
      <c r="H48" s="23">
        <v>213.16666499999999</v>
      </c>
      <c r="I48" s="64">
        <v>34.07669320963663</v>
      </c>
      <c r="J48" s="65">
        <f t="shared" si="1"/>
        <v>3.1386756390373498</v>
      </c>
      <c r="K48" s="65">
        <f t="shared" si="2"/>
        <v>13.630677283854652</v>
      </c>
      <c r="L48" s="65">
        <f t="shared" si="3"/>
        <v>1.255470255614954</v>
      </c>
      <c r="M48">
        <f t="shared" si="4"/>
        <v>18.403411200000001</v>
      </c>
      <c r="N48">
        <f t="shared" si="5"/>
        <v>0</v>
      </c>
      <c r="O48">
        <f>IF(L48&lt;'Vehicle Data'!F$21,'Vehicle Data'!C$21,IF(L48&gt;'Vehicle Data'!C$21,'Vehicle Data'!C$20))</f>
        <v>0.6</v>
      </c>
      <c r="P48">
        <f>('Vehicle Data'!C$6*9.81*'Vehicle Data'!C$5*SIN(D48))/'Vehicle Data'!C$9</f>
        <v>0</v>
      </c>
      <c r="Q48" s="107">
        <f>'Vehicle Data'!C$6*9.81*SIN(D48)</f>
        <v>0</v>
      </c>
      <c r="R48">
        <f t="shared" si="6"/>
        <v>782.55742085749341</v>
      </c>
      <c r="S48">
        <f>IF(Data!O48=0.6,'Vehicle Data'!E$21,IF(Data!O48 = 0.9,'Vehicle Data'!E$20))+(P48*O48)</f>
        <v>1550.3723999999997</v>
      </c>
      <c r="T48">
        <f>IF(F48=3,'Vehicle Data'!H$16,IF(F48=2,'Vehicle Data'!H$15,IF(F48 = 1,'Vehicle Data'!G$14)))</f>
        <v>466.23005239380637</v>
      </c>
      <c r="U48" s="148">
        <f t="shared" si="7"/>
        <v>66.418938734177345</v>
      </c>
      <c r="V48" s="70" t="s">
        <v>79</v>
      </c>
      <c r="W48" s="99" t="s">
        <v>84</v>
      </c>
      <c r="X48">
        <f>IF(V48="S",'Vehicle Data'!C$14,IF(Data!V48 = "T1",'Vehicle Data'!P$2,IF(Data!V48="T2",'Vehicle Data'!P$3)))</f>
        <v>3.2549654376045223</v>
      </c>
      <c r="Z48">
        <f t="shared" si="40"/>
        <v>3.2549654376045223</v>
      </c>
      <c r="AB48" t="b">
        <f>IF(AA48=1,'Vehicle Data'!I$14,IF(AA48=2,'Vehicle Data'!I$15,IF(AA48=3,'Vehicle Data'!I$16)))</f>
        <v>0</v>
      </c>
      <c r="AC48">
        <f>IF(Z48&lt;'Vehicle Data'!C$16,'Vehicle Data'!I$15,IF(Z48&lt;'Vehicle Data'!C$15,'Vehicle Data'!I$15,IF(Z47&gt;'Vehicle Data'!C$15,'Vehicle Data'!I$16)))</f>
        <v>0.98256251041858167</v>
      </c>
      <c r="AD48">
        <f>IF(O48=0.6,'Vehicle Data'!F$21,IF(O48=0.9,'Vehicle Data'!F$20))</f>
        <v>3.5315999999999996</v>
      </c>
      <c r="AE48" s="100">
        <f t="shared" si="9"/>
        <v>0.98256251041858167</v>
      </c>
      <c r="AF48" s="158">
        <f t="shared" si="30"/>
        <v>0.52373822613369858</v>
      </c>
      <c r="AG48" s="148">
        <f t="shared" si="12"/>
        <v>0</v>
      </c>
      <c r="AH48" s="148">
        <f t="shared" si="31"/>
        <v>8.7710073045670605</v>
      </c>
      <c r="AJ48">
        <f>(Z48^2)*'Vehicle Data'!C$31</f>
        <v>3.8935890000000009</v>
      </c>
      <c r="AK48">
        <f>IF(O48=0.6,'Vehicle Data'!C$6*'Vehicle Data'!D$21*9.81,IF(O48=0.9,'Vehicle Data'!C$6*9.81*'Vehicle Data'!D$20))</f>
        <v>86.131799999999998</v>
      </c>
      <c r="AL48">
        <f t="shared" si="10"/>
        <v>90.025389000000004</v>
      </c>
      <c r="AN48">
        <f>IF(AG48&gt;0,AG48*'Vehicle Data'!C$6,IF(AG48=0,AG48))</f>
        <v>0</v>
      </c>
      <c r="AO48">
        <f t="shared" si="13"/>
        <v>90.025389000000004</v>
      </c>
      <c r="AP48">
        <f>AO48*'Vehicle Data'!F$3</f>
        <v>23.0104894284</v>
      </c>
      <c r="AQ48">
        <f>IF(AE48='Vehicle Data'!I$15,AP37/'Vehicle Data'!G$15,IF(AE48='Vehicle Data'!I$16,AP37/'Vehicle Data'!G$16,IF(AE48='Vehicle Data'!I$14,Data!AP37/'Vehicle Data'!G48)))</f>
        <v>-45.98312625714869</v>
      </c>
      <c r="AR48">
        <f>IF(Z48&lt;'Vehicle Data'!C$16, Z48*'Vehicle Data'!F$7*'Vehicle Data'!G$14,IF(Z48&lt;'Vehicle Data'!C$15,Z48*'Vehicle Data'!F$7*'Vehicle Data'!G$15,IF(Z48&gt;'Vehicle Data'!C$15,Z48*'Vehicle Data'!F$7*'Vehicle Data'!G$16)))</f>
        <v>63.290994620087929</v>
      </c>
      <c r="AS48">
        <f t="shared" si="32"/>
        <v>3797.4596772052755</v>
      </c>
      <c r="AT48">
        <f t="shared" si="33"/>
        <v>-46</v>
      </c>
      <c r="AU48">
        <f t="shared" si="34"/>
        <v>4000</v>
      </c>
      <c r="AW48" t="e">
        <f>VLOOKUP(AT48,BSFC!A$64:A$82,1,FALSE)</f>
        <v>#N/A</v>
      </c>
      <c r="AX48" t="e" cm="1">
        <f t="array" ref="AX48">_xlfn.XLOOKUP(AT48,BSFC!A$64:A$82,,-1,_xlfn.XLOOKUP(Data!AU48,BSFC!C$63:Q$63,BSFC!B$64:Q$82,,-1))</f>
        <v>#VALUE!</v>
      </c>
      <c r="AY48">
        <f>HLOOKUP(AU48,BSFC!F$63:Q$63,1)</f>
        <v>4000</v>
      </c>
      <c r="AZ48">
        <f>IF(AT48&gt;0,MATCH(AT48,BSFC!A$64:A$83,0),IF(AT48&lt;=0,0))</f>
        <v>0</v>
      </c>
      <c r="BA48">
        <f>MATCH(AU48,BSFC!C$63:Q$63,0)</f>
        <v>8</v>
      </c>
      <c r="BB48" t="b" cm="1">
        <f t="array" ref="BB48">IF(AZ48&gt;0,INDEX(BSFC!C$64:Q$83,Data!AZ48,Data!BA48))</f>
        <v>0</v>
      </c>
      <c r="BC48">
        <f>0.5*'Vehicle Data'!C$6*Data!Z48^2</f>
        <v>2325.5585999999998</v>
      </c>
      <c r="BD48">
        <f t="shared" si="14"/>
        <v>15.362616799352777</v>
      </c>
      <c r="BE48">
        <f t="shared" si="35"/>
        <v>0</v>
      </c>
      <c r="BF48">
        <f t="shared" si="36"/>
        <v>0</v>
      </c>
      <c r="BG48">
        <f t="shared" si="15"/>
        <v>10.742487772149619</v>
      </c>
      <c r="BH48">
        <f t="shared" si="39"/>
        <v>-18212.251542903767</v>
      </c>
      <c r="BI48" s="148">
        <f t="shared" si="17"/>
        <v>6871.6622130335309</v>
      </c>
      <c r="BJ48" s="9"/>
      <c r="BK48" s="15"/>
      <c r="BL48" s="108"/>
      <c r="BM48" s="15"/>
      <c r="BN48" s="10"/>
      <c r="BO48">
        <f t="shared" si="18"/>
        <v>-9591.4834074738374</v>
      </c>
      <c r="BP48">
        <f t="shared" si="19"/>
        <v>3282.5130584410435</v>
      </c>
      <c r="BQ48">
        <f t="shared" si="20"/>
        <v>24713.494928185159</v>
      </c>
      <c r="BR48" s="148">
        <f t="shared" si="21"/>
        <v>63890.360796795707</v>
      </c>
      <c r="BS48" s="156" t="b">
        <f t="shared" si="22"/>
        <v>0</v>
      </c>
      <c r="BT48" s="156">
        <f t="shared" si="37"/>
        <v>0</v>
      </c>
      <c r="BU48">
        <f t="shared" si="23"/>
        <v>3618.9613317611493</v>
      </c>
      <c r="BV48">
        <f t="shared" si="24"/>
        <v>3618.9613317611493</v>
      </c>
      <c r="BW48" s="148">
        <f t="shared" si="25"/>
        <v>455.4</v>
      </c>
      <c r="BX48" s="148">
        <f t="shared" si="26"/>
        <v>3129354.9718154697</v>
      </c>
      <c r="BY48" s="148">
        <f t="shared" si="27"/>
        <v>0.45779860846778536</v>
      </c>
      <c r="BZ48">
        <f t="shared" si="11"/>
        <v>8.7710073045670605</v>
      </c>
      <c r="CB48">
        <f t="shared" si="28"/>
        <v>3618.9613317611493</v>
      </c>
      <c r="CC48" s="162">
        <f t="shared" si="29"/>
        <v>6909.8667066499593</v>
      </c>
      <c r="CD48">
        <f t="shared" si="38"/>
        <v>38444.925389584641</v>
      </c>
    </row>
    <row r="49" spans="4:82" x14ac:dyDescent="0.2">
      <c r="D49" s="22">
        <f t="shared" si="0"/>
        <v>0</v>
      </c>
      <c r="E49" s="23">
        <v>9.2017056000000004</v>
      </c>
      <c r="F49" s="23">
        <f>IF(K49&lt;6,1,IF(Data!K49&lt;9,2,IF(K49&gt;9,3)))</f>
        <v>3</v>
      </c>
      <c r="G49" s="23">
        <v>785.99302164148685</v>
      </c>
      <c r="H49" s="23">
        <v>213.21666499999998</v>
      </c>
      <c r="I49" s="64">
        <v>34.233626991588444</v>
      </c>
      <c r="J49" s="65">
        <f t="shared" si="1"/>
        <v>2.6623736578190091</v>
      </c>
      <c r="K49" s="65">
        <f t="shared" si="2"/>
        <v>13.693450796635378</v>
      </c>
      <c r="L49" s="65">
        <f t="shared" si="3"/>
        <v>1.0649494631275822</v>
      </c>
      <c r="M49">
        <f t="shared" si="4"/>
        <v>18.403411200000001</v>
      </c>
      <c r="N49">
        <f t="shared" si="5"/>
        <v>0</v>
      </c>
      <c r="O49">
        <f>IF(L49&lt;'Vehicle Data'!F$21,'Vehicle Data'!C$21,IF(L49&gt;'Vehicle Data'!C$21,'Vehicle Data'!C$20))</f>
        <v>0.6</v>
      </c>
      <c r="P49">
        <f>('Vehicle Data'!C$6*9.81*'Vehicle Data'!C$5*SIN(D49))/'Vehicle Data'!C$9</f>
        <v>0</v>
      </c>
      <c r="Q49" s="107">
        <f>'Vehicle Data'!C$6*9.81*SIN(D49)</f>
        <v>0</v>
      </c>
      <c r="R49">
        <f t="shared" si="6"/>
        <v>784.27164860759547</v>
      </c>
      <c r="S49">
        <f>IF(Data!O49=0.6,'Vehicle Data'!E$21,IF(Data!O49 = 0.9,'Vehicle Data'!E$20))+(P49*O49)</f>
        <v>1550.3723999999997</v>
      </c>
      <c r="T49">
        <f>IF(F49=3,'Vehicle Data'!H$16,IF(F49=2,'Vehicle Data'!H$15,IF(F49 = 1,'Vehicle Data'!G$14)))</f>
        <v>466.23005239380637</v>
      </c>
      <c r="U49" s="148">
        <f t="shared" si="7"/>
        <v>68.1331664842794</v>
      </c>
      <c r="V49" s="70" t="s">
        <v>79</v>
      </c>
      <c r="W49" s="99" t="s">
        <v>84</v>
      </c>
      <c r="X49">
        <f>IF(V49="S",'Vehicle Data'!C$14,IF(Data!V49 = "T1",'Vehicle Data'!P$2,IF(Data!V49="T2",'Vehicle Data'!P$3)))</f>
        <v>3.2549654376045223</v>
      </c>
      <c r="Z49">
        <f t="shared" si="40"/>
        <v>3.2549654376045223</v>
      </c>
      <c r="AB49" t="b">
        <f>IF(AA49=1,'Vehicle Data'!I$14,IF(AA49=2,'Vehicle Data'!I$15,IF(AA49=3,'Vehicle Data'!I$16)))</f>
        <v>0</v>
      </c>
      <c r="AC49">
        <f>IF(Z49&lt;'Vehicle Data'!C$16,'Vehicle Data'!I$15,IF(Z49&lt;'Vehicle Data'!C$15,'Vehicle Data'!I$15,IF(Z48&gt;'Vehicle Data'!C$15,'Vehicle Data'!I$16)))</f>
        <v>0.98256251041858167</v>
      </c>
      <c r="AD49">
        <f>IF(O49=0.6,'Vehicle Data'!F$21,IF(O49=0.9,'Vehicle Data'!F$20))</f>
        <v>3.5315999999999996</v>
      </c>
      <c r="AE49" s="100">
        <f t="shared" si="9"/>
        <v>0.98256251041858167</v>
      </c>
      <c r="AF49" s="158">
        <f t="shared" si="30"/>
        <v>0.52665006217812038</v>
      </c>
      <c r="AG49" s="148">
        <f t="shared" si="12"/>
        <v>0</v>
      </c>
      <c r="AH49" s="148">
        <f t="shared" si="31"/>
        <v>9.297657366745181</v>
      </c>
      <c r="AJ49">
        <f>(Z49^2)*'Vehicle Data'!C$31</f>
        <v>3.8935890000000009</v>
      </c>
      <c r="AK49">
        <f>IF(O49=0.6,'Vehicle Data'!C$6*'Vehicle Data'!D$21*9.81,IF(O49=0.9,'Vehicle Data'!C$6*9.81*'Vehicle Data'!D$20))</f>
        <v>86.131799999999998</v>
      </c>
      <c r="AL49">
        <f t="shared" si="10"/>
        <v>90.025389000000004</v>
      </c>
      <c r="AN49">
        <f>IF(AG49&gt;0,AG49*'Vehicle Data'!C$6,IF(AG49=0,AG49))</f>
        <v>0</v>
      </c>
      <c r="AO49">
        <f t="shared" si="13"/>
        <v>90.025389000000004</v>
      </c>
      <c r="AP49">
        <f>AO49*'Vehicle Data'!F$3</f>
        <v>23.0104894284</v>
      </c>
      <c r="AQ49">
        <f>IF(AE49='Vehicle Data'!I$15,AP38/'Vehicle Data'!G$15,IF(AE49='Vehicle Data'!I$16,AP38/'Vehicle Data'!G$16,IF(AE49='Vehicle Data'!I$14,Data!AP38/'Vehicle Data'!G49)))</f>
        <v>-38.788238030903031</v>
      </c>
      <c r="AR49">
        <f>IF(Z49&lt;'Vehicle Data'!C$16, Z49*'Vehicle Data'!F$7*'Vehicle Data'!G$14,IF(Z49&lt;'Vehicle Data'!C$15,Z49*'Vehicle Data'!F$7*'Vehicle Data'!G$15,IF(Z49&gt;'Vehicle Data'!C$15,Z49*'Vehicle Data'!F$7*'Vehicle Data'!G$16)))</f>
        <v>63.290994620087929</v>
      </c>
      <c r="AS49">
        <f t="shared" si="32"/>
        <v>3797.4596772052755</v>
      </c>
      <c r="AT49">
        <f t="shared" si="33"/>
        <v>-39</v>
      </c>
      <c r="AU49">
        <f t="shared" si="34"/>
        <v>4000</v>
      </c>
      <c r="AW49" t="e">
        <f>VLOOKUP(AT49,BSFC!A$64:A$82,1,FALSE)</f>
        <v>#N/A</v>
      </c>
      <c r="AX49" t="e" cm="1">
        <f t="array" ref="AX49">_xlfn.XLOOKUP(AT49,BSFC!A$64:A$82,,-1,_xlfn.XLOOKUP(Data!AU49,BSFC!C$63:Q$63,BSFC!B$64:Q$82,,-1))</f>
        <v>#VALUE!</v>
      </c>
      <c r="AY49">
        <f>HLOOKUP(AU49,BSFC!F$63:Q$63,1)</f>
        <v>4000</v>
      </c>
      <c r="AZ49">
        <f>IF(AT49&gt;0,MATCH(AT49,BSFC!A$64:A$83,0),IF(AT49&lt;=0,0))</f>
        <v>0</v>
      </c>
      <c r="BA49">
        <f>MATCH(AU49,BSFC!C$63:Q$63,0)</f>
        <v>8</v>
      </c>
      <c r="BB49" t="b" cm="1">
        <f t="array" ref="BB49">IF(AZ49&gt;0,INDEX(BSFC!C$64:Q$83,Data!AZ49,Data!BA49))</f>
        <v>0</v>
      </c>
      <c r="BC49">
        <f>0.5*'Vehicle Data'!C$6*Data!Z49^2</f>
        <v>2325.5585999999998</v>
      </c>
      <c r="BD49">
        <f t="shared" si="14"/>
        <v>25.959812076970724</v>
      </c>
      <c r="BE49">
        <f t="shared" si="35"/>
        <v>0</v>
      </c>
      <c r="BF49">
        <f t="shared" si="36"/>
        <v>0</v>
      </c>
      <c r="BG49">
        <f t="shared" si="15"/>
        <v>10.742487772149619</v>
      </c>
      <c r="BH49">
        <f t="shared" si="39"/>
        <v>-15362.616799352776</v>
      </c>
      <c r="BI49" s="148">
        <f t="shared" si="17"/>
        <v>6871.6622130335309</v>
      </c>
      <c r="BJ49" s="9"/>
      <c r="BK49" s="15"/>
      <c r="BL49" s="15"/>
      <c r="BM49" s="15"/>
      <c r="BN49" s="10"/>
      <c r="BO49">
        <f t="shared" si="18"/>
        <v>-8124.447031878326</v>
      </c>
      <c r="BP49">
        <f t="shared" si="19"/>
        <v>-4841.9339734372825</v>
      </c>
      <c r="BQ49">
        <f t="shared" si="20"/>
        <v>24713.494928185159</v>
      </c>
      <c r="BR49" s="148">
        <f t="shared" si="21"/>
        <v>67524.406766952481</v>
      </c>
      <c r="BS49" s="156" t="b">
        <f t="shared" si="22"/>
        <v>0</v>
      </c>
      <c r="BT49" s="156">
        <f t="shared" si="37"/>
        <v>0</v>
      </c>
      <c r="BU49">
        <f t="shared" si="23"/>
        <v>3634.0459701567743</v>
      </c>
      <c r="BV49">
        <f t="shared" si="24"/>
        <v>3634.0459701567743</v>
      </c>
      <c r="BW49" s="148">
        <f t="shared" si="25"/>
        <v>455.4</v>
      </c>
      <c r="BX49" s="148">
        <f t="shared" si="26"/>
        <v>3129354.9718154697</v>
      </c>
      <c r="BY49" s="148">
        <f t="shared" si="27"/>
        <v>0.45970681522483192</v>
      </c>
      <c r="BZ49">
        <f t="shared" si="11"/>
        <v>9.297657366745181</v>
      </c>
      <c r="CB49">
        <f t="shared" si="28"/>
        <v>3634.0459701567743</v>
      </c>
      <c r="CC49" s="162">
        <f t="shared" si="29"/>
        <v>6900.3048345367679</v>
      </c>
      <c r="CD49">
        <f t="shared" si="38"/>
        <v>42078.971359741416</v>
      </c>
    </row>
    <row r="50" spans="4:82" x14ac:dyDescent="0.2">
      <c r="D50" s="22">
        <f t="shared" si="0"/>
        <v>0</v>
      </c>
      <c r="E50" s="23">
        <v>9.2017056000000004</v>
      </c>
      <c r="F50" s="23">
        <f>IF(K50&lt;6,1,IF(Data!K50&lt;9,2,IF(K50&gt;9,3)))</f>
        <v>3</v>
      </c>
      <c r="G50" s="23">
        <v>787.72319447937991</v>
      </c>
      <c r="H50" s="23">
        <v>213.26666499999999</v>
      </c>
      <c r="I50" s="64">
        <v>34.366745674479425</v>
      </c>
      <c r="J50" s="65">
        <f t="shared" si="1"/>
        <v>2.7882401241323205</v>
      </c>
      <c r="K50" s="65">
        <f t="shared" si="2"/>
        <v>13.74669826979177</v>
      </c>
      <c r="L50" s="65">
        <f t="shared" si="3"/>
        <v>1.1152960496529425</v>
      </c>
      <c r="M50">
        <f t="shared" si="4"/>
        <v>18.403411200000001</v>
      </c>
      <c r="N50">
        <f t="shared" si="5"/>
        <v>0</v>
      </c>
      <c r="O50">
        <f>IF(L50&lt;'Vehicle Data'!F$21,'Vehicle Data'!C$21,IF(L50&gt;'Vehicle Data'!C$21,'Vehicle Data'!C$20))</f>
        <v>0.6</v>
      </c>
      <c r="P50">
        <f>('Vehicle Data'!C$6*9.81*'Vehicle Data'!C$5*SIN(D50))/'Vehicle Data'!C$9</f>
        <v>0</v>
      </c>
      <c r="Q50" s="107">
        <f>'Vehicle Data'!C$6*9.81*SIN(D50)</f>
        <v>0</v>
      </c>
      <c r="R50">
        <f t="shared" si="6"/>
        <v>785.99302164148685</v>
      </c>
      <c r="S50">
        <f>IF(Data!O50=0.6,'Vehicle Data'!E$21,IF(Data!O50 = 0.9,'Vehicle Data'!E$20))+(P50*O50)</f>
        <v>1550.3723999999997</v>
      </c>
      <c r="T50">
        <f>IF(F50=3,'Vehicle Data'!H$16,IF(F50=2,'Vehicle Data'!H$15,IF(F50 = 1,'Vehicle Data'!G$14)))</f>
        <v>466.23005239380637</v>
      </c>
      <c r="U50" s="148">
        <f t="shared" si="7"/>
        <v>69.854539518170782</v>
      </c>
      <c r="V50" s="70" t="s">
        <v>79</v>
      </c>
      <c r="W50" s="99" t="s">
        <v>84</v>
      </c>
      <c r="X50">
        <f>IF(V50="S",'Vehicle Data'!C$14,IF(Data!V50 = "T1",'Vehicle Data'!P$2,IF(Data!V50="T2",'Vehicle Data'!P$3)))</f>
        <v>3.2549654376045223</v>
      </c>
      <c r="Z50">
        <f t="shared" si="40"/>
        <v>3.2549654376045223</v>
      </c>
      <c r="AB50" t="b">
        <f>IF(AA50=1,'Vehicle Data'!I$14,IF(AA50=2,'Vehicle Data'!I$15,IF(AA50=3,'Vehicle Data'!I$16)))</f>
        <v>0</v>
      </c>
      <c r="AC50">
        <f>IF(Z50&lt;'Vehicle Data'!C$16,'Vehicle Data'!I$15,IF(Z50&lt;'Vehicle Data'!C$15,'Vehicle Data'!I$15,IF(Z49&gt;'Vehicle Data'!C$15,'Vehicle Data'!I$16)))</f>
        <v>0.98256251041858167</v>
      </c>
      <c r="AD50">
        <f>IF(O50=0.6,'Vehicle Data'!F$21,IF(O50=0.9,'Vehicle Data'!F$20))</f>
        <v>3.5315999999999996</v>
      </c>
      <c r="AE50" s="100">
        <f t="shared" si="9"/>
        <v>0.98256251041858167</v>
      </c>
      <c r="AF50" s="158">
        <f t="shared" si="30"/>
        <v>0.52884525715831221</v>
      </c>
      <c r="AG50" s="148">
        <f t="shared" si="12"/>
        <v>0</v>
      </c>
      <c r="AH50" s="148">
        <f t="shared" si="31"/>
        <v>9.8265026239034938</v>
      </c>
      <c r="AJ50">
        <f>(Z50^2)*'Vehicle Data'!C$31</f>
        <v>3.8935890000000009</v>
      </c>
      <c r="AK50">
        <f>IF(O50=0.6,'Vehicle Data'!C$6*'Vehicle Data'!D$21*9.81,IF(O50=0.9,'Vehicle Data'!C$6*9.81*'Vehicle Data'!D$20))</f>
        <v>86.131799999999998</v>
      </c>
      <c r="AL50">
        <f t="shared" si="10"/>
        <v>90.025389000000004</v>
      </c>
      <c r="AN50">
        <f>IF(AG50&gt;0,AG50*'Vehicle Data'!C$6,IF(AG50=0,AG50))</f>
        <v>0</v>
      </c>
      <c r="AO50">
        <f t="shared" si="13"/>
        <v>90.025389000000004</v>
      </c>
      <c r="AP50">
        <f>AO50*'Vehicle Data'!F$3</f>
        <v>23.0104894284</v>
      </c>
      <c r="AQ50">
        <f>IF(AE50='Vehicle Data'!I$15,AP39/'Vehicle Data'!G$15,IF(AE50='Vehicle Data'!I$16,AP39/'Vehicle Data'!G$16,IF(AE50='Vehicle Data'!I$14,Data!AP39/'Vehicle Data'!G50)))</f>
        <v>-65.544521693821949</v>
      </c>
      <c r="AR50">
        <f>IF(Z50&lt;'Vehicle Data'!C$16, Z50*'Vehicle Data'!F$7*'Vehicle Data'!G$14,IF(Z50&lt;'Vehicle Data'!C$15,Z50*'Vehicle Data'!F$7*'Vehicle Data'!G$15,IF(Z50&gt;'Vehicle Data'!C$15,Z50*'Vehicle Data'!F$7*'Vehicle Data'!G$16)))</f>
        <v>63.290994620087929</v>
      </c>
      <c r="AS50">
        <f t="shared" si="32"/>
        <v>3797.4596772052755</v>
      </c>
      <c r="AT50">
        <f t="shared" si="33"/>
        <v>-66</v>
      </c>
      <c r="AU50">
        <f t="shared" si="34"/>
        <v>4000</v>
      </c>
      <c r="AW50" t="e">
        <f>VLOOKUP(AT50,BSFC!A$64:A$82,1,FALSE)</f>
        <v>#N/A</v>
      </c>
      <c r="AX50" t="e" cm="1">
        <f t="array" ref="AX50">_xlfn.XLOOKUP(AT50,BSFC!A$64:A$82,,-1,_xlfn.XLOOKUP(Data!AU50,BSFC!C$63:Q$63,BSFC!B$64:Q$82,,-1))</f>
        <v>#VALUE!</v>
      </c>
      <c r="AY50">
        <f>HLOOKUP(AU50,BSFC!F$63:Q$63,1)</f>
        <v>4000</v>
      </c>
      <c r="AZ50">
        <f>IF(AT50&gt;0,MATCH(AT50,BSFC!A$64:A$83,0),IF(AT50&lt;=0,0))</f>
        <v>0</v>
      </c>
      <c r="BA50">
        <f>MATCH(AU50,BSFC!C$63:Q$63,0)</f>
        <v>8</v>
      </c>
      <c r="BB50" t="b" cm="1">
        <f t="array" ref="BB50">IF(AZ50&gt;0,INDEX(BSFC!C$64:Q$83,Data!AZ50,Data!BA50))</f>
        <v>0</v>
      </c>
      <c r="BC50">
        <f>0.5*'Vehicle Data'!C$6*Data!Z50^2</f>
        <v>2325.5585999999998</v>
      </c>
      <c r="BD50">
        <f t="shared" si="14"/>
        <v>17.293458038797304</v>
      </c>
      <c r="BE50">
        <f t="shared" si="35"/>
        <v>0</v>
      </c>
      <c r="BF50">
        <f t="shared" si="36"/>
        <v>0</v>
      </c>
      <c r="BG50">
        <f t="shared" si="15"/>
        <v>10.742487772149619</v>
      </c>
      <c r="BH50">
        <f t="shared" si="39"/>
        <v>-25959.812076970724</v>
      </c>
      <c r="BI50" s="148">
        <f t="shared" si="17"/>
        <v>6871.6622130335309</v>
      </c>
      <c r="BJ50" s="9"/>
      <c r="BK50" s="15"/>
      <c r="BL50" s="15"/>
      <c r="BM50" s="15"/>
      <c r="BN50" s="10"/>
      <c r="BO50">
        <f t="shared" si="18"/>
        <v>-13798.905884984775</v>
      </c>
      <c r="BP50">
        <f t="shared" si="19"/>
        <v>-18640.839858422056</v>
      </c>
      <c r="BQ50">
        <f t="shared" si="20"/>
        <v>24713.494928185159</v>
      </c>
      <c r="BR50" s="148">
        <f t="shared" si="21"/>
        <v>71177.030286333553</v>
      </c>
      <c r="BS50" s="156" t="b">
        <f t="shared" si="22"/>
        <v>0</v>
      </c>
      <c r="BT50" s="156">
        <f t="shared" si="37"/>
        <v>0</v>
      </c>
      <c r="BU50">
        <f t="shared" si="23"/>
        <v>3652.6235193810658</v>
      </c>
      <c r="BV50">
        <f t="shared" si="24"/>
        <v>3652.6235193810658</v>
      </c>
      <c r="BW50" s="148">
        <f t="shared" si="25"/>
        <v>455.4</v>
      </c>
      <c r="BX50" s="148">
        <f t="shared" si="26"/>
        <v>3129354.9718154697</v>
      </c>
      <c r="BY50" s="148">
        <f t="shared" si="27"/>
        <v>0.4620568752017048</v>
      </c>
      <c r="BZ50">
        <f t="shared" si="11"/>
        <v>9.8265026239034938</v>
      </c>
      <c r="CB50">
        <f t="shared" si="28"/>
        <v>3652.6235193810658</v>
      </c>
      <c r="CC50" s="162">
        <f t="shared" si="29"/>
        <v>6906.7907293108838</v>
      </c>
      <c r="CD50">
        <f t="shared" si="38"/>
        <v>45731.59487912248</v>
      </c>
    </row>
    <row r="51" spans="4:82" x14ac:dyDescent="0.2">
      <c r="D51" s="22">
        <f t="shared" si="0"/>
        <v>0</v>
      </c>
      <c r="E51" s="23">
        <v>9.2017056000000004</v>
      </c>
      <c r="F51" s="23">
        <f>IF(K51&lt;6,1,IF(Data!K51&lt;9,2,IF(K51&gt;9,3)))</f>
        <v>3</v>
      </c>
      <c r="G51" s="23">
        <v>789.45759882401092</v>
      </c>
      <c r="H51" s="23">
        <v>213.316665</v>
      </c>
      <c r="I51" s="64">
        <v>34.506157680686073</v>
      </c>
      <c r="J51" s="65">
        <f t="shared" si="1"/>
        <v>2.1290708828085925</v>
      </c>
      <c r="K51" s="65">
        <f t="shared" si="2"/>
        <v>13.802463072274429</v>
      </c>
      <c r="L51" s="65">
        <f t="shared" si="3"/>
        <v>0.85162835312342988</v>
      </c>
      <c r="M51">
        <f t="shared" si="4"/>
        <v>18.403411200000001</v>
      </c>
      <c r="N51">
        <f t="shared" si="5"/>
        <v>0</v>
      </c>
      <c r="O51">
        <f>IF(L51&lt;'Vehicle Data'!F$21,'Vehicle Data'!C$21,IF(L51&gt;'Vehicle Data'!C$21,'Vehicle Data'!C$20))</f>
        <v>0.6</v>
      </c>
      <c r="P51">
        <f>('Vehicle Data'!C$6*9.81*'Vehicle Data'!C$5*SIN(D51))/'Vehicle Data'!C$9</f>
        <v>0</v>
      </c>
      <c r="Q51" s="107">
        <f>'Vehicle Data'!C$6*9.81*SIN(D51)</f>
        <v>0</v>
      </c>
      <c r="R51">
        <f t="shared" si="6"/>
        <v>787.72319447937991</v>
      </c>
      <c r="S51">
        <f>IF(Data!O51=0.6,'Vehicle Data'!E$21,IF(Data!O51 = 0.9,'Vehicle Data'!E$20))+(P51*O51)</f>
        <v>1550.3723999999997</v>
      </c>
      <c r="T51">
        <f>IF(F51=3,'Vehicle Data'!H$16,IF(F51=2,'Vehicle Data'!H$15,IF(F51 = 1,'Vehicle Data'!G$14)))</f>
        <v>466.23005239380637</v>
      </c>
      <c r="U51" s="148">
        <f t="shared" si="7"/>
        <v>71.584712356063847</v>
      </c>
      <c r="V51" s="70" t="s">
        <v>79</v>
      </c>
      <c r="W51" s="99" t="s">
        <v>84</v>
      </c>
      <c r="X51">
        <f>IF(V51="S",'Vehicle Data'!C$14,IF(Data!V51 = "T1",'Vehicle Data'!P$2,IF(Data!V51="T2",'Vehicle Data'!P$3)))</f>
        <v>3.2549654376045223</v>
      </c>
      <c r="Z51">
        <f>X51</f>
        <v>3.2549654376045223</v>
      </c>
      <c r="AB51" t="b">
        <f>IF(AA51=1,'Vehicle Data'!I$14,IF(AA51=2,'Vehicle Data'!I$15,IF(AA51=3,'Vehicle Data'!I$16)))</f>
        <v>0</v>
      </c>
      <c r="AC51">
        <f>IF(Z51&lt;'Vehicle Data'!C$16,'Vehicle Data'!I$15,IF(Z51&lt;'Vehicle Data'!C$15,'Vehicle Data'!I$15,IF(Z50&gt;'Vehicle Data'!C$15,'Vehicle Data'!I$16)))</f>
        <v>0.98256251041858167</v>
      </c>
      <c r="AD51">
        <f>IF(O51=0.6,'Vehicle Data'!F$21,IF(O51=0.9,'Vehicle Data'!F$20))</f>
        <v>3.5315999999999996</v>
      </c>
      <c r="AE51" s="100">
        <f t="shared" si="9"/>
        <v>0.98256251041858167</v>
      </c>
      <c r="AF51" s="158">
        <f t="shared" si="30"/>
        <v>0.53154875867633722</v>
      </c>
      <c r="AG51" s="148">
        <f t="shared" si="12"/>
        <v>0</v>
      </c>
      <c r="AH51" s="148">
        <f t="shared" si="31"/>
        <v>10.358051382579831</v>
      </c>
      <c r="AJ51">
        <f>(Z51^2)*'Vehicle Data'!C$31</f>
        <v>3.8935890000000009</v>
      </c>
      <c r="AK51">
        <f>IF(O51=0.6,'Vehicle Data'!C$6*'Vehicle Data'!D$21*9.81,IF(O51=0.9,'Vehicle Data'!C$6*9.81*'Vehicle Data'!D$20))</f>
        <v>86.131799999999998</v>
      </c>
      <c r="AL51">
        <f t="shared" si="10"/>
        <v>90.025389000000004</v>
      </c>
      <c r="AN51">
        <f>IF(AG51&gt;0,AG51*'Vehicle Data'!C$6,IF(AG51=0,AG51))</f>
        <v>0</v>
      </c>
      <c r="AO51">
        <f t="shared" si="13"/>
        <v>90.025389000000004</v>
      </c>
      <c r="AP51">
        <f>AO51*'Vehicle Data'!F$3</f>
        <v>23.0104894284</v>
      </c>
      <c r="AQ51">
        <f>IF(AE51='Vehicle Data'!I$15,AP40/'Vehicle Data'!G$15,IF(AE51='Vehicle Data'!I$16,AP40/'Vehicle Data'!G$16,IF(AE51='Vehicle Data'!I$14,Data!AP40/'Vehicle Data'!G51)))</f>
        <v>-43.663314365464302</v>
      </c>
      <c r="AR51">
        <f>IF(Z51&lt;'Vehicle Data'!C$16, Z51*'Vehicle Data'!F$7*'Vehicle Data'!G$14,IF(Z51&lt;'Vehicle Data'!C$15,Z51*'Vehicle Data'!F$7*'Vehicle Data'!G$15,IF(Z51&gt;'Vehicle Data'!C$15,Z51*'Vehicle Data'!F$7*'Vehicle Data'!G$16)))</f>
        <v>63.290994620087929</v>
      </c>
      <c r="AS51">
        <f t="shared" si="32"/>
        <v>3797.4596772052755</v>
      </c>
      <c r="AT51">
        <f t="shared" si="33"/>
        <v>-44</v>
      </c>
      <c r="AU51">
        <f t="shared" si="34"/>
        <v>4000</v>
      </c>
      <c r="AW51" t="e">
        <f>VLOOKUP(AT51,BSFC!A$64:A$82,1,FALSE)</f>
        <v>#N/A</v>
      </c>
      <c r="AX51" t="e" cm="1">
        <f t="array" ref="AX51">_xlfn.XLOOKUP(AT51,BSFC!A$64:A$82,,-1,_xlfn.XLOOKUP(Data!AU51,BSFC!C$63:Q$63,BSFC!B$64:Q$82,,-1))</f>
        <v>#VALUE!</v>
      </c>
      <c r="AY51">
        <f>HLOOKUP(AU51,BSFC!F$63:Q$63,1)</f>
        <v>4000</v>
      </c>
      <c r="AZ51">
        <f>IF(AT51&gt;0,MATCH(AT51,BSFC!A$64:A$83,0),IF(AT51&lt;=0,0))</f>
        <v>0</v>
      </c>
      <c r="BA51">
        <f>MATCH(AU51,BSFC!C$63:Q$63,0)</f>
        <v>8</v>
      </c>
      <c r="BB51" t="b" cm="1">
        <f t="array" ref="BB51">IF(AZ51&gt;0,INDEX(BSFC!C$64:Q$83,Data!AZ51,Data!BA51))</f>
        <v>0</v>
      </c>
      <c r="BC51">
        <f>0.5*'Vehicle Data'!C$6*Data!Z51^2</f>
        <v>2325.5585999999998</v>
      </c>
      <c r="BD51">
        <f t="shared" si="14"/>
        <v>17.200108512375223</v>
      </c>
      <c r="BE51">
        <f t="shared" si="35"/>
        <v>0</v>
      </c>
      <c r="BF51">
        <f t="shared" si="36"/>
        <v>0</v>
      </c>
      <c r="BG51">
        <f t="shared" si="15"/>
        <v>10.742487772149619</v>
      </c>
      <c r="BH51">
        <f t="shared" si="39"/>
        <v>-17293.458038797304</v>
      </c>
      <c r="BI51" s="148">
        <f t="shared" si="17"/>
        <v>6871.6622130335309</v>
      </c>
      <c r="BJ51" s="9"/>
      <c r="BK51" s="15"/>
      <c r="BL51" s="15"/>
      <c r="BM51" s="15"/>
      <c r="BN51" s="10"/>
      <c r="BO51">
        <f t="shared" si="18"/>
        <v>-9214.7979237093896</v>
      </c>
      <c r="BP51">
        <f t="shared" si="19"/>
        <v>-27855.637782131445</v>
      </c>
      <c r="BQ51">
        <f t="shared" si="20"/>
        <v>24713.494928185159</v>
      </c>
      <c r="BR51" s="148">
        <f t="shared" si="21"/>
        <v>74838.587075671763</v>
      </c>
      <c r="BS51" s="156" t="b">
        <f t="shared" si="22"/>
        <v>0</v>
      </c>
      <c r="BT51" s="156">
        <f t="shared" si="37"/>
        <v>0</v>
      </c>
      <c r="BU51">
        <f t="shared" si="23"/>
        <v>3661.5567893382067</v>
      </c>
      <c r="BV51">
        <f t="shared" si="24"/>
        <v>3661.5567893382067</v>
      </c>
      <c r="BW51" s="148">
        <f t="shared" si="25"/>
        <v>455.4</v>
      </c>
      <c r="BX51" s="148">
        <f t="shared" si="26"/>
        <v>3129354.9718154697</v>
      </c>
      <c r="BY51" s="148">
        <f t="shared" si="27"/>
        <v>0.46318693385128307</v>
      </c>
      <c r="BZ51">
        <f t="shared" si="11"/>
        <v>10.358051382579831</v>
      </c>
      <c r="CB51">
        <f t="shared" si="28"/>
        <v>3661.5567893382067</v>
      </c>
      <c r="CC51" s="162">
        <f t="shared" si="29"/>
        <v>6888.4683287685948</v>
      </c>
      <c r="CD51">
        <f t="shared" si="38"/>
        <v>49393.15166846069</v>
      </c>
    </row>
    <row r="52" spans="4:82" ht="16" thickBot="1" x14ac:dyDescent="0.25">
      <c r="D52" s="22">
        <f t="shared" si="0"/>
        <v>0</v>
      </c>
      <c r="E52" s="23">
        <v>9.2017056000000004</v>
      </c>
      <c r="F52" s="23">
        <f>IF(K52&lt;6,1,IF(Data!K52&lt;9,2,IF(K52&gt;9,3)))</f>
        <v>3</v>
      </c>
      <c r="G52" s="23">
        <v>791.19489995916763</v>
      </c>
      <c r="H52" s="23">
        <v>213.36666499999998</v>
      </c>
      <c r="I52" s="64">
        <v>34.612611224826466</v>
      </c>
      <c r="J52" s="65">
        <f t="shared" si="1"/>
        <v>-0.69865794691749017</v>
      </c>
      <c r="K52" s="65">
        <f t="shared" si="2"/>
        <v>13.845044489930586</v>
      </c>
      <c r="L52" s="65">
        <f t="shared" si="3"/>
        <v>-0.27946317876698185</v>
      </c>
      <c r="M52">
        <f t="shared" si="4"/>
        <v>18.403411200000001</v>
      </c>
      <c r="N52">
        <f t="shared" si="5"/>
        <v>0</v>
      </c>
      <c r="O52">
        <f>IF(L52&lt;'Vehicle Data'!F$21,'Vehicle Data'!C$21,IF(L52&gt;'Vehicle Data'!C$21,'Vehicle Data'!C$20))</f>
        <v>0.6</v>
      </c>
      <c r="P52">
        <f>('Vehicle Data'!C$6*9.81*'Vehicle Data'!C$5*SIN(D52))/'Vehicle Data'!C$9</f>
        <v>0</v>
      </c>
      <c r="Q52" s="107">
        <f>'Vehicle Data'!C$6*9.81*SIN(D52)</f>
        <v>0</v>
      </c>
      <c r="R52">
        <f t="shared" si="6"/>
        <v>789.45759882401092</v>
      </c>
      <c r="S52">
        <f>IF(Data!O52=0.6,'Vehicle Data'!E$21,IF(Data!O52 = 0.9,'Vehicle Data'!E$20))+(P52*O52)</f>
        <v>1550.3723999999997</v>
      </c>
      <c r="T52">
        <f>IF(F52=3,'Vehicle Data'!H$16,IF(F52=2,'Vehicle Data'!H$15,IF(F52 = 1,'Vehicle Data'!G$14)))</f>
        <v>466.23005239380637</v>
      </c>
      <c r="U52" s="148">
        <f t="shared" si="7"/>
        <v>73.319116700694849</v>
      </c>
      <c r="V52" s="70" t="s">
        <v>79</v>
      </c>
      <c r="W52" s="99" t="s">
        <v>84</v>
      </c>
      <c r="X52">
        <f>IF(V52="S",'Vehicle Data'!C$14,IF(Data!V52 = "T1",'Vehicle Data'!P$2,IF(Data!V52="T2",'Vehicle Data'!P$3)))</f>
        <v>3.2549654376045223</v>
      </c>
      <c r="Z52">
        <f>X52</f>
        <v>3.2549654376045223</v>
      </c>
      <c r="AB52" t="b">
        <f>IF(AA52=1,'Vehicle Data'!I$14,IF(AA52=2,'Vehicle Data'!I$15,IF(AA52=3,'Vehicle Data'!I$16)))</f>
        <v>0</v>
      </c>
      <c r="AC52">
        <f>IF(Z52&lt;'Vehicle Data'!C$16,'Vehicle Data'!I$15,IF(Z52&lt;'Vehicle Data'!C$15,'Vehicle Data'!I$15,IF(Z51&gt;'Vehicle Data'!C$15,'Vehicle Data'!I$16)))</f>
        <v>0.98256251041858167</v>
      </c>
      <c r="AD52">
        <f>IF(O52=0.6,'Vehicle Data'!F$21,IF(O52=0.9,'Vehicle Data'!F$20))</f>
        <v>3.5315999999999996</v>
      </c>
      <c r="AE52" s="100">
        <f t="shared" si="9"/>
        <v>0.98256251041858167</v>
      </c>
      <c r="AF52" s="158">
        <f t="shared" si="30"/>
        <v>0.53284877455025448</v>
      </c>
      <c r="AG52" s="148">
        <f t="shared" si="12"/>
        <v>0</v>
      </c>
      <c r="AH52" s="148">
        <f t="shared" si="31"/>
        <v>10.890900157130085</v>
      </c>
      <c r="AJ52">
        <f>(Z52^2)*'Vehicle Data'!C$31</f>
        <v>3.8935890000000009</v>
      </c>
      <c r="AK52">
        <f>IF(O52=0.6,'Vehicle Data'!C$6*'Vehicle Data'!D$21*9.81,IF(O52=0.9,'Vehicle Data'!C$6*9.81*'Vehicle Data'!D$20))</f>
        <v>86.131799999999998</v>
      </c>
      <c r="AL52">
        <f t="shared" si="10"/>
        <v>90.025389000000004</v>
      </c>
      <c r="AN52">
        <f>IF(AG52&gt;0,AG52*'Vehicle Data'!C$6,IF(AG52=0,AG52))</f>
        <v>0</v>
      </c>
      <c r="AO52">
        <f t="shared" si="13"/>
        <v>90.025389000000004</v>
      </c>
      <c r="AP52">
        <f>AO52*'Vehicle Data'!F$3</f>
        <v>23.0104894284</v>
      </c>
      <c r="AQ52">
        <f>IF(AE52='Vehicle Data'!I$15,AP41/'Vehicle Data'!G$15,IF(AE52='Vehicle Data'!I$16,AP41/'Vehicle Data'!G$16,IF(AE52='Vehicle Data'!I$14,Data!AP41/'Vehicle Data'!G52)))</f>
        <v>-43.427621208613296</v>
      </c>
      <c r="AR52">
        <f>IF(Z52&lt;'Vehicle Data'!C$16, Z52*'Vehicle Data'!F$7*'Vehicle Data'!G$14,IF(Z52&lt;'Vehicle Data'!C$15,Z52*'Vehicle Data'!F$7*'Vehicle Data'!G$15,IF(Z52&gt;'Vehicle Data'!C$15,Z52*'Vehicle Data'!F$7*'Vehicle Data'!G$16)))</f>
        <v>63.290994620087929</v>
      </c>
      <c r="AS52">
        <f t="shared" si="32"/>
        <v>3797.4596772052755</v>
      </c>
      <c r="AT52">
        <f t="shared" si="33"/>
        <v>-43</v>
      </c>
      <c r="AU52">
        <f t="shared" si="34"/>
        <v>4000</v>
      </c>
      <c r="AW52" t="e">
        <f>VLOOKUP(AT52,BSFC!A$64:A$82,1,FALSE)</f>
        <v>#N/A</v>
      </c>
      <c r="AX52" t="e" cm="1">
        <f t="array" ref="AX52">_xlfn.XLOOKUP(AT52,BSFC!A$64:A$82,,-1,_xlfn.XLOOKUP(Data!AU52,BSFC!C$63:Q$63,BSFC!B$64:Q$82,,-1))</f>
        <v>#VALUE!</v>
      </c>
      <c r="AY52">
        <f>HLOOKUP(AU52,BSFC!F$63:Q$63,1)</f>
        <v>4000</v>
      </c>
      <c r="AZ52">
        <f>IF(AT52&gt;0,MATCH(AT52,BSFC!A$64:A$83,0),IF(AT52&lt;=0,0))</f>
        <v>0</v>
      </c>
      <c r="BA52">
        <f>MATCH(AU52,BSFC!C$63:Q$63,0)</f>
        <v>8</v>
      </c>
      <c r="BB52" t="b" cm="1">
        <f t="array" ref="BB52">IF(AZ52&gt;0,INDEX(BSFC!C$64:Q$83,Data!AZ52,Data!BA52))</f>
        <v>0</v>
      </c>
      <c r="BC52">
        <f>0.5*'Vehicle Data'!C$6*Data!Z52^2</f>
        <v>2325.5585999999998</v>
      </c>
      <c r="BD52">
        <f t="shared" si="14"/>
        <v>7.9708397222377947</v>
      </c>
      <c r="BE52">
        <f t="shared" si="35"/>
        <v>0</v>
      </c>
      <c r="BF52">
        <f t="shared" si="36"/>
        <v>0</v>
      </c>
      <c r="BG52">
        <f t="shared" si="15"/>
        <v>10.742487772149619</v>
      </c>
      <c r="BH52">
        <f t="shared" si="39"/>
        <v>-17200.108512375224</v>
      </c>
      <c r="BI52" s="148">
        <f t="shared" si="17"/>
        <v>6871.6622130335309</v>
      </c>
      <c r="BJ52" s="11"/>
      <c r="BK52" s="14"/>
      <c r="BL52" s="159"/>
      <c r="BM52" s="14"/>
      <c r="BN52" s="12"/>
      <c r="BO52">
        <f t="shared" si="18"/>
        <v>-7983.7256905616605</v>
      </c>
      <c r="BP52">
        <f t="shared" si="19"/>
        <v>-35839.363472693105</v>
      </c>
      <c r="BQ52">
        <f t="shared" si="20"/>
        <v>24713.494928185159</v>
      </c>
      <c r="BR52" s="148">
        <f t="shared" si="21"/>
        <v>78028.187077763941</v>
      </c>
      <c r="BS52" s="156" t="b">
        <f t="shared" si="22"/>
        <v>0</v>
      </c>
      <c r="BT52" s="156">
        <f t="shared" si="37"/>
        <v>0</v>
      </c>
      <c r="BU52">
        <f t="shared" si="23"/>
        <v>3189.6000020921715</v>
      </c>
      <c r="BV52">
        <f t="shared" si="24"/>
        <v>3189.6000020921715</v>
      </c>
      <c r="BW52" s="148">
        <f t="shared" si="25"/>
        <v>455.4</v>
      </c>
      <c r="BX52" s="148">
        <f t="shared" si="26"/>
        <v>3129354.9718154697</v>
      </c>
      <c r="BY52" s="148">
        <f t="shared" si="27"/>
        <v>0.40348440026465965</v>
      </c>
      <c r="BZ52">
        <f t="shared" si="11"/>
        <v>10.890900157130085</v>
      </c>
      <c r="CB52">
        <f t="shared" si="28"/>
        <v>3189.6000020921715</v>
      </c>
      <c r="CC52" s="162">
        <f t="shared" si="29"/>
        <v>5985.9385147020748</v>
      </c>
      <c r="CD52">
        <f t="shared" si="38"/>
        <v>52582.751670552861</v>
      </c>
    </row>
    <row r="53" spans="4:82" x14ac:dyDescent="0.2">
      <c r="D53" s="22">
        <f t="shared" si="0"/>
        <v>0</v>
      </c>
      <c r="E53" s="23">
        <v>9.2017056000000004</v>
      </c>
      <c r="F53" s="23">
        <f>IF(K53&lt;6,1,IF(Data!K53&lt;9,2,IF(K53&gt;9,3)))</f>
        <v>3</v>
      </c>
      <c r="G53" s="23">
        <v>792.93119447938</v>
      </c>
      <c r="H53" s="23">
        <v>213.41666499999999</v>
      </c>
      <c r="I53" s="64">
        <v>34.577678327480584</v>
      </c>
      <c r="J53" s="65">
        <f t="shared" si="1"/>
        <v>-1.2690461739488577</v>
      </c>
      <c r="K53" s="65">
        <f t="shared" si="2"/>
        <v>13.831071330992234</v>
      </c>
      <c r="L53" s="65">
        <f t="shared" si="3"/>
        <v>-0.50761846957957146</v>
      </c>
      <c r="M53">
        <f t="shared" si="4"/>
        <v>18.403411200000001</v>
      </c>
      <c r="N53">
        <v>0</v>
      </c>
      <c r="O53">
        <f>IF(L53&lt;'Vehicle Data'!F$21,'Vehicle Data'!C$21,IF(L53&gt;'Vehicle Data'!C$21,'Vehicle Data'!C$20))</f>
        <v>0.6</v>
      </c>
      <c r="P53">
        <f>('Vehicle Data'!C$6*9.81*'Vehicle Data'!C$5*SIN(D53))/'Vehicle Data'!C$9</f>
        <v>0</v>
      </c>
      <c r="Q53" s="107">
        <f>'Vehicle Data'!C$6*9.81*SIN(D53)</f>
        <v>0</v>
      </c>
      <c r="R53">
        <f t="shared" si="6"/>
        <v>791.19489995916763</v>
      </c>
      <c r="S53">
        <f>IF(Data!O53=0.6,'Vehicle Data'!E$21,IF(Data!O53 = 0.9,'Vehicle Data'!E$20))+(P53*O53)</f>
        <v>1550.3723999999997</v>
      </c>
      <c r="T53">
        <f>IF(F53=3,'Vehicle Data'!H$16,IF(F53=2,'Vehicle Data'!H$15,IF(F53 = 1,'Vehicle Data'!G$14)))</f>
        <v>466.23005239380637</v>
      </c>
      <c r="U53" s="148">
        <f t="shared" si="7"/>
        <v>75.056417835851562</v>
      </c>
      <c r="V53" s="70" t="s">
        <v>77</v>
      </c>
      <c r="W53" s="99" t="s">
        <v>84</v>
      </c>
      <c r="X53">
        <f>IF(V53="S",'Vehicle Data'!C$14,IF(Data!V53 = "T1",'Vehicle Data'!P$2,IF(Data!V53="T2",'Vehicle Data'!P$3)))</f>
        <v>13.411199999999999</v>
      </c>
      <c r="Z53">
        <f t="shared" si="8"/>
        <v>3.7428350123169016</v>
      </c>
      <c r="AB53" t="b">
        <f>IF(AA53=1,'Vehicle Data'!I$14,IF(AA53=2,'Vehicle Data'!I$15,IF(AA53=3,'Vehicle Data'!I$16)))</f>
        <v>0</v>
      </c>
      <c r="AC53">
        <f>IF(Z53&lt;'Vehicle Data'!C$16,'Vehicle Data'!I$15,IF(Z53&lt;'Vehicle Data'!C$15,'Vehicle Data'!I$15,IF(Z52&gt;'Vehicle Data'!C$15,'Vehicle Data'!I$16)))</f>
        <v>0.98256251041858167</v>
      </c>
      <c r="AD53">
        <f>IF(O53=0.6,'Vehicle Data'!F$21,IF(O53=0.9,'Vehicle Data'!F$20))</f>
        <v>3.5315999999999996</v>
      </c>
      <c r="AE53" s="100">
        <f t="shared" si="9"/>
        <v>0.98256251041858167</v>
      </c>
      <c r="AF53" s="158">
        <f t="shared" si="30"/>
        <v>0.46416716992322971</v>
      </c>
      <c r="AG53" s="148">
        <f t="shared" si="12"/>
        <v>1.0510643714700243</v>
      </c>
      <c r="AH53" s="148">
        <f t="shared" si="31"/>
        <v>11.355067327053314</v>
      </c>
      <c r="AJ53">
        <f>(Z53^2)*'Vehicle Data'!C$31</f>
        <v>5.1482391190637848</v>
      </c>
      <c r="AK53">
        <f>IF(O53=0.6,'Vehicle Data'!C$6*'Vehicle Data'!D$21*9.81,IF(O53=0.9,'Vehicle Data'!C$6*9.81*'Vehicle Data'!D$20))</f>
        <v>86.131799999999998</v>
      </c>
      <c r="AL53">
        <f t="shared" si="10"/>
        <v>91.280039119063787</v>
      </c>
      <c r="AN53">
        <f>IF(AG53&gt;0,AG53*'Vehicle Data'!C$6)</f>
        <v>461.41725907534067</v>
      </c>
      <c r="AO53">
        <f t="shared" si="13"/>
        <v>552.69729819440442</v>
      </c>
      <c r="AP53">
        <f>AO53*'Vehicle Data'!F$3</f>
        <v>141.26942941848978</v>
      </c>
      <c r="AQ53">
        <f>IF(AE53='Vehicle Data'!I$15,AP53/'Vehicle Data'!G$15,IF(AE53='Vehicle Data'!I$16,AP53/'Vehicle Data'!G$16,IF(AE53='Vehicle Data'!I$14,Data!AP53/'Vehicle Data'!G64)))</f>
        <v>17.501877054307517</v>
      </c>
      <c r="AR53">
        <f>IF(Z53&lt;'Vehicle Data'!C$16, Z53*'Vehicle Data'!F$7*'Vehicle Data'!G$14,IF(Z53&lt;'Vehicle Data'!C$15,Z53*'Vehicle Data'!F$7*'Vehicle Data'!G$15,IF(Z53&gt;'Vehicle Data'!C$15,Z53*'Vehicle Data'!F$7*'Vehicle Data'!G$16)))</f>
        <v>72.777347461717525</v>
      </c>
      <c r="AS53">
        <f t="shared" si="32"/>
        <v>4366.6408477030518</v>
      </c>
      <c r="AT53">
        <v>4</v>
      </c>
      <c r="AU53">
        <f t="shared" si="34"/>
        <v>4500</v>
      </c>
      <c r="AW53">
        <f>VLOOKUP(AT53,BSFC!A$64:A$82,1,FALSE)</f>
        <v>4</v>
      </c>
      <c r="AX53" t="e" cm="1">
        <f t="array" ref="AX53">_xlfn.XLOOKUP(AT53,BSFC!A$64:A$82,,-1,_xlfn.XLOOKUP(Data!AU53,BSFC!C$63:Q$63,BSFC!B$64:Q$82,,-1))</f>
        <v>#VALUE!</v>
      </c>
      <c r="AY53">
        <f>HLOOKUP(AU53,BSFC!F$63:Q$63,1)</f>
        <v>4500</v>
      </c>
      <c r="AZ53">
        <f>IF(AT53&gt;0,MATCH(AT53,BSFC!A$64:A$83,0),IF(AT53&lt;=0,0))</f>
        <v>19</v>
      </c>
      <c r="BA53">
        <f>MATCH(AU53,BSFC!C$63:Q$63,0)</f>
        <v>9</v>
      </c>
      <c r="BB53" cm="1">
        <f t="array" ref="BB53">IF(AZ53&gt;0,INDEX(BSFC!C$64:Q$83,Data!AZ53,Data!BA53))</f>
        <v>700</v>
      </c>
      <c r="BC53">
        <f>0.5*'Vehicle Data'!C$6*Data!Z53^2</f>
        <v>3074.9346575088448</v>
      </c>
      <c r="BD53">
        <f t="shared" si="14"/>
        <v>8.8028904684587612</v>
      </c>
      <c r="BE53">
        <f t="shared" si="35"/>
        <v>6162.0233279211325</v>
      </c>
      <c r="BF53">
        <f t="shared" si="36"/>
        <v>0.79450248031168713</v>
      </c>
      <c r="BG53">
        <f t="shared" si="15"/>
        <v>11.536990252461306</v>
      </c>
      <c r="BH53">
        <f t="shared" si="39"/>
        <v>7970.8397222377944</v>
      </c>
      <c r="BI53" s="148">
        <f t="shared" si="17"/>
        <v>6871.6622130335309</v>
      </c>
      <c r="BO53">
        <f t="shared" si="18"/>
        <v>3315.8341774976084</v>
      </c>
      <c r="BP53">
        <f t="shared" si="19"/>
        <v>-32523.529295195498</v>
      </c>
      <c r="BQ53">
        <f t="shared" si="20"/>
        <v>28029.329105682766</v>
      </c>
      <c r="BR53" s="148">
        <f t="shared" si="21"/>
        <v>80886.768258191762</v>
      </c>
      <c r="BS53" s="156">
        <f t="shared" si="22"/>
        <v>3315.8341774976084</v>
      </c>
      <c r="BT53" s="156">
        <f t="shared" si="37"/>
        <v>7970.8397222377944</v>
      </c>
      <c r="BU53">
        <f t="shared" si="23"/>
        <v>2858.5811804278151</v>
      </c>
      <c r="BV53">
        <f t="shared" si="24"/>
        <v>2858.5811804278151</v>
      </c>
      <c r="BW53" s="148">
        <f t="shared" si="25"/>
        <v>455.4</v>
      </c>
      <c r="BX53" s="148">
        <f t="shared" si="26"/>
        <v>3129354.9718154697</v>
      </c>
      <c r="BY53" s="148">
        <f t="shared" si="27"/>
        <v>0.36161051932411858</v>
      </c>
      <c r="BZ53">
        <f t="shared" si="11"/>
        <v>11.355067327053314</v>
      </c>
      <c r="CB53">
        <f t="shared" si="28"/>
        <v>-457.25299706979331</v>
      </c>
      <c r="CC53" s="162">
        <f t="shared" si="29"/>
        <v>-985.10413208547402</v>
      </c>
      <c r="CD53">
        <f t="shared" si="38"/>
        <v>52125.498673483067</v>
      </c>
    </row>
    <row r="54" spans="4:82" x14ac:dyDescent="0.2">
      <c r="D54" s="22">
        <f t="shared" si="0"/>
        <v>0</v>
      </c>
      <c r="E54" s="23">
        <v>9.1017071999999999</v>
      </c>
      <c r="F54" s="23">
        <f>IF(K54&lt;6,1,IF(Data!K54&lt;9,2,IF(K54&gt;9,3)))</f>
        <v>3</v>
      </c>
      <c r="G54" s="23">
        <v>794.66198164148682</v>
      </c>
      <c r="H54" s="23">
        <v>213.46666499999998</v>
      </c>
      <c r="I54" s="64">
        <v>34.514226018783162</v>
      </c>
      <c r="J54" s="65">
        <f t="shared" si="1"/>
        <v>-0.28603011188203342</v>
      </c>
      <c r="K54" s="65">
        <f t="shared" si="2"/>
        <v>13.805690407513264</v>
      </c>
      <c r="L54" s="65">
        <f t="shared" si="3"/>
        <v>-0.11441204475279916</v>
      </c>
      <c r="M54">
        <f t="shared" si="4"/>
        <v>18.2034144</v>
      </c>
      <c r="N54">
        <f t="shared" si="5"/>
        <v>0</v>
      </c>
      <c r="O54">
        <f>IF(L54&lt;'Vehicle Data'!F$21,'Vehicle Data'!C$21,IF(L54&gt;'Vehicle Data'!C$21,'Vehicle Data'!C$20))</f>
        <v>0.6</v>
      </c>
      <c r="P54">
        <f>('Vehicle Data'!C$6*9.81*'Vehicle Data'!C$5*SIN(D54))/'Vehicle Data'!C$9</f>
        <v>0</v>
      </c>
      <c r="Q54" s="107">
        <f>'Vehicle Data'!C$6*9.81*SIN(D54)</f>
        <v>0</v>
      </c>
      <c r="R54">
        <f t="shared" si="6"/>
        <v>792.93119447938</v>
      </c>
      <c r="S54">
        <f>IF(Data!O54=0.6,'Vehicle Data'!E$21,IF(Data!O54 = 0.9,'Vehicle Data'!E$20))+(P54*O54)</f>
        <v>1550.3723999999997</v>
      </c>
      <c r="T54">
        <f>IF(F54=3,'Vehicle Data'!H$16,IF(F54=2,'Vehicle Data'!H$15,IF(F54 = 1,'Vehicle Data'!G$14)))</f>
        <v>466.23005239380637</v>
      </c>
      <c r="U54" s="148">
        <f t="shared" si="7"/>
        <v>76.79271235606393</v>
      </c>
      <c r="V54" s="70" t="s">
        <v>77</v>
      </c>
      <c r="W54" s="99" t="s">
        <v>84</v>
      </c>
      <c r="X54">
        <f>IF(V54="S",'Vehicle Data'!C$14,IF(Data!V54 = "T1",'Vehicle Data'!P$2,IF(Data!V54="T2",'Vehicle Data'!P$3)))</f>
        <v>13.411199999999999</v>
      </c>
      <c r="Z54">
        <f t="shared" si="8"/>
        <v>4.1738291453576588</v>
      </c>
      <c r="AB54" t="b">
        <f>IF(AA54=1,'Vehicle Data'!I$14,IF(AA54=2,'Vehicle Data'!I$15,IF(AA54=3,'Vehicle Data'!I$16)))</f>
        <v>0</v>
      </c>
      <c r="AC54">
        <f>IF(Z54&lt;'Vehicle Data'!C$16,'Vehicle Data'!I$15,IF(Z54&lt;'Vehicle Data'!C$15,'Vehicle Data'!I$15,IF(Z53&gt;'Vehicle Data'!C$15,'Vehicle Data'!I$16)))</f>
        <v>0.98256251041858167</v>
      </c>
      <c r="AD54">
        <f>IF(O54=0.6,'Vehicle Data'!F$21,IF(O54=0.9,'Vehicle Data'!F$20))</f>
        <v>3.5315999999999996</v>
      </c>
      <c r="AE54" s="100">
        <f t="shared" si="9"/>
        <v>0.98256251041858167</v>
      </c>
      <c r="AF54" s="158">
        <f t="shared" si="30"/>
        <v>0.41599559055826751</v>
      </c>
      <c r="AG54" s="148">
        <f t="shared" si="12"/>
        <v>1.0360545708245648</v>
      </c>
      <c r="AH54" s="148">
        <f t="shared" si="31"/>
        <v>11.771062917611582</v>
      </c>
      <c r="AJ54">
        <f>(Z54^2)*'Vehicle Data'!C$31</f>
        <v>6.4021622774791158</v>
      </c>
      <c r="AK54">
        <f>IF(O54=0.6,'Vehicle Data'!C$6*'Vehicle Data'!D$21*9.81,IF(O54=0.9,'Vehicle Data'!C$6*9.81*'Vehicle Data'!D$20))</f>
        <v>86.131799999999998</v>
      </c>
      <c r="AL54">
        <f t="shared" si="10"/>
        <v>92.53396227747912</v>
      </c>
      <c r="AN54">
        <f>IF(AG54&gt;0,AG54*'Vehicle Data'!C$6)</f>
        <v>454.82795659198393</v>
      </c>
      <c r="AO54">
        <f t="shared" si="13"/>
        <v>547.36191886946301</v>
      </c>
      <c r="AP54">
        <f>AO54*'Vehicle Data'!F$3</f>
        <v>139.90570646303473</v>
      </c>
      <c r="AQ54">
        <f>IF(AE54='Vehicle Data'!I$15,AP54/'Vehicle Data'!G$15,IF(AE54='Vehicle Data'!I$16,AP54/'Vehicle Data'!G$16,IF(AE54='Vehicle Data'!I$14,Data!AP54/'Vehicle Data'!G65)))</f>
        <v>17.33292534550004</v>
      </c>
      <c r="AR54">
        <f>IF(Z54&lt;'Vehicle Data'!C$16, Z54*'Vehicle Data'!F$7*'Vehicle Data'!G$14,IF(Z54&lt;'Vehicle Data'!C$15,Z54*'Vehicle Data'!F$7*'Vehicle Data'!G$15,IF(Z54&gt;'Vehicle Data'!C$15,Z54*'Vehicle Data'!F$7*'Vehicle Data'!G$16)))</f>
        <v>81.15778893751002</v>
      </c>
      <c r="AS54">
        <f t="shared" si="32"/>
        <v>4869.467336250601</v>
      </c>
      <c r="AT54">
        <f t="shared" si="33"/>
        <v>17</v>
      </c>
      <c r="AU54">
        <f t="shared" si="34"/>
        <v>5000</v>
      </c>
      <c r="AW54">
        <f>VLOOKUP(AT54,BSFC!A$64:A$82,1,FALSE)</f>
        <v>17</v>
      </c>
      <c r="AX54" t="e" cm="1">
        <f t="array" ref="AX54">_xlfn.XLOOKUP(AT54,BSFC!A$64:A$82,,-1,_xlfn.XLOOKUP(Data!AU54,BSFC!C$63:Q$63,BSFC!B$64:Q$82,,-1))</f>
        <v>#VALUE!</v>
      </c>
      <c r="AY54">
        <f>HLOOKUP(AU54,BSFC!F$63:Q$63,1)</f>
        <v>5000</v>
      </c>
      <c r="AZ54">
        <f>IF(AT54&gt;0,MATCH(AT54,BSFC!A$64:A$83,0),IF(AT54&lt;=0,0))</f>
        <v>6</v>
      </c>
      <c r="BA54">
        <f>MATCH(AU54,BSFC!C$63:Q$63,0)</f>
        <v>10</v>
      </c>
      <c r="BB54" cm="1">
        <f t="array" ref="BB54">IF(AZ54&gt;0,INDEX(BSFC!C$64:Q$83,Data!AZ54,Data!BA54))</f>
        <v>644.79999999999995</v>
      </c>
      <c r="BC54">
        <f>0.5*'Vehicle Data'!C$6*Data!Z54^2</f>
        <v>3823.8765167528313</v>
      </c>
      <c r="BD54">
        <f t="shared" si="14"/>
        <v>9.5709429818575611</v>
      </c>
      <c r="BE54">
        <f t="shared" si="35"/>
        <v>6171.3440347017549</v>
      </c>
      <c r="BF54">
        <f t="shared" si="36"/>
        <v>0.71312552951499941</v>
      </c>
      <c r="BG54">
        <f t="shared" si="15"/>
        <v>12.250115781976305</v>
      </c>
      <c r="BH54">
        <f t="shared" si="39"/>
        <v>8802.8904684587615</v>
      </c>
      <c r="BI54" s="148">
        <f t="shared" si="17"/>
        <v>6871.6622130335309</v>
      </c>
      <c r="BO54">
        <f t="shared" si="18"/>
        <v>3338.9282478989521</v>
      </c>
      <c r="BP54">
        <f t="shared" si="19"/>
        <v>-29184.601047296546</v>
      </c>
      <c r="BQ54">
        <f t="shared" si="20"/>
        <v>31368.257353581717</v>
      </c>
      <c r="BR54" s="148">
        <f t="shared" si="21"/>
        <v>83493.183407321136</v>
      </c>
      <c r="BS54" s="156">
        <f t="shared" si="22"/>
        <v>3338.9282478989521</v>
      </c>
      <c r="BT54" s="156">
        <f t="shared" si="37"/>
        <v>8802.8904684587615</v>
      </c>
      <c r="BU54">
        <f t="shared" si="23"/>
        <v>2606.4151491293733</v>
      </c>
      <c r="BV54">
        <f t="shared" si="24"/>
        <v>2606.4151491293733</v>
      </c>
      <c r="BW54" s="148">
        <f t="shared" si="25"/>
        <v>455.4</v>
      </c>
      <c r="BX54" s="148">
        <f t="shared" si="26"/>
        <v>3129354.9718154697</v>
      </c>
      <c r="BY54" s="148">
        <f t="shared" si="27"/>
        <v>0.32971151636486568</v>
      </c>
      <c r="BZ54">
        <f t="shared" si="11"/>
        <v>11.771062917611582</v>
      </c>
      <c r="CB54">
        <f t="shared" si="28"/>
        <v>-732.51309876957885</v>
      </c>
      <c r="CC54" s="162">
        <f t="shared" si="29"/>
        <v>-1760.8674596443279</v>
      </c>
      <c r="CD54">
        <f t="shared" si="38"/>
        <v>51392.985574713486</v>
      </c>
    </row>
    <row r="55" spans="4:82" x14ac:dyDescent="0.2">
      <c r="D55" s="22">
        <f t="shared" si="0"/>
        <v>0</v>
      </c>
      <c r="E55" s="23">
        <v>9.1017071999999999</v>
      </c>
      <c r="F55" s="23">
        <f>IF(K55&lt;6,1,IF(Data!K55&lt;9,2,IF(K55&gt;9,3)))</f>
        <v>3</v>
      </c>
      <c r="G55" s="23">
        <v>796.38901314822442</v>
      </c>
      <c r="H55" s="23">
        <v>213.51666499999999</v>
      </c>
      <c r="I55" s="64">
        <v>34.499924513189058</v>
      </c>
      <c r="J55" s="65">
        <f t="shared" si="1"/>
        <v>0.88915338505580299</v>
      </c>
      <c r="K55" s="65">
        <f t="shared" si="2"/>
        <v>13.799969805275623</v>
      </c>
      <c r="L55" s="65">
        <f t="shared" si="3"/>
        <v>0.3556613540223354</v>
      </c>
      <c r="M55">
        <f t="shared" si="4"/>
        <v>18.2034144</v>
      </c>
      <c r="N55">
        <f t="shared" si="5"/>
        <v>0</v>
      </c>
      <c r="O55">
        <f>IF(L55&lt;'Vehicle Data'!F$21,'Vehicle Data'!C$21,IF(L55&gt;'Vehicle Data'!C$21,'Vehicle Data'!C$20))</f>
        <v>0.6</v>
      </c>
      <c r="P55">
        <f>('Vehicle Data'!C$6*9.81*'Vehicle Data'!C$5*SIN(D55))/'Vehicle Data'!C$9</f>
        <v>0</v>
      </c>
      <c r="Q55" s="107">
        <f>'Vehicle Data'!C$6*9.81*SIN(D55)</f>
        <v>0</v>
      </c>
      <c r="R55">
        <f t="shared" si="6"/>
        <v>794.66198164148682</v>
      </c>
      <c r="S55">
        <f>IF(Data!O55=0.6,'Vehicle Data'!E$21,IF(Data!O55 = 0.9,'Vehicle Data'!E$20))+(P55*O55)</f>
        <v>1550.3723999999997</v>
      </c>
      <c r="T55">
        <f>IF(F55=3,'Vehicle Data'!H$16,IF(F55=2,'Vehicle Data'!H$15,IF(F55 = 1,'Vehicle Data'!G$14)))</f>
        <v>466.23005239380637</v>
      </c>
      <c r="U55" s="148">
        <f t="shared" si="7"/>
        <v>78.523499518170752</v>
      </c>
      <c r="V55" s="70" t="s">
        <v>77</v>
      </c>
      <c r="W55" s="99" t="s">
        <v>84</v>
      </c>
      <c r="X55">
        <f>IF(V55="S",'Vehicle Data'!C$14,IF(Data!V55 = "T1",'Vehicle Data'!P$2,IF(Data!V55="T2",'Vehicle Data'!P$3)))</f>
        <v>13.411199999999999</v>
      </c>
      <c r="Z55">
        <f t="shared" si="8"/>
        <v>4.5631198639348609</v>
      </c>
      <c r="AB55" t="b">
        <f>IF(AA55=1,'Vehicle Data'!I$14,IF(AA55=2,'Vehicle Data'!I$15,IF(AA55=3,'Vehicle Data'!I$16)))</f>
        <v>0</v>
      </c>
      <c r="AC55">
        <f>IF(Z55&lt;'Vehicle Data'!C$16,'Vehicle Data'!I$15,IF(Z55&lt;'Vehicle Data'!C$15,'Vehicle Data'!I$15,IF(Z54&gt;'Vehicle Data'!C$15,'Vehicle Data'!I$16)))</f>
        <v>0.98256251041858167</v>
      </c>
      <c r="AD55">
        <f>IF(O55=0.6,'Vehicle Data'!F$21,IF(O55=0.9,'Vehicle Data'!F$20))</f>
        <v>3.5315999999999996</v>
      </c>
      <c r="AE55" s="100">
        <f t="shared" si="9"/>
        <v>0.98256251041858167</v>
      </c>
      <c r="AF55" s="158">
        <f t="shared" si="30"/>
        <v>0.37929907907664134</v>
      </c>
      <c r="AG55" s="148">
        <f t="shared" si="12"/>
        <v>1.0263423774317728</v>
      </c>
      <c r="AH55" s="148">
        <f t="shared" si="31"/>
        <v>12.150361996688224</v>
      </c>
      <c r="AJ55">
        <f>(Z55^2)*'Vehicle Data'!C$31</f>
        <v>7.652108113044064</v>
      </c>
      <c r="AK55">
        <f>IF(O55=0.6,'Vehicle Data'!C$6*'Vehicle Data'!D$21*9.81,IF(O55=0.9,'Vehicle Data'!C$6*9.81*'Vehicle Data'!D$20))</f>
        <v>86.131799999999998</v>
      </c>
      <c r="AL55">
        <f t="shared" si="10"/>
        <v>93.783908113044063</v>
      </c>
      <c r="AN55">
        <f>IF(AG55&gt;0,AG55*'Vehicle Data'!C$6)</f>
        <v>450.56430369254826</v>
      </c>
      <c r="AO55">
        <f t="shared" si="13"/>
        <v>544.34821180559231</v>
      </c>
      <c r="AP55">
        <f>AO55*'Vehicle Data'!F$3</f>
        <v>139.13540293750938</v>
      </c>
      <c r="AQ55">
        <f>IF(AE55='Vehicle Data'!I$15,AP55/'Vehicle Data'!G$15,IF(AE55='Vehicle Data'!I$16,AP55/'Vehicle Data'!G$16,IF(AE55='Vehicle Data'!I$14,Data!AP55/'Vehicle Data'!G66)))</f>
        <v>17.237492401134514</v>
      </c>
      <c r="AR55">
        <f>IF(Z55&lt;'Vehicle Data'!C$16, Z55*'Vehicle Data'!F$7*'Vehicle Data'!G$14,IF(Z55&lt;'Vehicle Data'!C$15,Z55*'Vehicle Data'!F$7*'Vehicle Data'!G$15,IF(Z55&gt;'Vehicle Data'!C$15,Z55*'Vehicle Data'!F$7*'Vehicle Data'!G$16)))</f>
        <v>88.727330687622285</v>
      </c>
      <c r="AS55">
        <f t="shared" si="32"/>
        <v>5323.6398412573371</v>
      </c>
      <c r="AT55">
        <f t="shared" si="33"/>
        <v>17</v>
      </c>
      <c r="AU55">
        <f t="shared" si="34"/>
        <v>5500</v>
      </c>
      <c r="AW55">
        <f>VLOOKUP(AT55,BSFC!A$64:A$82,1,FALSE)</f>
        <v>17</v>
      </c>
      <c r="AX55" t="e" cm="1">
        <f t="array" ref="AX55">_xlfn.XLOOKUP(AT55,BSFC!A$64:A$82,,-1,_xlfn.XLOOKUP(Data!AU55,BSFC!C$63:Q$63,BSFC!B$64:Q$82,,-1))</f>
        <v>#VALUE!</v>
      </c>
      <c r="AY55">
        <f>HLOOKUP(AU55,BSFC!F$63:Q$63,1)</f>
        <v>5500</v>
      </c>
      <c r="AZ55">
        <f>IF(AT55&gt;0,MATCH(AT55,BSFC!A$64:A$83,0),IF(AT55&lt;=0,0))</f>
        <v>6</v>
      </c>
      <c r="BA55">
        <f>MATCH(AU55,BSFC!C$63:Q$63,0)</f>
        <v>11</v>
      </c>
      <c r="BB55" cm="1">
        <f t="array" ref="BB55">IF(AZ55&gt;0,INDEX(BSFC!C$64:Q$83,Data!AZ55,Data!BA55))</f>
        <v>629.4</v>
      </c>
      <c r="BC55">
        <f>0.5*'Vehicle Data'!C$6*Data!Z55^2</f>
        <v>4570.4428049338003</v>
      </c>
      <c r="BD55">
        <f t="shared" si="14"/>
        <v>10.289329949739194</v>
      </c>
      <c r="BE55">
        <f t="shared" si="35"/>
        <v>6476.1042703658486</v>
      </c>
      <c r="BF55">
        <f t="shared" si="36"/>
        <v>0.68232788493168628</v>
      </c>
      <c r="BG55">
        <f t="shared" si="15"/>
        <v>12.932443666907991</v>
      </c>
      <c r="BH55">
        <f t="shared" si="39"/>
        <v>9570.9429818575609</v>
      </c>
      <c r="BI55" s="148">
        <f t="shared" si="17"/>
        <v>6871.6622130335309</v>
      </c>
      <c r="BO55">
        <f t="shared" si="18"/>
        <v>3358.9591383601642</v>
      </c>
      <c r="BP55">
        <f t="shared" si="19"/>
        <v>-25825.641908936381</v>
      </c>
      <c r="BQ55">
        <f t="shared" si="20"/>
        <v>34727.216491941879</v>
      </c>
      <c r="BR55" s="148">
        <f t="shared" si="21"/>
        <v>85904.819609725237</v>
      </c>
      <c r="BS55" s="156">
        <f t="shared" si="22"/>
        <v>3358.9591383601642</v>
      </c>
      <c r="BT55" s="156">
        <f t="shared" si="37"/>
        <v>9570.9429818575609</v>
      </c>
      <c r="BU55">
        <f t="shared" si="23"/>
        <v>2411.6362024041073</v>
      </c>
      <c r="BV55">
        <f t="shared" si="24"/>
        <v>2411.6362024041073</v>
      </c>
      <c r="BW55" s="148">
        <f t="shared" si="25"/>
        <v>455.4</v>
      </c>
      <c r="BX55" s="148">
        <f t="shared" si="26"/>
        <v>3129354.9718154697</v>
      </c>
      <c r="BY55" s="148">
        <f t="shared" si="27"/>
        <v>0.30507197960411953</v>
      </c>
      <c r="BZ55">
        <f t="shared" si="11"/>
        <v>12.150361996688224</v>
      </c>
      <c r="CB55">
        <f t="shared" si="28"/>
        <v>-947.32293595605688</v>
      </c>
      <c r="CC55" s="162">
        <f t="shared" si="29"/>
        <v>-2497.5619193756056</v>
      </c>
      <c r="CD55">
        <f t="shared" si="38"/>
        <v>50445.662638757429</v>
      </c>
    </row>
    <row r="56" spans="4:82" x14ac:dyDescent="0.2">
      <c r="D56" s="22">
        <f t="shared" si="0"/>
        <v>0</v>
      </c>
      <c r="E56" s="23">
        <v>9.1017071999999999</v>
      </c>
      <c r="F56" s="23">
        <f>IF(K56&lt;6,1,IF(Data!K56&lt;9,2,IF(K56&gt;9,3)))</f>
        <v>3</v>
      </c>
      <c r="G56" s="23">
        <v>798.11601956717141</v>
      </c>
      <c r="H56" s="23">
        <v>213.566665</v>
      </c>
      <c r="I56" s="64">
        <v>34.544382182441858</v>
      </c>
      <c r="J56" s="65">
        <f t="shared" si="1"/>
        <v>1.340013131890347</v>
      </c>
      <c r="K56" s="65">
        <f t="shared" si="2"/>
        <v>13.817752872976744</v>
      </c>
      <c r="L56" s="65">
        <f t="shared" si="3"/>
        <v>0.53600525275613176</v>
      </c>
      <c r="M56">
        <f t="shared" si="4"/>
        <v>18.2034144</v>
      </c>
      <c r="N56">
        <f t="shared" si="5"/>
        <v>0</v>
      </c>
      <c r="O56">
        <f>IF(L56&lt;'Vehicle Data'!F$21,'Vehicle Data'!C$21,IF(L56&gt;'Vehicle Data'!C$21,'Vehicle Data'!C$20))</f>
        <v>0.6</v>
      </c>
      <c r="P56">
        <f>('Vehicle Data'!C$6*9.81*'Vehicle Data'!C$5*SIN(D56))/'Vehicle Data'!C$9</f>
        <v>0</v>
      </c>
      <c r="Q56" s="107">
        <f>'Vehicle Data'!C$6*9.81*SIN(D56)</f>
        <v>0</v>
      </c>
      <c r="R56">
        <f t="shared" si="6"/>
        <v>796.38901314822442</v>
      </c>
      <c r="S56">
        <f>IF(Data!O56=0.6,'Vehicle Data'!E$21,IF(Data!O56 = 0.9,'Vehicle Data'!E$20))+(P56*O56)</f>
        <v>1550.3723999999997</v>
      </c>
      <c r="T56">
        <f>IF(F56=3,'Vehicle Data'!H$16,IF(F56=2,'Vehicle Data'!H$15,IF(F56 = 1,'Vehicle Data'!G$14)))</f>
        <v>466.23005239380637</v>
      </c>
      <c r="U56" s="148">
        <f t="shared" si="7"/>
        <v>80.250531024908355</v>
      </c>
      <c r="V56" s="70" t="s">
        <v>77</v>
      </c>
      <c r="W56" s="99" t="s">
        <v>84</v>
      </c>
      <c r="X56">
        <f>IF(V56="S",'Vehicle Data'!C$14,IF(Data!V56 = "T1",'Vehicle Data'!P$2,IF(Data!V56="T2",'Vehicle Data'!P$3)))</f>
        <v>13.411199999999999</v>
      </c>
      <c r="Z56">
        <f t="shared" si="8"/>
        <v>4.9209649174019798</v>
      </c>
      <c r="AB56" t="b">
        <f>IF(AA56=1,'Vehicle Data'!I$14,IF(AA56=2,'Vehicle Data'!I$15,IF(AA56=3,'Vehicle Data'!I$16)))</f>
        <v>0</v>
      </c>
      <c r="AC56">
        <f>IF(Z56&lt;'Vehicle Data'!C$16,'Vehicle Data'!I$15,IF(Z56&lt;'Vehicle Data'!C$15,'Vehicle Data'!I$15,IF(Z55&gt;'Vehicle Data'!C$15,'Vehicle Data'!I$16)))</f>
        <v>0.98256251041858167</v>
      </c>
      <c r="AD56">
        <f>IF(O56=0.6,'Vehicle Data'!F$21,IF(O56=0.9,'Vehicle Data'!F$20))</f>
        <v>3.5315999999999996</v>
      </c>
      <c r="AE56" s="100">
        <f t="shared" si="9"/>
        <v>0.98256251041858167</v>
      </c>
      <c r="AF56" s="158">
        <f t="shared" si="30"/>
        <v>0.35095383440558814</v>
      </c>
      <c r="AG56" s="148">
        <f t="shared" si="12"/>
        <v>1.0196356853407871</v>
      </c>
      <c r="AH56" s="148">
        <f t="shared" si="31"/>
        <v>12.501315831093812</v>
      </c>
      <c r="AJ56">
        <f>(Z56^2)*'Vehicle Data'!C$31</f>
        <v>8.8993416764756468</v>
      </c>
      <c r="AK56">
        <f>IF(O56=0.6,'Vehicle Data'!C$6*'Vehicle Data'!D$21*9.81,IF(O56=0.9,'Vehicle Data'!C$6*9.81*'Vehicle Data'!D$20))</f>
        <v>86.131799999999998</v>
      </c>
      <c r="AL56">
        <f t="shared" si="10"/>
        <v>95.031141676475642</v>
      </c>
      <c r="AN56">
        <f>IF(AG56&gt;0,AG56*'Vehicle Data'!C$6)</f>
        <v>447.62006586460552</v>
      </c>
      <c r="AO56">
        <f t="shared" si="13"/>
        <v>542.65120754108113</v>
      </c>
      <c r="AP56">
        <f>AO56*'Vehicle Data'!F$3</f>
        <v>138.70164864750035</v>
      </c>
      <c r="AQ56">
        <f>IF(AE56='Vehicle Data'!I$15,AP56/'Vehicle Data'!G$15,IF(AE56='Vehicle Data'!I$16,AP56/'Vehicle Data'!G$16,IF(AE56='Vehicle Data'!I$14,Data!AP56/'Vehicle Data'!G67)))</f>
        <v>17.183754559290275</v>
      </c>
      <c r="AR56">
        <f>IF(Z56&lt;'Vehicle Data'!C$16, Z56*'Vehicle Data'!F$7*'Vehicle Data'!G$14,IF(Z56&lt;'Vehicle Data'!C$15,Z56*'Vehicle Data'!F$7*'Vehicle Data'!G$15,IF(Z56&gt;'Vehicle Data'!C$15,Z56*'Vehicle Data'!F$7*'Vehicle Data'!G$16)))</f>
        <v>95.68542894948294</v>
      </c>
      <c r="AS56">
        <f t="shared" si="32"/>
        <v>5741.1257369689765</v>
      </c>
      <c r="AT56">
        <f t="shared" si="33"/>
        <v>17</v>
      </c>
      <c r="AU56">
        <f t="shared" si="34"/>
        <v>5500</v>
      </c>
      <c r="AW56">
        <f>VLOOKUP(AT56,BSFC!A$64:A$82,1,FALSE)</f>
        <v>17</v>
      </c>
      <c r="AX56" t="e" cm="1">
        <f t="array" ref="AX56">_xlfn.XLOOKUP(AT56,BSFC!A$64:A$82,,-1,_xlfn.XLOOKUP(Data!AU56,BSFC!C$63:Q$63,BSFC!B$64:Q$82,,-1))</f>
        <v>#VALUE!</v>
      </c>
      <c r="AY56">
        <f>HLOOKUP(AU56,BSFC!F$63:Q$63,1)</f>
        <v>5500</v>
      </c>
      <c r="AZ56">
        <f>IF(AT56&gt;0,MATCH(AT56,BSFC!A$64:A$83,0),IF(AT56&lt;=0,0))</f>
        <v>6</v>
      </c>
      <c r="BA56">
        <f>MATCH(AU56,BSFC!C$63:Q$63,0)</f>
        <v>11</v>
      </c>
      <c r="BB56" cm="1">
        <f t="array" ref="BB56">IF(AZ56&gt;0,INDEX(BSFC!C$64:Q$83,Data!AZ56,Data!BA56))</f>
        <v>629.4</v>
      </c>
      <c r="BC56">
        <f>0.5*'Vehicle Data'!C$6*Data!Z56^2</f>
        <v>5315.3891101670861</v>
      </c>
      <c r="BD56">
        <f t="shared" si="14"/>
        <v>10.968697297398066</v>
      </c>
      <c r="BE56">
        <f t="shared" si="35"/>
        <v>6903.6980789823428</v>
      </c>
      <c r="BF56">
        <f t="shared" si="36"/>
        <v>0.67302203122148507</v>
      </c>
      <c r="BG56">
        <f t="shared" si="15"/>
        <v>13.605465698129477</v>
      </c>
      <c r="BH56">
        <f t="shared" si="39"/>
        <v>10289.329949739194</v>
      </c>
      <c r="BI56" s="148">
        <f t="shared" si="17"/>
        <v>6871.6622130335309</v>
      </c>
      <c r="BO56">
        <f t="shared" si="18"/>
        <v>3381.8190419706066</v>
      </c>
      <c r="BP56">
        <f t="shared" si="19"/>
        <v>-22443.822866965773</v>
      </c>
      <c r="BQ56">
        <f t="shared" si="20"/>
        <v>38109.035533912487</v>
      </c>
      <c r="BR56" s="148">
        <f t="shared" si="21"/>
        <v>88163.34550359218</v>
      </c>
      <c r="BS56" s="156">
        <f t="shared" si="22"/>
        <v>3381.8190419706066</v>
      </c>
      <c r="BT56" s="156">
        <f t="shared" si="37"/>
        <v>10289.329949739194</v>
      </c>
      <c r="BU56">
        <f t="shared" si="23"/>
        <v>2258.5258938669481</v>
      </c>
      <c r="BV56">
        <f t="shared" si="24"/>
        <v>2258.5258938669481</v>
      </c>
      <c r="BW56" s="148">
        <f t="shared" si="25"/>
        <v>455.4</v>
      </c>
      <c r="BX56" s="148">
        <f t="shared" si="26"/>
        <v>3129354.9718154697</v>
      </c>
      <c r="BY56" s="148">
        <f t="shared" si="27"/>
        <v>0.28570352557416889</v>
      </c>
      <c r="BZ56">
        <f t="shared" si="11"/>
        <v>12.501315831093812</v>
      </c>
      <c r="CB56">
        <f t="shared" si="28"/>
        <v>-1123.2931481036585</v>
      </c>
      <c r="CC56" s="162">
        <f t="shared" si="29"/>
        <v>-3200.6863523978377</v>
      </c>
      <c r="CD56">
        <f t="shared" si="38"/>
        <v>49322.369490653771</v>
      </c>
    </row>
    <row r="57" spans="4:82" x14ac:dyDescent="0.2">
      <c r="D57" s="22">
        <f t="shared" si="0"/>
        <v>0</v>
      </c>
      <c r="E57" s="23">
        <v>9.1017071999999999</v>
      </c>
      <c r="F57" s="23">
        <f>IF(K57&lt;6,1,IF(Data!K57&lt;9,2,IF(K57&gt;9,3)))</f>
        <v>3</v>
      </c>
      <c r="G57" s="23">
        <v>799.84602391180124</v>
      </c>
      <c r="H57" s="23">
        <v>213.61666499999998</v>
      </c>
      <c r="I57" s="64">
        <v>34.611382839036352</v>
      </c>
      <c r="J57" s="65">
        <f t="shared" si="1"/>
        <v>1.0718790036748209</v>
      </c>
      <c r="K57" s="65">
        <f t="shared" si="2"/>
        <v>13.844553135614541</v>
      </c>
      <c r="L57" s="65">
        <f t="shared" si="3"/>
        <v>0.42875160146992131</v>
      </c>
      <c r="M57">
        <f t="shared" si="4"/>
        <v>18.2034144</v>
      </c>
      <c r="N57">
        <f t="shared" si="5"/>
        <v>0</v>
      </c>
      <c r="O57">
        <f>IF(L57&lt;'Vehicle Data'!F$21,'Vehicle Data'!C$21,IF(L57&gt;'Vehicle Data'!C$21,'Vehicle Data'!C$20))</f>
        <v>0.6</v>
      </c>
      <c r="P57">
        <f>('Vehicle Data'!C$6*9.81*'Vehicle Data'!C$5*SIN(D57))/'Vehicle Data'!C$9</f>
        <v>0</v>
      </c>
      <c r="Q57" s="107">
        <f>'Vehicle Data'!C$6*9.81*SIN(D57)</f>
        <v>0</v>
      </c>
      <c r="R57">
        <f t="shared" si="6"/>
        <v>798.11601956717141</v>
      </c>
      <c r="S57">
        <f>IF(Data!O57=0.6,'Vehicle Data'!E$21,IF(Data!O57 = 0.9,'Vehicle Data'!E$20))+(P57*O57)</f>
        <v>1550.3723999999997</v>
      </c>
      <c r="T57">
        <f>IF(F57=3,'Vehicle Data'!H$16,IF(F57=2,'Vehicle Data'!H$15,IF(F57 = 1,'Vehicle Data'!G$14)))</f>
        <v>466.23005239380637</v>
      </c>
      <c r="U57" s="148">
        <f t="shared" si="7"/>
        <v>81.97753744385534</v>
      </c>
      <c r="V57" s="70" t="s">
        <v>77</v>
      </c>
      <c r="W57" s="99" t="s">
        <v>84</v>
      </c>
      <c r="X57">
        <f>IF(V57="S",'Vehicle Data'!C$14,IF(Data!V57 = "T1",'Vehicle Data'!P$2,IF(Data!V57="T2",'Vehicle Data'!P$3)))</f>
        <v>13.411199999999999</v>
      </c>
      <c r="Z57">
        <f t="shared" si="8"/>
        <v>5.2544913401127786</v>
      </c>
      <c r="AB57" t="b">
        <f>IF(AA57=1,'Vehicle Data'!I$14,IF(AA57=2,'Vehicle Data'!I$15,IF(AA57=3,'Vehicle Data'!I$16)))</f>
        <v>0</v>
      </c>
      <c r="AC57">
        <f>IF(Z57&lt;'Vehicle Data'!C$16,'Vehicle Data'!I$15,IF(Z57&lt;'Vehicle Data'!C$15,'Vehicle Data'!I$15,IF(Z56&gt;'Vehicle Data'!C$15,'Vehicle Data'!I$16)))</f>
        <v>0.98256251041858167</v>
      </c>
      <c r="AD57">
        <f>IF(O57=0.6,'Vehicle Data'!F$21,IF(O57=0.9,'Vehicle Data'!F$20))</f>
        <v>3.5315999999999996</v>
      </c>
      <c r="AE57" s="100">
        <f t="shared" si="9"/>
        <v>0.98256251041858167</v>
      </c>
      <c r="AF57" s="158">
        <f t="shared" si="30"/>
        <v>0.32867242653214035</v>
      </c>
      <c r="AG57" s="148">
        <f t="shared" si="12"/>
        <v>1.0147684922336611</v>
      </c>
      <c r="AH57" s="148">
        <f t="shared" si="31"/>
        <v>12.829988257625953</v>
      </c>
      <c r="AJ57">
        <f>(Z57^2)*'Vehicle Data'!C$31</f>
        <v>10.14655712192017</v>
      </c>
      <c r="AK57">
        <f>IF(O57=0.6,'Vehicle Data'!C$6*'Vehicle Data'!D$21*9.81,IF(O57=0.9,'Vehicle Data'!C$6*9.81*'Vehicle Data'!D$20))</f>
        <v>86.131799999999998</v>
      </c>
      <c r="AL57">
        <f t="shared" si="10"/>
        <v>96.278357121920166</v>
      </c>
      <c r="AN57">
        <f>IF(AG57&gt;0,AG57*'Vehicle Data'!C$6)</f>
        <v>445.48336809057719</v>
      </c>
      <c r="AO57">
        <f t="shared" si="13"/>
        <v>541.76172521249737</v>
      </c>
      <c r="AP57">
        <f>AO57*'Vehicle Data'!F$3</f>
        <v>138.47429696431433</v>
      </c>
      <c r="AQ57">
        <f>IF(AE57='Vehicle Data'!I$15,AP57/'Vehicle Data'!G$15,IF(AE57='Vehicle Data'!I$16,AP57/'Vehicle Data'!G$16,IF(AE57='Vehicle Data'!I$14,Data!AP57/'Vehicle Data'!G68)))</f>
        <v>17.155587947280935</v>
      </c>
      <c r="AR57">
        <f>IF(Z57&lt;'Vehicle Data'!C$16, Z57*'Vehicle Data'!F$7*'Vehicle Data'!G$14,IF(Z57&lt;'Vehicle Data'!C$15,Z57*'Vehicle Data'!F$7*'Vehicle Data'!G$15,IF(Z57&gt;'Vehicle Data'!C$15,Z57*'Vehicle Data'!F$7*'Vehicle Data'!G$16)))</f>
        <v>102.17066494663737</v>
      </c>
      <c r="AS57">
        <f t="shared" si="32"/>
        <v>6130.2398967982426</v>
      </c>
      <c r="AT57">
        <f t="shared" si="33"/>
        <v>17</v>
      </c>
      <c r="AU57">
        <f t="shared" si="34"/>
        <v>6000</v>
      </c>
      <c r="AW57">
        <f>VLOOKUP(AT57,BSFC!A$64:A$82,1,FALSE)</f>
        <v>17</v>
      </c>
      <c r="AX57" t="e" cm="1">
        <f t="array" ref="AX57">_xlfn.XLOOKUP(AT57,BSFC!A$64:A$82,,-1,_xlfn.XLOOKUP(Data!AU57,BSFC!C$63:Q$63,BSFC!B$64:Q$82,,-1))</f>
        <v>#VALUE!</v>
      </c>
      <c r="AY57">
        <f>HLOOKUP(AU57,BSFC!F$63:Q$63,1)</f>
        <v>6000</v>
      </c>
      <c r="AZ57">
        <f>IF(AT57&gt;0,MATCH(AT57,BSFC!A$64:A$83,0),IF(AT57&lt;=0,0))</f>
        <v>6</v>
      </c>
      <c r="BA57">
        <f>MATCH(AU57,BSFC!C$63:Q$63,0)</f>
        <v>12</v>
      </c>
      <c r="BB57" cm="1">
        <f t="array" ref="BB57">IF(AZ57&gt;0,INDEX(BSFC!C$64:Q$83,Data!AZ57,Data!BA57))</f>
        <v>588.70000000000005</v>
      </c>
      <c r="BC57">
        <f>0.5*'Vehicle Data'!C$6*Data!Z57^2</f>
        <v>6060.3245939087801</v>
      </c>
      <c r="BD57">
        <f t="shared" si="14"/>
        <v>11.616458483151023</v>
      </c>
      <c r="BE57">
        <f t="shared" si="35"/>
        <v>6838.6091090310074</v>
      </c>
      <c r="BF57">
        <f t="shared" si="36"/>
        <v>0.62435062499167204</v>
      </c>
      <c r="BG57">
        <f t="shared" si="15"/>
        <v>14.229816323121149</v>
      </c>
      <c r="BH57">
        <f t="shared" si="39"/>
        <v>10968.697297398066</v>
      </c>
      <c r="BI57" s="148">
        <f t="shared" si="17"/>
        <v>6871.6622130335309</v>
      </c>
      <c r="BO57">
        <f t="shared" si="18"/>
        <v>3407.6570879695214</v>
      </c>
      <c r="BP57">
        <f t="shared" si="19"/>
        <v>-19036.165778996252</v>
      </c>
      <c r="BQ57">
        <f t="shared" si="20"/>
        <v>41516.692621882008</v>
      </c>
      <c r="BR57" s="148">
        <f t="shared" si="21"/>
        <v>90298.172257534112</v>
      </c>
      <c r="BS57" s="156">
        <f t="shared" si="22"/>
        <v>3407.6570879695214</v>
      </c>
      <c r="BT57" s="156">
        <f t="shared" si="37"/>
        <v>10968.697297398066</v>
      </c>
      <c r="BU57">
        <f t="shared" si="23"/>
        <v>2134.8267539419394</v>
      </c>
      <c r="BV57">
        <f t="shared" si="24"/>
        <v>2134.8267539419394</v>
      </c>
      <c r="BW57" s="148">
        <f t="shared" si="25"/>
        <v>455.4</v>
      </c>
      <c r="BX57" s="148">
        <f t="shared" si="26"/>
        <v>3129354.9718154697</v>
      </c>
      <c r="BY57" s="148">
        <f t="shared" si="27"/>
        <v>0.27005558437365529</v>
      </c>
      <c r="BZ57">
        <f t="shared" si="11"/>
        <v>12.829988257625953</v>
      </c>
      <c r="CB57">
        <f t="shared" si="28"/>
        <v>-1272.830334027582</v>
      </c>
      <c r="CC57" s="162">
        <f t="shared" si="29"/>
        <v>-3872.6410592374837</v>
      </c>
      <c r="CD57">
        <f t="shared" si="38"/>
        <v>48049.53915662619</v>
      </c>
    </row>
    <row r="58" spans="4:82" x14ac:dyDescent="0.2">
      <c r="D58" s="22">
        <f t="shared" si="0"/>
        <v>0</v>
      </c>
      <c r="E58" s="23">
        <v>9.1017071999999999</v>
      </c>
      <c r="F58" s="23">
        <f>IF(K58&lt;6,1,IF(Data!K58&lt;9,2,IF(K58&gt;9,3)))</f>
        <v>3</v>
      </c>
      <c r="G58" s="23">
        <v>801.57922825643175</v>
      </c>
      <c r="H58" s="23">
        <v>213.66666499999999</v>
      </c>
      <c r="I58" s="64">
        <v>34.664976789220106</v>
      </c>
      <c r="J58" s="65">
        <f t="shared" si="1"/>
        <v>0.96488629154795769</v>
      </c>
      <c r="K58" s="65">
        <f t="shared" si="2"/>
        <v>13.865990715688042</v>
      </c>
      <c r="L58" s="65">
        <f t="shared" si="3"/>
        <v>0.38595451661918306</v>
      </c>
      <c r="M58">
        <f t="shared" si="4"/>
        <v>18.2034144</v>
      </c>
      <c r="N58">
        <f t="shared" si="5"/>
        <v>0</v>
      </c>
      <c r="O58">
        <f>IF(L58&lt;'Vehicle Data'!F$21,'Vehicle Data'!C$21,IF(L58&gt;'Vehicle Data'!C$21,'Vehicle Data'!C$20))</f>
        <v>0.6</v>
      </c>
      <c r="P58">
        <f>('Vehicle Data'!C$6*9.81*'Vehicle Data'!C$5*SIN(D58))/'Vehicle Data'!C$9</f>
        <v>0</v>
      </c>
      <c r="Q58" s="107">
        <f>'Vehicle Data'!C$6*9.81*SIN(D58)</f>
        <v>0</v>
      </c>
      <c r="R58">
        <f t="shared" si="6"/>
        <v>799.84602391180124</v>
      </c>
      <c r="S58">
        <f>IF(Data!O58=0.6,'Vehicle Data'!E$21,IF(Data!O58 = 0.9,'Vehicle Data'!E$20))+(P58*O58)</f>
        <v>1550.3723999999997</v>
      </c>
      <c r="T58">
        <f>IF(F58=3,'Vehicle Data'!H$16,IF(F58=2,'Vehicle Data'!H$15,IF(F58 = 1,'Vehicle Data'!G$14)))</f>
        <v>466.23005239380637</v>
      </c>
      <c r="U58" s="148">
        <f t="shared" si="7"/>
        <v>83.707541788485173</v>
      </c>
      <c r="V58" s="70" t="s">
        <v>77</v>
      </c>
      <c r="W58" s="99" t="s">
        <v>84</v>
      </c>
      <c r="X58">
        <f>IF(V58="S",'Vehicle Data'!C$14,IF(Data!V58 = "T1",'Vehicle Data'!P$2,IF(Data!V58="T2",'Vehicle Data'!P$3)))</f>
        <v>13.411199999999999</v>
      </c>
      <c r="Z58">
        <f t="shared" si="8"/>
        <v>5.5686043194959787</v>
      </c>
      <c r="AB58" t="b">
        <f>IF(AA58=1,'Vehicle Data'!I$14,IF(AA58=2,'Vehicle Data'!I$15,IF(AA58=3,'Vehicle Data'!I$16)))</f>
        <v>0</v>
      </c>
      <c r="AC58">
        <f>IF(Z58&lt;'Vehicle Data'!C$16,'Vehicle Data'!I$15,IF(Z58&lt;'Vehicle Data'!C$15,'Vehicle Data'!I$15,IF(Z57&gt;'Vehicle Data'!C$15,'Vehicle Data'!I$16)))</f>
        <v>0.98256251041858167</v>
      </c>
      <c r="AD58">
        <f>IF(O58=0.6,'Vehicle Data'!F$21,IF(O58=0.9,'Vehicle Data'!F$20))</f>
        <v>3.5315999999999996</v>
      </c>
      <c r="AE58" s="100">
        <f t="shared" si="9"/>
        <v>0.98256251041858167</v>
      </c>
      <c r="AF58" s="158">
        <f t="shared" si="30"/>
        <v>0.31067108477666411</v>
      </c>
      <c r="AG58" s="148">
        <f t="shared" si="12"/>
        <v>1.0110789023349573</v>
      </c>
      <c r="AH58" s="148">
        <f t="shared" si="31"/>
        <v>13.140659342402618</v>
      </c>
      <c r="AJ58">
        <f>(Z58^2)*'Vehicle Data'!C$31</f>
        <v>11.395937619662661</v>
      </c>
      <c r="AK58">
        <f>IF(O58=0.6,'Vehicle Data'!C$6*'Vehicle Data'!D$21*9.81,IF(O58=0.9,'Vehicle Data'!C$6*9.81*'Vehicle Data'!D$20))</f>
        <v>86.131799999999998</v>
      </c>
      <c r="AL58">
        <f t="shared" si="10"/>
        <v>97.527737619662659</v>
      </c>
      <c r="AN58">
        <f>IF(AG58&gt;0,AG58*'Vehicle Data'!C$6)</f>
        <v>443.86363812504629</v>
      </c>
      <c r="AO58">
        <f t="shared" si="13"/>
        <v>541.39137574470897</v>
      </c>
      <c r="AP58">
        <f>AO58*'Vehicle Data'!F$3</f>
        <v>138.3796356403476</v>
      </c>
      <c r="AQ58">
        <f>IF(AE58='Vehicle Data'!I$15,AP58/'Vehicle Data'!G$15,IF(AE58='Vehicle Data'!I$16,AP58/'Vehicle Data'!G$16,IF(AE58='Vehicle Data'!I$14,Data!AP58/'Vehicle Data'!G69)))</f>
        <v>17.143860350866881</v>
      </c>
      <c r="AR58">
        <f>IF(Z58&lt;'Vehicle Data'!C$16, Z58*'Vehicle Data'!F$7*'Vehicle Data'!G$14,IF(Z58&lt;'Vehicle Data'!C$15,Z58*'Vehicle Data'!F$7*'Vehicle Data'!G$15,IF(Z58&gt;'Vehicle Data'!C$15,Z58*'Vehicle Data'!F$7*'Vehicle Data'!G$16)))</f>
        <v>108.27841732353291</v>
      </c>
      <c r="AS58">
        <f t="shared" si="32"/>
        <v>6496.7050394119742</v>
      </c>
      <c r="AT58">
        <f t="shared" si="33"/>
        <v>17</v>
      </c>
      <c r="AU58">
        <f t="shared" si="34"/>
        <v>6500</v>
      </c>
      <c r="AW58">
        <f>VLOOKUP(AT58,BSFC!A$64:A$82,1,FALSE)</f>
        <v>17</v>
      </c>
      <c r="AX58" t="e" cm="1">
        <f t="array" ref="AX58">_xlfn.XLOOKUP(AT58,BSFC!A$64:A$82,,-1,_xlfn.XLOOKUP(Data!AU58,BSFC!C$63:Q$63,BSFC!B$64:Q$82,,-1))</f>
        <v>#VALUE!</v>
      </c>
      <c r="AY58">
        <f>HLOOKUP(AU58,BSFC!F$63:Q$63,1)</f>
        <v>6500</v>
      </c>
      <c r="AZ58">
        <f>IF(AT58&gt;0,MATCH(AT58,BSFC!A$64:A$83,0),IF(AT58&lt;=0,0))</f>
        <v>6</v>
      </c>
      <c r="BA58">
        <f>MATCH(AU58,BSFC!C$63:Q$63,0)</f>
        <v>13</v>
      </c>
      <c r="BB58" cm="1">
        <f t="array" ref="BB58">IF(AZ58&gt;0,INDEX(BSFC!C$64:Q$83,Data!AZ58,Data!BA58))</f>
        <v>511.2</v>
      </c>
      <c r="BC58">
        <f>0.5*'Vehicle Data'!C$6*Data!Z58^2</f>
        <v>6806.5532177304849</v>
      </c>
      <c r="BD58">
        <f t="shared" si="14"/>
        <v>12.237082902366213</v>
      </c>
      <c r="BE58">
        <f t="shared" si="35"/>
        <v>6255.5967796896075</v>
      </c>
      <c r="BF58">
        <f t="shared" si="36"/>
        <v>0.5398425104087714</v>
      </c>
      <c r="BG58">
        <f t="shared" si="15"/>
        <v>14.76965883352992</v>
      </c>
      <c r="BH58">
        <f t="shared" si="39"/>
        <v>11616.458483151024</v>
      </c>
      <c r="BI58" s="148">
        <f t="shared" si="17"/>
        <v>6871.6622130335309</v>
      </c>
      <c r="BO58">
        <f t="shared" si="18"/>
        <v>3432.0027303486017</v>
      </c>
      <c r="BP58">
        <f t="shared" si="19"/>
        <v>-15604.16304864765</v>
      </c>
      <c r="BQ58">
        <f t="shared" si="20"/>
        <v>44948.695352230607</v>
      </c>
      <c r="BR58" s="148">
        <f t="shared" si="21"/>
        <v>92328.357577041854</v>
      </c>
      <c r="BS58" s="156">
        <f t="shared" si="22"/>
        <v>3432.0027303486017</v>
      </c>
      <c r="BT58" s="156">
        <f t="shared" si="37"/>
        <v>11616.458483151024</v>
      </c>
      <c r="BU58">
        <f t="shared" si="23"/>
        <v>2030.1853195077431</v>
      </c>
      <c r="BV58">
        <f t="shared" si="24"/>
        <v>2030.1853195077431</v>
      </c>
      <c r="BW58" s="148">
        <f t="shared" si="25"/>
        <v>455.4</v>
      </c>
      <c r="BX58" s="148">
        <f t="shared" si="26"/>
        <v>3129354.9718154697</v>
      </c>
      <c r="BY58" s="148">
        <f t="shared" si="27"/>
        <v>0.25681844291772948</v>
      </c>
      <c r="BZ58">
        <f t="shared" si="11"/>
        <v>13.140659342402618</v>
      </c>
      <c r="CB58">
        <f t="shared" si="28"/>
        <v>-1401.8174108408587</v>
      </c>
      <c r="CC58" s="162">
        <f t="shared" si="29"/>
        <v>-4512.2236330703145</v>
      </c>
      <c r="CD58">
        <f t="shared" si="38"/>
        <v>46647.721745785333</v>
      </c>
    </row>
    <row r="59" spans="4:82" x14ac:dyDescent="0.2">
      <c r="D59" s="22">
        <f t="shared" si="0"/>
        <v>0</v>
      </c>
      <c r="E59" s="23">
        <v>9.1017071999999999</v>
      </c>
      <c r="F59" s="23">
        <f>IF(K59&lt;6,1,IF(Data!K59&lt;9,2,IF(K59&gt;9,3)))</f>
        <v>3</v>
      </c>
      <c r="G59" s="23">
        <v>803.31537995916767</v>
      </c>
      <c r="H59" s="23">
        <v>213.71666499999998</v>
      </c>
      <c r="I59" s="64">
        <v>34.713221103797487</v>
      </c>
      <c r="J59" s="65">
        <f t="shared" si="1"/>
        <v>1.0614969440586182</v>
      </c>
      <c r="K59" s="65">
        <f t="shared" si="2"/>
        <v>13.885288441518995</v>
      </c>
      <c r="L59" s="65">
        <f t="shared" si="3"/>
        <v>0.42459877762344728</v>
      </c>
      <c r="M59">
        <f t="shared" si="4"/>
        <v>18.2034144</v>
      </c>
      <c r="N59">
        <f t="shared" si="5"/>
        <v>0</v>
      </c>
      <c r="O59">
        <f>IF(L59&lt;'Vehicle Data'!F$21,'Vehicle Data'!C$21,IF(L59&gt;'Vehicle Data'!C$21,'Vehicle Data'!C$20))</f>
        <v>0.6</v>
      </c>
      <c r="P59">
        <f>('Vehicle Data'!C$6*9.81*'Vehicle Data'!C$5*SIN(D59))/'Vehicle Data'!C$9</f>
        <v>0</v>
      </c>
      <c r="Q59" s="107">
        <f>'Vehicle Data'!C$6*9.81*SIN(D59)</f>
        <v>0</v>
      </c>
      <c r="R59">
        <f t="shared" si="6"/>
        <v>801.57922825643175</v>
      </c>
      <c r="S59">
        <f>IF(Data!O59=0.6,'Vehicle Data'!E$21,IF(Data!O59 = 0.9,'Vehicle Data'!E$20))+(P59*O59)</f>
        <v>1550.3723999999997</v>
      </c>
      <c r="T59">
        <f>IF(F59=3,'Vehicle Data'!H$16,IF(F59=2,'Vehicle Data'!H$15,IF(F59 = 1,'Vehicle Data'!G$14)))</f>
        <v>466.23005239380637</v>
      </c>
      <c r="U59" s="148">
        <f t="shared" si="7"/>
        <v>85.440746133115681</v>
      </c>
      <c r="V59" s="70" t="s">
        <v>77</v>
      </c>
      <c r="W59" s="99" t="s">
        <v>84</v>
      </c>
      <c r="X59">
        <f>IF(V59="S",'Vehicle Data'!C$14,IF(Data!V59 = "T1",'Vehicle Data'!P$2,IF(Data!V59="T2",'Vehicle Data'!P$3)))</f>
        <v>13.411199999999999</v>
      </c>
      <c r="Z59">
        <f t="shared" si="8"/>
        <v>5.8664569623382015</v>
      </c>
      <c r="AB59" t="b">
        <f>IF(AA59=1,'Vehicle Data'!I$14,IF(AA59=2,'Vehicle Data'!I$15,IF(AA59=3,'Vehicle Data'!I$16)))</f>
        <v>0</v>
      </c>
      <c r="AC59">
        <f>IF(Z59&lt;'Vehicle Data'!C$16,'Vehicle Data'!I$15,IF(Z59&lt;'Vehicle Data'!C$15,'Vehicle Data'!I$15,IF(Z58&gt;'Vehicle Data'!C$15,'Vehicle Data'!I$16)))</f>
        <v>0.98256251041858167</v>
      </c>
      <c r="AD59">
        <f>IF(O59=0.6,'Vehicle Data'!F$21,IF(O59=0.9,'Vehicle Data'!F$20))</f>
        <v>3.5315999999999996</v>
      </c>
      <c r="AE59" s="100">
        <f t="shared" si="9"/>
        <v>0.98256251041858167</v>
      </c>
      <c r="AF59" s="158">
        <f t="shared" si="30"/>
        <v>0.29544311937467999</v>
      </c>
      <c r="AG59" s="148">
        <f t="shared" si="12"/>
        <v>1.0081556255994137</v>
      </c>
      <c r="AH59" s="148">
        <f t="shared" si="31"/>
        <v>13.436102461777297</v>
      </c>
      <c r="AJ59">
        <f>(Z59^2)*'Vehicle Data'!C$31</f>
        <v>12.647629104430139</v>
      </c>
      <c r="AK59">
        <f>IF(O59=0.6,'Vehicle Data'!C$6*'Vehicle Data'!D$21*9.81,IF(O59=0.9,'Vehicle Data'!C$6*9.81*'Vehicle Data'!D$20))</f>
        <v>86.131799999999998</v>
      </c>
      <c r="AL59">
        <f t="shared" si="10"/>
        <v>98.779429104430136</v>
      </c>
      <c r="AN59">
        <f>IF(AG59&gt;0,AG59*'Vehicle Data'!C$6)</f>
        <v>442.58031963814261</v>
      </c>
      <c r="AO59">
        <f t="shared" si="13"/>
        <v>541.35974874257272</v>
      </c>
      <c r="AP59">
        <f>AO59*'Vehicle Data'!F$3</f>
        <v>138.37155177860157</v>
      </c>
      <c r="AQ59">
        <f>IF(AE59='Vehicle Data'!I$15,AP59/'Vehicle Data'!G$15,IF(AE59='Vehicle Data'!I$16,AP59/'Vehicle Data'!G$16,IF(AE59='Vehicle Data'!I$14,Data!AP59/'Vehicle Data'!G70)))</f>
        <v>17.142858840809218</v>
      </c>
      <c r="AR59">
        <f>IF(Z59&lt;'Vehicle Data'!C$16, Z59*'Vehicle Data'!F$7*'Vehicle Data'!G$14,IF(Z59&lt;'Vehicle Data'!C$15,Z59*'Vehicle Data'!F$7*'Vehicle Data'!G$15,IF(Z59&gt;'Vehicle Data'!C$15,Z59*'Vehicle Data'!F$7*'Vehicle Data'!G$16)))</f>
        <v>114.06999648990947</v>
      </c>
      <c r="AS59">
        <f t="shared" si="32"/>
        <v>6844.1997893945681</v>
      </c>
      <c r="AT59">
        <f t="shared" si="33"/>
        <v>17</v>
      </c>
      <c r="AU59">
        <f t="shared" si="34"/>
        <v>7000</v>
      </c>
      <c r="AW59">
        <f>VLOOKUP(AT59,BSFC!A$64:A$82,1,FALSE)</f>
        <v>17</v>
      </c>
      <c r="AX59" t="e" cm="1">
        <f t="array" ref="AX59">_xlfn.XLOOKUP(AT59,BSFC!A$64:A$82,,-1,_xlfn.XLOOKUP(Data!AU59,BSFC!C$63:Q$63,BSFC!B$64:Q$82,,-1))</f>
        <v>#VALUE!</v>
      </c>
      <c r="AY59">
        <f>HLOOKUP(AU59,BSFC!F$63:Q$63,1)</f>
        <v>7000</v>
      </c>
      <c r="AZ59">
        <f>IF(AT59&gt;0,MATCH(AT59,BSFC!A$64:A$83,0),IF(AT59&lt;=0,0))</f>
        <v>6</v>
      </c>
      <c r="BA59">
        <f>MATCH(AU59,BSFC!C$63:Q$63,0)</f>
        <v>14</v>
      </c>
      <c r="BB59" cm="1">
        <f t="array" ref="BB59">IF(AZ59&gt;0,INDEX(BSFC!C$64:Q$83,Data!AZ59,Data!BA59))</f>
        <v>500</v>
      </c>
      <c r="BC59">
        <f>0.5*'Vehicle Data'!C$6*Data!Z59^2</f>
        <v>7554.162145367115</v>
      </c>
      <c r="BD59">
        <f t="shared" si="14"/>
        <v>8.5561860892176256</v>
      </c>
      <c r="BE59">
        <f t="shared" si="35"/>
        <v>4278.0930446088132</v>
      </c>
      <c r="BF59">
        <f t="shared" si="36"/>
        <v>0.3510925427984305</v>
      </c>
      <c r="BG59">
        <f t="shared" si="15"/>
        <v>15.12075137632835</v>
      </c>
      <c r="BH59">
        <f t="shared" si="39"/>
        <v>12237.082902366214</v>
      </c>
      <c r="BI59" s="148">
        <f t="shared" si="17"/>
        <v>6871.6622130335309</v>
      </c>
      <c r="BO59">
        <f t="shared" si="18"/>
        <v>3454.3330457360425</v>
      </c>
      <c r="BP59">
        <f t="shared" si="19"/>
        <v>-12149.830002911607</v>
      </c>
      <c r="BQ59">
        <f t="shared" si="20"/>
        <v>48403.028397966649</v>
      </c>
      <c r="BR59" s="148">
        <f t="shared" si="21"/>
        <v>94268.118061709931</v>
      </c>
      <c r="BS59" s="156">
        <f t="shared" si="22"/>
        <v>3454.3330457360425</v>
      </c>
      <c r="BT59" s="156">
        <f t="shared" si="37"/>
        <v>12237.082902366214</v>
      </c>
      <c r="BU59">
        <f t="shared" si="23"/>
        <v>1939.7604846680824</v>
      </c>
      <c r="BV59">
        <f t="shared" si="24"/>
        <v>1939.7604846680824</v>
      </c>
      <c r="BW59" s="148">
        <f t="shared" si="25"/>
        <v>455.4</v>
      </c>
      <c r="BX59" s="148">
        <f t="shared" si="26"/>
        <v>3129354.9718154697</v>
      </c>
      <c r="BY59" s="148">
        <f t="shared" si="27"/>
        <v>0.2453797013105124</v>
      </c>
      <c r="BZ59">
        <f t="shared" si="11"/>
        <v>13.436102461777297</v>
      </c>
      <c r="CB59">
        <f t="shared" si="28"/>
        <v>-1514.5725610679601</v>
      </c>
      <c r="CC59" s="162">
        <f t="shared" si="29"/>
        <v>-5126.4438456838325</v>
      </c>
      <c r="CD59">
        <f t="shared" si="38"/>
        <v>45133.149184717375</v>
      </c>
    </row>
    <row r="60" spans="4:82" x14ac:dyDescent="0.2">
      <c r="D60" s="22">
        <f t="shared" si="0"/>
        <v>0</v>
      </c>
      <c r="E60" s="23">
        <v>9.1017071999999999</v>
      </c>
      <c r="F60" s="23">
        <f>IF(K60&lt;6,1,IF(Data!K60&lt;9,2,IF(K60&gt;9,3)))</f>
        <v>3</v>
      </c>
      <c r="G60" s="23">
        <v>805.0544243037981</v>
      </c>
      <c r="H60" s="23">
        <v>213.76666499999999</v>
      </c>
      <c r="I60" s="64">
        <v>34.76629595100043</v>
      </c>
      <c r="J60" s="65">
        <f t="shared" si="1"/>
        <v>1.4068166141283809</v>
      </c>
      <c r="K60" s="65">
        <f t="shared" si="2"/>
        <v>13.906518380400172</v>
      </c>
      <c r="L60" s="65">
        <f t="shared" si="3"/>
        <v>0.56272664565136665</v>
      </c>
      <c r="M60">
        <f t="shared" si="4"/>
        <v>18.2034144</v>
      </c>
      <c r="N60">
        <f t="shared" si="5"/>
        <v>0</v>
      </c>
      <c r="O60">
        <f>IF(L60&lt;'Vehicle Data'!F$21,'Vehicle Data'!C$21,IF(L60&gt;'Vehicle Data'!C$21,'Vehicle Data'!C$20))</f>
        <v>0.6</v>
      </c>
      <c r="P60">
        <f>('Vehicle Data'!C$6*9.81*'Vehicle Data'!C$5*SIN(D60))/'Vehicle Data'!C$9</f>
        <v>0</v>
      </c>
      <c r="Q60" s="107">
        <f>'Vehicle Data'!C$6*9.81*SIN(D60)</f>
        <v>0</v>
      </c>
      <c r="R60">
        <f t="shared" si="6"/>
        <v>803.31537995916767</v>
      </c>
      <c r="S60">
        <f>IF(Data!O60=0.6,'Vehicle Data'!E$21,IF(Data!O60 = 0.9,'Vehicle Data'!E$20))+(P60*O60)</f>
        <v>1550.3723999999997</v>
      </c>
      <c r="T60">
        <f>IF(F60=3,'Vehicle Data'!H$16,IF(F60=2,'Vehicle Data'!H$15,IF(F60 = 1,'Vehicle Data'!G$14)))</f>
        <v>466.23005239380637</v>
      </c>
      <c r="U60" s="148">
        <f t="shared" si="7"/>
        <v>87.176897835851605</v>
      </c>
      <c r="V60" s="70" t="s">
        <v>77</v>
      </c>
      <c r="W60" s="99" t="s">
        <v>84</v>
      </c>
      <c r="X60">
        <f>IF(V60="S",'Vehicle Data'!C$14,IF(Data!V60 = "T1",'Vehicle Data'!P$2,IF(Data!V60="T2",'Vehicle Data'!P$3)))</f>
        <v>13.411199999999999</v>
      </c>
      <c r="Z60">
        <f t="shared" si="8"/>
        <v>6.1503717320160227</v>
      </c>
      <c r="AB60" t="b">
        <f>IF(AA60=1,'Vehicle Data'!I$14,IF(AA60=2,'Vehicle Data'!I$15,IF(AA60=3,'Vehicle Data'!I$16)))</f>
        <v>0</v>
      </c>
      <c r="AC60">
        <f>IF(Z60&lt;'Vehicle Data'!C$16,'Vehicle Data'!I$15,IF(Z60&lt;'Vehicle Data'!C$15,'Vehicle Data'!I$15,IF(Z59&gt;'Vehicle Data'!C$15,'Vehicle Data'!I$16)))</f>
        <v>0.98256251041858167</v>
      </c>
      <c r="AD60">
        <f>IF(O60=0.6,'Vehicle Data'!F$21,IF(O60=0.9,'Vehicle Data'!F$20))</f>
        <v>3.5315999999999996</v>
      </c>
      <c r="AE60" s="100">
        <f t="shared" si="9"/>
        <v>0.98256251041858167</v>
      </c>
      <c r="AF60" s="158">
        <f t="shared" si="30"/>
        <v>0.28228402743501052</v>
      </c>
      <c r="AG60" s="148">
        <f t="shared" si="12"/>
        <v>1.0057769554219151</v>
      </c>
      <c r="AH60" s="148">
        <f t="shared" si="31"/>
        <v>13.718386489212309</v>
      </c>
      <c r="AJ60">
        <f>(Z60^2)*'Vehicle Data'!C$31</f>
        <v>13.901449122428303</v>
      </c>
      <c r="AK60">
        <f>IF(O60=0.6,'Vehicle Data'!C$6*'Vehicle Data'!D$21*9.81,IF(O60=0.9,'Vehicle Data'!C$6*9.81*'Vehicle Data'!D$20))</f>
        <v>86.131799999999998</v>
      </c>
      <c r="AL60">
        <f t="shared" si="10"/>
        <v>100.0332491224283</v>
      </c>
      <c r="AN60">
        <f>IF(AG60&gt;0,AG60*'Vehicle Data'!C$6)</f>
        <v>441.53608343022074</v>
      </c>
      <c r="AO60">
        <f t="shared" si="13"/>
        <v>541.56933255264903</v>
      </c>
      <c r="AP60">
        <f>AO60*'Vehicle Data'!F$3</f>
        <v>138.4251214004571</v>
      </c>
      <c r="AQ60">
        <f>IF(AE60='Vehicle Data'!I$15,AP60/'Vehicle Data'!G$15,IF(AE60='Vehicle Data'!I$16,AP60/'Vehicle Data'!G$16,IF(AE60='Vehicle Data'!I$14,Data!AP60/'Vehicle Data'!G71)))</f>
        <v>17.149495584083546</v>
      </c>
      <c r="AR60">
        <f>IF(Z60&lt;'Vehicle Data'!C$16, Z60*'Vehicle Data'!F$7*'Vehicle Data'!G$14,IF(Z60&lt;'Vehicle Data'!C$15,Z60*'Vehicle Data'!F$7*'Vehicle Data'!G$15,IF(Z60&gt;'Vehicle Data'!C$15,Z60*'Vehicle Data'!F$7*'Vehicle Data'!G$16)))</f>
        <v>79.727040970578074</v>
      </c>
      <c r="AS60">
        <f t="shared" si="32"/>
        <v>4783.622458234684</v>
      </c>
      <c r="AT60">
        <f t="shared" si="33"/>
        <v>17</v>
      </c>
      <c r="AU60">
        <f t="shared" si="34"/>
        <v>5000</v>
      </c>
      <c r="AW60">
        <f>VLOOKUP(AT60,BSFC!A$64:A$82,1,FALSE)</f>
        <v>17</v>
      </c>
      <c r="AX60" t="e" cm="1">
        <f t="array" ref="AX60">_xlfn.XLOOKUP(AT60,BSFC!A$64:A$82,,-1,_xlfn.XLOOKUP(Data!AU60,BSFC!C$63:Q$63,BSFC!B$64:Q$82,,-1))</f>
        <v>#VALUE!</v>
      </c>
      <c r="AY60">
        <f>HLOOKUP(AU60,BSFC!F$63:Q$63,1)</f>
        <v>5000</v>
      </c>
      <c r="AZ60">
        <f>IF(AT60&gt;0,MATCH(AT60,BSFC!A$64:A$83,0),IF(AT60&lt;=0,0))</f>
        <v>6</v>
      </c>
      <c r="BA60">
        <f>MATCH(AU60,BSFC!C$63:Q$63,0)</f>
        <v>10</v>
      </c>
      <c r="BB60" cm="1">
        <f t="array" ref="BB60">IF(AZ60&gt;0,INDEX(BSFC!C$64:Q$83,Data!AZ60,Data!BA60))</f>
        <v>644.79999999999995</v>
      </c>
      <c r="BC60">
        <f>0.5*'Vehicle Data'!C$6*Data!Z60^2</f>
        <v>8303.0424010149982</v>
      </c>
      <c r="BD60">
        <f t="shared" si="14"/>
        <v>8.9407693850955461</v>
      </c>
      <c r="BE60">
        <f t="shared" si="35"/>
        <v>5765.0080995096077</v>
      </c>
      <c r="BF60">
        <f t="shared" si="36"/>
        <v>0.45204714014584113</v>
      </c>
      <c r="BG60">
        <f t="shared" si="15"/>
        <v>15.572798516474192</v>
      </c>
      <c r="BH60">
        <f t="shared" si="39"/>
        <v>8556.1860892176264</v>
      </c>
      <c r="BI60" s="148">
        <f t="shared" si="17"/>
        <v>6871.6622130335309</v>
      </c>
      <c r="BO60">
        <f t="shared" si="18"/>
        <v>2316.9026869072818</v>
      </c>
      <c r="BP60">
        <f t="shared" si="19"/>
        <v>-9832.9273160043249</v>
      </c>
      <c r="BQ60">
        <f t="shared" si="20"/>
        <v>50719.931084873933</v>
      </c>
      <c r="BR60" s="148">
        <f t="shared" si="21"/>
        <v>96128.873832901023</v>
      </c>
      <c r="BS60" s="156">
        <f t="shared" si="22"/>
        <v>2316.9026869072818</v>
      </c>
      <c r="BT60" s="156">
        <f t="shared" si="37"/>
        <v>8556.1860892176264</v>
      </c>
      <c r="BU60">
        <f t="shared" si="23"/>
        <v>1860.7557711910906</v>
      </c>
      <c r="BV60">
        <f t="shared" si="24"/>
        <v>1860.7557711910906</v>
      </c>
      <c r="BW60" s="148">
        <f t="shared" si="25"/>
        <v>455.4</v>
      </c>
      <c r="BX60" s="148">
        <f t="shared" si="26"/>
        <v>3129354.9718154697</v>
      </c>
      <c r="BY60" s="148">
        <f t="shared" si="27"/>
        <v>0.23538560505567294</v>
      </c>
      <c r="BZ60">
        <f t="shared" si="11"/>
        <v>13.718386489212309</v>
      </c>
      <c r="CB60">
        <f t="shared" si="28"/>
        <v>-456.14691571619119</v>
      </c>
      <c r="CC60" s="162">
        <f t="shared" si="29"/>
        <v>-1615.9147219947019</v>
      </c>
      <c r="CD60">
        <f t="shared" si="38"/>
        <v>44677.002269001183</v>
      </c>
    </row>
    <row r="61" spans="4:82" x14ac:dyDescent="0.2">
      <c r="D61" s="22">
        <f t="shared" si="0"/>
        <v>0</v>
      </c>
      <c r="E61" s="23">
        <v>9.1017071999999999</v>
      </c>
      <c r="F61" s="23">
        <f>IF(K61&lt;6,1,IF(Data!K61&lt;9,2,IF(K61&gt;9,3)))</f>
        <v>3</v>
      </c>
      <c r="G61" s="23">
        <v>806.79670657411305</v>
      </c>
      <c r="H61" s="23">
        <v>213.816665</v>
      </c>
      <c r="I61" s="64">
        <v>34.836636781706865</v>
      </c>
      <c r="J61" s="65">
        <f t="shared" si="1"/>
        <v>1.6046580710495351</v>
      </c>
      <c r="K61" s="65">
        <f t="shared" si="2"/>
        <v>13.934654712682747</v>
      </c>
      <c r="L61" s="65">
        <f t="shared" si="3"/>
        <v>0.64186322841980692</v>
      </c>
      <c r="M61">
        <f t="shared" si="4"/>
        <v>18.2034144</v>
      </c>
      <c r="N61">
        <f t="shared" si="5"/>
        <v>0</v>
      </c>
      <c r="O61">
        <f>IF(L61&lt;'Vehicle Data'!F$21,'Vehicle Data'!C$21,IF(L61&gt;'Vehicle Data'!C$21,'Vehicle Data'!C$20))</f>
        <v>0.6</v>
      </c>
      <c r="P61">
        <f>('Vehicle Data'!C$6*9.81*'Vehicle Data'!C$5*SIN(D61))/'Vehicle Data'!C$9</f>
        <v>0</v>
      </c>
      <c r="Q61" s="107">
        <f>'Vehicle Data'!C$6*9.81*SIN(D61)</f>
        <v>0</v>
      </c>
      <c r="R61">
        <f t="shared" si="6"/>
        <v>805.0544243037981</v>
      </c>
      <c r="S61">
        <f>IF(Data!O61=0.6,'Vehicle Data'!E$21,IF(Data!O61 = 0.9,'Vehicle Data'!E$20))+(P61*O61)</f>
        <v>1550.3723999999997</v>
      </c>
      <c r="T61">
        <f>IF(F61=3,'Vehicle Data'!H$16,IF(F61=2,'Vehicle Data'!H$15,IF(F61 = 1,'Vehicle Data'!G$14)))</f>
        <v>466.23005239380637</v>
      </c>
      <c r="U61" s="148">
        <f t="shared" si="7"/>
        <v>88.915942180482034</v>
      </c>
      <c r="V61" s="70" t="s">
        <v>77</v>
      </c>
      <c r="W61" s="99" t="s">
        <v>84</v>
      </c>
      <c r="X61">
        <f>IF(V61="S",'Vehicle Data'!C$14,IF(Data!V61 = "T1",'Vehicle Data'!P$2,IF(Data!V61="T2",'Vehicle Data'!P$3)))</f>
        <v>13.411199999999999</v>
      </c>
      <c r="Z61">
        <f t="shared" si="8"/>
        <v>6.4221890345862906</v>
      </c>
      <c r="AB61" t="b">
        <f>IF(AA61=1,'Vehicle Data'!I$14,IF(AA61=2,'Vehicle Data'!I$15,IF(AA61=3,'Vehicle Data'!I$16)))</f>
        <v>0</v>
      </c>
      <c r="AC61">
        <f>IF(Z61&lt;'Vehicle Data'!C$16,'Vehicle Data'!I$15,IF(Z61&lt;'Vehicle Data'!C$15,'Vehicle Data'!I$15,IF(Z60&gt;'Vehicle Data'!C$15,'Vehicle Data'!I$16)))</f>
        <v>0.98256251041858167</v>
      </c>
      <c r="AD61">
        <f>IF(O61=0.6,'Vehicle Data'!F$21,IF(O61=0.9,'Vehicle Data'!F$20))</f>
        <v>3.5315999999999996</v>
      </c>
      <c r="AE61" s="100">
        <f t="shared" si="9"/>
        <v>0.98256251041858167</v>
      </c>
      <c r="AF61" s="158">
        <f t="shared" si="30"/>
        <v>0.27078685091094579</v>
      </c>
      <c r="AG61" s="148">
        <f t="shared" si="12"/>
        <v>1.0038053976988013</v>
      </c>
      <c r="AH61" s="148">
        <f t="shared" si="31"/>
        <v>13.989173340123255</v>
      </c>
      <c r="AJ61">
        <f>(Z61^2)*'Vehicle Data'!C$31</f>
        <v>15.15735815851545</v>
      </c>
      <c r="AK61">
        <f>IF(O61=0.6,'Vehicle Data'!C$6*'Vehicle Data'!D$21*9.81,IF(O61=0.9,'Vehicle Data'!C$6*9.81*'Vehicle Data'!D$20))</f>
        <v>86.131799999999998</v>
      </c>
      <c r="AL61">
        <f t="shared" si="10"/>
        <v>101.28915815851545</v>
      </c>
      <c r="AN61">
        <f>IF(AG61&gt;0,AG61*'Vehicle Data'!C$6)</f>
        <v>440.67056958977378</v>
      </c>
      <c r="AO61">
        <f t="shared" si="13"/>
        <v>541.9597277482892</v>
      </c>
      <c r="AP61">
        <f>AO61*'Vehicle Data'!F$3</f>
        <v>138.52490641246271</v>
      </c>
      <c r="AQ61">
        <f>IF(AE61='Vehicle Data'!I$15,AP61/'Vehicle Data'!G$15,IF(AE61='Vehicle Data'!I$16,AP61/'Vehicle Data'!G$16,IF(AE61='Vehicle Data'!I$14,Data!AP61/'Vehicle Data'!G72)))</f>
        <v>17.161857954478709</v>
      </c>
      <c r="AR61">
        <f>IF(Z61&lt;'Vehicle Data'!C$16, Z61*'Vehicle Data'!F$7*'Vehicle Data'!G$14,IF(Z61&lt;'Vehicle Data'!C$15,Z61*'Vehicle Data'!F$7*'Vehicle Data'!G$15,IF(Z61&gt;'Vehicle Data'!C$15,Z61*'Vehicle Data'!F$7*'Vehicle Data'!G$16)))</f>
        <v>83.250598596488956</v>
      </c>
      <c r="AS61">
        <f t="shared" si="32"/>
        <v>4995.0359157893372</v>
      </c>
      <c r="AT61">
        <f t="shared" si="33"/>
        <v>17</v>
      </c>
      <c r="AU61">
        <f t="shared" si="34"/>
        <v>5000</v>
      </c>
      <c r="AW61">
        <f>VLOOKUP(AT61,BSFC!A$64:A$82,1,FALSE)</f>
        <v>17</v>
      </c>
      <c r="AX61" t="e" cm="1">
        <f t="array" ref="AX61">_xlfn.XLOOKUP(AT61,BSFC!A$64:A$82,,-1,_xlfn.XLOOKUP(Data!AU61,BSFC!C$63:Q$63,BSFC!B$64:Q$82,,-1))</f>
        <v>#VALUE!</v>
      </c>
      <c r="AY61">
        <f>HLOOKUP(AU61,BSFC!F$63:Q$63,1)</f>
        <v>5000</v>
      </c>
      <c r="AZ61">
        <f>IF(AT61&gt;0,MATCH(AT61,BSFC!A$64:A$83,0),IF(AT61&lt;=0,0))</f>
        <v>6</v>
      </c>
      <c r="BA61">
        <f>MATCH(AU61,BSFC!C$63:Q$63,0)</f>
        <v>10</v>
      </c>
      <c r="BB61" cm="1">
        <f t="array" ref="BB61">IF(AZ61&gt;0,INDEX(BSFC!C$64:Q$83,Data!AZ61,Data!BA61))</f>
        <v>644.79999999999995</v>
      </c>
      <c r="BC61">
        <f>0.5*'Vehicle Data'!C$6*Data!Z61^2</f>
        <v>9053.1703831133073</v>
      </c>
      <c r="BD61">
        <f t="shared" si="14"/>
        <v>9.3135857019940325</v>
      </c>
      <c r="BE61">
        <f t="shared" si="35"/>
        <v>6005.4000606457521</v>
      </c>
      <c r="BF61">
        <f t="shared" si="36"/>
        <v>0.45171760302296277</v>
      </c>
      <c r="BG61">
        <f t="shared" si="15"/>
        <v>16.024516119497154</v>
      </c>
      <c r="BH61">
        <f t="shared" si="39"/>
        <v>8940.7693850955457</v>
      </c>
      <c r="BI61" s="148">
        <f t="shared" si="17"/>
        <v>6871.6622130335309</v>
      </c>
      <c r="BO61">
        <f t="shared" si="18"/>
        <v>2330.738916549747</v>
      </c>
      <c r="BP61">
        <f t="shared" si="19"/>
        <v>-7502.1883994545778</v>
      </c>
      <c r="BQ61">
        <f t="shared" si="20"/>
        <v>53050.670001423678</v>
      </c>
      <c r="BR61" s="148">
        <f t="shared" si="21"/>
        <v>97920.22420236707</v>
      </c>
      <c r="BS61" s="156">
        <f t="shared" si="22"/>
        <v>2330.738916549747</v>
      </c>
      <c r="BT61" s="156">
        <f t="shared" si="37"/>
        <v>8940.7693850955457</v>
      </c>
      <c r="BU61">
        <f t="shared" si="23"/>
        <v>1791.3503694660449</v>
      </c>
      <c r="BV61">
        <f t="shared" si="24"/>
        <v>1791.3503694660449</v>
      </c>
      <c r="BW61" s="148">
        <f t="shared" si="25"/>
        <v>455.4</v>
      </c>
      <c r="BX61" s="148">
        <f t="shared" si="26"/>
        <v>3129354.9718154697</v>
      </c>
      <c r="BY61" s="148">
        <f t="shared" si="27"/>
        <v>0.22660582173745464</v>
      </c>
      <c r="BZ61">
        <f t="shared" si="11"/>
        <v>13.989173340123255</v>
      </c>
      <c r="CB61">
        <f t="shared" si="28"/>
        <v>-539.38854708370218</v>
      </c>
      <c r="CC61" s="162">
        <f t="shared" si="29"/>
        <v>-1991.9303513784384</v>
      </c>
      <c r="CD61">
        <f t="shared" si="38"/>
        <v>44137.613721917478</v>
      </c>
    </row>
    <row r="62" spans="4:82" x14ac:dyDescent="0.2">
      <c r="D62" s="22">
        <f t="shared" si="0"/>
        <v>0</v>
      </c>
      <c r="E62" s="23">
        <v>9.1017071999999999</v>
      </c>
      <c r="F62" s="23">
        <f>IF(K62&lt;6,1,IF(Data!K62&lt;9,2,IF(K62&gt;9,3)))</f>
        <v>3</v>
      </c>
      <c r="G62" s="23">
        <v>808.54324148632156</v>
      </c>
      <c r="H62" s="23">
        <v>213.86666499999998</v>
      </c>
      <c r="I62" s="64">
        <v>34.916869685259314</v>
      </c>
      <c r="J62" s="65">
        <f t="shared" si="1"/>
        <v>1.669791046141047</v>
      </c>
      <c r="K62" s="65">
        <f t="shared" si="2"/>
        <v>13.966747874103726</v>
      </c>
      <c r="L62" s="65">
        <f t="shared" si="3"/>
        <v>0.66791641845642591</v>
      </c>
      <c r="M62">
        <f t="shared" si="4"/>
        <v>18.2034144</v>
      </c>
      <c r="N62">
        <f t="shared" si="5"/>
        <v>0</v>
      </c>
      <c r="O62">
        <f>IF(L62&lt;'Vehicle Data'!F$21,'Vehicle Data'!C$21,IF(L62&gt;'Vehicle Data'!C$21,'Vehicle Data'!C$20))</f>
        <v>0.6</v>
      </c>
      <c r="P62">
        <f>('Vehicle Data'!C$6*9.81*'Vehicle Data'!C$5*SIN(D62))/'Vehicle Data'!C$9</f>
        <v>0</v>
      </c>
      <c r="Q62" s="107">
        <f>'Vehicle Data'!C$6*9.81*SIN(D62)</f>
        <v>0</v>
      </c>
      <c r="R62">
        <f t="shared" si="6"/>
        <v>806.79670657411305</v>
      </c>
      <c r="S62">
        <f>IF(Data!O62=0.6,'Vehicle Data'!E$21,IF(Data!O62 = 0.9,'Vehicle Data'!E$20))+(P62*O62)</f>
        <v>1550.3723999999997</v>
      </c>
      <c r="T62">
        <f>IF(F62=3,'Vehicle Data'!H$16,IF(F62=2,'Vehicle Data'!H$15,IF(F62 = 1,'Vehicle Data'!G$14)))</f>
        <v>466.23005239380637</v>
      </c>
      <c r="U62" s="148">
        <f t="shared" si="7"/>
        <v>90.658224450796979</v>
      </c>
      <c r="V62" s="70" t="s">
        <v>77</v>
      </c>
      <c r="W62" s="99" t="s">
        <v>84</v>
      </c>
      <c r="X62">
        <f>IF(V62="S",'Vehicle Data'!C$14,IF(Data!V62 = "T1",'Vehicle Data'!P$2,IF(Data!V62="T2",'Vehicle Data'!P$3)))</f>
        <v>13.411199999999999</v>
      </c>
      <c r="Z62">
        <f t="shared" si="8"/>
        <v>6.6834358288770357</v>
      </c>
      <c r="AB62" t="b">
        <f>IF(AA62=1,'Vehicle Data'!I$14,IF(AA62=2,'Vehicle Data'!I$15,IF(AA62=3,'Vehicle Data'!I$16)))</f>
        <v>0</v>
      </c>
      <c r="AC62">
        <f>IF(Z62&lt;'Vehicle Data'!C$16,'Vehicle Data'!I$15,IF(Z62&lt;'Vehicle Data'!C$15,'Vehicle Data'!I$15,IF(Z61&gt;'Vehicle Data'!C$15,'Vehicle Data'!I$16)))</f>
        <v>0.98256251041858167</v>
      </c>
      <c r="AD62">
        <f>IF(O62=0.6,'Vehicle Data'!F$21,IF(O62=0.9,'Vehicle Data'!F$20))</f>
        <v>3.5315999999999996</v>
      </c>
      <c r="AE62" s="100">
        <f t="shared" si="9"/>
        <v>0.98256251041858167</v>
      </c>
      <c r="AF62" s="158">
        <f t="shared" si="30"/>
        <v>0.26068661612446226</v>
      </c>
      <c r="AG62" s="148">
        <f t="shared" si="12"/>
        <v>1.0021488566410151</v>
      </c>
      <c r="AH62" s="148">
        <f t="shared" si="31"/>
        <v>14.249859956247716</v>
      </c>
      <c r="AJ62">
        <f>(Z62^2)*'Vehicle Data'!C$31</f>
        <v>16.415605570928602</v>
      </c>
      <c r="AK62">
        <f>IF(O62=0.6,'Vehicle Data'!C$6*'Vehicle Data'!D$21*9.81,IF(O62=0.9,'Vehicle Data'!C$6*9.81*'Vehicle Data'!D$20))</f>
        <v>86.131799999999998</v>
      </c>
      <c r="AL62">
        <f t="shared" si="10"/>
        <v>102.5474055709286</v>
      </c>
      <c r="AN62">
        <f>IF(AG62&gt;0,AG62*'Vehicle Data'!C$6)</f>
        <v>439.94334806540559</v>
      </c>
      <c r="AO62">
        <f t="shared" si="13"/>
        <v>542.49075363633415</v>
      </c>
      <c r="AP62">
        <f>AO62*'Vehicle Data'!F$3</f>
        <v>138.660636629447</v>
      </c>
      <c r="AQ62">
        <f>IF(AE62='Vehicle Data'!I$15,AP62/'Vehicle Data'!G$15,IF(AE62='Vehicle Data'!I$16,AP62/'Vehicle Data'!G$16,IF(AE62='Vehicle Data'!I$14,Data!AP62/'Vehicle Data'!G73)))</f>
        <v>17.178673578212674</v>
      </c>
      <c r="AR62">
        <f>IF(Z62&lt;'Vehicle Data'!C$16, Z62*'Vehicle Data'!F$7*'Vehicle Data'!G$14,IF(Z62&lt;'Vehicle Data'!C$15,Z62*'Vehicle Data'!F$7*'Vehicle Data'!G$15,IF(Z62&gt;'Vehicle Data'!C$15,Z62*'Vehicle Data'!F$7*'Vehicle Data'!G$16)))</f>
        <v>86.637131115072691</v>
      </c>
      <c r="AS62">
        <f t="shared" si="32"/>
        <v>5198.2278669043617</v>
      </c>
      <c r="AT62">
        <f t="shared" si="33"/>
        <v>17</v>
      </c>
      <c r="AU62">
        <f t="shared" si="34"/>
        <v>5000</v>
      </c>
      <c r="AW62">
        <f>VLOOKUP(AT62,BSFC!A$64:A$82,1,FALSE)</f>
        <v>17</v>
      </c>
      <c r="AX62" t="e" cm="1">
        <f t="array" ref="AX62">_xlfn.XLOOKUP(AT62,BSFC!A$64:A$82,,-1,_xlfn.XLOOKUP(Data!AU62,BSFC!C$63:Q$63,BSFC!B$64:Q$82,,-1))</f>
        <v>#VALUE!</v>
      </c>
      <c r="AY62">
        <f>HLOOKUP(AU62,BSFC!F$63:Q$63,1)</f>
        <v>5000</v>
      </c>
      <c r="AZ62">
        <f>IF(AT62&gt;0,MATCH(AT62,BSFC!A$64:A$83,0),IF(AT62&lt;=0,0))</f>
        <v>6</v>
      </c>
      <c r="BA62">
        <f>MATCH(AU62,BSFC!C$63:Q$63,0)</f>
        <v>10</v>
      </c>
      <c r="BB62" cm="1">
        <f t="array" ref="BB62">IF(AZ62&gt;0,INDEX(BSFC!C$64:Q$83,Data!AZ62,Data!BA62))</f>
        <v>644.79999999999995</v>
      </c>
      <c r="BC62">
        <f>0.5*'Vehicle Data'!C$6*Data!Z62^2</f>
        <v>9804.6950280784404</v>
      </c>
      <c r="BD62">
        <f t="shared" si="14"/>
        <v>9.6762649706273614</v>
      </c>
      <c r="BE62">
        <f t="shared" si="35"/>
        <v>6239.2556530605225</v>
      </c>
      <c r="BF62">
        <f t="shared" si="36"/>
        <v>0.45180290092549152</v>
      </c>
      <c r="BG62">
        <f t="shared" si="15"/>
        <v>16.476319020422647</v>
      </c>
      <c r="BH62">
        <f t="shared" si="39"/>
        <v>9313.5857019940322</v>
      </c>
      <c r="BI62" s="148">
        <f t="shared" si="17"/>
        <v>6871.6622130335309</v>
      </c>
      <c r="BO62">
        <f t="shared" si="18"/>
        <v>2345.4139765313757</v>
      </c>
      <c r="BP62">
        <f t="shared" si="19"/>
        <v>-5156.7744229232021</v>
      </c>
      <c r="BQ62">
        <f t="shared" si="20"/>
        <v>55396.083977955052</v>
      </c>
      <c r="BR62" s="148">
        <f t="shared" si="21"/>
        <v>99650.695485086966</v>
      </c>
      <c r="BS62" s="156">
        <f t="shared" si="22"/>
        <v>2345.4139765313757</v>
      </c>
      <c r="BT62" s="156">
        <f t="shared" si="37"/>
        <v>9313.5857019940322</v>
      </c>
      <c r="BU62">
        <f t="shared" si="23"/>
        <v>1730.4712827199037</v>
      </c>
      <c r="BV62">
        <f t="shared" si="24"/>
        <v>1730.4712827199037</v>
      </c>
      <c r="BW62" s="148">
        <f t="shared" si="25"/>
        <v>455.4</v>
      </c>
      <c r="BX62" s="148">
        <f t="shared" si="26"/>
        <v>3129354.9718154697</v>
      </c>
      <c r="BY62" s="148">
        <f t="shared" si="27"/>
        <v>0.21890461726406782</v>
      </c>
      <c r="BZ62">
        <f t="shared" si="11"/>
        <v>14.249859956247716</v>
      </c>
      <c r="CB62">
        <f t="shared" si="28"/>
        <v>-614.94269381147205</v>
      </c>
      <c r="CC62" s="162">
        <f t="shared" si="29"/>
        <v>-2358.9346586089241</v>
      </c>
      <c r="CD62">
        <f t="shared" si="38"/>
        <v>43522.671028106008</v>
      </c>
    </row>
    <row r="63" spans="4:82" x14ac:dyDescent="0.2">
      <c r="D63" s="22">
        <f t="shared" si="0"/>
        <v>0</v>
      </c>
      <c r="E63" s="23">
        <v>9.1017071999999999</v>
      </c>
      <c r="F63" s="23">
        <f>IF(K63&lt;6,1,IF(Data!K63&lt;9,2,IF(K63&gt;9,3)))</f>
        <v>3</v>
      </c>
      <c r="G63" s="23">
        <v>810.29406696610909</v>
      </c>
      <c r="H63" s="23">
        <v>213.91666499999999</v>
      </c>
      <c r="I63" s="64">
        <v>35.000359237566386</v>
      </c>
      <c r="J63" s="65">
        <f t="shared" si="1"/>
        <v>2.0157170567585805</v>
      </c>
      <c r="K63" s="65">
        <f t="shared" si="2"/>
        <v>14.000143695026555</v>
      </c>
      <c r="L63" s="65">
        <f t="shared" si="3"/>
        <v>0.80628682270343222</v>
      </c>
      <c r="M63">
        <f t="shared" si="4"/>
        <v>18.2034144</v>
      </c>
      <c r="N63">
        <f t="shared" si="5"/>
        <v>0</v>
      </c>
      <c r="O63">
        <f>IF(L63&lt;'Vehicle Data'!F$21,'Vehicle Data'!C$21,IF(L63&gt;'Vehicle Data'!C$21,'Vehicle Data'!C$20))</f>
        <v>0.6</v>
      </c>
      <c r="P63">
        <f>('Vehicle Data'!C$6*9.81*'Vehicle Data'!C$5*SIN(D63))/'Vehicle Data'!C$9</f>
        <v>0</v>
      </c>
      <c r="Q63" s="107">
        <f>'Vehicle Data'!C$6*9.81*SIN(D63)</f>
        <v>0</v>
      </c>
      <c r="R63">
        <f t="shared" si="6"/>
        <v>808.54324148632156</v>
      </c>
      <c r="S63">
        <f>IF(Data!O63=0.6,'Vehicle Data'!E$21,IF(Data!O63 = 0.9,'Vehicle Data'!E$20))+(P63*O63)</f>
        <v>1550.3723999999997</v>
      </c>
      <c r="T63">
        <f>IF(F63=3,'Vehicle Data'!H$16,IF(F63=2,'Vehicle Data'!H$15,IF(F63 = 1,'Vehicle Data'!G$14)))</f>
        <v>466.23005239380637</v>
      </c>
      <c r="U63" s="148">
        <f t="shared" si="7"/>
        <v>92.404759363005496</v>
      </c>
      <c r="V63" s="70" t="s">
        <v>77</v>
      </c>
      <c r="W63" s="99" t="s">
        <v>84</v>
      </c>
      <c r="X63">
        <f>IF(V63="S",'Vehicle Data'!C$14,IF(Data!V63 = "T1",'Vehicle Data'!P$2,IF(Data!V63="T2",'Vehicle Data'!P$3)))</f>
        <v>13.411199999999999</v>
      </c>
      <c r="Z63">
        <f t="shared" si="8"/>
        <v>6.9354505213766657</v>
      </c>
      <c r="AB63" t="b">
        <f>IF(AA63=1,'Vehicle Data'!I$14,IF(AA63=2,'Vehicle Data'!I$15,IF(AA63=3,'Vehicle Data'!I$16)))</f>
        <v>0</v>
      </c>
      <c r="AC63">
        <f>IF(Z63&lt;'Vehicle Data'!C$16,'Vehicle Data'!I$15,IF(Z63&lt;'Vehicle Data'!C$15,'Vehicle Data'!I$15,IF(Z62&gt;'Vehicle Data'!C$15,'Vehicle Data'!I$16)))</f>
        <v>0.98256251041858167</v>
      </c>
      <c r="AD63">
        <f>IF(O63=0.6,'Vehicle Data'!F$21,IF(O63=0.9,'Vehicle Data'!F$20))</f>
        <v>3.5315999999999996</v>
      </c>
      <c r="AE63" s="100">
        <f t="shared" si="9"/>
        <v>0.98256251041858167</v>
      </c>
      <c r="AF63" s="158">
        <f t="shared" si="30"/>
        <v>0.25182717500835627</v>
      </c>
      <c r="AG63" s="148">
        <f t="shared" si="12"/>
        <v>1.0007446277045657</v>
      </c>
      <c r="AH63" s="148">
        <f t="shared" si="31"/>
        <v>14.501687131256073</v>
      </c>
      <c r="AJ63">
        <f>(Z63^2)*'Vehicle Data'!C$31</f>
        <v>17.676924170915473</v>
      </c>
      <c r="AK63">
        <f>IF(O63=0.6,'Vehicle Data'!C$6*'Vehicle Data'!D$21*9.81,IF(O63=0.9,'Vehicle Data'!C$6*9.81*'Vehicle Data'!D$20))</f>
        <v>86.131799999999998</v>
      </c>
      <c r="AL63">
        <f t="shared" si="10"/>
        <v>103.80872417091547</v>
      </c>
      <c r="AN63">
        <f>IF(AG63&gt;0,AG63*'Vehicle Data'!C$6)</f>
        <v>439.32689156230435</v>
      </c>
      <c r="AO63">
        <f t="shared" si="13"/>
        <v>543.13561573321977</v>
      </c>
      <c r="AP63">
        <f>AO63*'Vehicle Data'!F$3</f>
        <v>138.82546338141097</v>
      </c>
      <c r="AQ63">
        <f>IF(AE63='Vehicle Data'!I$15,AP63/'Vehicle Data'!G$15,IF(AE63='Vehicle Data'!I$16,AP63/'Vehicle Data'!G$16,IF(AE63='Vehicle Data'!I$14,Data!AP63/'Vehicle Data'!G74)))</f>
        <v>17.199093973198405</v>
      </c>
      <c r="AR63">
        <f>IF(Z63&lt;'Vehicle Data'!C$16, Z63*'Vehicle Data'!F$7*'Vehicle Data'!G$14,IF(Z63&lt;'Vehicle Data'!C$15,Z63*'Vehicle Data'!F$7*'Vehicle Data'!G$15,IF(Z63&gt;'Vehicle Data'!C$15,Z63*'Vehicle Data'!F$7*'Vehicle Data'!G$16)))</f>
        <v>89.903988240067903</v>
      </c>
      <c r="AS63">
        <f t="shared" si="32"/>
        <v>5394.2392944040739</v>
      </c>
      <c r="AT63">
        <f t="shared" si="33"/>
        <v>17</v>
      </c>
      <c r="AU63">
        <f t="shared" si="34"/>
        <v>5500</v>
      </c>
      <c r="AW63">
        <f>VLOOKUP(AT63,BSFC!A$64:A$82,1,FALSE)</f>
        <v>17</v>
      </c>
      <c r="AX63" t="e" cm="1">
        <f t="array" ref="AX63">_xlfn.XLOOKUP(AT63,BSFC!A$64:A$82,,-1,_xlfn.XLOOKUP(Data!AU63,BSFC!C$63:Q$63,BSFC!B$64:Q$82,,-1))</f>
        <v>#VALUE!</v>
      </c>
      <c r="AY63">
        <f>HLOOKUP(AU63,BSFC!F$63:Q$63,1)</f>
        <v>5500</v>
      </c>
      <c r="AZ63">
        <f>IF(AT63&gt;0,MATCH(AT63,BSFC!A$64:A$83,0),IF(AT63&lt;=0,0))</f>
        <v>6</v>
      </c>
      <c r="BA63">
        <f>MATCH(AU63,BSFC!C$63:Q$63,0)</f>
        <v>11</v>
      </c>
      <c r="BB63" cm="1">
        <f t="array" ref="BB63">IF(AZ63&gt;0,INDEX(BSFC!C$64:Q$83,Data!AZ63,Data!BA63))</f>
        <v>629.4</v>
      </c>
      <c r="BC63">
        <f>0.5*'Vehicle Data'!C$6*Data!Z63^2</f>
        <v>10558.054028614819</v>
      </c>
      <c r="BD63">
        <f t="shared" si="14"/>
        <v>10.029851872881636</v>
      </c>
      <c r="BE63">
        <f t="shared" si="35"/>
        <v>6312.7887687917018</v>
      </c>
      <c r="BF63">
        <f t="shared" si="36"/>
        <v>0.4415921561303594</v>
      </c>
      <c r="BG63">
        <f t="shared" si="15"/>
        <v>16.917911176553005</v>
      </c>
      <c r="BH63">
        <f t="shared" si="39"/>
        <v>9676.2649706273605</v>
      </c>
      <c r="BI63" s="148">
        <f t="shared" si="17"/>
        <v>6871.6622130335309</v>
      </c>
      <c r="BO63">
        <f t="shared" si="18"/>
        <v>2359.7930461990618</v>
      </c>
      <c r="BP63">
        <f t="shared" si="19"/>
        <v>-2796.9813767241403</v>
      </c>
      <c r="BQ63">
        <f t="shared" si="20"/>
        <v>57755.877024154113</v>
      </c>
      <c r="BR63" s="148">
        <f t="shared" si="21"/>
        <v>101326.51779414616</v>
      </c>
      <c r="BS63" s="156">
        <f t="shared" si="22"/>
        <v>2359.7930461990618</v>
      </c>
      <c r="BT63" s="156">
        <f t="shared" si="37"/>
        <v>9676.2649706273605</v>
      </c>
      <c r="BU63">
        <f t="shared" si="23"/>
        <v>1675.8223090591985</v>
      </c>
      <c r="BV63">
        <f t="shared" si="24"/>
        <v>1675.8223090591985</v>
      </c>
      <c r="BW63" s="148">
        <f t="shared" si="25"/>
        <v>455.4</v>
      </c>
      <c r="BX63" s="148">
        <f t="shared" si="26"/>
        <v>3129354.9718154697</v>
      </c>
      <c r="BY63" s="148">
        <f t="shared" si="27"/>
        <v>0.21199152209598859</v>
      </c>
      <c r="BZ63">
        <f t="shared" si="11"/>
        <v>14.501687131256073</v>
      </c>
      <c r="CB63">
        <f t="shared" si="28"/>
        <v>-683.97073713986333</v>
      </c>
      <c r="CC63" s="162">
        <f t="shared" si="29"/>
        <v>-2716.0322833195673</v>
      </c>
      <c r="CD63">
        <f t="shared" si="38"/>
        <v>42838.700290966146</v>
      </c>
    </row>
    <row r="64" spans="4:82" x14ac:dyDescent="0.2">
      <c r="D64" s="22">
        <f t="shared" si="0"/>
        <v>0</v>
      </c>
      <c r="E64" s="23">
        <v>9.1017071999999999</v>
      </c>
      <c r="F64" s="23">
        <f>IF(K64&lt;6,1,IF(Data!K64&lt;9,2,IF(K64&gt;9,3)))</f>
        <v>3</v>
      </c>
      <c r="G64" s="23">
        <v>812.04994508779146</v>
      </c>
      <c r="H64" s="23">
        <v>213.96666499999998</v>
      </c>
      <c r="I64" s="64">
        <v>35.10114509040428</v>
      </c>
      <c r="J64" s="65">
        <f t="shared" si="1"/>
        <v>2.1739123037969708</v>
      </c>
      <c r="K64" s="65">
        <f t="shared" si="2"/>
        <v>14.040458036161713</v>
      </c>
      <c r="L64" s="65">
        <f t="shared" si="3"/>
        <v>0.86956492151878828</v>
      </c>
      <c r="M64">
        <f t="shared" si="4"/>
        <v>18.2034144</v>
      </c>
      <c r="N64">
        <f t="shared" si="5"/>
        <v>0</v>
      </c>
      <c r="O64">
        <f>IF(L64&lt;'Vehicle Data'!F$21,'Vehicle Data'!C$21,IF(L64&gt;'Vehicle Data'!C$21,'Vehicle Data'!C$20))</f>
        <v>0.6</v>
      </c>
      <c r="P64">
        <f>('Vehicle Data'!C$6*9.81*'Vehicle Data'!C$5*SIN(D64))/'Vehicle Data'!C$9</f>
        <v>0</v>
      </c>
      <c r="Q64" s="107">
        <f>'Vehicle Data'!C$6*9.81*SIN(D64)</f>
        <v>0</v>
      </c>
      <c r="R64">
        <f t="shared" si="6"/>
        <v>810.29406696610909</v>
      </c>
      <c r="S64">
        <f>IF(Data!O64=0.6,'Vehicle Data'!E$21,IF(Data!O64 = 0.9,'Vehicle Data'!E$20))+(P64*O64)</f>
        <v>1550.3723999999997</v>
      </c>
      <c r="T64">
        <f>IF(F64=3,'Vehicle Data'!H$16,IF(F64=2,'Vehicle Data'!H$15,IF(F64 = 1,'Vehicle Data'!G$14)))</f>
        <v>466.23005239380637</v>
      </c>
      <c r="U64" s="148">
        <f t="shared" si="7"/>
        <v>94.155584842793019</v>
      </c>
      <c r="V64" s="70" t="s">
        <v>77</v>
      </c>
      <c r="W64" s="99" t="s">
        <v>84</v>
      </c>
      <c r="X64">
        <f>IF(V64="S",'Vehicle Data'!C$14,IF(Data!V64 = "T1",'Vehicle Data'!P$2,IF(Data!V64="T2",'Vehicle Data'!P$3)))</f>
        <v>13.411199999999999</v>
      </c>
      <c r="Z64">
        <f t="shared" si="8"/>
        <v>7.1792106036745817</v>
      </c>
      <c r="AB64" t="b">
        <f>IF(AA64=1,'Vehicle Data'!I$14,IF(AA64=2,'Vehicle Data'!I$15,IF(AA64=3,'Vehicle Data'!I$16)))</f>
        <v>0</v>
      </c>
      <c r="AC64">
        <f>IF(Z64&lt;'Vehicle Data'!C$16,'Vehicle Data'!I$15,IF(Z64&lt;'Vehicle Data'!C$15,'Vehicle Data'!I$15,IF(Z63&gt;'Vehicle Data'!C$15,'Vehicle Data'!I$16)))</f>
        <v>0.98256251041858167</v>
      </c>
      <c r="AD64">
        <f>IF(O64=0.6,'Vehicle Data'!F$21,IF(O64=0.9,'Vehicle Data'!F$20))</f>
        <v>3.5315999999999996</v>
      </c>
      <c r="AE64" s="100">
        <f t="shared" si="9"/>
        <v>0.98256251041858167</v>
      </c>
      <c r="AF64" s="158">
        <f t="shared" si="30"/>
        <v>0.24387437232881651</v>
      </c>
      <c r="AG64" s="148">
        <f t="shared" si="12"/>
        <v>0.99953135694493389</v>
      </c>
      <c r="AH64" s="148">
        <f t="shared" si="31"/>
        <v>14.74556150358489</v>
      </c>
      <c r="AJ64">
        <f>(Z64^2)*'Vehicle Data'!C$31</f>
        <v>18.941341347778234</v>
      </c>
      <c r="AK64">
        <f>IF(O64=0.6,'Vehicle Data'!C$6*'Vehicle Data'!D$21*9.81,IF(O64=0.9,'Vehicle Data'!C$6*9.81*'Vehicle Data'!D$20))</f>
        <v>86.131799999999998</v>
      </c>
      <c r="AL64">
        <f t="shared" si="10"/>
        <v>105.07314134777823</v>
      </c>
      <c r="AN64">
        <f>IF(AG64&gt;0,AG64*'Vehicle Data'!C$6)</f>
        <v>438.794265698826</v>
      </c>
      <c r="AO64">
        <f t="shared" si="13"/>
        <v>543.86740704660428</v>
      </c>
      <c r="AP64">
        <f>AO64*'Vehicle Data'!F$3</f>
        <v>139.01250924111204</v>
      </c>
      <c r="AQ64">
        <f>IF(AE64='Vehicle Data'!I$15,AP64/'Vehicle Data'!G$15,IF(AE64='Vehicle Data'!I$16,AP64/'Vehicle Data'!G$16,IF(AE64='Vehicle Data'!I$14,Data!AP64/'Vehicle Data'!G75)))</f>
        <v>17.222267094612434</v>
      </c>
      <c r="AR64">
        <f>IF(Z64&lt;'Vehicle Data'!C$16, Z64*'Vehicle Data'!F$7*'Vehicle Data'!G$14,IF(Z64&lt;'Vehicle Data'!C$15,Z64*'Vehicle Data'!F$7*'Vehicle Data'!G$15,IF(Z64&gt;'Vehicle Data'!C$15,Z64*'Vehicle Data'!F$7*'Vehicle Data'!G$16)))</f>
        <v>93.06384115874458</v>
      </c>
      <c r="AS64">
        <f t="shared" si="32"/>
        <v>5583.8304695246752</v>
      </c>
      <c r="AT64">
        <f t="shared" si="33"/>
        <v>17</v>
      </c>
      <c r="AU64">
        <f t="shared" si="34"/>
        <v>5500</v>
      </c>
      <c r="AW64">
        <f>VLOOKUP(AT64,BSFC!A$64:A$82,1,FALSE)</f>
        <v>17</v>
      </c>
      <c r="AX64" t="e" cm="1">
        <f t="array" ref="AX64">_xlfn.XLOOKUP(AT64,BSFC!A$64:A$82,,-1,_xlfn.XLOOKUP(Data!AU64,BSFC!C$63:Q$63,BSFC!B$64:Q$82,,-1))</f>
        <v>#VALUE!</v>
      </c>
      <c r="AY64">
        <f>HLOOKUP(AU64,BSFC!F$63:Q$63,1)</f>
        <v>5500</v>
      </c>
      <c r="AZ64">
        <f>IF(AT64&gt;0,MATCH(AT64,BSFC!A$64:A$83,0),IF(AT64&lt;=0,0))</f>
        <v>6</v>
      </c>
      <c r="BA64">
        <f>MATCH(AU64,BSFC!C$63:Q$63,0)</f>
        <v>11</v>
      </c>
      <c r="BB64" cm="1">
        <f t="array" ref="BB64">IF(AZ64&gt;0,INDEX(BSFC!C$64:Q$83,Data!AZ64,Data!BA64))</f>
        <v>629.4</v>
      </c>
      <c r="BC64">
        <f>0.5*'Vehicle Data'!C$6*Data!Z64^2</f>
        <v>11313.263743775024</v>
      </c>
      <c r="BD64">
        <f t="shared" si="14"/>
        <v>10.375502289522871</v>
      </c>
      <c r="BE64">
        <f t="shared" si="35"/>
        <v>6530.3411410256949</v>
      </c>
      <c r="BF64">
        <f t="shared" si="36"/>
        <v>0.44238412412796907</v>
      </c>
      <c r="BG64">
        <f t="shared" si="15"/>
        <v>17.360295300680974</v>
      </c>
      <c r="BH64">
        <f t="shared" si="39"/>
        <v>10029.851872881636</v>
      </c>
      <c r="BI64" s="148">
        <f t="shared" si="17"/>
        <v>6871.6622130335309</v>
      </c>
      <c r="BO64">
        <f t="shared" si="18"/>
        <v>2374.8750686229455</v>
      </c>
      <c r="BP64">
        <f t="shared" si="19"/>
        <v>-422.10630810119483</v>
      </c>
      <c r="BQ64">
        <f t="shared" si="20"/>
        <v>60130.75209277706</v>
      </c>
      <c r="BR64" s="148">
        <f t="shared" si="21"/>
        <v>102953.59459214508</v>
      </c>
      <c r="BS64" s="156">
        <f t="shared" si="22"/>
        <v>2374.8750686229455</v>
      </c>
      <c r="BT64" s="156">
        <f t="shared" si="37"/>
        <v>10029.851872881636</v>
      </c>
      <c r="BU64">
        <f t="shared" si="23"/>
        <v>1627.0767979989184</v>
      </c>
      <c r="BV64">
        <f t="shared" si="24"/>
        <v>1627.0767979989184</v>
      </c>
      <c r="BW64" s="148">
        <f t="shared" si="25"/>
        <v>455.4</v>
      </c>
      <c r="BX64" s="148">
        <f t="shared" si="26"/>
        <v>3129354.9718154697</v>
      </c>
      <c r="BY64" s="148">
        <f t="shared" si="27"/>
        <v>0.20582521494686315</v>
      </c>
      <c r="BZ64">
        <f t="shared" si="11"/>
        <v>14.74556150358489</v>
      </c>
      <c r="CB64">
        <f t="shared" si="28"/>
        <v>-747.79827062402705</v>
      </c>
      <c r="CC64" s="162">
        <f t="shared" si="29"/>
        <v>-3066.3257622484757</v>
      </c>
      <c r="CD64">
        <f t="shared" si="38"/>
        <v>42090.902020342117</v>
      </c>
    </row>
    <row r="65" spans="4:82" x14ac:dyDescent="0.2">
      <c r="D65" s="22">
        <f t="shared" si="0"/>
        <v>0</v>
      </c>
      <c r="E65" s="23">
        <v>9.1017071999999999</v>
      </c>
      <c r="F65" s="23">
        <f>IF(K65&lt;6,1,IF(Data!K65&lt;9,2,IF(K65&gt;9,3)))</f>
        <v>3</v>
      </c>
      <c r="G65" s="23">
        <v>813.81163377705241</v>
      </c>
      <c r="H65" s="23">
        <v>214.01666499999999</v>
      </c>
      <c r="I65" s="64">
        <v>35.209840705594154</v>
      </c>
      <c r="J65" s="65">
        <f t="shared" si="1"/>
        <v>2.2229505724786867</v>
      </c>
      <c r="K65" s="65">
        <f t="shared" si="2"/>
        <v>14.083936282237662</v>
      </c>
      <c r="L65" s="65">
        <f t="shared" si="3"/>
        <v>0.88918022899144622</v>
      </c>
      <c r="M65">
        <f t="shared" si="4"/>
        <v>18.2034144</v>
      </c>
      <c r="N65">
        <f t="shared" si="5"/>
        <v>0</v>
      </c>
      <c r="O65">
        <f>IF(L65&lt;'Vehicle Data'!F$21,'Vehicle Data'!C$21,IF(L65&gt;'Vehicle Data'!C$21,'Vehicle Data'!C$20))</f>
        <v>0.6</v>
      </c>
      <c r="P65">
        <f>('Vehicle Data'!C$6*9.81*'Vehicle Data'!C$5*SIN(D65))/'Vehicle Data'!C$9</f>
        <v>0</v>
      </c>
      <c r="Q65" s="107">
        <f>'Vehicle Data'!C$6*9.81*SIN(D65)</f>
        <v>0</v>
      </c>
      <c r="R65">
        <f t="shared" si="6"/>
        <v>812.04994508779146</v>
      </c>
      <c r="S65">
        <f>IF(Data!O65=0.6,'Vehicle Data'!E$21,IF(Data!O65 = 0.9,'Vehicle Data'!E$20))+(P65*O65)</f>
        <v>1550.3723999999997</v>
      </c>
      <c r="T65">
        <f>IF(F65=3,'Vehicle Data'!H$16,IF(F65=2,'Vehicle Data'!H$15,IF(F65 = 1,'Vehicle Data'!G$14)))</f>
        <v>466.23005239380637</v>
      </c>
      <c r="U65" s="148">
        <f t="shared" si="7"/>
        <v>95.91146296447539</v>
      </c>
      <c r="V65" s="70" t="s">
        <v>77</v>
      </c>
      <c r="W65" s="99" t="s">
        <v>84</v>
      </c>
      <c r="X65">
        <f>IF(V65="S",'Vehicle Data'!C$14,IF(Data!V65 = "T1",'Vehicle Data'!P$2,IF(Data!V65="T2",'Vehicle Data'!P$3)))</f>
        <v>13.411199999999999</v>
      </c>
      <c r="Z65">
        <f t="shared" si="8"/>
        <v>7.4156311209749468</v>
      </c>
      <c r="AB65" t="b">
        <f>IF(AA65=1,'Vehicle Data'!I$14,IF(AA65=2,'Vehicle Data'!I$15,IF(AA65=3,'Vehicle Data'!I$16)))</f>
        <v>0</v>
      </c>
      <c r="AC65">
        <f>IF(Z65&lt;'Vehicle Data'!C$16,'Vehicle Data'!I$15,IF(Z65&lt;'Vehicle Data'!C$15,'Vehicle Data'!I$15,IF(Z64&gt;'Vehicle Data'!C$15,'Vehicle Data'!I$16)))</f>
        <v>0.98256251041858167</v>
      </c>
      <c r="AD65">
        <f>IF(O65=0.6,'Vehicle Data'!F$21,IF(O65=0.9,'Vehicle Data'!F$20))</f>
        <v>3.5315999999999996</v>
      </c>
      <c r="AE65" s="100">
        <f t="shared" si="9"/>
        <v>0.98256251041858167</v>
      </c>
      <c r="AF65" s="158">
        <f t="shared" si="30"/>
        <v>0.23678067220953181</v>
      </c>
      <c r="AG65" s="148">
        <f t="shared" si="12"/>
        <v>0.99847895140339815</v>
      </c>
      <c r="AH65" s="148">
        <f t="shared" si="31"/>
        <v>14.982342175794422</v>
      </c>
      <c r="AJ65">
        <f>(Z65^2)*'Vehicle Data'!C$31</f>
        <v>20.209407458971771</v>
      </c>
      <c r="AK65">
        <f>IF(O65=0.6,'Vehicle Data'!C$6*'Vehicle Data'!D$21*9.81,IF(O65=0.9,'Vehicle Data'!C$6*9.81*'Vehicle Data'!D$20))</f>
        <v>86.131799999999998</v>
      </c>
      <c r="AL65">
        <f t="shared" si="10"/>
        <v>106.34120745897177</v>
      </c>
      <c r="AN65">
        <f>IF(AG65&gt;0,AG65*'Vehicle Data'!C$6)</f>
        <v>438.33225966609177</v>
      </c>
      <c r="AO65">
        <f t="shared" si="13"/>
        <v>544.67346712506355</v>
      </c>
      <c r="AP65">
        <f>AO65*'Vehicle Data'!F$3</f>
        <v>139.21853819716625</v>
      </c>
      <c r="AQ65">
        <f>IF(AE65='Vehicle Data'!I$15,AP65/'Vehicle Data'!G$15,IF(AE65='Vehicle Data'!I$16,AP65/'Vehicle Data'!G$16,IF(AE65='Vehicle Data'!I$14,Data!AP65/'Vehicle Data'!G76)))</f>
        <v>17.247792032833896</v>
      </c>
      <c r="AR65">
        <f>IF(Z65&lt;'Vehicle Data'!C$16, Z65*'Vehicle Data'!F$7*'Vehicle Data'!G$14,IF(Z65&lt;'Vehicle Data'!C$15,Z65*'Vehicle Data'!F$7*'Vehicle Data'!G$15,IF(Z65&gt;'Vehicle Data'!C$15,Z65*'Vehicle Data'!F$7*'Vehicle Data'!G$16)))</f>
        <v>96.128551568193757</v>
      </c>
      <c r="AS65">
        <f t="shared" si="32"/>
        <v>5767.713094091625</v>
      </c>
      <c r="AT65">
        <f t="shared" si="33"/>
        <v>17</v>
      </c>
      <c r="AU65">
        <f t="shared" si="34"/>
        <v>6000</v>
      </c>
      <c r="AW65">
        <f>VLOOKUP(AT65,BSFC!A$64:A$82,1,FALSE)</f>
        <v>17</v>
      </c>
      <c r="AX65" t="e" cm="1">
        <f t="array" ref="AX65">_xlfn.XLOOKUP(AT65,BSFC!A$64:A$82,,-1,_xlfn.XLOOKUP(Data!AU65,BSFC!C$63:Q$63,BSFC!B$64:Q$82,,-1))</f>
        <v>#VALUE!</v>
      </c>
      <c r="AY65">
        <f>HLOOKUP(AU65,BSFC!F$63:Q$63,1)</f>
        <v>6000</v>
      </c>
      <c r="AZ65">
        <f>IF(AT65&gt;0,MATCH(AT65,BSFC!A$64:A$83,0),IF(AT65&lt;=0,0))</f>
        <v>6</v>
      </c>
      <c r="BA65">
        <f>MATCH(AU65,BSFC!C$63:Q$63,0)</f>
        <v>12</v>
      </c>
      <c r="BB65" cm="1">
        <f t="array" ref="BB65">IF(AZ65&gt;0,INDEX(BSFC!C$64:Q$83,Data!AZ65,Data!BA65))</f>
        <v>588.70000000000005</v>
      </c>
      <c r="BC65">
        <f>0.5*'Vehicle Data'!C$6*Data!Z65^2</f>
        <v>12070.652890460686</v>
      </c>
      <c r="BD65">
        <f t="shared" si="14"/>
        <v>10.714155133457705</v>
      </c>
      <c r="BE65">
        <f t="shared" si="35"/>
        <v>6307.4231270665514</v>
      </c>
      <c r="BF65">
        <f t="shared" si="36"/>
        <v>0.41485441331576811</v>
      </c>
      <c r="BG65">
        <f t="shared" si="15"/>
        <v>17.775149713996743</v>
      </c>
      <c r="BH65">
        <f t="shared" si="39"/>
        <v>10375.50228952287</v>
      </c>
      <c r="BI65" s="148">
        <f t="shared" si="17"/>
        <v>6871.6622130335309</v>
      </c>
      <c r="BO65">
        <f t="shared" si="18"/>
        <v>2390.743310686571</v>
      </c>
      <c r="BP65">
        <f t="shared" si="19"/>
        <v>1968.6370025853762</v>
      </c>
      <c r="BQ65">
        <f t="shared" si="20"/>
        <v>62521.495403463632</v>
      </c>
      <c r="BR65" s="148">
        <f t="shared" si="21"/>
        <v>104536.97629364562</v>
      </c>
      <c r="BS65" s="156">
        <f t="shared" si="22"/>
        <v>2390.743310686571</v>
      </c>
      <c r="BT65" s="156">
        <f t="shared" si="37"/>
        <v>10375.50228952287</v>
      </c>
      <c r="BU65">
        <f t="shared" si="23"/>
        <v>1583.3817015005516</v>
      </c>
      <c r="BV65">
        <f t="shared" si="24"/>
        <v>1583.3817015005516</v>
      </c>
      <c r="BW65" s="148">
        <f t="shared" si="25"/>
        <v>455.4</v>
      </c>
      <c r="BX65" s="148">
        <f t="shared" si="26"/>
        <v>3129354.9718154697</v>
      </c>
      <c r="BY65" s="148">
        <f t="shared" si="27"/>
        <v>0.20029778523981975</v>
      </c>
      <c r="BZ65">
        <f t="shared" si="11"/>
        <v>14.982342175794422</v>
      </c>
      <c r="CB65">
        <f t="shared" si="28"/>
        <v>-807.36160918601945</v>
      </c>
      <c r="CC65" s="162">
        <f t="shared" si="29"/>
        <v>-3409.7445608717958</v>
      </c>
      <c r="CD65">
        <f t="shared" si="38"/>
        <v>41283.5404111561</v>
      </c>
    </row>
    <row r="66" spans="4:82" x14ac:dyDescent="0.2">
      <c r="D66" s="22">
        <f t="shared" si="0"/>
        <v>0</v>
      </c>
      <c r="E66" s="23">
        <v>9.1017071999999999</v>
      </c>
      <c r="F66" s="23">
        <f>IF(K66&lt;6,1,IF(Data!K66&lt;9,2,IF(K66&gt;9,3)))</f>
        <v>3</v>
      </c>
      <c r="G66" s="23">
        <v>815.57930982441928</v>
      </c>
      <c r="H66" s="23">
        <v>214.066665</v>
      </c>
      <c r="I66" s="64">
        <v>35.320988234218113</v>
      </c>
      <c r="J66" s="65">
        <f t="shared" si="1"/>
        <v>2.1563937084524092</v>
      </c>
      <c r="K66" s="65">
        <f t="shared" si="2"/>
        <v>14.128395293687245</v>
      </c>
      <c r="L66" s="65">
        <f t="shared" si="3"/>
        <v>0.86255748338097793</v>
      </c>
      <c r="M66">
        <f t="shared" si="4"/>
        <v>18.2034144</v>
      </c>
      <c r="N66">
        <f t="shared" si="5"/>
        <v>0</v>
      </c>
      <c r="O66">
        <f>IF(L66&lt;'Vehicle Data'!F$21,'Vehicle Data'!C$21,IF(L66&gt;'Vehicle Data'!C$21,'Vehicle Data'!C$20))</f>
        <v>0.6</v>
      </c>
      <c r="P66">
        <f>('Vehicle Data'!C$6*9.81*'Vehicle Data'!C$5*SIN(D66))/'Vehicle Data'!C$9</f>
        <v>0</v>
      </c>
      <c r="Q66" s="107">
        <f>'Vehicle Data'!C$6*9.81*SIN(D66)</f>
        <v>0</v>
      </c>
      <c r="R66">
        <f t="shared" ref="R66:R129" si="41">G65</f>
        <v>813.81163377705241</v>
      </c>
      <c r="S66">
        <f>IF(Data!O66=0.6,'Vehicle Data'!E$21,IF(Data!O66 = 0.9,'Vehicle Data'!E$20))+(P66*O66)</f>
        <v>1550.3723999999997</v>
      </c>
      <c r="T66">
        <f>IF(F66=3,'Vehicle Data'!H$16,IF(F66=2,'Vehicle Data'!H$15,IF(F66 = 1,'Vehicle Data'!G$14)))</f>
        <v>466.23005239380637</v>
      </c>
      <c r="U66" s="148">
        <f t="shared" si="7"/>
        <v>97.67315165373634</v>
      </c>
      <c r="V66" s="70" t="s">
        <v>77</v>
      </c>
      <c r="W66" s="99" t="s">
        <v>84</v>
      </c>
      <c r="X66">
        <f>IF(V66="S",'Vehicle Data'!C$14,IF(Data!V66 = "T1",'Vehicle Data'!P$2,IF(Data!V66="T2",'Vehicle Data'!P$3)))</f>
        <v>13.411199999999999</v>
      </c>
      <c r="Z66">
        <f t="shared" si="8"/>
        <v>7.6454903992199652</v>
      </c>
      <c r="AB66" t="b">
        <f>IF(AA66=1,'Vehicle Data'!I$14,IF(AA66=2,'Vehicle Data'!I$15,IF(AA66=3,'Vehicle Data'!I$16)))</f>
        <v>0</v>
      </c>
      <c r="AC66">
        <f>IF(Z66&lt;'Vehicle Data'!C$16,'Vehicle Data'!I$15,IF(Z66&lt;'Vehicle Data'!C$15,'Vehicle Data'!I$15,IF(Z65&gt;'Vehicle Data'!C$15,'Vehicle Data'!I$16)))</f>
        <v>0.98256251041858167</v>
      </c>
      <c r="AD66">
        <f>IF(O66=0.6,'Vehicle Data'!F$21,IF(O66=0.9,'Vehicle Data'!F$20))</f>
        <v>3.5315999999999996</v>
      </c>
      <c r="AE66" s="100">
        <f t="shared" si="9"/>
        <v>0.98256251041858167</v>
      </c>
      <c r="AF66" s="158">
        <f t="shared" si="30"/>
        <v>0.23042193466630828</v>
      </c>
      <c r="AG66" s="148">
        <f t="shared" si="12"/>
        <v>0.99755814730874159</v>
      </c>
      <c r="AH66" s="148">
        <f t="shared" si="31"/>
        <v>15.21276411046073</v>
      </c>
      <c r="AJ66">
        <f>(Z66^2)*'Vehicle Data'!C$31</f>
        <v>21.481669865877517</v>
      </c>
      <c r="AK66">
        <f>IF(O66=0.6,'Vehicle Data'!C$6*'Vehicle Data'!D$21*9.81,IF(O66=0.9,'Vehicle Data'!C$6*9.81*'Vehicle Data'!D$20))</f>
        <v>86.131799999999998</v>
      </c>
      <c r="AL66">
        <f t="shared" si="10"/>
        <v>107.61346986587752</v>
      </c>
      <c r="AN66">
        <f>IF(AG66&gt;0,AG66*'Vehicle Data'!C$6)</f>
        <v>437.92802666853754</v>
      </c>
      <c r="AO66">
        <f t="shared" si="13"/>
        <v>545.54149653441505</v>
      </c>
      <c r="AP66">
        <f>AO66*'Vehicle Data'!F$3</f>
        <v>139.4404065141965</v>
      </c>
      <c r="AQ66">
        <f>IF(AE66='Vehicle Data'!I$15,AP66/'Vehicle Data'!G$15,IF(AE66='Vehicle Data'!I$16,AP66/'Vehicle Data'!G$16,IF(AE66='Vehicle Data'!I$14,Data!AP66/'Vehicle Data'!G77)))</f>
        <v>17.275279310321274</v>
      </c>
      <c r="AR66">
        <f>IF(Z66&lt;'Vehicle Data'!C$16, Z66*'Vehicle Data'!F$7*'Vehicle Data'!G$14,IF(Z66&lt;'Vehicle Data'!C$15,Z66*'Vehicle Data'!F$7*'Vehicle Data'!G$15,IF(Z66&gt;'Vehicle Data'!C$15,Z66*'Vehicle Data'!F$7*'Vehicle Data'!G$16)))</f>
        <v>99.108208878777333</v>
      </c>
      <c r="AS66">
        <f t="shared" si="32"/>
        <v>5946.4925327266401</v>
      </c>
      <c r="AT66">
        <f t="shared" si="33"/>
        <v>17</v>
      </c>
      <c r="AU66">
        <f t="shared" si="34"/>
        <v>6000</v>
      </c>
      <c r="AW66">
        <f>VLOOKUP(AT66,BSFC!A$64:A$82,1,FALSE)</f>
        <v>17</v>
      </c>
      <c r="AX66" t="e" cm="1">
        <f t="array" ref="AX66">_xlfn.XLOOKUP(AT66,BSFC!A$64:A$82,,-1,_xlfn.XLOOKUP(Data!AU66,BSFC!C$63:Q$63,BSFC!B$64:Q$82,,-1))</f>
        <v>#VALUE!</v>
      </c>
      <c r="AY66">
        <f>HLOOKUP(AU66,BSFC!F$63:Q$63,1)</f>
        <v>6000</v>
      </c>
      <c r="AZ66">
        <f>IF(AT66&gt;0,MATCH(AT66,BSFC!A$64:A$83,0),IF(AT66&lt;=0,0))</f>
        <v>6</v>
      </c>
      <c r="BA66">
        <f>MATCH(AU66,BSFC!C$63:Q$63,0)</f>
        <v>12</v>
      </c>
      <c r="BB66" cm="1">
        <f t="array" ref="BB66">IF(AZ66&gt;0,INDEX(BSFC!C$64:Q$83,Data!AZ66,Data!BA66))</f>
        <v>588.70000000000005</v>
      </c>
      <c r="BC66">
        <f>0.5*'Vehicle Data'!C$6*Data!Z66^2</f>
        <v>12830.548396081942</v>
      </c>
      <c r="BD66">
        <f t="shared" si="14"/>
        <v>11.046476654276555</v>
      </c>
      <c r="BE66">
        <f t="shared" si="35"/>
        <v>6503.0608063726086</v>
      </c>
      <c r="BF66">
        <f t="shared" si="36"/>
        <v>0.41623551451583868</v>
      </c>
      <c r="BG66">
        <f t="shared" si="15"/>
        <v>18.191385228512583</v>
      </c>
      <c r="BH66">
        <f t="shared" si="39"/>
        <v>10714.155133457705</v>
      </c>
      <c r="BI66" s="148">
        <f t="shared" si="17"/>
        <v>6871.6622130335309</v>
      </c>
      <c r="BO66">
        <f t="shared" si="18"/>
        <v>2406.687973162343</v>
      </c>
      <c r="BP66">
        <f t="shared" si="19"/>
        <v>4375.3249757477188</v>
      </c>
      <c r="BQ66">
        <f t="shared" si="20"/>
        <v>64928.183376625973</v>
      </c>
      <c r="BR66" s="148">
        <f t="shared" si="21"/>
        <v>106080.5368075398</v>
      </c>
      <c r="BS66" s="156">
        <f t="shared" si="22"/>
        <v>2406.687973162343</v>
      </c>
      <c r="BT66" s="156">
        <f t="shared" si="37"/>
        <v>10714.155133457705</v>
      </c>
      <c r="BU66">
        <f t="shared" si="23"/>
        <v>1543.5605138941787</v>
      </c>
      <c r="BV66">
        <f t="shared" si="24"/>
        <v>1543.5605138941787</v>
      </c>
      <c r="BW66" s="148">
        <f t="shared" si="25"/>
        <v>455.4</v>
      </c>
      <c r="BX66" s="148">
        <f t="shared" si="26"/>
        <v>3129354.9718154697</v>
      </c>
      <c r="BY66" s="148">
        <f t="shared" si="27"/>
        <v>0.1952604050076136</v>
      </c>
      <c r="BZ66">
        <f t="shared" si="11"/>
        <v>15.21276411046073</v>
      </c>
      <c r="CB66">
        <f t="shared" si="28"/>
        <v>-863.12745926816433</v>
      </c>
      <c r="CC66" s="162">
        <f t="shared" si="29"/>
        <v>-3745.8563157979056</v>
      </c>
      <c r="CD66">
        <f t="shared" si="38"/>
        <v>40420.412951887934</v>
      </c>
    </row>
    <row r="67" spans="4:82" x14ac:dyDescent="0.2">
      <c r="D67" s="22">
        <f t="shared" ref="D67:D130" si="42">ASIN((N67)/(G68-G67))</f>
        <v>0</v>
      </c>
      <c r="E67" s="23">
        <v>9.1017071999999999</v>
      </c>
      <c r="F67" s="23">
        <f>IF(K67&lt;6,1,IF(Data!K67&lt;9,2,IF(K67&gt;9,3)))</f>
        <v>3</v>
      </c>
      <c r="G67" s="23">
        <v>817.35339851367962</v>
      </c>
      <c r="H67" s="23">
        <v>214.11666499999998</v>
      </c>
      <c r="I67" s="64">
        <v>35.428807919640697</v>
      </c>
      <c r="J67" s="65">
        <f t="shared" ref="J67:J130" si="43">(I68-I67)/(H68-H67)</f>
        <v>2.2202269530416809</v>
      </c>
      <c r="K67" s="65">
        <f t="shared" ref="K67:K130" si="44">I67/2.5</f>
        <v>14.171523167856279</v>
      </c>
      <c r="L67" s="65">
        <f t="shared" ref="L67:L130" si="45">(K68-K67)/(H68-H67)</f>
        <v>0.8880907812166795</v>
      </c>
      <c r="M67">
        <f t="shared" ref="M67:M130" si="46">2*E67</f>
        <v>18.2034144</v>
      </c>
      <c r="N67">
        <f t="shared" ref="N67:N130" si="47">E68-E67</f>
        <v>0</v>
      </c>
      <c r="O67">
        <f>IF(L67&lt;'Vehicle Data'!F$21,'Vehicle Data'!C$21,IF(L67&gt;'Vehicle Data'!C$21,'Vehicle Data'!C$20))</f>
        <v>0.6</v>
      </c>
      <c r="P67">
        <f>('Vehicle Data'!C$6*9.81*'Vehicle Data'!C$5*SIN(D67))/'Vehicle Data'!C$9</f>
        <v>0</v>
      </c>
      <c r="Q67" s="107">
        <f>'Vehicle Data'!C$6*9.81*SIN(D67)</f>
        <v>0</v>
      </c>
      <c r="R67">
        <f t="shared" si="41"/>
        <v>815.57930982441928</v>
      </c>
      <c r="S67">
        <f>IF(Data!O67=0.6,'Vehicle Data'!E$21,IF(Data!O67 = 0.9,'Vehicle Data'!E$20))+(P67*O67)</f>
        <v>1550.3723999999997</v>
      </c>
      <c r="T67">
        <f>IF(F67=3,'Vehicle Data'!H$16,IF(F67=2,'Vehicle Data'!H$15,IF(F67 = 1,'Vehicle Data'!G$14)))</f>
        <v>466.23005239380637</v>
      </c>
      <c r="U67" s="148">
        <f t="shared" ref="U67:U130" si="48">R67-R$2</f>
        <v>99.440827701103217</v>
      </c>
      <c r="V67" s="70" t="s">
        <v>77</v>
      </c>
      <c r="W67" s="99" t="s">
        <v>84</v>
      </c>
      <c r="X67">
        <f>IF(V67="S",'Vehicle Data'!C$14,IF(Data!V67 = "T1",'Vehicle Data'!P$2,IF(Data!V67="T2",'Vehicle Data'!P$3)))</f>
        <v>13.411199999999999</v>
      </c>
      <c r="Z67">
        <f t="shared" si="8"/>
        <v>7.8693854826142458</v>
      </c>
      <c r="AB67" t="b">
        <f>IF(AA67=1,'Vehicle Data'!I$14,IF(AA67=2,'Vehicle Data'!I$15,IF(AA67=3,'Vehicle Data'!I$16)))</f>
        <v>0</v>
      </c>
      <c r="AC67">
        <f>IF(Z67&lt;'Vehicle Data'!C$16,'Vehicle Data'!I$15,IF(Z67&lt;'Vehicle Data'!C$15,'Vehicle Data'!I$15,IF(Z66&gt;'Vehicle Data'!C$15,'Vehicle Data'!I$16)))</f>
        <v>0.98256251041858167</v>
      </c>
      <c r="AD67">
        <f>IF(O67=0.6,'Vehicle Data'!F$21,IF(O67=0.9,'Vehicle Data'!F$20))</f>
        <v>3.5315999999999996</v>
      </c>
      <c r="AE67" s="100">
        <f t="shared" ref="AE67:AE130" si="49">IF(W67="a",AC67,IF(W67="b",AD67*-1))</f>
        <v>0.98256251041858167</v>
      </c>
      <c r="AF67" s="158">
        <f t="shared" si="30"/>
        <v>0.22462694847929174</v>
      </c>
      <c r="AG67" s="148">
        <f t="shared" si="12"/>
        <v>0.99674186427779099</v>
      </c>
      <c r="AH67" s="148">
        <f t="shared" si="31"/>
        <v>15.437391058940023</v>
      </c>
      <c r="AJ67">
        <f>(Z67^2)*'Vehicle Data'!C$31</f>
        <v>22.758256243687601</v>
      </c>
      <c r="AK67">
        <f>IF(O67=0.6,'Vehicle Data'!C$6*'Vehicle Data'!D$21*9.81,IF(O67=0.9,'Vehicle Data'!C$6*9.81*'Vehicle Data'!D$20))</f>
        <v>86.131799999999998</v>
      </c>
      <c r="AL67">
        <f t="shared" ref="AL67:AL130" si="50">AJ67+AK67+Q67</f>
        <v>108.8900562436876</v>
      </c>
      <c r="AN67">
        <f>IF(AG67&gt;0,AG67*'Vehicle Data'!C$6)</f>
        <v>437.56967841795023</v>
      </c>
      <c r="AO67">
        <f t="shared" si="13"/>
        <v>546.45973466163787</v>
      </c>
      <c r="AP67">
        <f>AO67*'Vehicle Data'!F$3</f>
        <v>139.67510817951464</v>
      </c>
      <c r="AQ67">
        <f>IF(AE67='Vehicle Data'!I$15,AP67/'Vehicle Data'!G$15,IF(AE67='Vehicle Data'!I$16,AP67/'Vehicle Data'!G$16,IF(AE67='Vehicle Data'!I$14,Data!AP67/'Vehicle Data'!G78)))</f>
        <v>17.304356512004244</v>
      </c>
      <c r="AR67">
        <f>IF(Z67&lt;'Vehicle Data'!C$16, Z67*'Vehicle Data'!F$7*'Vehicle Data'!G$14,IF(Z67&lt;'Vehicle Data'!C$15,Z67*'Vehicle Data'!F$7*'Vehicle Data'!G$15,IF(Z67&gt;'Vehicle Data'!C$15,Z67*'Vehicle Data'!F$7*'Vehicle Data'!G$16)))</f>
        <v>102.01055255240689</v>
      </c>
      <c r="AS67">
        <f t="shared" si="32"/>
        <v>6120.6331531444139</v>
      </c>
      <c r="AT67">
        <f t="shared" si="33"/>
        <v>17</v>
      </c>
      <c r="AU67">
        <f t="shared" si="34"/>
        <v>6000</v>
      </c>
      <c r="AW67">
        <f>VLOOKUP(AT67,BSFC!A$64:A$82,1,FALSE)</f>
        <v>17</v>
      </c>
      <c r="AX67" t="e" cm="1">
        <f t="array" ref="AX67">_xlfn.XLOOKUP(AT67,BSFC!A$64:A$82,,-1,_xlfn.XLOOKUP(Data!AU67,BSFC!C$63:Q$63,BSFC!B$64:Q$82,,-1))</f>
        <v>#VALUE!</v>
      </c>
      <c r="AY67">
        <f>HLOOKUP(AU67,BSFC!F$63:Q$63,1)</f>
        <v>6000</v>
      </c>
      <c r="AZ67">
        <f>IF(AT67&gt;0,MATCH(AT67,BSFC!A$64:A$83,0),IF(AT67&lt;=0,0))</f>
        <v>6</v>
      </c>
      <c r="BA67">
        <f>MATCH(AU67,BSFC!C$63:Q$63,0)</f>
        <v>12</v>
      </c>
      <c r="BB67" cm="1">
        <f t="array" ref="BB67">IF(AZ67&gt;0,INDEX(BSFC!C$64:Q$83,Data!AZ67,Data!BA67))</f>
        <v>588.70000000000005</v>
      </c>
      <c r="BC67">
        <f>0.5*'Vehicle Data'!C$6*Data!Z67^2</f>
        <v>13593.026518338576</v>
      </c>
      <c r="BD67">
        <f t="shared" si="14"/>
        <v>11.373151098409192</v>
      </c>
      <c r="BE67">
        <f t="shared" si="35"/>
        <v>6695.3740516334919</v>
      </c>
      <c r="BF67">
        <f t="shared" si="36"/>
        <v>0.41776706726273977</v>
      </c>
      <c r="BG67">
        <f t="shared" si="15"/>
        <v>18.609152295775324</v>
      </c>
      <c r="BH67">
        <f t="shared" si="39"/>
        <v>11046.476654276556</v>
      </c>
      <c r="BI67" s="148">
        <f t="shared" si="17"/>
        <v>6871.6622130335309</v>
      </c>
      <c r="BO67">
        <f t="shared" si="18"/>
        <v>2423.0663135380437</v>
      </c>
      <c r="BP67">
        <f t="shared" si="19"/>
        <v>6798.3912892857625</v>
      </c>
      <c r="BQ67">
        <f t="shared" si="20"/>
        <v>67351.249690164012</v>
      </c>
      <c r="BR67" s="148">
        <f t="shared" si="21"/>
        <v>107587.84938760738</v>
      </c>
      <c r="BS67" s="156">
        <f t="shared" si="22"/>
        <v>2423.0663135380437</v>
      </c>
      <c r="BT67" s="156">
        <f t="shared" si="37"/>
        <v>11046.476654276556</v>
      </c>
      <c r="BU67">
        <f t="shared" si="23"/>
        <v>1507.3125800675753</v>
      </c>
      <c r="BV67">
        <f t="shared" si="24"/>
        <v>1507.3125800675753</v>
      </c>
      <c r="BW67" s="148">
        <f t="shared" si="25"/>
        <v>455.4</v>
      </c>
      <c r="BX67" s="148">
        <f t="shared" si="26"/>
        <v>3129354.9718154697</v>
      </c>
      <c r="BY67" s="148">
        <f t="shared" si="27"/>
        <v>0.19067504137854827</v>
      </c>
      <c r="BZ67">
        <f t="shared" ref="BZ67:BZ130" si="51">AH67</f>
        <v>15.437391058940023</v>
      </c>
      <c r="CB67">
        <f t="shared" si="28"/>
        <v>-915.75373347046843</v>
      </c>
      <c r="CC67" s="162">
        <f t="shared" ref="CC67:CC130" si="52">CB67/(BZ67-BZ66)</f>
        <v>-4076.7759152232325</v>
      </c>
      <c r="CD67">
        <f t="shared" si="38"/>
        <v>39504.659218417466</v>
      </c>
    </row>
    <row r="68" spans="4:82" x14ac:dyDescent="0.2">
      <c r="D68" s="22">
        <f t="shared" si="42"/>
        <v>0</v>
      </c>
      <c r="E68" s="23">
        <v>9.1017071999999999</v>
      </c>
      <c r="F68" s="23">
        <f>IF(K68&lt;6,1,IF(Data!K68&lt;9,2,IF(K68&gt;9,3)))</f>
        <v>3</v>
      </c>
      <c r="G68" s="23">
        <v>819.13319248672985</v>
      </c>
      <c r="H68" s="23">
        <v>214.16666499999999</v>
      </c>
      <c r="I68" s="64">
        <v>35.539819267292806</v>
      </c>
      <c r="J68" s="65">
        <f t="shared" si="43"/>
        <v>2.4685687219282109</v>
      </c>
      <c r="K68" s="65">
        <f t="shared" si="44"/>
        <v>14.215927706917123</v>
      </c>
      <c r="L68" s="65">
        <f t="shared" si="45"/>
        <v>0.98742748877127007</v>
      </c>
      <c r="M68">
        <f t="shared" si="46"/>
        <v>18.2034144</v>
      </c>
      <c r="N68">
        <f t="shared" si="47"/>
        <v>0</v>
      </c>
      <c r="O68">
        <f>IF(L68&lt;'Vehicle Data'!F$21,'Vehicle Data'!C$21,IF(L68&gt;'Vehicle Data'!C$21,'Vehicle Data'!C$20))</f>
        <v>0.6</v>
      </c>
      <c r="P68">
        <f>('Vehicle Data'!C$6*9.81*'Vehicle Data'!C$5*SIN(D68))/'Vehicle Data'!C$9</f>
        <v>0</v>
      </c>
      <c r="Q68" s="107">
        <f>'Vehicle Data'!C$6*9.81*SIN(D68)</f>
        <v>0</v>
      </c>
      <c r="R68">
        <f t="shared" si="41"/>
        <v>817.35339851367962</v>
      </c>
      <c r="S68">
        <f>IF(Data!O68=0.6,'Vehicle Data'!E$21,IF(Data!O68 = 0.9,'Vehicle Data'!E$20))+(P68*O68)</f>
        <v>1550.3723999999997</v>
      </c>
      <c r="T68">
        <f>IF(F68=3,'Vehicle Data'!H$16,IF(F68=2,'Vehicle Data'!H$15,IF(F68 = 1,'Vehicle Data'!G$14)))</f>
        <v>466.23005239380637</v>
      </c>
      <c r="U68" s="148">
        <f t="shared" si="48"/>
        <v>101.21491639036356</v>
      </c>
      <c r="V68" s="70" t="s">
        <v>77</v>
      </c>
      <c r="W68" s="99" t="s">
        <v>84</v>
      </c>
      <c r="X68">
        <f>IF(V68="S",'Vehicle Data'!C$14,IF(Data!V68 = "T1",'Vehicle Data'!P$2,IF(Data!V68="T2",'Vehicle Data'!P$3)))</f>
        <v>13.411199999999999</v>
      </c>
      <c r="Z68">
        <f t="shared" si="8"/>
        <v>8.0878633733780116</v>
      </c>
      <c r="AB68" t="b">
        <f>IF(AA68=1,'Vehicle Data'!I$14,IF(AA68=2,'Vehicle Data'!I$15,IF(AA68=3,'Vehicle Data'!I$16)))</f>
        <v>0</v>
      </c>
      <c r="AC68">
        <f>IF(Z68&lt;'Vehicle Data'!C$16,'Vehicle Data'!I$15,IF(Z68&lt;'Vehicle Data'!C$15,'Vehicle Data'!I$15,IF(Z67&gt;'Vehicle Data'!C$15,'Vehicle Data'!I$16)))</f>
        <v>0.98256251041858167</v>
      </c>
      <c r="AD68">
        <f>IF(O68=0.6,'Vehicle Data'!F$21,IF(O68=0.9,'Vehicle Data'!F$20))</f>
        <v>3.5315999999999996</v>
      </c>
      <c r="AE68" s="100">
        <f t="shared" si="49"/>
        <v>0.98256251041858167</v>
      </c>
      <c r="AF68" s="158">
        <f t="shared" si="30"/>
        <v>0.21935196075392716</v>
      </c>
      <c r="AG68" s="148">
        <f t="shared" ref="AG68:AG131" si="53">(Z68-Z67)/AF68</f>
        <v>0.99601521688177741</v>
      </c>
      <c r="AH68" s="148">
        <f t="shared" si="31"/>
        <v>15.65674301969395</v>
      </c>
      <c r="AJ68">
        <f>(Z68^2)*'Vehicle Data'!C$31</f>
        <v>24.039473725312867</v>
      </c>
      <c r="AK68">
        <f>IF(O68=0.6,'Vehicle Data'!C$6*'Vehicle Data'!D$21*9.81,IF(O68=0.9,'Vehicle Data'!C$6*9.81*'Vehicle Data'!D$20))</f>
        <v>86.131799999999998</v>
      </c>
      <c r="AL68">
        <f t="shared" si="50"/>
        <v>110.17127372531286</v>
      </c>
      <c r="AN68">
        <f>IF(AG68&gt;0,AG68*'Vehicle Data'!C$6)</f>
        <v>437.2506802111003</v>
      </c>
      <c r="AO68">
        <f t="shared" ref="AO68:AO131" si="54">AN68+AL68</f>
        <v>547.42195393641316</v>
      </c>
      <c r="AP68">
        <f>AO68*'Vehicle Data'!F$3</f>
        <v>139.92105142614719</v>
      </c>
      <c r="AQ68">
        <f>IF(AE68='Vehicle Data'!I$15,AP68/'Vehicle Data'!G$15,IF(AE68='Vehicle Data'!I$16,AP68/'Vehicle Data'!G$16,IF(AE68='Vehicle Data'!I$14,Data!AP68/'Vehicle Data'!G79)))</f>
        <v>17.334826433788585</v>
      </c>
      <c r="AR68">
        <f>IF(Z68&lt;'Vehicle Data'!C$16, Z68*'Vehicle Data'!F$7*'Vehicle Data'!G$14,IF(Z68&lt;'Vehicle Data'!C$15,Z68*'Vehicle Data'!F$7*'Vehicle Data'!G$15,IF(Z68&gt;'Vehicle Data'!C$15,Z68*'Vehicle Data'!F$7*'Vehicle Data'!G$16)))</f>
        <v>104.84267335860386</v>
      </c>
      <c r="AS68">
        <f t="shared" si="32"/>
        <v>6290.5604015162317</v>
      </c>
      <c r="AT68">
        <f t="shared" si="33"/>
        <v>17</v>
      </c>
      <c r="AU68">
        <f t="shared" si="34"/>
        <v>6500</v>
      </c>
      <c r="AW68">
        <f>VLOOKUP(AT68,BSFC!A$64:A$82,1,FALSE)</f>
        <v>17</v>
      </c>
      <c r="AX68" t="e" cm="1">
        <f t="array" ref="AX68">_xlfn.XLOOKUP(AT68,BSFC!A$64:A$82,,-1,_xlfn.XLOOKUP(Data!AU68,BSFC!C$63:Q$63,BSFC!B$64:Q$82,,-1))</f>
        <v>#VALUE!</v>
      </c>
      <c r="AY68">
        <f>HLOOKUP(AU68,BSFC!F$63:Q$63,1)</f>
        <v>6500</v>
      </c>
      <c r="AZ68">
        <f>IF(AT68&gt;0,MATCH(AT68,BSFC!A$64:A$83,0),IF(AT68&lt;=0,0))</f>
        <v>6</v>
      </c>
      <c r="BA68">
        <f>MATCH(AU68,BSFC!C$63:Q$63,0)</f>
        <v>13</v>
      </c>
      <c r="BB68" cm="1">
        <f t="array" ref="BB68">IF(AZ68&gt;0,INDEX(BSFC!C$64:Q$83,Data!AZ68,Data!BA68))</f>
        <v>511.2</v>
      </c>
      <c r="BC68">
        <f>0.5*'Vehicle Data'!C$6*Data!Z68^2</f>
        <v>14358.270701241287</v>
      </c>
      <c r="BD68">
        <f t="shared" ref="BD68:BD131" si="55">ABS(AQ69*(AS69/9.588))/1000</f>
        <v>11.694483505927245</v>
      </c>
      <c r="BE68">
        <f t="shared" si="35"/>
        <v>5978.2199682300079</v>
      </c>
      <c r="BF68">
        <f t="shared" si="36"/>
        <v>0.36425951995820344</v>
      </c>
      <c r="BG68">
        <f t="shared" ref="BG68:BG131" si="56">BG67+BF68</f>
        <v>18.973411815733527</v>
      </c>
      <c r="BH68">
        <f t="shared" si="39"/>
        <v>11373.151098409191</v>
      </c>
      <c r="BI68" s="148">
        <f t="shared" ref="BI68:BI131" si="57">BM$9</f>
        <v>6871.6622130335309</v>
      </c>
      <c r="BO68">
        <f t="shared" ref="BO68:BO131" si="58">BH68*AF69</f>
        <v>2438.4064702247269</v>
      </c>
      <c r="BP68">
        <f t="shared" ref="BP68:BP131" si="59">BP67+BO68</f>
        <v>9236.7977595104894</v>
      </c>
      <c r="BQ68">
        <f t="shared" ref="BQ68:BQ131" si="60">IF(BO68&gt;0,BQ67+BO68,IF(BO68&lt;=0,BQ67))</f>
        <v>69789.656160388738</v>
      </c>
      <c r="BR68" s="148">
        <f t="shared" ref="BR68:BR131" si="61">(BM$9*AF69)+BR67</f>
        <v>109061.13550299218</v>
      </c>
      <c r="BS68" s="156">
        <f t="shared" ref="BS68:BS131" si="62">IF(BO68&gt;0,BO68)</f>
        <v>2438.4064702247269</v>
      </c>
      <c r="BT68" s="156">
        <f t="shared" ref="BT68:BT131" si="63">IF(BH68&gt;=0,BH68, IF(BH68&lt;0,0))</f>
        <v>11373.151098409191</v>
      </c>
      <c r="BU68">
        <f t="shared" ref="BU68:BU131" si="64">BI68*AF69</f>
        <v>1473.2861153848071</v>
      </c>
      <c r="BV68">
        <f t="shared" ref="BV68:BV131" si="65">BM$9*AF69</f>
        <v>1473.2861153848071</v>
      </c>
      <c r="BW68" s="148">
        <f t="shared" ref="BW68:BW131" si="66">BN$9</f>
        <v>455.4</v>
      </c>
      <c r="BX68" s="148">
        <f t="shared" ref="BX68:BX131" si="67">BW68*BI68</f>
        <v>3129354.9718154697</v>
      </c>
      <c r="BY68" s="148">
        <f t="shared" ref="BY68:BY131" si="68">((BX68/3600)*AF69)/1000</f>
        <v>0.18637069359617806</v>
      </c>
      <c r="BZ68">
        <f t="shared" si="51"/>
        <v>15.65674301969395</v>
      </c>
      <c r="CB68">
        <f t="shared" ref="CB68:CB131" si="69">BU68-BS68</f>
        <v>-965.12035483991986</v>
      </c>
      <c r="CC68" s="162">
        <f t="shared" si="52"/>
        <v>-4399.871109073908</v>
      </c>
      <c r="CD68">
        <f t="shared" si="38"/>
        <v>38539.538863577545</v>
      </c>
    </row>
    <row r="69" spans="4:82" x14ac:dyDescent="0.2">
      <c r="D69" s="22">
        <f t="shared" si="42"/>
        <v>0</v>
      </c>
      <c r="E69" s="23">
        <v>9.1017071999999999</v>
      </c>
      <c r="F69" s="23">
        <f>IF(K69&lt;6,1,IF(Data!K69&lt;9,2,IF(K69&gt;9,3)))</f>
        <v>3</v>
      </c>
      <c r="G69" s="23">
        <v>820.91993381788552</v>
      </c>
      <c r="H69" s="23">
        <v>214.21666499999998</v>
      </c>
      <c r="I69" s="64">
        <v>35.663247703389175</v>
      </c>
      <c r="J69" s="65">
        <f t="shared" si="43"/>
        <v>2.7095227113101807</v>
      </c>
      <c r="K69" s="65">
        <f t="shared" si="44"/>
        <v>14.265299081355669</v>
      </c>
      <c r="L69" s="65">
        <f t="shared" si="45"/>
        <v>1.0838090845240722</v>
      </c>
      <c r="M69">
        <f t="shared" si="46"/>
        <v>18.2034144</v>
      </c>
      <c r="N69">
        <f t="shared" si="47"/>
        <v>0</v>
      </c>
      <c r="O69">
        <f>IF(L69&lt;'Vehicle Data'!F$21,'Vehicle Data'!C$21,IF(L69&gt;'Vehicle Data'!C$21,'Vehicle Data'!C$20))</f>
        <v>0.6</v>
      </c>
      <c r="P69">
        <f>('Vehicle Data'!C$6*9.81*'Vehicle Data'!C$5*SIN(D69))/'Vehicle Data'!C$9</f>
        <v>0</v>
      </c>
      <c r="Q69" s="107">
        <f>'Vehicle Data'!C$6*9.81*SIN(D69)</f>
        <v>0</v>
      </c>
      <c r="R69">
        <f t="shared" si="41"/>
        <v>819.13319248672985</v>
      </c>
      <c r="S69">
        <f>IF(Data!O69=0.6,'Vehicle Data'!E$21,IF(Data!O69 = 0.9,'Vehicle Data'!E$20))+(P69*O69)</f>
        <v>1550.3723999999997</v>
      </c>
      <c r="T69">
        <f>IF(F69=3,'Vehicle Data'!H$16,IF(F69=2,'Vehicle Data'!H$15,IF(F69 = 1,'Vehicle Data'!G$14)))</f>
        <v>466.23005239380637</v>
      </c>
      <c r="U69" s="148">
        <f t="shared" si="48"/>
        <v>102.99471036341379</v>
      </c>
      <c r="V69" s="70" t="s">
        <v>77</v>
      </c>
      <c r="W69" s="99" t="s">
        <v>84</v>
      </c>
      <c r="X69">
        <f>IF(V69="S",'Vehicle Data'!C$14,IF(Data!V69 = "T1",'Vehicle Data'!P$2,IF(Data!V69="T2",'Vehicle Data'!P$3)))</f>
        <v>13.411199999999999</v>
      </c>
      <c r="Z69">
        <f t="shared" ref="Z69:Z132" si="70">SQRT(Z68^2+2*AE68*(U69-U68))</f>
        <v>8.3012680726986368</v>
      </c>
      <c r="AB69" t="b">
        <f>IF(AA69=1,'Vehicle Data'!I$14,IF(AA69=2,'Vehicle Data'!I$15,IF(AA69=3,'Vehicle Data'!I$16)))</f>
        <v>0</v>
      </c>
      <c r="AC69">
        <f>IF(Z69&lt;'Vehicle Data'!C$16,'Vehicle Data'!I$15,IF(Z69&lt;'Vehicle Data'!C$15,'Vehicle Data'!I$15,IF(Z68&gt;'Vehicle Data'!C$15,'Vehicle Data'!I$16)))</f>
        <v>0.98256251041858167</v>
      </c>
      <c r="AD69">
        <f>IF(O69=0.6,'Vehicle Data'!F$21,IF(O69=0.9,'Vehicle Data'!F$20))</f>
        <v>3.5315999999999996</v>
      </c>
      <c r="AE69" s="100">
        <f t="shared" si="49"/>
        <v>0.98256251041858167</v>
      </c>
      <c r="AF69" s="158">
        <f t="shared" ref="AF69:AF132" si="71">(U69-U68)/Z69</f>
        <v>0.21440025276423144</v>
      </c>
      <c r="AG69" s="148">
        <f t="shared" si="53"/>
        <v>0.99535656590525989</v>
      </c>
      <c r="AH69" s="148">
        <f t="shared" ref="AH69:AH132" si="72">AH68+AF69</f>
        <v>15.871143272458182</v>
      </c>
      <c r="AI69" s="101"/>
      <c r="AJ69" s="101">
        <f>(Z69^2)*'Vehicle Data'!C$31</f>
        <v>25.324811468441119</v>
      </c>
      <c r="AK69" s="101">
        <f>IF(O69=0.6,'Vehicle Data'!C$6*'Vehicle Data'!D$21*9.81,IF(O69=0.9,'Vehicle Data'!C$6*9.81*'Vehicle Data'!D$20))</f>
        <v>86.131799999999998</v>
      </c>
      <c r="AL69" s="101">
        <f t="shared" si="50"/>
        <v>111.45661146844111</v>
      </c>
      <c r="AM69" s="101"/>
      <c r="AN69" s="101">
        <f>IF(AG69&gt;0,AG69*'Vehicle Data'!C$6)</f>
        <v>436.96153243240911</v>
      </c>
      <c r="AO69" s="101">
        <f t="shared" si="54"/>
        <v>548.41814390085028</v>
      </c>
      <c r="AP69" s="101">
        <f>AO69*'Vehicle Data'!F$3</f>
        <v>140.17567758105733</v>
      </c>
      <c r="AQ69" s="101">
        <f>IF(AE69='Vehicle Data'!I$15,AP69/'Vehicle Data'!G$15,IF(AE69='Vehicle Data'!I$16,AP69/'Vehicle Data'!G$16,IF(AE69='Vehicle Data'!I$14,Data!AP69/'Vehicle Data'!G80)))</f>
        <v>17.366372081536952</v>
      </c>
      <c r="AR69" s="101">
        <f>IF(Z69&lt;'Vehicle Data'!C$16, Z69*'Vehicle Data'!F$7*'Vehicle Data'!G$14,IF(Z69&lt;'Vehicle Data'!C$15,Z69*'Vehicle Data'!F$7*'Vehicle Data'!G$15,IF(Z69&gt;'Vehicle Data'!C$15,Z69*'Vehicle Data'!F$7*'Vehicle Data'!G$16)))</f>
        <v>107.60903057201938</v>
      </c>
      <c r="AS69" s="101">
        <f t="shared" ref="AS69:AS132" si="73">AR69*60</f>
        <v>6456.5418343211622</v>
      </c>
      <c r="AT69" s="101">
        <f t="shared" ref="AT69:AT132" si="74">ROUND(AQ69,0)</f>
        <v>17</v>
      </c>
      <c r="AU69" s="101">
        <f t="shared" ref="AU69:AU132" si="75">MROUND(AS69,500)</f>
        <v>6500</v>
      </c>
      <c r="AV69" s="101"/>
      <c r="AW69" s="101">
        <f>VLOOKUP(AT69,BSFC!A$64:A$82,1,FALSE)</f>
        <v>17</v>
      </c>
      <c r="AX69" s="101" t="e" cm="1">
        <f t="array" ref="AX69">_xlfn.XLOOKUP(AT69,BSFC!A$64:A$82,,-1,_xlfn.XLOOKUP(Data!AU69,BSFC!C$63:Q$63,BSFC!B$64:Q$82,,-1))</f>
        <v>#VALUE!</v>
      </c>
      <c r="AY69" s="101">
        <f>HLOOKUP(AU69,BSFC!F$63:Q$63,1)</f>
        <v>6500</v>
      </c>
      <c r="AZ69">
        <f>IF(AT69&gt;0,MATCH(AT69,BSFC!A$64:A$83,0),IF(AT69&lt;=0,0))</f>
        <v>6</v>
      </c>
      <c r="BA69" s="101">
        <f>MATCH(AU69,BSFC!C$63:Q$63,0)</f>
        <v>13</v>
      </c>
      <c r="BB69" cm="1">
        <f t="array" ref="BB69">IF(AZ69&gt;0,INDEX(BSFC!C$64:Q$83,Data!AZ69,Data!BA69))</f>
        <v>511.2</v>
      </c>
      <c r="BC69" s="101">
        <f>0.5*'Vehicle Data'!C$6*Data!Z69^2</f>
        <v>15125.975829449861</v>
      </c>
      <c r="BD69" s="101">
        <f t="shared" si="55"/>
        <v>0</v>
      </c>
      <c r="BE69" s="101">
        <f t="shared" ref="BE69:BE132" si="76">BB69*BD69</f>
        <v>0</v>
      </c>
      <c r="BF69" s="101">
        <f t="shared" ref="BF69:BF132" si="77">(BE69/3600)*AF69</f>
        <v>0</v>
      </c>
      <c r="BG69" s="101">
        <f t="shared" si="56"/>
        <v>18.973411815733527</v>
      </c>
      <c r="BH69">
        <f t="shared" si="39"/>
        <v>11694.483505927245</v>
      </c>
      <c r="BI69" s="148">
        <f t="shared" si="57"/>
        <v>6871.6622130335309</v>
      </c>
      <c r="BO69">
        <f t="shared" si="58"/>
        <v>2455.3126850671474</v>
      </c>
      <c r="BP69">
        <f t="shared" si="59"/>
        <v>11692.110444577636</v>
      </c>
      <c r="BQ69">
        <f t="shared" si="60"/>
        <v>72244.968845455893</v>
      </c>
      <c r="BR69" s="148">
        <f t="shared" si="61"/>
        <v>110503.87381551418</v>
      </c>
      <c r="BS69" s="156">
        <f t="shared" si="62"/>
        <v>2455.3126850671474</v>
      </c>
      <c r="BT69" s="156">
        <f t="shared" si="63"/>
        <v>11694.483505927245</v>
      </c>
      <c r="BU69">
        <f t="shared" si="64"/>
        <v>1442.7383125219983</v>
      </c>
      <c r="BV69">
        <f t="shared" si="65"/>
        <v>1442.7383125219983</v>
      </c>
      <c r="BW69" s="148">
        <f t="shared" si="66"/>
        <v>455.4</v>
      </c>
      <c r="BX69" s="148">
        <f t="shared" si="67"/>
        <v>3129354.9718154697</v>
      </c>
      <c r="BY69" s="148">
        <f t="shared" si="68"/>
        <v>0.18250639653403275</v>
      </c>
      <c r="BZ69">
        <f t="shared" si="51"/>
        <v>15.871143272458182</v>
      </c>
      <c r="CB69">
        <f t="shared" si="69"/>
        <v>-1012.5743725451491</v>
      </c>
      <c r="CC69" s="162">
        <f t="shared" si="52"/>
        <v>-4722.822662241163</v>
      </c>
      <c r="CD69">
        <f t="shared" ref="CD69:CD132" si="78">CB69+CD68</f>
        <v>37526.964491032399</v>
      </c>
    </row>
    <row r="70" spans="4:82" x14ac:dyDescent="0.2">
      <c r="D70" s="22">
        <f t="shared" si="42"/>
        <v>0</v>
      </c>
      <c r="E70" s="23">
        <v>9.1017071999999999</v>
      </c>
      <c r="F70" s="23">
        <f>IF(K70&lt;6,1,IF(Data!K70&lt;9,2,IF(K70&gt;9,3)))</f>
        <v>3</v>
      </c>
      <c r="G70" s="23">
        <v>822.7136310004089</v>
      </c>
      <c r="H70" s="23">
        <v>214.26666499999999</v>
      </c>
      <c r="I70" s="64">
        <v>35.798723838954714</v>
      </c>
      <c r="J70" s="65">
        <f t="shared" si="43"/>
        <v>2.8992759689672258</v>
      </c>
      <c r="K70" s="65">
        <f t="shared" si="44"/>
        <v>14.319489535581885</v>
      </c>
      <c r="L70" s="65">
        <f t="shared" si="45"/>
        <v>1.1597103875868902</v>
      </c>
      <c r="M70">
        <f t="shared" si="46"/>
        <v>18.2034144</v>
      </c>
      <c r="N70">
        <f t="shared" si="47"/>
        <v>0</v>
      </c>
      <c r="O70">
        <f>IF(L70&lt;'Vehicle Data'!F$21,'Vehicle Data'!C$21,IF(L70&gt;'Vehicle Data'!C$21,'Vehicle Data'!C$20))</f>
        <v>0.6</v>
      </c>
      <c r="P70">
        <f>('Vehicle Data'!C$6*9.81*'Vehicle Data'!C$5*SIN(D70))/'Vehicle Data'!C$9</f>
        <v>0</v>
      </c>
      <c r="Q70" s="107">
        <f>'Vehicle Data'!C$6*9.81*SIN(D70)</f>
        <v>0</v>
      </c>
      <c r="R70">
        <f t="shared" si="41"/>
        <v>820.91993381788552</v>
      </c>
      <c r="S70">
        <f>IF(Data!O70=0.6,'Vehicle Data'!E$21,IF(Data!O70 = 0.9,'Vehicle Data'!E$20))+(P70*O70)</f>
        <v>1550.3723999999997</v>
      </c>
      <c r="T70">
        <f>IF(F70=3,'Vehicle Data'!H$16,IF(F70=2,'Vehicle Data'!H$15,IF(F70 = 1,'Vehicle Data'!G$14)))</f>
        <v>466.23005239380637</v>
      </c>
      <c r="U70" s="148">
        <f t="shared" si="48"/>
        <v>104.78145169456945</v>
      </c>
      <c r="V70" s="70" t="s">
        <v>77</v>
      </c>
      <c r="W70" s="99" t="s">
        <v>85</v>
      </c>
      <c r="X70">
        <f>IF(V70="S",'Vehicle Data'!C$14,IF(Data!V70 = "T1",'Vehicle Data'!P$2,IF(Data!V70="T2",'Vehicle Data'!P$3)))</f>
        <v>13.411199999999999</v>
      </c>
      <c r="Z70">
        <f t="shared" si="70"/>
        <v>8.5101246589238428</v>
      </c>
      <c r="AB70" t="b">
        <f>IF(AA70=1,'Vehicle Data'!I$14,IF(AA70=2,'Vehicle Data'!I$15,IF(AA70=3,'Vehicle Data'!I$16)))</f>
        <v>0</v>
      </c>
      <c r="AC70">
        <f>IF(Z70&lt;'Vehicle Data'!C$16,'Vehicle Data'!I$15,IF(Z70&lt;'Vehicle Data'!C$15,'Vehicle Data'!I$15,IF(Z69&gt;'Vehicle Data'!C$15,'Vehicle Data'!I$16)))</f>
        <v>0.98256251041858167</v>
      </c>
      <c r="AD70">
        <f>IF(O70=0.6,'Vehicle Data'!F$21,IF(O70=0.9,'Vehicle Data'!F$20))</f>
        <v>3.5315999999999996</v>
      </c>
      <c r="AE70" s="100">
        <f t="shared" si="49"/>
        <v>-3.5315999999999996</v>
      </c>
      <c r="AF70" s="158">
        <f t="shared" si="71"/>
        <v>0.20995477772256416</v>
      </c>
      <c r="AG70" s="148">
        <f t="shared" si="53"/>
        <v>0.99476939029789913</v>
      </c>
      <c r="AH70" s="148">
        <f t="shared" si="72"/>
        <v>16.081098050180746</v>
      </c>
      <c r="AI70" s="101"/>
      <c r="AJ70" s="101">
        <f>(Z70^2)*'Vehicle Data'!C$31</f>
        <v>26.615166478580701</v>
      </c>
      <c r="AK70" s="101">
        <f>IF(O70=0.6,'Vehicle Data'!C$6*'Vehicle Data'!D$21*9.81,IF(O70=0.9,'Vehicle Data'!C$6*9.81*'Vehicle Data'!D$20))</f>
        <v>86.131799999999998</v>
      </c>
      <c r="AL70" s="101">
        <f t="shared" si="50"/>
        <v>112.7469664785807</v>
      </c>
      <c r="AM70" s="101"/>
      <c r="AN70" s="101">
        <f>IF(AG70&gt;0,AG70*'Vehicle Data'!C$6)</f>
        <v>436.7037623407777</v>
      </c>
      <c r="AO70" s="101">
        <f t="shared" si="54"/>
        <v>549.45072881935835</v>
      </c>
      <c r="AP70" s="101">
        <f>AO70*'Vehicle Data'!F$3</f>
        <v>140.43960628622798</v>
      </c>
      <c r="AQ70" s="101">
        <v>0</v>
      </c>
      <c r="AR70" s="101">
        <f>IF(Z70&lt;'Vehicle Data'!C$16, Z70*'Vehicle Data'!F$7*'Vehicle Data'!G$14,IF(Z70&lt;'Vehicle Data'!C$15,Z70*'Vehicle Data'!F$7*'Vehicle Data'!G$15,IF(Z70&gt;'Vehicle Data'!C$15,Z70*'Vehicle Data'!F$7*'Vehicle Data'!G$16)))</f>
        <v>110.3164307638276</v>
      </c>
      <c r="AS70" s="101">
        <f t="shared" si="73"/>
        <v>6618.9858458296558</v>
      </c>
      <c r="AT70" s="101">
        <v>4</v>
      </c>
      <c r="AU70" s="101">
        <f t="shared" si="75"/>
        <v>6500</v>
      </c>
      <c r="AV70" s="101"/>
      <c r="AW70" s="101">
        <f>VLOOKUP(AT70,BSFC!A$64:A$82,1,FALSE)</f>
        <v>4</v>
      </c>
      <c r="AX70" s="101" t="e" cm="1">
        <f t="array" ref="AX70">_xlfn.XLOOKUP(AT70,BSFC!A$64:A$82,,-1,_xlfn.XLOOKUP(Data!AU70,BSFC!C$63:Q$63,BSFC!B$64:Q$82,,-1))</f>
        <v>#VALUE!</v>
      </c>
      <c r="AY70" s="101">
        <f>HLOOKUP(AU70,BSFC!F$63:Q$63,1)</f>
        <v>6500</v>
      </c>
      <c r="AZ70">
        <f>IF(AT70&gt;0,MATCH(AT70,BSFC!A$64:A$83,0),IF(AT70&lt;=0,0))</f>
        <v>19</v>
      </c>
      <c r="BA70" s="101">
        <f>MATCH(AU70,BSFC!C$63:Q$63,0)</f>
        <v>13</v>
      </c>
      <c r="BB70" cm="1">
        <f t="array" ref="BB70">IF(AZ70&gt;0,INDEX(BSFC!C$64:Q$83,Data!AZ70,Data!BA70))</f>
        <v>650</v>
      </c>
      <c r="BC70" s="101">
        <f>0.5*'Vehicle Data'!C$6*Data!Z70^2</f>
        <v>15896.677665437992</v>
      </c>
      <c r="BD70" s="101">
        <f t="shared" si="55"/>
        <v>0</v>
      </c>
      <c r="BE70" s="101">
        <f t="shared" si="76"/>
        <v>0</v>
      </c>
      <c r="BF70" s="101">
        <f t="shared" si="77"/>
        <v>0</v>
      </c>
      <c r="BG70" s="101">
        <f t="shared" si="56"/>
        <v>18.973411815733527</v>
      </c>
      <c r="BH70">
        <f t="shared" si="39"/>
        <v>0</v>
      </c>
      <c r="BI70" s="148">
        <f t="shared" si="57"/>
        <v>6871.6622130335309</v>
      </c>
      <c r="BO70">
        <f t="shared" si="58"/>
        <v>0</v>
      </c>
      <c r="BP70">
        <f t="shared" si="59"/>
        <v>11692.110444577636</v>
      </c>
      <c r="BQ70">
        <f t="shared" si="60"/>
        <v>72244.968845455893</v>
      </c>
      <c r="BR70" s="148">
        <f t="shared" si="61"/>
        <v>112098.39812642157</v>
      </c>
      <c r="BS70" s="156" t="b">
        <f t="shared" si="62"/>
        <v>0</v>
      </c>
      <c r="BT70" s="156">
        <f t="shared" si="63"/>
        <v>0</v>
      </c>
      <c r="BU70">
        <f t="shared" si="64"/>
        <v>1594.5243109073913</v>
      </c>
      <c r="BV70">
        <f t="shared" si="65"/>
        <v>1594.5243109073913</v>
      </c>
      <c r="BW70" s="148">
        <f t="shared" si="66"/>
        <v>455.4</v>
      </c>
      <c r="BX70" s="148">
        <f t="shared" si="67"/>
        <v>3129354.9718154697</v>
      </c>
      <c r="BY70" s="148">
        <f t="shared" si="68"/>
        <v>0.20170732532978497</v>
      </c>
      <c r="BZ70">
        <f t="shared" si="51"/>
        <v>16.081098050180746</v>
      </c>
      <c r="CB70">
        <f t="shared" si="69"/>
        <v>1594.5243109073913</v>
      </c>
      <c r="CC70" s="162">
        <f t="shared" si="52"/>
        <v>7594.6083637801912</v>
      </c>
      <c r="CD70">
        <f t="shared" si="78"/>
        <v>39121.488801939791</v>
      </c>
    </row>
    <row r="71" spans="4:82" x14ac:dyDescent="0.2">
      <c r="D71" s="22">
        <f t="shared" si="42"/>
        <v>0</v>
      </c>
      <c r="E71" s="23">
        <v>9.1017071999999999</v>
      </c>
      <c r="F71" s="23">
        <f>IF(K71&lt;6,1,IF(Data!K71&lt;9,2,IF(K71&gt;9,3)))</f>
        <v>3</v>
      </c>
      <c r="G71" s="23">
        <v>824.51539554103829</v>
      </c>
      <c r="H71" s="23">
        <v>214.316665</v>
      </c>
      <c r="I71" s="64">
        <v>35.943687637403109</v>
      </c>
      <c r="J71" s="65">
        <f t="shared" si="43"/>
        <v>3.1365427586772694</v>
      </c>
      <c r="K71" s="65">
        <f t="shared" si="44"/>
        <v>14.377475054961243</v>
      </c>
      <c r="L71" s="65">
        <f t="shared" si="45"/>
        <v>1.254617103470929</v>
      </c>
      <c r="M71">
        <f t="shared" si="46"/>
        <v>18.2034144</v>
      </c>
      <c r="N71">
        <f t="shared" si="47"/>
        <v>0</v>
      </c>
      <c r="O71">
        <f>IF(L71&lt;'Vehicle Data'!F$21,'Vehicle Data'!C$21,IF(L71&gt;'Vehicle Data'!C$21,'Vehicle Data'!C$20))</f>
        <v>0.6</v>
      </c>
      <c r="P71">
        <f>('Vehicle Data'!C$6*9.81*'Vehicle Data'!C$5*SIN(D71))/'Vehicle Data'!C$9</f>
        <v>0</v>
      </c>
      <c r="Q71" s="107">
        <f>'Vehicle Data'!C$6*9.81*SIN(D71)</f>
        <v>0</v>
      </c>
      <c r="R71">
        <f t="shared" si="41"/>
        <v>822.7136310004089</v>
      </c>
      <c r="S71">
        <f>IF(Data!O71=0.6,'Vehicle Data'!E$21,IF(Data!O71 = 0.9,'Vehicle Data'!E$20))+(P71*O71)</f>
        <v>1550.3723999999997</v>
      </c>
      <c r="T71">
        <f>IF(F71=3,'Vehicle Data'!H$16,IF(F71=2,'Vehicle Data'!H$15,IF(F71 = 1,'Vehicle Data'!G$14)))</f>
        <v>466.23005239380637</v>
      </c>
      <c r="U71" s="148">
        <f t="shared" si="48"/>
        <v>106.57514887709283</v>
      </c>
      <c r="V71" s="70" t="s">
        <v>77</v>
      </c>
      <c r="W71" s="99" t="s">
        <v>85</v>
      </c>
      <c r="X71">
        <f>IF(V71="S",'Vehicle Data'!C$14,IF(Data!V71 = "T1",'Vehicle Data'!P$2,IF(Data!V71="T2",'Vehicle Data'!P$3)))</f>
        <v>13.411199999999999</v>
      </c>
      <c r="Z71">
        <f t="shared" si="70"/>
        <v>7.730005159818754</v>
      </c>
      <c r="AB71" t="b">
        <f>IF(AA71=1,'Vehicle Data'!I$14,IF(AA71=2,'Vehicle Data'!I$15,IF(AA71=3,'Vehicle Data'!I$16)))</f>
        <v>0</v>
      </c>
      <c r="AC71">
        <f>IF(Z71&lt;'Vehicle Data'!C$16,'Vehicle Data'!I$15,IF(Z71&lt;'Vehicle Data'!C$15,'Vehicle Data'!I$15,IF(Z70&gt;'Vehicle Data'!C$15,'Vehicle Data'!I$16)))</f>
        <v>0.98256251041858167</v>
      </c>
      <c r="AD71">
        <f>IF(O71=0.6,'Vehicle Data'!F$21,IF(O71=0.9,'Vehicle Data'!F$20))</f>
        <v>3.5315999999999996</v>
      </c>
      <c r="AE71" s="100">
        <f t="shared" si="49"/>
        <v>-3.5315999999999996</v>
      </c>
      <c r="AF71" s="158">
        <f t="shared" si="71"/>
        <v>0.23204346509976082</v>
      </c>
      <c r="AG71" s="148">
        <f t="shared" si="53"/>
        <v>-3.3619541872023739</v>
      </c>
      <c r="AH71" s="148">
        <f t="shared" si="72"/>
        <v>16.313141515280506</v>
      </c>
      <c r="AI71" s="101"/>
      <c r="AJ71" s="101">
        <f>(Z71^2)*'Vehicle Data'!C$31</f>
        <v>21.95922006577803</v>
      </c>
      <c r="AK71" s="101">
        <f>IF(O71=0.6,'Vehicle Data'!C$6*'Vehicle Data'!D$21*9.81,IF(O71=0.9,'Vehicle Data'!C$6*9.81*'Vehicle Data'!D$20))</f>
        <v>86.131799999999998</v>
      </c>
      <c r="AL71" s="101">
        <f t="shared" si="50"/>
        <v>108.09102006577803</v>
      </c>
      <c r="AM71" s="101"/>
      <c r="AN71" s="101">
        <f>IF(AG71&lt;0,AG71*'Vehicle Data'!C$6)</f>
        <v>-1475.8978881818421</v>
      </c>
      <c r="AO71" s="101">
        <f t="shared" si="54"/>
        <v>-1367.8068681160639</v>
      </c>
      <c r="AP71" s="101">
        <f>AO71*'Vehicle Data'!F$3</f>
        <v>-349.61143549046591</v>
      </c>
      <c r="AQ71" s="101">
        <v>0</v>
      </c>
      <c r="AR71" s="101">
        <f>IF(Z71&lt;'Vehicle Data'!C$16, Z71*'Vehicle Data'!F$7*'Vehicle Data'!G$14,IF(Z71&lt;'Vehicle Data'!C$15,Z71*'Vehicle Data'!F$7*'Vehicle Data'!G$15,IF(Z71&gt;'Vehicle Data'!C$15,Z71*'Vehicle Data'!F$7*'Vehicle Data'!G$16)))</f>
        <v>100.20377059024312</v>
      </c>
      <c r="AS71" s="101">
        <f t="shared" si="73"/>
        <v>6012.2262354145878</v>
      </c>
      <c r="AT71" s="101">
        <v>4</v>
      </c>
      <c r="AU71" s="101">
        <f t="shared" si="75"/>
        <v>6000</v>
      </c>
      <c r="AV71" s="101"/>
      <c r="AW71" s="101">
        <f>VLOOKUP(AT71,BSFC!A$64:A$82,1,FALSE)</f>
        <v>4</v>
      </c>
      <c r="AX71" s="101" t="e" cm="1">
        <f t="array" ref="AX71">_xlfn.XLOOKUP(AT71,BSFC!A$64:A$82,,-1,_xlfn.XLOOKUP(Data!AU71,BSFC!C$63:Q$63,BSFC!B$64:Q$82,,-1))</f>
        <v>#VALUE!</v>
      </c>
      <c r="AY71" s="101">
        <f>HLOOKUP(AU71,BSFC!F$63:Q$63,1)</f>
        <v>6000</v>
      </c>
      <c r="AZ71">
        <f>IF(AT71&gt;0,MATCH(AT71,BSFC!A$64:A$83,0),IF(AT71&lt;=0,0))</f>
        <v>19</v>
      </c>
      <c r="BA71" s="101">
        <f>MATCH(AU71,BSFC!C$63:Q$63,0)</f>
        <v>12</v>
      </c>
      <c r="BB71" cm="1">
        <f t="array" ref="BB71">IF(AZ71&gt;0,INDEX(BSFC!C$64:Q$83,Data!AZ71,Data!BA71))</f>
        <v>650</v>
      </c>
      <c r="BC71" s="101">
        <f>0.5*'Vehicle Data'!C$6*Data!Z71^2</f>
        <v>13115.779059695991</v>
      </c>
      <c r="BD71" s="101">
        <f t="shared" si="55"/>
        <v>0</v>
      </c>
      <c r="BE71" s="101">
        <f t="shared" si="76"/>
        <v>0</v>
      </c>
      <c r="BF71" s="101">
        <f t="shared" si="77"/>
        <v>0</v>
      </c>
      <c r="BG71" s="101">
        <f t="shared" si="56"/>
        <v>18.973411815733527</v>
      </c>
      <c r="BH71">
        <f t="shared" si="39"/>
        <v>0</v>
      </c>
      <c r="BI71" s="148">
        <f t="shared" si="57"/>
        <v>6871.6622130335309</v>
      </c>
      <c r="BO71">
        <f t="shared" si="58"/>
        <v>0</v>
      </c>
      <c r="BP71">
        <f t="shared" si="59"/>
        <v>11692.110444577636</v>
      </c>
      <c r="BQ71">
        <f t="shared" si="60"/>
        <v>72244.968845455893</v>
      </c>
      <c r="BR71" s="148">
        <f t="shared" si="61"/>
        <v>113903.85585939615</v>
      </c>
      <c r="BS71" s="156" t="b">
        <f t="shared" si="62"/>
        <v>0</v>
      </c>
      <c r="BT71" s="156">
        <f t="shared" si="63"/>
        <v>0</v>
      </c>
      <c r="BU71">
        <f t="shared" si="64"/>
        <v>1805.4577329745739</v>
      </c>
      <c r="BV71">
        <f t="shared" si="65"/>
        <v>1805.4577329745739</v>
      </c>
      <c r="BW71" s="148">
        <f t="shared" si="66"/>
        <v>455.4</v>
      </c>
      <c r="BX71" s="148">
        <f t="shared" si="67"/>
        <v>3129354.9718154697</v>
      </c>
      <c r="BY71" s="148">
        <f t="shared" si="68"/>
        <v>0.22839040322128354</v>
      </c>
      <c r="BZ71">
        <f t="shared" si="51"/>
        <v>16.313141515280506</v>
      </c>
      <c r="CB71">
        <f t="shared" si="69"/>
        <v>1805.4577329745739</v>
      </c>
      <c r="CC71" s="162">
        <f t="shared" si="52"/>
        <v>7780.6876922751035</v>
      </c>
      <c r="CD71">
        <f t="shared" si="78"/>
        <v>40926.946534914365</v>
      </c>
    </row>
    <row r="72" spans="4:82" x14ac:dyDescent="0.2">
      <c r="D72" s="22">
        <f t="shared" si="42"/>
        <v>0</v>
      </c>
      <c r="E72" s="23">
        <v>9.1017071999999999</v>
      </c>
      <c r="F72" s="23">
        <f>IF(K72&lt;6,1,IF(Data!K72&lt;9,2,IF(K72&gt;9,3)))</f>
        <v>3</v>
      </c>
      <c r="G72" s="23">
        <v>826.32596857492922</v>
      </c>
      <c r="H72" s="23">
        <v>214.36666499999998</v>
      </c>
      <c r="I72" s="64">
        <v>36.100514775336919</v>
      </c>
      <c r="J72" s="65">
        <f t="shared" si="43"/>
        <v>3.2045103144133509</v>
      </c>
      <c r="K72" s="65">
        <f t="shared" si="44"/>
        <v>14.440205910134768</v>
      </c>
      <c r="L72" s="65">
        <f t="shared" si="45"/>
        <v>1.2818041257653261</v>
      </c>
      <c r="M72">
        <f t="shared" si="46"/>
        <v>18.2034144</v>
      </c>
      <c r="N72">
        <f t="shared" si="47"/>
        <v>0</v>
      </c>
      <c r="O72">
        <f>IF(L72&lt;'Vehicle Data'!F$21,'Vehicle Data'!C$21,IF(L72&gt;'Vehicle Data'!C$21,'Vehicle Data'!C$20))</f>
        <v>0.6</v>
      </c>
      <c r="P72">
        <f>('Vehicle Data'!C$6*9.81*'Vehicle Data'!C$5*SIN(D72))/'Vehicle Data'!C$9</f>
        <v>0</v>
      </c>
      <c r="Q72" s="107">
        <f>'Vehicle Data'!C$6*9.81*SIN(D72)</f>
        <v>0</v>
      </c>
      <c r="R72">
        <f t="shared" si="41"/>
        <v>824.51539554103829</v>
      </c>
      <c r="S72">
        <f>IF(Data!O72=0.6,'Vehicle Data'!E$21,IF(Data!O72 = 0.9,'Vehicle Data'!E$20))+(P72*O72)</f>
        <v>1550.3723999999997</v>
      </c>
      <c r="T72">
        <f>IF(F72=3,'Vehicle Data'!H$16,IF(F72=2,'Vehicle Data'!H$15,IF(F72 = 1,'Vehicle Data'!G$14)))</f>
        <v>466.23005239380637</v>
      </c>
      <c r="U72" s="148">
        <f t="shared" si="48"/>
        <v>108.37691341772222</v>
      </c>
      <c r="V72" s="70" t="s">
        <v>77</v>
      </c>
      <c r="W72" s="99" t="s">
        <v>85</v>
      </c>
      <c r="X72">
        <f>IF(V72="S",'Vehicle Data'!C$14,IF(Data!V72 = "T1",'Vehicle Data'!P$2,IF(Data!V72="T2",'Vehicle Data'!P$3)))</f>
        <v>13.411199999999999</v>
      </c>
      <c r="Z72">
        <f t="shared" si="70"/>
        <v>6.8576057386999905</v>
      </c>
      <c r="AB72" t="b">
        <f>IF(AA72=1,'Vehicle Data'!I$14,IF(AA72=2,'Vehicle Data'!I$15,IF(AA72=3,'Vehicle Data'!I$16)))</f>
        <v>0</v>
      </c>
      <c r="AC72">
        <f>IF(Z72&lt;'Vehicle Data'!C$16,'Vehicle Data'!I$15,IF(Z72&lt;'Vehicle Data'!C$15,'Vehicle Data'!I$15,IF(Z71&gt;'Vehicle Data'!C$15,'Vehicle Data'!I$16)))</f>
        <v>0.98256251041858167</v>
      </c>
      <c r="AD72">
        <f>IF(O72=0.6,'Vehicle Data'!F$21,IF(O72=0.9,'Vehicle Data'!F$20))</f>
        <v>3.5315999999999996</v>
      </c>
      <c r="AE72" s="100">
        <f t="shared" si="49"/>
        <v>-3.5315999999999996</v>
      </c>
      <c r="AF72" s="158">
        <f t="shared" si="71"/>
        <v>0.2627395929837979</v>
      </c>
      <c r="AG72" s="148">
        <f t="shared" si="53"/>
        <v>-3.3203957241897721</v>
      </c>
      <c r="AH72" s="148">
        <f t="shared" si="72"/>
        <v>16.575881108264305</v>
      </c>
      <c r="AI72" s="101"/>
      <c r="AJ72" s="101">
        <f>(Z72^2)*'Vehicle Data'!C$31</f>
        <v>17.282333001788263</v>
      </c>
      <c r="AK72" s="101">
        <f>IF(O72=0.6,'Vehicle Data'!C$6*'Vehicle Data'!D$21*9.81,IF(O72=0.9,'Vehicle Data'!C$6*9.81*'Vehicle Data'!D$20))</f>
        <v>86.131799999999998</v>
      </c>
      <c r="AL72" s="101">
        <f t="shared" si="50"/>
        <v>103.41413300178826</v>
      </c>
      <c r="AM72" s="101"/>
      <c r="AN72" s="101">
        <f>IF(AG72&lt;0,AG72*'Vehicle Data'!C$6)</f>
        <v>-1457.65372291931</v>
      </c>
      <c r="AO72" s="101">
        <f t="shared" si="54"/>
        <v>-1354.2395899175217</v>
      </c>
      <c r="AP72" s="101">
        <f>AO72*'Vehicle Data'!F$3</f>
        <v>-346.14363918291855</v>
      </c>
      <c r="AQ72" s="101">
        <v>0</v>
      </c>
      <c r="AR72" s="101">
        <f>IF(Z72&lt;'Vehicle Data'!C$16, Z72*'Vehicle Data'!F$7*'Vehicle Data'!G$14,IF(Z72&lt;'Vehicle Data'!C$15,Z72*'Vehicle Data'!F$7*'Vehicle Data'!G$15,IF(Z72&gt;'Vehicle Data'!C$15,Z72*'Vehicle Data'!F$7*'Vehicle Data'!G$16)))</f>
        <v>88.894889205370248</v>
      </c>
      <c r="AS72" s="101">
        <f t="shared" si="73"/>
        <v>5333.6933523222151</v>
      </c>
      <c r="AT72" s="101">
        <v>4</v>
      </c>
      <c r="AU72" s="101">
        <f t="shared" si="75"/>
        <v>5500</v>
      </c>
      <c r="AV72" s="101"/>
      <c r="AW72" s="101">
        <f>VLOOKUP(AT72,BSFC!A$64:A$82,1,FALSE)</f>
        <v>4</v>
      </c>
      <c r="AX72" s="101" t="e" cm="1">
        <f t="array" ref="AX72">_xlfn.XLOOKUP(AT72,BSFC!A$64:A$82,,-1,_xlfn.XLOOKUP(Data!AU72,BSFC!C$63:Q$63,BSFC!B$64:Q$82,,-1))</f>
        <v>#VALUE!</v>
      </c>
      <c r="AY72" s="101">
        <f>HLOOKUP(AU72,BSFC!F$63:Q$63,1)</f>
        <v>5500</v>
      </c>
      <c r="AZ72">
        <f>IF(AT72&gt;0,MATCH(AT72,BSFC!A$64:A$83,0),IF(AT72&lt;=0,0))</f>
        <v>19</v>
      </c>
      <c r="BA72" s="101">
        <f>MATCH(AU72,BSFC!C$63:Q$63,0)</f>
        <v>11</v>
      </c>
      <c r="BB72" cm="1">
        <f t="array" ref="BB72">IF(AZ72&gt;0,INDEX(BSFC!C$64:Q$83,Data!AZ72,Data!BA72))</f>
        <v>670</v>
      </c>
      <c r="BC72" s="101">
        <f>0.5*'Vehicle Data'!C$6*Data!Z72^2</f>
        <v>10322.373044605503</v>
      </c>
      <c r="BD72" s="101">
        <f t="shared" si="55"/>
        <v>0</v>
      </c>
      <c r="BE72" s="101">
        <f t="shared" si="76"/>
        <v>0</v>
      </c>
      <c r="BF72" s="101">
        <f t="shared" si="77"/>
        <v>0</v>
      </c>
      <c r="BG72" s="101">
        <f t="shared" si="56"/>
        <v>18.973411815733527</v>
      </c>
      <c r="BH72">
        <f t="shared" si="39"/>
        <v>0</v>
      </c>
      <c r="BI72" s="148">
        <f t="shared" si="57"/>
        <v>6871.6622130335309</v>
      </c>
      <c r="BO72">
        <f t="shared" si="58"/>
        <v>0</v>
      </c>
      <c r="BP72">
        <f t="shared" si="59"/>
        <v>11692.110444577636</v>
      </c>
      <c r="BQ72">
        <f t="shared" si="60"/>
        <v>72244.968845455893</v>
      </c>
      <c r="BR72" s="148">
        <f t="shared" si="61"/>
        <v>116030.14169637537</v>
      </c>
      <c r="BS72" s="156" t="b">
        <f t="shared" si="62"/>
        <v>0</v>
      </c>
      <c r="BT72" s="156">
        <f t="shared" si="63"/>
        <v>0</v>
      </c>
      <c r="BU72">
        <f t="shared" si="64"/>
        <v>2126.2858369792275</v>
      </c>
      <c r="BV72">
        <f t="shared" si="65"/>
        <v>2126.2858369792275</v>
      </c>
      <c r="BW72" s="148">
        <f t="shared" si="66"/>
        <v>455.4</v>
      </c>
      <c r="BX72" s="148">
        <f t="shared" si="67"/>
        <v>3129354.9718154697</v>
      </c>
      <c r="BY72" s="148">
        <f t="shared" si="68"/>
        <v>0.26897515837787228</v>
      </c>
      <c r="BZ72">
        <f t="shared" si="51"/>
        <v>16.575881108264305</v>
      </c>
      <c r="CB72">
        <f t="shared" si="69"/>
        <v>2126.2858369792275</v>
      </c>
      <c r="CC72" s="162">
        <f t="shared" si="52"/>
        <v>8092.7499842413927</v>
      </c>
      <c r="CD72">
        <f t="shared" si="78"/>
        <v>43053.232371893595</v>
      </c>
    </row>
    <row r="73" spans="4:82" x14ac:dyDescent="0.2">
      <c r="D73" s="22">
        <f t="shared" si="42"/>
        <v>0</v>
      </c>
      <c r="E73" s="23">
        <v>9.1017071999999999</v>
      </c>
      <c r="F73" s="23">
        <f>IF(K73&lt;6,1,IF(Data!K73&lt;9,2,IF(K73&gt;9,3)))</f>
        <v>3</v>
      </c>
      <c r="G73" s="23">
        <v>828.1454342507152</v>
      </c>
      <c r="H73" s="23">
        <v>214.41666499999999</v>
      </c>
      <c r="I73" s="64">
        <v>36.260740291057623</v>
      </c>
      <c r="J73" s="65">
        <f t="shared" si="43"/>
        <v>3.164610116783364</v>
      </c>
      <c r="K73" s="65">
        <f t="shared" si="44"/>
        <v>14.504296116423049</v>
      </c>
      <c r="L73" s="65">
        <f t="shared" si="45"/>
        <v>1.2658440467133456</v>
      </c>
      <c r="M73">
        <f t="shared" si="46"/>
        <v>18.2034144</v>
      </c>
      <c r="N73">
        <f t="shared" si="47"/>
        <v>0</v>
      </c>
      <c r="O73">
        <f>IF(L73&lt;'Vehicle Data'!F$21,'Vehicle Data'!C$21,IF(L73&gt;'Vehicle Data'!C$21,'Vehicle Data'!C$20))</f>
        <v>0.6</v>
      </c>
      <c r="P73">
        <f>('Vehicle Data'!C$6*9.81*'Vehicle Data'!C$5*SIN(D73))/'Vehicle Data'!C$9</f>
        <v>0</v>
      </c>
      <c r="Q73" s="107">
        <f>'Vehicle Data'!C$6*9.81*SIN(D73)</f>
        <v>0</v>
      </c>
      <c r="R73">
        <f t="shared" si="41"/>
        <v>826.32596857492922</v>
      </c>
      <c r="S73">
        <f>IF(Data!O73=0.6,'Vehicle Data'!E$21,IF(Data!O73 = 0.9,'Vehicle Data'!E$20))+(P73*O73)</f>
        <v>1550.3723999999997</v>
      </c>
      <c r="T73">
        <f>IF(F73=3,'Vehicle Data'!H$16,IF(F73=2,'Vehicle Data'!H$15,IF(F73 = 1,'Vehicle Data'!G$14)))</f>
        <v>466.23005239380637</v>
      </c>
      <c r="U73" s="148">
        <f t="shared" si="48"/>
        <v>110.18748645161315</v>
      </c>
      <c r="V73" s="70" t="s">
        <v>77</v>
      </c>
      <c r="W73" s="99" t="s">
        <v>85</v>
      </c>
      <c r="X73">
        <f>IF(V73="S",'Vehicle Data'!C$14,IF(Data!V73 = "T1",'Vehicle Data'!P$2,IF(Data!V73="T2",'Vehicle Data'!P$3)))</f>
        <v>13.411199999999999</v>
      </c>
      <c r="Z73">
        <f t="shared" si="70"/>
        <v>5.8513517254111989</v>
      </c>
      <c r="AB73" t="b">
        <f>IF(AA73=1,'Vehicle Data'!I$14,IF(AA73=2,'Vehicle Data'!I$15,IF(AA73=3,'Vehicle Data'!I$16)))</f>
        <v>0</v>
      </c>
      <c r="AC73">
        <f>IF(Z73&lt;'Vehicle Data'!C$16,'Vehicle Data'!I$15,IF(Z73&lt;'Vehicle Data'!C$15,'Vehicle Data'!I$15,IF(Z72&gt;'Vehicle Data'!C$15,'Vehicle Data'!I$16)))</f>
        <v>0.98256251041858167</v>
      </c>
      <c r="AD73">
        <f>IF(O73=0.6,'Vehicle Data'!F$21,IF(O73=0.9,'Vehicle Data'!F$20))</f>
        <v>3.5315999999999996</v>
      </c>
      <c r="AE73" s="100">
        <f t="shared" si="49"/>
        <v>-3.5315999999999996</v>
      </c>
      <c r="AF73" s="158">
        <f t="shared" si="71"/>
        <v>0.30942816614971064</v>
      </c>
      <c r="AG73" s="148">
        <f t="shared" si="53"/>
        <v>-3.2519793715286269</v>
      </c>
      <c r="AH73" s="148">
        <f t="shared" si="72"/>
        <v>16.885309274414016</v>
      </c>
      <c r="AI73" s="101"/>
      <c r="AJ73" s="101">
        <f>(Z73^2)*'Vehicle Data'!C$31</f>
        <v>12.582581502818689</v>
      </c>
      <c r="AK73" s="101">
        <f>IF(O73=0.6,'Vehicle Data'!C$6*'Vehicle Data'!D$21*9.81,IF(O73=0.9,'Vehicle Data'!C$6*9.81*'Vehicle Data'!D$20))</f>
        <v>86.131799999999998</v>
      </c>
      <c r="AL73" s="101">
        <f t="shared" si="50"/>
        <v>98.714381502818682</v>
      </c>
      <c r="AM73" s="101"/>
      <c r="AN73" s="101">
        <f>IF(AG73&lt;0,AG73*'Vehicle Data'!C$6)</f>
        <v>-1427.6189441010672</v>
      </c>
      <c r="AO73" s="101">
        <f t="shared" si="54"/>
        <v>-1328.9045625982485</v>
      </c>
      <c r="AP73" s="101">
        <f>AO73*'Vehicle Data'!F$3</f>
        <v>-339.6680062001123</v>
      </c>
      <c r="AQ73" s="101">
        <v>0</v>
      </c>
      <c r="AR73" s="101">
        <f>IF(Z73&lt;'Vehicle Data'!C$16, Z73*'Vehicle Data'!F$7*'Vehicle Data'!G$14,IF(Z73&lt;'Vehicle Data'!C$15,Z73*'Vehicle Data'!F$7*'Vehicle Data'!G$15,IF(Z73&gt;'Vehicle Data'!C$15,Z73*'Vehicle Data'!F$7*'Vehicle Data'!G$16)))</f>
        <v>113.77628354966218</v>
      </c>
      <c r="AS73" s="101">
        <f t="shared" si="73"/>
        <v>6826.5770129797311</v>
      </c>
      <c r="AT73" s="101">
        <v>4</v>
      </c>
      <c r="AU73" s="101">
        <f t="shared" si="75"/>
        <v>7000</v>
      </c>
      <c r="AV73" s="101"/>
      <c r="AW73" s="101">
        <f>VLOOKUP(AT73,BSFC!A$64:A$82,1,FALSE)</f>
        <v>4</v>
      </c>
      <c r="AX73" s="101" t="e" cm="1">
        <f t="array" ref="AX73">_xlfn.XLOOKUP(AT73,BSFC!A$64:A$82,,-1,_xlfn.XLOOKUP(Data!AU73,BSFC!C$63:Q$63,BSFC!B$64:Q$82,,-1))</f>
        <v>#VALUE!</v>
      </c>
      <c r="AY73" s="101">
        <f>HLOOKUP(AU73,BSFC!F$63:Q$63,1)</f>
        <v>7000</v>
      </c>
      <c r="AZ73">
        <f>IF(AT73&gt;0,MATCH(AT73,BSFC!A$64:A$83,0),IF(AT73&lt;=0,0))</f>
        <v>19</v>
      </c>
      <c r="BA73" s="101">
        <f>MATCH(AU73,BSFC!C$63:Q$63,0)</f>
        <v>14</v>
      </c>
      <c r="BB73" cm="1">
        <f t="array" ref="BB73">IF(AZ73&gt;0,INDEX(BSFC!C$64:Q$83,Data!AZ73,Data!BA73))</f>
        <v>650</v>
      </c>
      <c r="BC73" s="101">
        <f>0.5*'Vehicle Data'!C$6*Data!Z73^2</f>
        <v>7515.3105846767385</v>
      </c>
      <c r="BD73" s="101">
        <f t="shared" si="55"/>
        <v>0</v>
      </c>
      <c r="BE73" s="101">
        <f t="shared" si="76"/>
        <v>0</v>
      </c>
      <c r="BF73" s="101">
        <f t="shared" si="77"/>
        <v>0</v>
      </c>
      <c r="BG73" s="101">
        <f t="shared" si="56"/>
        <v>18.973411815733527</v>
      </c>
      <c r="BH73">
        <f t="shared" si="39"/>
        <v>0</v>
      </c>
      <c r="BI73" s="148">
        <f t="shared" si="57"/>
        <v>6871.6622130335309</v>
      </c>
      <c r="BO73">
        <f t="shared" si="58"/>
        <v>0</v>
      </c>
      <c r="BP73">
        <f t="shared" si="59"/>
        <v>11692.110444577636</v>
      </c>
      <c r="BQ73">
        <f t="shared" si="60"/>
        <v>72244.968845455893</v>
      </c>
      <c r="BR73" s="148">
        <f t="shared" si="61"/>
        <v>119503.12878865593</v>
      </c>
      <c r="BS73" s="156" t="b">
        <f t="shared" si="62"/>
        <v>0</v>
      </c>
      <c r="BT73" s="156">
        <f t="shared" si="63"/>
        <v>0</v>
      </c>
      <c r="BU73">
        <f t="shared" si="64"/>
        <v>3472.9870922805608</v>
      </c>
      <c r="BV73">
        <f t="shared" si="65"/>
        <v>3472.9870922805608</v>
      </c>
      <c r="BW73" s="148">
        <f t="shared" si="66"/>
        <v>455.4</v>
      </c>
      <c r="BX73" s="148">
        <f t="shared" si="67"/>
        <v>3129354.9718154697</v>
      </c>
      <c r="BY73" s="148">
        <f t="shared" si="68"/>
        <v>0.4393328671734909</v>
      </c>
      <c r="BZ73">
        <f t="shared" si="51"/>
        <v>16.885309274414016</v>
      </c>
      <c r="CB73">
        <f t="shared" si="69"/>
        <v>3472.9870922805608</v>
      </c>
      <c r="CC73" s="162">
        <f t="shared" si="52"/>
        <v>11223.888036747816</v>
      </c>
      <c r="CD73">
        <f t="shared" si="78"/>
        <v>46526.219464174159</v>
      </c>
    </row>
    <row r="74" spans="4:82" x14ac:dyDescent="0.2">
      <c r="D74" s="22">
        <f t="shared" si="42"/>
        <v>0</v>
      </c>
      <c r="E74" s="23">
        <v>9.1017071999999999</v>
      </c>
      <c r="F74" s="23">
        <f>IF(K74&lt;6,1,IF(Data!K74&lt;9,2,IF(K74&gt;9,3)))</f>
        <v>3</v>
      </c>
      <c r="G74" s="23">
        <v>829.97436935892267</v>
      </c>
      <c r="H74" s="23">
        <v>214.46666499999998</v>
      </c>
      <c r="I74" s="64">
        <v>36.418970796896737</v>
      </c>
      <c r="J74" s="65">
        <f t="shared" si="43"/>
        <v>3.0735560702321267</v>
      </c>
      <c r="K74" s="65">
        <f t="shared" si="44"/>
        <v>14.567588318758695</v>
      </c>
      <c r="L74" s="65">
        <f t="shared" si="45"/>
        <v>1.2294224280928436</v>
      </c>
      <c r="M74">
        <f t="shared" si="46"/>
        <v>18.2034144</v>
      </c>
      <c r="N74">
        <f t="shared" si="47"/>
        <v>0</v>
      </c>
      <c r="O74">
        <f>IF(L74&lt;'Vehicle Data'!F$21,'Vehicle Data'!C$21,IF(L74&gt;'Vehicle Data'!C$21,'Vehicle Data'!C$20))</f>
        <v>0.6</v>
      </c>
      <c r="P74">
        <f>('Vehicle Data'!C$6*9.81*'Vehicle Data'!C$5*SIN(D74))/'Vehicle Data'!C$9</f>
        <v>0</v>
      </c>
      <c r="Q74" s="107">
        <f>'Vehicle Data'!C$6*9.81*SIN(D74)</f>
        <v>0</v>
      </c>
      <c r="R74">
        <f t="shared" si="41"/>
        <v>828.1454342507152</v>
      </c>
      <c r="S74">
        <f>IF(Data!O74=0.6,'Vehicle Data'!E$21,IF(Data!O74 = 0.9,'Vehicle Data'!E$20))+(P74*O74)</f>
        <v>1550.3723999999997</v>
      </c>
      <c r="T74">
        <f>IF(F74=3,'Vehicle Data'!H$16,IF(F74=2,'Vehicle Data'!H$15,IF(F74 = 1,'Vehicle Data'!G$14)))</f>
        <v>466.23005239380637</v>
      </c>
      <c r="U74" s="148">
        <f t="shared" si="48"/>
        <v>112.00695212739913</v>
      </c>
      <c r="V74" s="70" t="s">
        <v>77</v>
      </c>
      <c r="W74" s="99" t="s">
        <v>85</v>
      </c>
      <c r="X74">
        <f>IF(V74="S",'Vehicle Data'!C$14,IF(Data!V74 = "T1",'Vehicle Data'!P$2,IF(Data!V74="T2",'Vehicle Data'!P$3)))</f>
        <v>13.411199999999999</v>
      </c>
      <c r="Z74">
        <f>3.6</f>
        <v>3.6</v>
      </c>
      <c r="AB74" t="b">
        <f>IF(AA74=1,'Vehicle Data'!I$14,IF(AA74=2,'Vehicle Data'!I$15,IF(AA74=3,'Vehicle Data'!I$16)))</f>
        <v>0</v>
      </c>
      <c r="AC74">
        <f>IF(Z74&lt;'Vehicle Data'!C$16,'Vehicle Data'!I$15,IF(Z74&lt;'Vehicle Data'!C$15,'Vehicle Data'!I$15,IF(Z73&gt;'Vehicle Data'!C$15,'Vehicle Data'!I$16)))</f>
        <v>0.98256251041858167</v>
      </c>
      <c r="AD74">
        <f>IF(O74=0.6,'Vehicle Data'!F$21,IF(O74=0.9,'Vehicle Data'!F$20))</f>
        <v>3.5315999999999996</v>
      </c>
      <c r="AE74" s="100">
        <f t="shared" si="49"/>
        <v>-3.5315999999999996</v>
      </c>
      <c r="AF74" s="158">
        <f t="shared" si="71"/>
        <v>0.50540713216277156</v>
      </c>
      <c r="AG74" s="148">
        <f t="shared" si="53"/>
        <v>-4.4545309754080158</v>
      </c>
      <c r="AH74" s="148">
        <f t="shared" si="72"/>
        <v>17.390716406576789</v>
      </c>
      <c r="AI74" s="101"/>
      <c r="AJ74" s="101">
        <f>(Z74^2)*'Vehicle Data'!C$31</f>
        <v>4.7628000000000013</v>
      </c>
      <c r="AK74" s="101">
        <f>IF(O74=0.6,'Vehicle Data'!C$6*'Vehicle Data'!D$21*9.81,IF(O74=0.9,'Vehicle Data'!C$6*9.81*'Vehicle Data'!D$20))</f>
        <v>86.131799999999998</v>
      </c>
      <c r="AL74" s="101">
        <f t="shared" si="50"/>
        <v>90.894599999999997</v>
      </c>
      <c r="AM74" s="101"/>
      <c r="AN74" s="101">
        <f>IF(AG74&lt;0,AG74*'Vehicle Data'!C$6)</f>
        <v>-1955.539098204119</v>
      </c>
      <c r="AO74" s="101">
        <f t="shared" si="54"/>
        <v>-1864.6444982041189</v>
      </c>
      <c r="AP74" s="101">
        <f>AO74*'Vehicle Data'!F$3</f>
        <v>-476.60313374097279</v>
      </c>
      <c r="AQ74" s="101">
        <v>0</v>
      </c>
      <c r="AR74" s="101">
        <f>IF(Z74&lt;'Vehicle Data'!C$16, Z74*'Vehicle Data'!F$7*'Vehicle Data'!G$14,IF(Z74&lt;'Vehicle Data'!C$15,Z74*'Vehicle Data'!F$7*'Vehicle Data'!G$15,IF(Z74&gt;'Vehicle Data'!C$15,Z74*'Vehicle Data'!F$7*'Vehicle Data'!G$16)))</f>
        <v>70</v>
      </c>
      <c r="AS74" s="101">
        <f t="shared" si="73"/>
        <v>4200</v>
      </c>
      <c r="AT74" s="101">
        <v>4</v>
      </c>
      <c r="AU74" s="101">
        <f t="shared" si="75"/>
        <v>4000</v>
      </c>
      <c r="AV74" s="101"/>
      <c r="AW74" s="101">
        <f>VLOOKUP(AT74,BSFC!A$64:A$82,1,FALSE)</f>
        <v>4</v>
      </c>
      <c r="AX74" s="101" t="e" cm="1">
        <f t="array" ref="AX74">_xlfn.XLOOKUP(AT74,BSFC!A$64:A$82,,-1,_xlfn.XLOOKUP(Data!AU74,BSFC!C$63:Q$63,BSFC!B$64:Q$82,,-1))</f>
        <v>#VALUE!</v>
      </c>
      <c r="AY74" s="101">
        <f>HLOOKUP(AU74,BSFC!F$63:Q$63,1)</f>
        <v>4000</v>
      </c>
      <c r="AZ74">
        <f>IF(AT74&gt;0,MATCH(AT74,BSFC!A$64:A$83,0),IF(AT74&lt;=0,0))</f>
        <v>19</v>
      </c>
      <c r="BA74" s="101">
        <f>MATCH(AU74,BSFC!C$63:Q$63,0)</f>
        <v>8</v>
      </c>
      <c r="BB74" cm="1">
        <f t="array" ref="BB74">IF(AZ74&gt;0,INDEX(BSFC!C$64:Q$83,Data!AZ74,Data!BA74))</f>
        <v>750</v>
      </c>
      <c r="BC74" s="101">
        <f>0.5*'Vehicle Data'!C$6*Data!Z74^2</f>
        <v>2844.7200000000003</v>
      </c>
      <c r="BD74" s="101">
        <f t="shared" si="55"/>
        <v>0</v>
      </c>
      <c r="BE74" s="101">
        <f t="shared" si="76"/>
        <v>0</v>
      </c>
      <c r="BF74" s="101">
        <f t="shared" si="77"/>
        <v>0</v>
      </c>
      <c r="BG74" s="101">
        <f t="shared" si="56"/>
        <v>18.973411815733527</v>
      </c>
      <c r="BH74">
        <f t="shared" si="39"/>
        <v>0</v>
      </c>
      <c r="BI74" s="148">
        <f t="shared" si="57"/>
        <v>6871.6622130335309</v>
      </c>
      <c r="BO74">
        <f t="shared" si="58"/>
        <v>0</v>
      </c>
      <c r="BP74">
        <f t="shared" si="59"/>
        <v>11692.110444577636</v>
      </c>
      <c r="BQ74">
        <f t="shared" si="60"/>
        <v>72244.968845455893</v>
      </c>
      <c r="BR74" s="148">
        <f t="shared" si="61"/>
        <v>123364.25251303223</v>
      </c>
      <c r="BS74" s="156" t="b">
        <f t="shared" si="62"/>
        <v>0</v>
      </c>
      <c r="BT74" s="156">
        <f t="shared" si="63"/>
        <v>0</v>
      </c>
      <c r="BU74">
        <f t="shared" si="64"/>
        <v>3861.1237243762962</v>
      </c>
      <c r="BV74">
        <f t="shared" si="65"/>
        <v>3861.1237243762962</v>
      </c>
      <c r="BW74" s="148">
        <f t="shared" si="66"/>
        <v>455.4</v>
      </c>
      <c r="BX74" s="148">
        <f t="shared" si="67"/>
        <v>3129354.9718154697</v>
      </c>
      <c r="BY74" s="148">
        <f t="shared" si="68"/>
        <v>0.48843215113360139</v>
      </c>
      <c r="BZ74">
        <f t="shared" si="51"/>
        <v>17.390716406576789</v>
      </c>
      <c r="CB74">
        <f t="shared" si="69"/>
        <v>3861.1237243762962</v>
      </c>
      <c r="CC74" s="162">
        <f t="shared" si="52"/>
        <v>7639.6304655486538</v>
      </c>
      <c r="CD74">
        <f t="shared" si="78"/>
        <v>50387.343188550454</v>
      </c>
    </row>
    <row r="75" spans="4:82" x14ac:dyDescent="0.2">
      <c r="D75" s="22">
        <f t="shared" si="42"/>
        <v>0</v>
      </c>
      <c r="E75" s="23">
        <v>9.1017071999999999</v>
      </c>
      <c r="F75" s="23">
        <f>IF(K75&lt;6,1,IF(Data!K75&lt;9,2,IF(K75&gt;9,3)))</f>
        <v>3</v>
      </c>
      <c r="G75" s="23">
        <v>831.81121597386743</v>
      </c>
      <c r="H75" s="23">
        <v>214.51666499999999</v>
      </c>
      <c r="I75" s="64">
        <v>36.572648600408378</v>
      </c>
      <c r="J75" s="65">
        <f t="shared" si="43"/>
        <v>3.0805933785220065</v>
      </c>
      <c r="K75" s="65">
        <f t="shared" si="44"/>
        <v>14.629059440163351</v>
      </c>
      <c r="L75" s="65">
        <f t="shared" si="45"/>
        <v>1.2322373514087954</v>
      </c>
      <c r="M75">
        <f t="shared" si="46"/>
        <v>18.2034144</v>
      </c>
      <c r="N75">
        <f t="shared" si="47"/>
        <v>0</v>
      </c>
      <c r="O75">
        <f>IF(L75&lt;'Vehicle Data'!F$21,'Vehicle Data'!C$21,IF(L75&gt;'Vehicle Data'!C$21,'Vehicle Data'!C$20))</f>
        <v>0.6</v>
      </c>
      <c r="P75">
        <f>('Vehicle Data'!C$6*9.81*'Vehicle Data'!C$5*SIN(D75))/'Vehicle Data'!C$9</f>
        <v>0</v>
      </c>
      <c r="Q75" s="107">
        <f>'Vehicle Data'!C$6*9.81*SIN(D75)</f>
        <v>0</v>
      </c>
      <c r="R75">
        <f t="shared" si="41"/>
        <v>829.97436935892267</v>
      </c>
      <c r="S75">
        <f>IF(Data!O75=0.6,'Vehicle Data'!E$21,IF(Data!O75 = 0.9,'Vehicle Data'!E$20))+(P75*O75)</f>
        <v>1550.3723999999997</v>
      </c>
      <c r="T75">
        <f>IF(F75=3,'Vehicle Data'!H$16,IF(F75=2,'Vehicle Data'!H$15,IF(F75 = 1,'Vehicle Data'!G$14)))</f>
        <v>466.23005239380637</v>
      </c>
      <c r="U75" s="148">
        <f t="shared" si="48"/>
        <v>113.83588723560661</v>
      </c>
      <c r="V75" s="70" t="s">
        <v>79</v>
      </c>
      <c r="W75" s="99" t="s">
        <v>84</v>
      </c>
      <c r="X75">
        <f>IF(V75="S",'Vehicle Data'!C$14,IF(Data!V75 = "T1",'Vehicle Data'!P$2,IF(Data!V75="T2",'Vehicle Data'!P$3)))</f>
        <v>3.2549654376045223</v>
      </c>
      <c r="Z75">
        <f>X75</f>
        <v>3.2549654376045223</v>
      </c>
      <c r="AB75" t="b">
        <f>IF(AA75=1,'Vehicle Data'!I$14,IF(AA75=2,'Vehicle Data'!I$15,IF(AA75=3,'Vehicle Data'!I$16)))</f>
        <v>0</v>
      </c>
      <c r="AC75">
        <f>IF(Z75&lt;'Vehicle Data'!C$16,'Vehicle Data'!I$15,IF(Z75&lt;'Vehicle Data'!C$15,'Vehicle Data'!I$15,IF(Z74&gt;'Vehicle Data'!C$15,'Vehicle Data'!I$16)))</f>
        <v>0.98256251041858167</v>
      </c>
      <c r="AD75">
        <f>IF(O75=0.6,'Vehicle Data'!F$21,IF(O75=0.9,'Vehicle Data'!F$20))</f>
        <v>3.5315999999999996</v>
      </c>
      <c r="AE75" s="100">
        <f t="shared" si="49"/>
        <v>0.98256251041858167</v>
      </c>
      <c r="AF75" s="158">
        <f t="shared" si="71"/>
        <v>0.56189079216566773</v>
      </c>
      <c r="AG75" s="148">
        <f t="shared" si="53"/>
        <v>-0.61405982658236535</v>
      </c>
      <c r="AH75" s="148">
        <f t="shared" si="72"/>
        <v>17.952607198742456</v>
      </c>
      <c r="AI75" s="101"/>
      <c r="AJ75" s="101">
        <f>(Z75^2)*'Vehicle Data'!C$31</f>
        <v>3.8935890000000009</v>
      </c>
      <c r="AK75" s="101">
        <f>IF(O75=0.6,'Vehicle Data'!C$6*'Vehicle Data'!D$21*9.81,IF(O75=0.9,'Vehicle Data'!C$6*9.81*'Vehicle Data'!D$20))</f>
        <v>86.131799999999998</v>
      </c>
      <c r="AL75" s="101">
        <f t="shared" si="50"/>
        <v>90.025389000000004</v>
      </c>
      <c r="AM75" s="101"/>
      <c r="AN75" s="101">
        <f>IF(AG75&lt;0,AG75*'Vehicle Data'!C$6)</f>
        <v>-269.5722638696584</v>
      </c>
      <c r="AO75" s="101">
        <f t="shared" si="54"/>
        <v>-179.54687486965838</v>
      </c>
      <c r="AP75" s="101">
        <f>AO75*'Vehicle Data'!F$3</f>
        <v>-45.892181216684683</v>
      </c>
      <c r="AQ75" s="101">
        <v>0</v>
      </c>
      <c r="AR75" s="101">
        <f>IF(Z75&lt;'Vehicle Data'!C$16, Z75*'Vehicle Data'!F$7*'Vehicle Data'!G$14,IF(Z75&lt;'Vehicle Data'!C$15,Z75*'Vehicle Data'!F$7*'Vehicle Data'!G$15,IF(Z75&gt;'Vehicle Data'!C$15,Z75*'Vehicle Data'!F$7*'Vehicle Data'!G$16)))</f>
        <v>63.290994620087929</v>
      </c>
      <c r="AS75" s="101">
        <f t="shared" si="73"/>
        <v>3797.4596772052755</v>
      </c>
      <c r="AT75" s="101">
        <v>4</v>
      </c>
      <c r="AU75" s="101">
        <f t="shared" si="75"/>
        <v>4000</v>
      </c>
      <c r="AV75" s="101"/>
      <c r="AW75" s="101">
        <f>VLOOKUP(AT75,BSFC!A$64:A$82,1,FALSE)</f>
        <v>4</v>
      </c>
      <c r="AX75" s="101" t="e" cm="1">
        <f t="array" ref="AX75">_xlfn.XLOOKUP(AT75,BSFC!A$64:A$82,,-1,_xlfn.XLOOKUP(Data!AU75,BSFC!C$63:Q$63,BSFC!B$64:Q$82,,-1))</f>
        <v>#VALUE!</v>
      </c>
      <c r="AY75" s="101">
        <f>HLOOKUP(AU75,BSFC!F$63:Q$63,1)</f>
        <v>4000</v>
      </c>
      <c r="AZ75">
        <f>IF(AT75&gt;0,MATCH(AT75,BSFC!A$64:A$83,0),IF(AT75&lt;=0,0))</f>
        <v>19</v>
      </c>
      <c r="BA75" s="101">
        <f>MATCH(AU75,BSFC!C$63:Q$63,0)</f>
        <v>8</v>
      </c>
      <c r="BB75" cm="1">
        <f t="array" ref="BB75">IF(AZ75&gt;0,INDEX(BSFC!C$64:Q$83,Data!AZ75,Data!BA75))</f>
        <v>750</v>
      </c>
      <c r="BC75" s="101">
        <f>0.5*'Vehicle Data'!C$6*Data!Z75^2</f>
        <v>2325.5585999999998</v>
      </c>
      <c r="BD75" s="101">
        <f t="shared" si="55"/>
        <v>0</v>
      </c>
      <c r="BE75" s="101">
        <f t="shared" si="76"/>
        <v>0</v>
      </c>
      <c r="BF75" s="101">
        <f t="shared" si="77"/>
        <v>0</v>
      </c>
      <c r="BG75" s="101">
        <f t="shared" si="56"/>
        <v>18.973411815733527</v>
      </c>
      <c r="BH75">
        <f t="shared" si="39"/>
        <v>0</v>
      </c>
      <c r="BI75" s="148">
        <f t="shared" si="57"/>
        <v>6871.6622130335309</v>
      </c>
      <c r="BO75">
        <f t="shared" si="58"/>
        <v>0</v>
      </c>
      <c r="BP75">
        <f t="shared" si="59"/>
        <v>11692.110444577636</v>
      </c>
      <c r="BQ75">
        <f t="shared" si="60"/>
        <v>72244.968845455893</v>
      </c>
      <c r="BR75" s="148">
        <f t="shared" si="61"/>
        <v>126713.31106311022</v>
      </c>
      <c r="BS75" s="156" t="b">
        <f t="shared" si="62"/>
        <v>0</v>
      </c>
      <c r="BT75" s="156">
        <f t="shared" si="63"/>
        <v>0</v>
      </c>
      <c r="BU75">
        <f t="shared" si="64"/>
        <v>3349.0585500779916</v>
      </c>
      <c r="BV75">
        <f t="shared" si="65"/>
        <v>3349.0585500779916</v>
      </c>
      <c r="BW75" s="148">
        <f t="shared" si="66"/>
        <v>455.4</v>
      </c>
      <c r="BX75" s="148">
        <f t="shared" si="67"/>
        <v>3129354.9718154697</v>
      </c>
      <c r="BY75" s="148">
        <f t="shared" si="68"/>
        <v>0.42365590658486585</v>
      </c>
      <c r="BZ75">
        <f t="shared" si="51"/>
        <v>17.952607198742456</v>
      </c>
      <c r="CB75">
        <f t="shared" si="69"/>
        <v>3349.0585500779916</v>
      </c>
      <c r="CC75" s="162">
        <f t="shared" si="52"/>
        <v>5960.3371273800194</v>
      </c>
      <c r="CD75">
        <f t="shared" si="78"/>
        <v>53736.401738628447</v>
      </c>
    </row>
    <row r="76" spans="4:82" x14ac:dyDescent="0.2">
      <c r="D76" s="22">
        <f t="shared" si="42"/>
        <v>0</v>
      </c>
      <c r="E76" s="23">
        <v>9.1017071999999999</v>
      </c>
      <c r="F76" s="23">
        <f>IF(K76&lt;6,1,IF(Data!K76&lt;9,2,IF(K76&gt;9,3)))</f>
        <v>3</v>
      </c>
      <c r="G76" s="23">
        <v>833.65547315639151</v>
      </c>
      <c r="H76" s="23">
        <v>214.566665</v>
      </c>
      <c r="I76" s="64">
        <v>36.726678269334514</v>
      </c>
      <c r="J76" s="65">
        <f t="shared" si="43"/>
        <v>3.0938717452023106</v>
      </c>
      <c r="K76" s="65">
        <f t="shared" si="44"/>
        <v>14.690671307733805</v>
      </c>
      <c r="L76" s="65">
        <f t="shared" si="45"/>
        <v>1.2375486980809527</v>
      </c>
      <c r="M76">
        <f t="shared" si="46"/>
        <v>18.2034144</v>
      </c>
      <c r="N76">
        <f t="shared" si="47"/>
        <v>0</v>
      </c>
      <c r="O76">
        <f>IF(L76&lt;'Vehicle Data'!F$21,'Vehicle Data'!C$21,IF(L76&gt;'Vehicle Data'!C$21,'Vehicle Data'!C$20))</f>
        <v>0.6</v>
      </c>
      <c r="P76">
        <f>('Vehicle Data'!C$6*9.81*'Vehicle Data'!C$5*SIN(D76))/'Vehicle Data'!C$9</f>
        <v>0</v>
      </c>
      <c r="Q76" s="107">
        <f>'Vehicle Data'!C$6*9.81*SIN(D76)</f>
        <v>0</v>
      </c>
      <c r="R76">
        <f t="shared" si="41"/>
        <v>831.81121597386743</v>
      </c>
      <c r="S76">
        <f>IF(Data!O76=0.6,'Vehicle Data'!E$21,IF(Data!O76 = 0.9,'Vehicle Data'!E$20))+(P76*O76)</f>
        <v>1550.3723999999997</v>
      </c>
      <c r="T76">
        <f>IF(F76=3,'Vehicle Data'!H$16,IF(F76=2,'Vehicle Data'!H$15,IF(F76 = 1,'Vehicle Data'!G$14)))</f>
        <v>466.23005239380637</v>
      </c>
      <c r="U76" s="148">
        <f t="shared" si="48"/>
        <v>115.67273385055137</v>
      </c>
      <c r="V76" s="70" t="s">
        <v>79</v>
      </c>
      <c r="W76" s="99" t="s">
        <v>84</v>
      </c>
      <c r="X76">
        <f>IF(V76="S",'Vehicle Data'!C$14,IF(Data!V76 = "T1",'Vehicle Data'!P$2,IF(Data!V76="T2",'Vehicle Data'!P$3)))</f>
        <v>3.2549654376045223</v>
      </c>
      <c r="Z76">
        <f t="shared" si="70"/>
        <v>3.7688769205783301</v>
      </c>
      <c r="AB76" t="b">
        <f>IF(AA76=1,'Vehicle Data'!I$14,IF(AA76=2,'Vehicle Data'!I$15,IF(AA76=3,'Vehicle Data'!I$16)))</f>
        <v>0</v>
      </c>
      <c r="AC76">
        <f>IF(Z76&lt;'Vehicle Data'!C$16,'Vehicle Data'!I$15,IF(Z76&lt;'Vehicle Data'!C$15,'Vehicle Data'!I$15,IF(Z75&gt;'Vehicle Data'!C$15,'Vehicle Data'!I$16)))</f>
        <v>0.98256251041858167</v>
      </c>
      <c r="AD76">
        <f>IF(O76=0.6,'Vehicle Data'!F$21,IF(O76=0.9,'Vehicle Data'!F$20))</f>
        <v>3.5315999999999996</v>
      </c>
      <c r="AE76" s="100">
        <f t="shared" si="49"/>
        <v>0.98256251041858167</v>
      </c>
      <c r="AF76" s="158">
        <f t="shared" si="71"/>
        <v>0.48737240659556991</v>
      </c>
      <c r="AG76" s="148">
        <f t="shared" si="53"/>
        <v>1.0544533831195342</v>
      </c>
      <c r="AH76" s="148">
        <f t="shared" si="72"/>
        <v>18.439979605338024</v>
      </c>
      <c r="AI76" s="101"/>
      <c r="AJ76" s="101">
        <f>(Z76^2)*'Vehicle Data'!C$31</f>
        <v>5.2201292166069901</v>
      </c>
      <c r="AK76" s="101">
        <f>IF(O76=0.6,'Vehicle Data'!C$6*'Vehicle Data'!D$21*9.81,IF(O76=0.9,'Vehicle Data'!C$6*9.81*'Vehicle Data'!D$20))</f>
        <v>86.131799999999998</v>
      </c>
      <c r="AL76" s="101">
        <f t="shared" si="50"/>
        <v>91.35192921660699</v>
      </c>
      <c r="AM76" s="101"/>
      <c r="AN76" s="101" t="b">
        <f>IF(AG76&lt;=0,AG76*'Vehicle Data'!C$6)</f>
        <v>0</v>
      </c>
      <c r="AO76" s="101">
        <f t="shared" si="54"/>
        <v>91.35192921660699</v>
      </c>
      <c r="AP76" s="101">
        <f>AO76*'Vehicle Data'!F$3</f>
        <v>23.349553107764745</v>
      </c>
      <c r="AQ76" s="101">
        <v>0</v>
      </c>
      <c r="AR76" s="101">
        <f>IF(Z76&lt;'Vehicle Data'!C$16, Z76*'Vehicle Data'!F$7*'Vehicle Data'!G$14,IF(Z76&lt;'Vehicle Data'!C$15,Z76*'Vehicle Data'!F$7*'Vehicle Data'!G$15,IF(Z76&gt;'Vehicle Data'!C$15,Z76*'Vehicle Data'!F$7*'Vehicle Data'!G$16)))</f>
        <v>73.283717900134192</v>
      </c>
      <c r="AS76" s="101">
        <f t="shared" si="73"/>
        <v>4397.0230740080515</v>
      </c>
      <c r="AT76" s="101">
        <v>4</v>
      </c>
      <c r="AU76" s="101">
        <f t="shared" si="75"/>
        <v>4500</v>
      </c>
      <c r="AV76" s="101"/>
      <c r="AW76" s="101">
        <f>VLOOKUP(AT76,BSFC!A$64:A$82,1,FALSE)</f>
        <v>4</v>
      </c>
      <c r="AX76" s="101" t="e" cm="1">
        <f t="array" ref="AX76">_xlfn.XLOOKUP(AT76,BSFC!A$64:A$82,,-1,_xlfn.XLOOKUP(Data!AU76,BSFC!C$63:Q$63,BSFC!B$64:Q$82,,-1))</f>
        <v>#VALUE!</v>
      </c>
      <c r="AY76" s="101">
        <f>HLOOKUP(AU76,BSFC!F$63:Q$63,1)</f>
        <v>4500</v>
      </c>
      <c r="AZ76">
        <f>IF(AT76&gt;0,MATCH(AT76,BSFC!A$64:A$83,0),IF(AT76&lt;=0,0))</f>
        <v>19</v>
      </c>
      <c r="BA76" s="101">
        <f>MATCH(AU76,BSFC!C$63:Q$63,0)</f>
        <v>9</v>
      </c>
      <c r="BB76" cm="1">
        <f t="array" ref="BB76">IF(AZ76&gt;0,INDEX(BSFC!C$64:Q$83,Data!AZ76,Data!BA76))</f>
        <v>700</v>
      </c>
      <c r="BC76" s="101">
        <f>0.5*'Vehicle Data'!C$6*Data!Z76^2</f>
        <v>3117.8730967217252</v>
      </c>
      <c r="BD76" s="101">
        <f t="shared" si="55"/>
        <v>0</v>
      </c>
      <c r="BE76" s="101">
        <f t="shared" si="76"/>
        <v>0</v>
      </c>
      <c r="BF76" s="101">
        <f t="shared" si="77"/>
        <v>0</v>
      </c>
      <c r="BG76" s="101">
        <f t="shared" si="56"/>
        <v>18.973411815733527</v>
      </c>
      <c r="BH76">
        <f t="shared" si="39"/>
        <v>0</v>
      </c>
      <c r="BI76" s="148">
        <f t="shared" si="57"/>
        <v>6871.6622130335309</v>
      </c>
      <c r="BO76">
        <f t="shared" si="58"/>
        <v>0</v>
      </c>
      <c r="BP76">
        <f t="shared" si="59"/>
        <v>11692.110444577636</v>
      </c>
      <c r="BQ76">
        <f t="shared" si="60"/>
        <v>72244.968845455893</v>
      </c>
      <c r="BR76" s="148">
        <f t="shared" si="61"/>
        <v>129714.71405023648</v>
      </c>
      <c r="BS76" s="156" t="b">
        <f t="shared" si="62"/>
        <v>0</v>
      </c>
      <c r="BT76" s="156">
        <f t="shared" si="63"/>
        <v>0</v>
      </c>
      <c r="BU76">
        <f t="shared" si="64"/>
        <v>3001.4029871262624</v>
      </c>
      <c r="BV76">
        <f t="shared" si="65"/>
        <v>3001.4029871262624</v>
      </c>
      <c r="BW76" s="148">
        <f t="shared" si="66"/>
        <v>455.4</v>
      </c>
      <c r="BX76" s="148">
        <f t="shared" si="67"/>
        <v>3129354.9718154697</v>
      </c>
      <c r="BY76" s="148">
        <f t="shared" si="68"/>
        <v>0.37967747787147216</v>
      </c>
      <c r="BZ76">
        <f t="shared" si="51"/>
        <v>18.439979605338024</v>
      </c>
      <c r="CB76">
        <f t="shared" si="69"/>
        <v>3001.4029871262624</v>
      </c>
      <c r="CC76" s="162">
        <f t="shared" si="52"/>
        <v>6158.3358977827556</v>
      </c>
      <c r="CD76">
        <f t="shared" si="78"/>
        <v>56737.804725754708</v>
      </c>
    </row>
    <row r="77" spans="4:82" x14ac:dyDescent="0.2">
      <c r="D77" s="22">
        <f t="shared" si="42"/>
        <v>0</v>
      </c>
      <c r="E77" s="23">
        <v>9.1017071999999999</v>
      </c>
      <c r="F77" s="23">
        <f>IF(K77&lt;6,1,IF(Data!K77&lt;9,2,IF(K77&gt;9,3)))</f>
        <v>3</v>
      </c>
      <c r="G77" s="23">
        <v>835.50713241323058</v>
      </c>
      <c r="H77" s="23">
        <v>214.61666499999998</v>
      </c>
      <c r="I77" s="64">
        <v>36.881371856594576</v>
      </c>
      <c r="J77" s="65">
        <f t="shared" si="43"/>
        <v>2.9978162645970774</v>
      </c>
      <c r="K77" s="65">
        <f t="shared" si="44"/>
        <v>14.752548742637831</v>
      </c>
      <c r="L77" s="65">
        <f t="shared" si="45"/>
        <v>1.1991265058388239</v>
      </c>
      <c r="M77">
        <f t="shared" si="46"/>
        <v>18.2034144</v>
      </c>
      <c r="N77">
        <f t="shared" si="47"/>
        <v>0</v>
      </c>
      <c r="O77">
        <f>IF(L77&lt;'Vehicle Data'!F$21,'Vehicle Data'!C$21,IF(L77&gt;'Vehicle Data'!C$21,'Vehicle Data'!C$20))</f>
        <v>0.6</v>
      </c>
      <c r="P77">
        <f>('Vehicle Data'!C$6*9.81*'Vehicle Data'!C$5*SIN(D77))/'Vehicle Data'!C$9</f>
        <v>0</v>
      </c>
      <c r="Q77" s="107">
        <f>'Vehicle Data'!C$6*9.81*SIN(D77)</f>
        <v>0</v>
      </c>
      <c r="R77">
        <f t="shared" si="41"/>
        <v>833.65547315639151</v>
      </c>
      <c r="S77">
        <f>IF(Data!O77=0.6,'Vehicle Data'!E$21,IF(Data!O77 = 0.9,'Vehicle Data'!E$20))+(P77*O77)</f>
        <v>1550.3723999999997</v>
      </c>
      <c r="T77">
        <f>IF(F77=3,'Vehicle Data'!H$16,IF(F77=2,'Vehicle Data'!H$15,IF(F77 = 1,'Vehicle Data'!G$14)))</f>
        <v>466.23005239380637</v>
      </c>
      <c r="U77" s="148">
        <f t="shared" si="48"/>
        <v>117.51699103307544</v>
      </c>
      <c r="V77" s="70" t="s">
        <v>79</v>
      </c>
      <c r="W77" s="99" t="s">
        <v>84</v>
      </c>
      <c r="X77">
        <f>IF(V77="S",'Vehicle Data'!C$14,IF(Data!V77 = "T1",'Vehicle Data'!P$2,IF(Data!V77="T2",'Vehicle Data'!P$3)))</f>
        <v>3.2549654376045223</v>
      </c>
      <c r="Z77">
        <f t="shared" si="70"/>
        <v>4.2223961416125686</v>
      </c>
      <c r="AB77" t="b">
        <f>IF(AA77=1,'Vehicle Data'!I$14,IF(AA77=2,'Vehicle Data'!I$15,IF(AA77=3,'Vehicle Data'!I$16)))</f>
        <v>0</v>
      </c>
      <c r="AC77">
        <f>IF(Z77&lt;'Vehicle Data'!C$16,'Vehicle Data'!I$15,IF(Z77&lt;'Vehicle Data'!C$15,'Vehicle Data'!I$15,IF(Z76&gt;'Vehicle Data'!C$15,'Vehicle Data'!I$16)))</f>
        <v>0.98256251041858167</v>
      </c>
      <c r="AD77">
        <f>IF(O77=0.6,'Vehicle Data'!F$21,IF(O77=0.9,'Vehicle Data'!F$20))</f>
        <v>3.5315999999999996</v>
      </c>
      <c r="AE77" s="100">
        <f t="shared" si="49"/>
        <v>0.98256251041858167</v>
      </c>
      <c r="AF77" s="158">
        <f t="shared" si="71"/>
        <v>0.43677976217071318</v>
      </c>
      <c r="AG77" s="148">
        <f t="shared" si="53"/>
        <v>1.0383247126202306</v>
      </c>
      <c r="AH77" s="148">
        <f t="shared" si="72"/>
        <v>18.876759367508736</v>
      </c>
      <c r="AI77" s="101"/>
      <c r="AJ77" s="101">
        <f>(Z77^2)*'Vehicle Data'!C$31</f>
        <v>6.5520212224389809</v>
      </c>
      <c r="AK77" s="101">
        <f>IF(O77=0.6,'Vehicle Data'!C$6*'Vehicle Data'!D$21*9.81,IF(O77=0.9,'Vehicle Data'!C$6*9.81*'Vehicle Data'!D$20))</f>
        <v>86.131799999999998</v>
      </c>
      <c r="AL77" s="101">
        <f t="shared" si="50"/>
        <v>92.683821222438979</v>
      </c>
      <c r="AM77" s="101"/>
      <c r="AN77" s="101" t="b">
        <f>IF(AG77&lt;=0,AG77*'Vehicle Data'!C$6)</f>
        <v>0</v>
      </c>
      <c r="AO77" s="101">
        <f t="shared" si="54"/>
        <v>92.683821222438979</v>
      </c>
      <c r="AP77" s="101">
        <f>AO77*'Vehicle Data'!F$3</f>
        <v>23.689984704455401</v>
      </c>
      <c r="AQ77" s="101">
        <v>0</v>
      </c>
      <c r="AR77" s="101">
        <f>IF(Z77&lt;'Vehicle Data'!C$16, Z77*'Vehicle Data'!F$7*'Vehicle Data'!G$14,IF(Z77&lt;'Vehicle Data'!C$15,Z77*'Vehicle Data'!F$7*'Vehicle Data'!G$15,IF(Z77&gt;'Vehicle Data'!C$15,Z77*'Vehicle Data'!F$7*'Vehicle Data'!G$16)))</f>
        <v>82.102147198022166</v>
      </c>
      <c r="AS77" s="101">
        <f t="shared" si="73"/>
        <v>4926.1288318813304</v>
      </c>
      <c r="AT77" s="101">
        <v>4</v>
      </c>
      <c r="AU77" s="101">
        <f t="shared" si="75"/>
        <v>5000</v>
      </c>
      <c r="AV77" s="101"/>
      <c r="AW77" s="101">
        <f>VLOOKUP(AT77,BSFC!A$64:A$82,1,FALSE)</f>
        <v>4</v>
      </c>
      <c r="AX77" s="101" t="e" cm="1">
        <f t="array" ref="AX77">_xlfn.XLOOKUP(AT77,BSFC!A$64:A$82,,-1,_xlfn.XLOOKUP(Data!AU77,BSFC!C$63:Q$63,BSFC!B$64:Q$82,,-1))</f>
        <v>#VALUE!</v>
      </c>
      <c r="AY77" s="101">
        <f>HLOOKUP(AU77,BSFC!F$63:Q$63,1)</f>
        <v>5000</v>
      </c>
      <c r="AZ77">
        <f>IF(AT77&gt;0,MATCH(AT77,BSFC!A$64:A$83,0),IF(AT77&lt;=0,0))</f>
        <v>19</v>
      </c>
      <c r="BA77" s="101">
        <f>MATCH(AU77,BSFC!C$63:Q$63,0)</f>
        <v>10</v>
      </c>
      <c r="BB77" cm="1">
        <f t="array" ref="BB77">IF(AZ77&gt;0,INDEX(BSFC!C$64:Q$83,Data!AZ77,Data!BA77))</f>
        <v>700</v>
      </c>
      <c r="BC77" s="101">
        <f>0.5*'Vehicle Data'!C$6*Data!Z77^2</f>
        <v>3913.3841042866829</v>
      </c>
      <c r="BD77" s="101">
        <f t="shared" si="55"/>
        <v>0</v>
      </c>
      <c r="BE77" s="101">
        <f t="shared" si="76"/>
        <v>0</v>
      </c>
      <c r="BF77" s="101">
        <f t="shared" si="77"/>
        <v>0</v>
      </c>
      <c r="BG77" s="101">
        <f t="shared" si="56"/>
        <v>18.973411815733527</v>
      </c>
      <c r="BH77">
        <f t="shared" si="39"/>
        <v>0</v>
      </c>
      <c r="BI77" s="148">
        <f t="shared" si="57"/>
        <v>6871.6622130335309</v>
      </c>
      <c r="BO77">
        <f t="shared" si="58"/>
        <v>0</v>
      </c>
      <c r="BP77">
        <f t="shared" si="59"/>
        <v>11692.110444577636</v>
      </c>
      <c r="BQ77">
        <f t="shared" si="60"/>
        <v>72244.968845455893</v>
      </c>
      <c r="BR77" s="148">
        <f t="shared" si="61"/>
        <v>132460.92213596465</v>
      </c>
      <c r="BS77" s="156" t="b">
        <f t="shared" si="62"/>
        <v>0</v>
      </c>
      <c r="BT77" s="156">
        <f t="shared" si="63"/>
        <v>0</v>
      </c>
      <c r="BU77">
        <f t="shared" si="64"/>
        <v>2746.208085728164</v>
      </c>
      <c r="BV77">
        <f t="shared" si="65"/>
        <v>2746.208085728164</v>
      </c>
      <c r="BW77" s="148">
        <f t="shared" si="66"/>
        <v>455.4</v>
      </c>
      <c r="BX77" s="148">
        <f t="shared" si="67"/>
        <v>3129354.9718154697</v>
      </c>
      <c r="BY77" s="148">
        <f t="shared" si="68"/>
        <v>0.34739532284461266</v>
      </c>
      <c r="BZ77">
        <f t="shared" si="51"/>
        <v>18.876759367508736</v>
      </c>
      <c r="CB77">
        <f t="shared" si="69"/>
        <v>2746.208085728164</v>
      </c>
      <c r="CC77" s="162">
        <f t="shared" si="52"/>
        <v>6287.3977312502639</v>
      </c>
      <c r="CD77">
        <f t="shared" si="78"/>
        <v>59484.012811482869</v>
      </c>
    </row>
    <row r="78" spans="4:82" x14ac:dyDescent="0.2">
      <c r="D78" s="22">
        <f t="shared" si="42"/>
        <v>0</v>
      </c>
      <c r="E78" s="23">
        <v>9.1017071999999999</v>
      </c>
      <c r="F78" s="23">
        <f>IF(K78&lt;6,1,IF(Data!K78&lt;9,2,IF(K78&gt;9,3)))</f>
        <v>3</v>
      </c>
      <c r="G78" s="23">
        <v>837.36620638628074</v>
      </c>
      <c r="H78" s="23">
        <v>214.66666499999999</v>
      </c>
      <c r="I78" s="64">
        <v>37.031262669824464</v>
      </c>
      <c r="J78" s="65">
        <f t="shared" si="43"/>
        <v>2.9788638758687327</v>
      </c>
      <c r="K78" s="65">
        <f t="shared" si="44"/>
        <v>14.812505067929786</v>
      </c>
      <c r="L78" s="65">
        <f t="shared" si="45"/>
        <v>1.1915455503474859</v>
      </c>
      <c r="M78">
        <f t="shared" si="46"/>
        <v>18.2034144</v>
      </c>
      <c r="N78">
        <v>0</v>
      </c>
      <c r="O78">
        <f>IF(L78&lt;'Vehicle Data'!F$21,'Vehicle Data'!C$21,IF(L78&gt;'Vehicle Data'!C$21,'Vehicle Data'!C$20))</f>
        <v>0.6</v>
      </c>
      <c r="P78">
        <f>('Vehicle Data'!C$6*9.81*'Vehicle Data'!C$5*SIN(D78))/'Vehicle Data'!C$9</f>
        <v>0</v>
      </c>
      <c r="Q78" s="107">
        <f>'Vehicle Data'!C$6*9.81*SIN(D78)</f>
        <v>0</v>
      </c>
      <c r="R78">
        <f t="shared" si="41"/>
        <v>835.50713241323058</v>
      </c>
      <c r="S78">
        <f>IF(Data!O78=0.6,'Vehicle Data'!E$21,IF(Data!O78 = 0.9,'Vehicle Data'!E$20))+(P78*O78)</f>
        <v>1550.3723999999997</v>
      </c>
      <c r="T78">
        <f>IF(F78=3,'Vehicle Data'!H$16,IF(F78=2,'Vehicle Data'!H$15,IF(F78 = 1,'Vehicle Data'!G$14)))</f>
        <v>466.23005239380637</v>
      </c>
      <c r="U78" s="148">
        <f t="shared" si="48"/>
        <v>119.36865028991451</v>
      </c>
      <c r="V78" s="70" t="s">
        <v>79</v>
      </c>
      <c r="W78" s="99" t="s">
        <v>84</v>
      </c>
      <c r="X78">
        <f>IF(V78="S",'Vehicle Data'!C$14,IF(Data!V78 = "T1",'Vehicle Data'!P$2,IF(Data!V78="T2",'Vehicle Data'!P$3)))</f>
        <v>3.2549654376045223</v>
      </c>
      <c r="Z78">
        <f t="shared" si="70"/>
        <v>4.6332894483707694</v>
      </c>
      <c r="AB78" t="b">
        <f>IF(AA78=1,'Vehicle Data'!I$14,IF(AA78=2,'Vehicle Data'!I$15,IF(AA78=3,'Vehicle Data'!I$16)))</f>
        <v>0</v>
      </c>
      <c r="AC78">
        <f>IF(Z78&lt;'Vehicle Data'!C$16,'Vehicle Data'!I$15,IF(Z78&lt;'Vehicle Data'!C$15,'Vehicle Data'!I$15,IF(Z77&gt;'Vehicle Data'!C$15,'Vehicle Data'!I$16)))</f>
        <v>0.98256251041858167</v>
      </c>
      <c r="AD78">
        <f>IF(O78=0.6,'Vehicle Data'!F$21,IF(O78=0.9,'Vehicle Data'!F$20))</f>
        <v>3.5315999999999996</v>
      </c>
      <c r="AE78" s="100">
        <f t="shared" si="49"/>
        <v>0.98256251041858167</v>
      </c>
      <c r="AF78" s="158">
        <f t="shared" si="71"/>
        <v>0.39964247376994338</v>
      </c>
      <c r="AG78" s="148">
        <f t="shared" si="53"/>
        <v>1.0281522453860448</v>
      </c>
      <c r="AH78" s="148">
        <f t="shared" si="72"/>
        <v>19.27640184127868</v>
      </c>
      <c r="AI78" s="101"/>
      <c r="AJ78" s="101">
        <f>(Z78^2)*'Vehicle Data'!C$31</f>
        <v>7.8892588838010882</v>
      </c>
      <c r="AK78" s="101">
        <f>IF(O78=0.6,'Vehicle Data'!C$6*'Vehicle Data'!D$21*9.81,IF(O78=0.9,'Vehicle Data'!C$6*9.81*'Vehicle Data'!D$20))</f>
        <v>86.131799999999998</v>
      </c>
      <c r="AL78" s="101">
        <f t="shared" si="50"/>
        <v>94.021058883801089</v>
      </c>
      <c r="AM78" s="101"/>
      <c r="AN78" s="101" t="b">
        <f>IF(AG78&lt;=0,AG78*'Vehicle Data'!C$6)</f>
        <v>0</v>
      </c>
      <c r="AO78" s="101">
        <f t="shared" si="54"/>
        <v>94.021058883801089</v>
      </c>
      <c r="AP78" s="101">
        <f>AO78*'Vehicle Data'!F$3</f>
        <v>24.031782650699558</v>
      </c>
      <c r="AQ78" s="101">
        <v>0</v>
      </c>
      <c r="AR78" s="101">
        <f>IF(Z78&lt;'Vehicle Data'!C$16, Z78*'Vehicle Data'!F$7*'Vehicle Data'!G$14,IF(Z78&lt;'Vehicle Data'!C$15,Z78*'Vehicle Data'!F$7*'Vehicle Data'!G$15,IF(Z78&gt;'Vehicle Data'!C$15,Z78*'Vehicle Data'!F$7*'Vehicle Data'!G$16)))</f>
        <v>90.091739273876073</v>
      </c>
      <c r="AS78" s="101">
        <f t="shared" si="73"/>
        <v>5405.5043564325642</v>
      </c>
      <c r="AT78" s="101">
        <v>4</v>
      </c>
      <c r="AU78" s="101">
        <f t="shared" si="75"/>
        <v>5500</v>
      </c>
      <c r="AV78" s="101"/>
      <c r="AW78" s="101">
        <f>VLOOKUP(AT78,BSFC!A$64:A$82,1,FALSE)</f>
        <v>4</v>
      </c>
      <c r="AX78" s="101" t="e" cm="1">
        <f t="array" ref="AX78">_xlfn.XLOOKUP(AT78,BSFC!A$64:A$82,,-1,_xlfn.XLOOKUP(Data!AU78,BSFC!C$63:Q$63,BSFC!B$64:Q$82,,-1))</f>
        <v>#VALUE!</v>
      </c>
      <c r="AY78" s="101">
        <f>HLOOKUP(AU78,BSFC!F$63:Q$63,1)</f>
        <v>5500</v>
      </c>
      <c r="AZ78">
        <f>IF(AT78&gt;0,MATCH(AT78,BSFC!A$64:A$83,0),IF(AT78&lt;=0,0))</f>
        <v>19</v>
      </c>
      <c r="BA78" s="101">
        <f>MATCH(AU78,BSFC!C$63:Q$63,0)</f>
        <v>11</v>
      </c>
      <c r="BB78" cm="1">
        <f t="array" ref="BB78">IF(AZ78&gt;0,INDEX(BSFC!C$64:Q$83,Data!AZ78,Data!BA78))</f>
        <v>670</v>
      </c>
      <c r="BC78" s="101">
        <f>0.5*'Vehicle Data'!C$6*Data!Z78^2</f>
        <v>4712.0879591682678</v>
      </c>
      <c r="BD78" s="101">
        <f t="shared" si="55"/>
        <v>0</v>
      </c>
      <c r="BE78" s="101">
        <f t="shared" si="76"/>
        <v>0</v>
      </c>
      <c r="BF78" s="101">
        <f t="shared" si="77"/>
        <v>0</v>
      </c>
      <c r="BG78" s="101">
        <f t="shared" si="56"/>
        <v>18.973411815733527</v>
      </c>
      <c r="BH78">
        <f t="shared" si="39"/>
        <v>0</v>
      </c>
      <c r="BI78" s="148">
        <f t="shared" si="57"/>
        <v>6871.6622130335309</v>
      </c>
      <c r="BO78">
        <f t="shared" si="58"/>
        <v>0</v>
      </c>
      <c r="BP78">
        <f t="shared" si="59"/>
        <v>11692.110444577636</v>
      </c>
      <c r="BQ78">
        <f t="shared" si="60"/>
        <v>72244.968845455893</v>
      </c>
      <c r="BR78" s="148">
        <f t="shared" si="61"/>
        <v>135009.76313597706</v>
      </c>
      <c r="BS78" s="156" t="b">
        <f t="shared" si="62"/>
        <v>0</v>
      </c>
      <c r="BT78" s="156">
        <f t="shared" si="63"/>
        <v>0</v>
      </c>
      <c r="BU78">
        <f t="shared" si="64"/>
        <v>2548.8410000124172</v>
      </c>
      <c r="BV78">
        <f t="shared" si="65"/>
        <v>2548.8410000124172</v>
      </c>
      <c r="BW78" s="148">
        <f t="shared" si="66"/>
        <v>455.4</v>
      </c>
      <c r="BX78" s="148">
        <f t="shared" si="67"/>
        <v>3129354.9718154697</v>
      </c>
      <c r="BY78" s="148">
        <f t="shared" si="68"/>
        <v>0.32242838650157074</v>
      </c>
      <c r="BZ78">
        <f t="shared" si="51"/>
        <v>19.27640184127868</v>
      </c>
      <c r="CB78">
        <f t="shared" si="69"/>
        <v>2548.8410000124172</v>
      </c>
      <c r="CC78" s="162">
        <f t="shared" si="52"/>
        <v>6377.8030797589036</v>
      </c>
      <c r="CD78">
        <f t="shared" si="78"/>
        <v>62032.85381149529</v>
      </c>
    </row>
    <row r="79" spans="4:82" x14ac:dyDescent="0.2">
      <c r="D79" s="22">
        <f t="shared" si="42"/>
        <v>0</v>
      </c>
      <c r="E79" s="23">
        <v>9.2017056000000004</v>
      </c>
      <c r="F79" s="23">
        <f>IF(K79&lt;6,1,IF(Data!K79&lt;9,2,IF(K79&gt;9,3)))</f>
        <v>3</v>
      </c>
      <c r="G79" s="23">
        <v>839.23203828501505</v>
      </c>
      <c r="H79" s="23">
        <v>214.71666499999998</v>
      </c>
      <c r="I79" s="64">
        <v>37.18020586361785</v>
      </c>
      <c r="J79" s="65">
        <f t="shared" si="43"/>
        <v>3.0723734683536583</v>
      </c>
      <c r="K79" s="65">
        <f t="shared" si="44"/>
        <v>14.87208234544714</v>
      </c>
      <c r="L79" s="65">
        <f t="shared" si="45"/>
        <v>1.2289493873414563</v>
      </c>
      <c r="M79">
        <f t="shared" si="46"/>
        <v>18.403411200000001</v>
      </c>
      <c r="N79">
        <f t="shared" si="47"/>
        <v>0</v>
      </c>
      <c r="O79">
        <f>IF(L79&lt;'Vehicle Data'!F$21,'Vehicle Data'!C$21,IF(L79&gt;'Vehicle Data'!C$21,'Vehicle Data'!C$20))</f>
        <v>0.6</v>
      </c>
      <c r="P79">
        <f>('Vehicle Data'!C$6*9.81*'Vehicle Data'!C$5*SIN(D79))/'Vehicle Data'!C$9</f>
        <v>0</v>
      </c>
      <c r="Q79" s="107">
        <f>'Vehicle Data'!C$6*9.81*SIN(D79)</f>
        <v>0</v>
      </c>
      <c r="R79">
        <f t="shared" si="41"/>
        <v>837.36620638628074</v>
      </c>
      <c r="S79">
        <f>IF(Data!O79=0.6,'Vehicle Data'!E$21,IF(Data!O79 = 0.9,'Vehicle Data'!E$20))+(P79*O79)</f>
        <v>1550.3723999999997</v>
      </c>
      <c r="T79">
        <f>IF(F79=3,'Vehicle Data'!H$16,IF(F79=2,'Vehicle Data'!H$15,IF(F79 = 1,'Vehicle Data'!G$14)))</f>
        <v>466.23005239380637</v>
      </c>
      <c r="U79" s="148">
        <f t="shared" si="48"/>
        <v>121.22772426296467</v>
      </c>
      <c r="V79" s="70" t="s">
        <v>79</v>
      </c>
      <c r="W79" s="99" t="s">
        <v>84</v>
      </c>
      <c r="X79">
        <f>IF(V79="S",'Vehicle Data'!C$14,IF(Data!V79 = "T1",'Vehicle Data'!P$2,IF(Data!V79="T2",'Vehicle Data'!P$3)))</f>
        <v>3.2549654376045223</v>
      </c>
      <c r="Z79">
        <f t="shared" si="70"/>
        <v>5.012053859687855</v>
      </c>
      <c r="AB79" t="b">
        <f>IF(AA79=1,'Vehicle Data'!I$14,IF(AA79=2,'Vehicle Data'!I$15,IF(AA79=3,'Vehicle Data'!I$16)))</f>
        <v>0</v>
      </c>
      <c r="AC79">
        <f>IF(Z79&lt;'Vehicle Data'!C$16,'Vehicle Data'!I$15,IF(Z79&lt;'Vehicle Data'!C$15,'Vehicle Data'!I$15,IF(Z78&gt;'Vehicle Data'!C$15,'Vehicle Data'!I$16)))</f>
        <v>0.98256251041858167</v>
      </c>
      <c r="AD79">
        <f>IF(O79=0.6,'Vehicle Data'!F$21,IF(O79=0.9,'Vehicle Data'!F$20))</f>
        <v>3.5315999999999996</v>
      </c>
      <c r="AE79" s="100">
        <f t="shared" si="49"/>
        <v>0.98256251041858167</v>
      </c>
      <c r="AF79" s="158">
        <f t="shared" si="71"/>
        <v>0.37092058966140862</v>
      </c>
      <c r="AG79" s="148">
        <f t="shared" si="53"/>
        <v>1.0211469027988906</v>
      </c>
      <c r="AH79" s="148">
        <f t="shared" si="72"/>
        <v>19.64732243094009</v>
      </c>
      <c r="AJ79">
        <f>(Z79^2)*'Vehicle Data'!C$31</f>
        <v>9.2318513304613852</v>
      </c>
      <c r="AK79">
        <f>IF(O79=0.6,'Vehicle Data'!C$6*'Vehicle Data'!D$21*9.81,IF(O79=0.9,'Vehicle Data'!C$6*9.81*'Vehicle Data'!D$20))</f>
        <v>86.131799999999998</v>
      </c>
      <c r="AL79">
        <f t="shared" si="50"/>
        <v>95.36365133046138</v>
      </c>
      <c r="AN79" s="101" t="b">
        <f>IF(AG79&lt;=0,AG79*'Vehicle Data'!C$6)</f>
        <v>0</v>
      </c>
      <c r="AO79">
        <f t="shared" si="54"/>
        <v>95.36365133046138</v>
      </c>
      <c r="AP79">
        <f>AO79*'Vehicle Data'!F$3</f>
        <v>24.374949280065927</v>
      </c>
      <c r="AQ79">
        <v>0</v>
      </c>
      <c r="AR79">
        <f>IF(Z79&lt;'Vehicle Data'!C$16, Z79*'Vehicle Data'!F$7*'Vehicle Data'!G$14,IF(Z79&lt;'Vehicle Data'!C$15,Z79*'Vehicle Data'!F$7*'Vehicle Data'!G$15,IF(Z79&gt;'Vehicle Data'!C$15,Z79*'Vehicle Data'!F$7*'Vehicle Data'!G$16)))</f>
        <v>97.45660282726385</v>
      </c>
      <c r="AS79">
        <f t="shared" si="73"/>
        <v>5847.396169635831</v>
      </c>
      <c r="AT79">
        <v>4</v>
      </c>
      <c r="AU79">
        <f t="shared" si="75"/>
        <v>6000</v>
      </c>
      <c r="AW79">
        <f>VLOOKUP(AT79,BSFC!A$64:A$82,1,FALSE)</f>
        <v>4</v>
      </c>
      <c r="AX79" t="e" cm="1">
        <f t="array" ref="AX79">_xlfn.XLOOKUP(AT79,BSFC!A$64:A$82,,-1,_xlfn.XLOOKUP(Data!AU79,BSFC!C$63:Q$63,BSFC!B$64:Q$82,,-1))</f>
        <v>#VALUE!</v>
      </c>
      <c r="AY79">
        <f>HLOOKUP(AU79,BSFC!F$63:Q$63,1)</f>
        <v>6000</v>
      </c>
      <c r="AZ79">
        <f>IF(AT79&gt;0,MATCH(AT79,BSFC!A$64:A$83,0),IF(AT79&lt;=0,0))</f>
        <v>19</v>
      </c>
      <c r="BA79">
        <f>MATCH(AU79,BSFC!C$63:Q$63,0)</f>
        <v>12</v>
      </c>
      <c r="BB79" cm="1">
        <f t="array" ref="BB79">IF(AZ79&gt;0,INDEX(BSFC!C$64:Q$83,Data!AZ79,Data!BA79))</f>
        <v>650</v>
      </c>
      <c r="BC79">
        <f>0.5*'Vehicle Data'!C$6*Data!Z79^2</f>
        <v>5513.9901143844172</v>
      </c>
      <c r="BD79">
        <f t="shared" si="55"/>
        <v>1.999368177363827</v>
      </c>
      <c r="BE79">
        <f t="shared" si="76"/>
        <v>1299.5893152864876</v>
      </c>
      <c r="BF79">
        <f t="shared" si="77"/>
        <v>0.13390123198436951</v>
      </c>
      <c r="BG79">
        <f t="shared" si="56"/>
        <v>19.107313047717899</v>
      </c>
      <c r="BH79">
        <f t="shared" si="39"/>
        <v>0</v>
      </c>
      <c r="BI79" s="148">
        <f t="shared" si="57"/>
        <v>6871.6622130335309</v>
      </c>
      <c r="BO79">
        <f t="shared" si="58"/>
        <v>0</v>
      </c>
      <c r="BP79">
        <f t="shared" si="59"/>
        <v>11692.110444577636</v>
      </c>
      <c r="BQ79">
        <f t="shared" si="60"/>
        <v>72244.968845455893</v>
      </c>
      <c r="BR79" s="148">
        <f t="shared" si="61"/>
        <v>137399.41163771768</v>
      </c>
      <c r="BS79" s="156" t="b">
        <f t="shared" si="62"/>
        <v>0</v>
      </c>
      <c r="BT79" s="156">
        <f t="shared" si="63"/>
        <v>0</v>
      </c>
      <c r="BU79">
        <f t="shared" si="64"/>
        <v>2389.6485017406244</v>
      </c>
      <c r="BV79">
        <f t="shared" si="65"/>
        <v>2389.6485017406244</v>
      </c>
      <c r="BW79" s="148">
        <f t="shared" si="66"/>
        <v>455.4</v>
      </c>
      <c r="BX79" s="148">
        <f t="shared" si="67"/>
        <v>3129354.9718154697</v>
      </c>
      <c r="BY79" s="148">
        <f t="shared" si="68"/>
        <v>0.30229053547018891</v>
      </c>
      <c r="BZ79">
        <f t="shared" si="51"/>
        <v>19.64732243094009</v>
      </c>
      <c r="CB79">
        <f t="shared" si="69"/>
        <v>2389.6485017406244</v>
      </c>
      <c r="CC79" s="162">
        <f t="shared" si="52"/>
        <v>6442.4800573135817</v>
      </c>
      <c r="CD79">
        <f t="shared" si="78"/>
        <v>64422.502313235913</v>
      </c>
    </row>
    <row r="80" spans="4:82" x14ac:dyDescent="0.2">
      <c r="D80" s="22">
        <f t="shared" si="42"/>
        <v>0</v>
      </c>
      <c r="E80" s="23">
        <v>9.2017056000000004</v>
      </c>
      <c r="F80" s="23">
        <f>IF(K80&lt;6,1,IF(Data!K80&lt;9,2,IF(K80&gt;9,3)))</f>
        <v>3</v>
      </c>
      <c r="G80" s="23">
        <v>841.10471225806509</v>
      </c>
      <c r="H80" s="23">
        <v>214.76666499999999</v>
      </c>
      <c r="I80" s="64">
        <v>37.333824537035568</v>
      </c>
      <c r="J80" s="65">
        <f t="shared" si="43"/>
        <v>3.0237717011026408</v>
      </c>
      <c r="K80" s="65">
        <f t="shared" si="44"/>
        <v>14.933529814814227</v>
      </c>
      <c r="L80" s="65">
        <f t="shared" si="45"/>
        <v>1.2095086804410562</v>
      </c>
      <c r="M80">
        <f t="shared" si="46"/>
        <v>18.403411200000001</v>
      </c>
      <c r="N80">
        <f t="shared" si="47"/>
        <v>0</v>
      </c>
      <c r="O80">
        <f>IF(L80&lt;'Vehicle Data'!F$21,'Vehicle Data'!C$21,IF(L80&gt;'Vehicle Data'!C$21,'Vehicle Data'!C$20))</f>
        <v>0.6</v>
      </c>
      <c r="P80">
        <f>('Vehicle Data'!C$6*9.81*'Vehicle Data'!C$5*SIN(D80))/'Vehicle Data'!C$9</f>
        <v>0</v>
      </c>
      <c r="Q80" s="107">
        <f>'Vehicle Data'!C$6*9.81*SIN(D80)</f>
        <v>0</v>
      </c>
      <c r="R80">
        <f t="shared" si="41"/>
        <v>839.23203828501505</v>
      </c>
      <c r="S80">
        <f>IF(Data!O80=0.6,'Vehicle Data'!E$21,IF(Data!O80 = 0.9,'Vehicle Data'!E$20))+(P80*O80)</f>
        <v>1550.3723999999997</v>
      </c>
      <c r="T80">
        <f>IF(F80=3,'Vehicle Data'!H$16,IF(F80=2,'Vehicle Data'!H$15,IF(F80 = 1,'Vehicle Data'!G$14)))</f>
        <v>466.23005239380637</v>
      </c>
      <c r="U80" s="148">
        <f t="shared" si="48"/>
        <v>123.09355616169898</v>
      </c>
      <c r="V80" s="70" t="s">
        <v>77</v>
      </c>
      <c r="W80" s="99" t="s">
        <v>84</v>
      </c>
      <c r="X80">
        <f>IF(V80="S",'Vehicle Data'!C$14,IF(Data!V80 = "T1",'Vehicle Data'!P$2,IF(Data!V80="T2",'Vehicle Data'!P$3)))</f>
        <v>13.411199999999999</v>
      </c>
      <c r="Z80">
        <f t="shared" si="70"/>
        <v>5.365377604725583</v>
      </c>
      <c r="AB80" t="b">
        <f>IF(AA80=1,'Vehicle Data'!I$14,IF(AA80=2,'Vehicle Data'!I$15,IF(AA80=3,'Vehicle Data'!I$16)))</f>
        <v>0</v>
      </c>
      <c r="AC80">
        <f>IF(Z80&lt;'Vehicle Data'!C$16,'Vehicle Data'!I$15,IF(Z80&lt;'Vehicle Data'!C$15,'Vehicle Data'!I$15,IF(Z79&gt;'Vehicle Data'!C$15,'Vehicle Data'!I$16)))</f>
        <v>0.98256251041858167</v>
      </c>
      <c r="AD80">
        <f>IF(O80=0.6,'Vehicle Data'!F$21,IF(O80=0.9,'Vehicle Data'!F$20))</f>
        <v>3.5315999999999996</v>
      </c>
      <c r="AE80" s="100">
        <f t="shared" si="49"/>
        <v>0.98256251041858167</v>
      </c>
      <c r="AF80" s="158">
        <f t="shared" si="71"/>
        <v>0.34775406992621971</v>
      </c>
      <c r="AG80" s="148">
        <f t="shared" si="53"/>
        <v>1.0160161320691083</v>
      </c>
      <c r="AH80" s="148">
        <f t="shared" si="72"/>
        <v>19.995076500866311</v>
      </c>
      <c r="AJ80">
        <f>(Z80^2)*'Vehicle Data'!C$31</f>
        <v>10.579324239174385</v>
      </c>
      <c r="AK80">
        <f>IF(O80=0.6,'Vehicle Data'!C$6*'Vehicle Data'!D$21*9.81,IF(O80=0.9,'Vehicle Data'!C$6*9.81*'Vehicle Data'!D$20))</f>
        <v>86.131799999999998</v>
      </c>
      <c r="AL80">
        <f t="shared" si="50"/>
        <v>96.711124239174382</v>
      </c>
      <c r="AN80" s="101" t="b">
        <f>IF(AG80&lt;=0,AG80*'Vehicle Data'!C$6)</f>
        <v>0</v>
      </c>
      <c r="AO80">
        <f t="shared" si="54"/>
        <v>96.711124239174382</v>
      </c>
      <c r="AP80">
        <f>AO80*'Vehicle Data'!F$3</f>
        <v>24.71936335553297</v>
      </c>
      <c r="AQ80">
        <f>IF(AE80='Vehicle Data'!I$15,AP80/'Vehicle Data'!G$15,IF(AE80='Vehicle Data'!I$16,AP80/'Vehicle Data'!G$16,IF(AE80='Vehicle Data'!I$14,Data!AP80/'Vehicle Data'!G91)))</f>
        <v>3.0624832286090333</v>
      </c>
      <c r="AR80">
        <f>IF(Z80&lt;'Vehicle Data'!C$16, Z80*'Vehicle Data'!F$7*'Vehicle Data'!G$14,IF(Z80&lt;'Vehicle Data'!C$15,Z80*'Vehicle Data'!F$7*'Vehicle Data'!G$15,IF(Z80&gt;'Vehicle Data'!C$15,Z80*'Vehicle Data'!F$7*'Vehicle Data'!G$16)))</f>
        <v>104.326786758553</v>
      </c>
      <c r="AS80">
        <f t="shared" si="73"/>
        <v>6259.6072055131799</v>
      </c>
      <c r="AT80">
        <v>4</v>
      </c>
      <c r="AU80">
        <f t="shared" si="75"/>
        <v>6500</v>
      </c>
      <c r="AW80">
        <f>VLOOKUP(AT80,BSFC!A$64:A$82,1,FALSE)</f>
        <v>4</v>
      </c>
      <c r="AX80" t="e" cm="1">
        <f t="array" ref="AX80">_xlfn.XLOOKUP(AT80,BSFC!A$64:A$82,,-1,_xlfn.XLOOKUP(Data!AU80,BSFC!C$63:Q$63,BSFC!B$64:Q$82,,-1))</f>
        <v>#VALUE!</v>
      </c>
      <c r="AY80">
        <f>HLOOKUP(AU80,BSFC!F$63:Q$63,1)</f>
        <v>6500</v>
      </c>
      <c r="AZ80">
        <f>IF(AT80&gt;0,MATCH(AT80,BSFC!A$64:A$83,0),IF(AT80&lt;=0,0))</f>
        <v>19</v>
      </c>
      <c r="BA80">
        <f>MATCH(AU80,BSFC!C$63:Q$63,0)</f>
        <v>13</v>
      </c>
      <c r="BB80" cm="1">
        <f t="array" ref="BB80">IF(AZ80&gt;0,INDEX(BSFC!C$64:Q$83,Data!AZ80,Data!BA80))</f>
        <v>650</v>
      </c>
      <c r="BC80">
        <f>0.5*'Vehicle Data'!C$6*Data!Z80^2</f>
        <v>6318.8072666633379</v>
      </c>
      <c r="BD80">
        <f t="shared" si="55"/>
        <v>11.908052888301743</v>
      </c>
      <c r="BE80">
        <f t="shared" si="76"/>
        <v>7740.2343773961329</v>
      </c>
      <c r="BF80">
        <f t="shared" si="77"/>
        <v>0.7476938908117623</v>
      </c>
      <c r="BG80">
        <f t="shared" si="56"/>
        <v>19.855006938529662</v>
      </c>
      <c r="BH80">
        <f t="shared" si="39"/>
        <v>1999.368177363827</v>
      </c>
      <c r="BI80" s="148">
        <f t="shared" si="57"/>
        <v>6871.6622130335309</v>
      </c>
      <c r="BO80">
        <f t="shared" si="58"/>
        <v>657.10044391478914</v>
      </c>
      <c r="BP80">
        <f t="shared" si="59"/>
        <v>12349.210888492426</v>
      </c>
      <c r="BQ80">
        <f t="shared" si="60"/>
        <v>72902.069289370687</v>
      </c>
      <c r="BR80" s="148">
        <f t="shared" si="61"/>
        <v>139657.81123702027</v>
      </c>
      <c r="BS80" s="156">
        <f t="shared" si="62"/>
        <v>657.10044391478914</v>
      </c>
      <c r="BT80" s="156">
        <f t="shared" si="63"/>
        <v>1999.368177363827</v>
      </c>
      <c r="BU80">
        <f t="shared" si="64"/>
        <v>2258.3995993025896</v>
      </c>
      <c r="BV80">
        <f t="shared" si="65"/>
        <v>2258.3995993025896</v>
      </c>
      <c r="BW80" s="148">
        <f t="shared" si="66"/>
        <v>455.4</v>
      </c>
      <c r="BX80" s="148">
        <f t="shared" si="67"/>
        <v>3129354.9718154697</v>
      </c>
      <c r="BY80" s="148">
        <f t="shared" si="68"/>
        <v>0.28568754931177753</v>
      </c>
      <c r="BZ80">
        <f t="shared" si="51"/>
        <v>19.995076500866311</v>
      </c>
      <c r="CB80">
        <f t="shared" si="69"/>
        <v>1601.2991553878005</v>
      </c>
      <c r="CC80" s="162">
        <f t="shared" si="52"/>
        <v>4604.6884677080216</v>
      </c>
      <c r="CD80">
        <f t="shared" si="78"/>
        <v>66023.801468623715</v>
      </c>
    </row>
    <row r="81" spans="4:82" x14ac:dyDescent="0.2">
      <c r="D81" s="22">
        <f t="shared" si="42"/>
        <v>0</v>
      </c>
      <c r="E81" s="23">
        <v>9.2017056000000004</v>
      </c>
      <c r="F81" s="23">
        <f>IF(K81&lt;6,1,IF(Data!K81&lt;9,2,IF(K81&gt;9,3)))</f>
        <v>3</v>
      </c>
      <c r="G81" s="23">
        <v>842.98473358922126</v>
      </c>
      <c r="H81" s="23">
        <v>214.816665</v>
      </c>
      <c r="I81" s="64">
        <v>37.485013122090734</v>
      </c>
      <c r="J81" s="65">
        <f t="shared" si="43"/>
        <v>2.8102696872192814</v>
      </c>
      <c r="K81" s="65">
        <f t="shared" si="44"/>
        <v>14.994005248836293</v>
      </c>
      <c r="L81" s="65">
        <f t="shared" si="45"/>
        <v>1.1241078748877269</v>
      </c>
      <c r="M81">
        <f t="shared" si="46"/>
        <v>18.403411200000001</v>
      </c>
      <c r="N81">
        <f t="shared" si="47"/>
        <v>0</v>
      </c>
      <c r="O81">
        <f>IF(L81&lt;'Vehicle Data'!F$21,'Vehicle Data'!C$21,IF(L81&gt;'Vehicle Data'!C$21,'Vehicle Data'!C$20))</f>
        <v>0.6</v>
      </c>
      <c r="P81">
        <f>('Vehicle Data'!C$6*9.81*'Vehicle Data'!C$5*SIN(D81))/'Vehicle Data'!C$9</f>
        <v>0</v>
      </c>
      <c r="Q81" s="107">
        <f>'Vehicle Data'!C$6*9.81*SIN(D81)</f>
        <v>0</v>
      </c>
      <c r="R81">
        <f t="shared" si="41"/>
        <v>841.10471225806509</v>
      </c>
      <c r="S81">
        <f>IF(Data!O81=0.6,'Vehicle Data'!E$21,IF(Data!O81 = 0.9,'Vehicle Data'!E$20))+(P81*O81)</f>
        <v>1550.3723999999997</v>
      </c>
      <c r="T81">
        <f>IF(F81=3,'Vehicle Data'!H$16,IF(F81=2,'Vehicle Data'!H$15,IF(F81 = 1,'Vehicle Data'!G$14)))</f>
        <v>466.23005239380637</v>
      </c>
      <c r="U81" s="148">
        <f t="shared" si="48"/>
        <v>124.96623013474903</v>
      </c>
      <c r="V81" s="70" t="s">
        <v>77</v>
      </c>
      <c r="W81" s="99" t="s">
        <v>84</v>
      </c>
      <c r="X81">
        <f>IF(V81="S",'Vehicle Data'!C$14,IF(Data!V81 = "T1",'Vehicle Data'!P$2,IF(Data!V81="T2",'Vehicle Data'!P$3)))</f>
        <v>13.411199999999999</v>
      </c>
      <c r="Z81">
        <f t="shared" si="70"/>
        <v>5.6980097684719713</v>
      </c>
      <c r="AB81" t="b">
        <f>IF(AA81=1,'Vehicle Data'!I$14,IF(AA81=2,'Vehicle Data'!I$15,IF(AA81=3,'Vehicle Data'!I$16)))</f>
        <v>0</v>
      </c>
      <c r="AC81">
        <f>IF(Z81&lt;'Vehicle Data'!C$16,'Vehicle Data'!I$15,IF(Z81&lt;'Vehicle Data'!C$15,'Vehicle Data'!I$15,IF(Z80&gt;'Vehicle Data'!C$15,'Vehicle Data'!I$16)))</f>
        <v>0.98256251041858167</v>
      </c>
      <c r="AD81">
        <f>IF(O81=0.6,'Vehicle Data'!F$21,IF(O81=0.9,'Vehicle Data'!F$20))</f>
        <v>3.5315999999999996</v>
      </c>
      <c r="AE81" s="100">
        <f t="shared" si="49"/>
        <v>0.98256251041858167</v>
      </c>
      <c r="AF81" s="158">
        <f t="shared" si="71"/>
        <v>0.32865404749073185</v>
      </c>
      <c r="AG81" s="148">
        <f t="shared" si="53"/>
        <v>1.0121042667389288</v>
      </c>
      <c r="AH81" s="148">
        <f t="shared" si="72"/>
        <v>20.323730548357045</v>
      </c>
      <c r="AJ81">
        <f>(Z81^2)*'Vehicle Data'!C$31</f>
        <v>11.931738380688742</v>
      </c>
      <c r="AK81">
        <f>IF(O81=0.6,'Vehicle Data'!C$6*'Vehicle Data'!D$21*9.81,IF(O81=0.9,'Vehicle Data'!C$6*9.81*'Vehicle Data'!D$20))</f>
        <v>86.131799999999998</v>
      </c>
      <c r="AL81">
        <f t="shared" si="50"/>
        <v>98.06353838068874</v>
      </c>
      <c r="AN81">
        <f>IF(AG81&gt;0,AG81*'Vehicle Data'!C$6)</f>
        <v>444.31377309838973</v>
      </c>
      <c r="AO81">
        <f t="shared" si="54"/>
        <v>542.37731147907846</v>
      </c>
      <c r="AP81">
        <f>AO81*'Vehicle Data'!F$3</f>
        <v>138.63164081405245</v>
      </c>
      <c r="AQ81">
        <f>IF(AE81='Vehicle Data'!I$15,AP81/'Vehicle Data'!G$15,IF(AE81='Vehicle Data'!I$16,AP81/'Vehicle Data'!G$16,IF(AE81='Vehicle Data'!I$14,Data!AP81/'Vehicle Data'!G92)))</f>
        <v>17.17508128511562</v>
      </c>
      <c r="AR81">
        <f>IF(Z81&lt;'Vehicle Data'!C$16, Z81*'Vehicle Data'!F$7*'Vehicle Data'!G$14,IF(Z81&lt;'Vehicle Data'!C$15,Z81*'Vehicle Data'!F$7*'Vehicle Data'!G$15,IF(Z81&gt;'Vehicle Data'!C$15,Z81*'Vehicle Data'!F$7*'Vehicle Data'!G$16)))</f>
        <v>110.794634386955</v>
      </c>
      <c r="AS81">
        <f t="shared" si="73"/>
        <v>6647.6780632172995</v>
      </c>
      <c r="AT81">
        <f t="shared" si="74"/>
        <v>17</v>
      </c>
      <c r="AU81">
        <f t="shared" si="75"/>
        <v>6500</v>
      </c>
      <c r="AW81">
        <f>VLOOKUP(AT81,BSFC!A$64:A$82,1,FALSE)</f>
        <v>17</v>
      </c>
      <c r="AX81" t="e" cm="1">
        <f t="array" ref="AX81">_xlfn.XLOOKUP(AT81,BSFC!A$64:A$82,,-1,_xlfn.XLOOKUP(Data!AU81,BSFC!C$63:Q$63,BSFC!B$64:Q$82,,-1))</f>
        <v>#VALUE!</v>
      </c>
      <c r="AY81">
        <f>HLOOKUP(AU81,BSFC!F$63:Q$63,1)</f>
        <v>6500</v>
      </c>
      <c r="AZ81">
        <f>IF(AT81&gt;0,MATCH(AT81,BSFC!A$64:A$83,0),IF(AT81&lt;=0,0))</f>
        <v>6</v>
      </c>
      <c r="BA81">
        <f>MATCH(AU81,BSFC!C$63:Q$63,0)</f>
        <v>13</v>
      </c>
      <c r="BB81" cm="1">
        <f t="array" ref="BB81">IF(AZ81&gt;0,INDEX(BSFC!C$64:Q$83,Data!AZ81,Data!BA81))</f>
        <v>511.2</v>
      </c>
      <c r="BC81">
        <f>0.5*'Vehicle Data'!C$6*Data!Z81^2</f>
        <v>7126.5757130916409</v>
      </c>
      <c r="BD81">
        <f t="shared" si="55"/>
        <v>8.3783266339833613</v>
      </c>
      <c r="BE81">
        <f t="shared" si="76"/>
        <v>4283.0005752922943</v>
      </c>
      <c r="BF81">
        <f t="shared" si="77"/>
        <v>0.39100707624304043</v>
      </c>
      <c r="BG81">
        <f t="shared" si="56"/>
        <v>20.246014014772705</v>
      </c>
      <c r="BH81">
        <f t="shared" si="39"/>
        <v>11908.052888301743</v>
      </c>
      <c r="BI81" s="148">
        <f t="shared" si="57"/>
        <v>6871.6622130335309</v>
      </c>
      <c r="BO81">
        <f t="shared" si="58"/>
        <v>3722.8758885313241</v>
      </c>
      <c r="BP81">
        <f t="shared" si="59"/>
        <v>16072.086777023749</v>
      </c>
      <c r="BQ81">
        <f t="shared" si="60"/>
        <v>76624.945177902016</v>
      </c>
      <c r="BR81" s="148">
        <f t="shared" si="61"/>
        <v>141806.13437657955</v>
      </c>
      <c r="BS81" s="156">
        <f t="shared" si="62"/>
        <v>3722.8758885313241</v>
      </c>
      <c r="BT81" s="156">
        <f t="shared" si="63"/>
        <v>11908.052888301743</v>
      </c>
      <c r="BU81">
        <f t="shared" si="64"/>
        <v>2148.3231395592779</v>
      </c>
      <c r="BV81">
        <f t="shared" si="65"/>
        <v>2148.3231395592779</v>
      </c>
      <c r="BW81" s="148">
        <f t="shared" si="66"/>
        <v>455.4</v>
      </c>
      <c r="BX81" s="148">
        <f t="shared" si="67"/>
        <v>3129354.9718154697</v>
      </c>
      <c r="BY81" s="148">
        <f t="shared" si="68"/>
        <v>0.27176287715424868</v>
      </c>
      <c r="BZ81">
        <f t="shared" si="51"/>
        <v>20.323730548357045</v>
      </c>
      <c r="CB81">
        <f t="shared" si="69"/>
        <v>-1574.5527489720462</v>
      </c>
      <c r="CC81" s="162">
        <f t="shared" si="52"/>
        <v>-4790.9123925103704</v>
      </c>
      <c r="CD81">
        <f t="shared" si="78"/>
        <v>64449.248719651667</v>
      </c>
    </row>
    <row r="82" spans="4:82" x14ac:dyDescent="0.2">
      <c r="D82" s="22">
        <f t="shared" si="42"/>
        <v>0</v>
      </c>
      <c r="E82" s="23">
        <v>9.2017056000000004</v>
      </c>
      <c r="F82" s="23">
        <f>IF(K82&lt;6,1,IF(Data!K82&lt;9,2,IF(K82&gt;9,3)))</f>
        <v>3</v>
      </c>
      <c r="G82" s="23">
        <v>844.87086020416564</v>
      </c>
      <c r="H82" s="23">
        <v>214.86666499999998</v>
      </c>
      <c r="I82" s="64">
        <v>37.62552660645165</v>
      </c>
      <c r="J82" s="65">
        <f t="shared" si="43"/>
        <v>2.6399237174350922</v>
      </c>
      <c r="K82" s="65">
        <f t="shared" si="44"/>
        <v>15.050210642580661</v>
      </c>
      <c r="L82" s="65">
        <f t="shared" si="45"/>
        <v>1.0559694869740441</v>
      </c>
      <c r="M82">
        <f t="shared" si="46"/>
        <v>18.403411200000001</v>
      </c>
      <c r="N82">
        <f t="shared" si="47"/>
        <v>0</v>
      </c>
      <c r="O82">
        <f>IF(L82&lt;'Vehicle Data'!F$21,'Vehicle Data'!C$21,IF(L82&gt;'Vehicle Data'!C$21,'Vehicle Data'!C$20))</f>
        <v>0.6</v>
      </c>
      <c r="P82">
        <f>('Vehicle Data'!C$6*9.81*'Vehicle Data'!C$5*SIN(D82))/'Vehicle Data'!C$9</f>
        <v>0</v>
      </c>
      <c r="Q82" s="107">
        <f>'Vehicle Data'!C$6*9.81*SIN(D82)</f>
        <v>0</v>
      </c>
      <c r="R82">
        <f t="shared" si="41"/>
        <v>842.98473358922126</v>
      </c>
      <c r="S82">
        <f>IF(Data!O82=0.6,'Vehicle Data'!E$21,IF(Data!O82 = 0.9,'Vehicle Data'!E$20))+(P82*O82)</f>
        <v>1550.3723999999997</v>
      </c>
      <c r="T82">
        <f>IF(F82=3,'Vehicle Data'!H$16,IF(F82=2,'Vehicle Data'!H$15,IF(F82 = 1,'Vehicle Data'!G$14)))</f>
        <v>466.23005239380637</v>
      </c>
      <c r="U82" s="148">
        <f t="shared" si="48"/>
        <v>126.8462514659052</v>
      </c>
      <c r="V82" s="70" t="s">
        <v>77</v>
      </c>
      <c r="W82" s="99" t="s">
        <v>84</v>
      </c>
      <c r="X82">
        <f>IF(V82="S",'Vehicle Data'!C$14,IF(Data!V82 = "T1",'Vehicle Data'!P$2,IF(Data!V82="T2",'Vehicle Data'!P$3)))</f>
        <v>13.411199999999999</v>
      </c>
      <c r="Z82">
        <f t="shared" si="70"/>
        <v>6.013467575298348</v>
      </c>
      <c r="AB82" t="b">
        <f>IF(AA82=1,'Vehicle Data'!I$14,IF(AA82=2,'Vehicle Data'!I$15,IF(AA82=3,'Vehicle Data'!I$16)))</f>
        <v>0</v>
      </c>
      <c r="AC82">
        <f>IF(Z82&lt;'Vehicle Data'!C$16,'Vehicle Data'!I$15,IF(Z82&lt;'Vehicle Data'!C$15,'Vehicle Data'!I$15,IF(Z81&gt;'Vehicle Data'!C$15,'Vehicle Data'!I$16)))</f>
        <v>0.98256251041858167</v>
      </c>
      <c r="AD82">
        <f>IF(O82=0.6,'Vehicle Data'!F$21,IF(O82=0.9,'Vehicle Data'!F$20))</f>
        <v>3.5315999999999996</v>
      </c>
      <c r="AE82" s="100">
        <f t="shared" si="49"/>
        <v>0.98256251041858167</v>
      </c>
      <c r="AF82" s="158">
        <f t="shared" si="71"/>
        <v>0.31263514895777883</v>
      </c>
      <c r="AG82" s="148">
        <f t="shared" si="53"/>
        <v>1.0090286005204714</v>
      </c>
      <c r="AH82" s="148">
        <f t="shared" si="72"/>
        <v>20.636365697314822</v>
      </c>
      <c r="AJ82">
        <f>(Z82^2)*'Vehicle Data'!C$31</f>
        <v>13.289458662592992</v>
      </c>
      <c r="AK82">
        <f>IF(O82=0.6,'Vehicle Data'!C$6*'Vehicle Data'!D$21*9.81,IF(O82=0.9,'Vehicle Data'!C$6*9.81*'Vehicle Data'!D$20))</f>
        <v>86.131799999999998</v>
      </c>
      <c r="AL82">
        <f t="shared" si="50"/>
        <v>99.42125866259299</v>
      </c>
      <c r="AN82">
        <f>IF(AG82&gt;0,AG82*'Vehicle Data'!C$6)</f>
        <v>442.96355562848692</v>
      </c>
      <c r="AO82">
        <f t="shared" si="54"/>
        <v>542.38481429107992</v>
      </c>
      <c r="AP82">
        <f>AO82*'Vehicle Data'!F$3</f>
        <v>138.63355853280004</v>
      </c>
      <c r="AQ82">
        <f>IF(AE82='Vehicle Data'!I$15,AP82/'Vehicle Data'!G$15,IF(AE82='Vehicle Data'!I$16,AP82/'Vehicle Data'!G$16,IF(AE82='Vehicle Data'!I$14,Data!AP82/'Vehicle Data'!G93)))</f>
        <v>17.175318871392307</v>
      </c>
      <c r="AR82">
        <f>IF(Z82&lt;'Vehicle Data'!C$16, Z82*'Vehicle Data'!F$7*'Vehicle Data'!G$14,IF(Z82&lt;'Vehicle Data'!C$15,Z82*'Vehicle Data'!F$7*'Vehicle Data'!G$15,IF(Z82&gt;'Vehicle Data'!C$15,Z82*'Vehicle Data'!F$7*'Vehicle Data'!G$16)))</f>
        <v>77.952357457571182</v>
      </c>
      <c r="AS82">
        <f t="shared" si="73"/>
        <v>4677.1414474542707</v>
      </c>
      <c r="AT82">
        <f t="shared" si="74"/>
        <v>17</v>
      </c>
      <c r="AU82">
        <f t="shared" si="75"/>
        <v>4500</v>
      </c>
      <c r="AW82">
        <f>VLOOKUP(AT82,BSFC!A$64:A$82,1,FALSE)</f>
        <v>17</v>
      </c>
      <c r="AX82" t="e" cm="1">
        <f t="array" ref="AX82">_xlfn.XLOOKUP(AT82,BSFC!A$64:A$82,,-1,_xlfn.XLOOKUP(Data!AU82,BSFC!C$63:Q$63,BSFC!B$64:Q$82,,-1))</f>
        <v>#VALUE!</v>
      </c>
      <c r="AY82">
        <f>HLOOKUP(AU82,BSFC!F$63:Q$63,1)</f>
        <v>4500</v>
      </c>
      <c r="AZ82">
        <f>IF(AT82&gt;0,MATCH(AT82,BSFC!A$64:A$83,0),IF(AT82&lt;=0,0))</f>
        <v>6</v>
      </c>
      <c r="BA82">
        <f>MATCH(AU82,BSFC!C$63:Q$63,0)</f>
        <v>9</v>
      </c>
      <c r="BB82" cm="1">
        <f t="array" ref="BB82">IF(AZ82&gt;0,INDEX(BSFC!C$64:Q$83,Data!AZ82,Data!BA82))</f>
        <v>650</v>
      </c>
      <c r="BC82">
        <f>0.5*'Vehicle Data'!C$6*Data!Z82^2</f>
        <v>7937.513405276628</v>
      </c>
      <c r="BD82">
        <f t="shared" si="55"/>
        <v>8.8015101170810581</v>
      </c>
      <c r="BE82">
        <f t="shared" si="76"/>
        <v>5720.9815761026875</v>
      </c>
      <c r="BF82">
        <f t="shared" si="77"/>
        <v>0.49682775756376996</v>
      </c>
      <c r="BG82">
        <f t="shared" si="56"/>
        <v>20.742841772336476</v>
      </c>
      <c r="BH82">
        <f t="shared" si="39"/>
        <v>8378.3266339833608</v>
      </c>
      <c r="BI82" s="148">
        <f t="shared" si="57"/>
        <v>6871.6622130335309</v>
      </c>
      <c r="BO82">
        <f t="shared" si="58"/>
        <v>2502.7326109765418</v>
      </c>
      <c r="BP82">
        <f t="shared" si="59"/>
        <v>18574.819388000291</v>
      </c>
      <c r="BQ82">
        <f t="shared" si="60"/>
        <v>79127.677788878558</v>
      </c>
      <c r="BR82" s="148">
        <f t="shared" si="61"/>
        <v>143858.80358649287</v>
      </c>
      <c r="BS82" s="156">
        <f t="shared" si="62"/>
        <v>2502.7326109765418</v>
      </c>
      <c r="BT82" s="156">
        <f t="shared" si="63"/>
        <v>8378.3266339833608</v>
      </c>
      <c r="BU82">
        <f t="shared" si="64"/>
        <v>2052.6692099133079</v>
      </c>
      <c r="BV82">
        <f t="shared" si="65"/>
        <v>2052.6692099133079</v>
      </c>
      <c r="BW82" s="148">
        <f t="shared" si="66"/>
        <v>455.4</v>
      </c>
      <c r="BX82" s="148">
        <f t="shared" si="67"/>
        <v>3129354.9718154697</v>
      </c>
      <c r="BY82" s="148">
        <f t="shared" si="68"/>
        <v>0.25966265505403341</v>
      </c>
      <c r="BZ82">
        <f t="shared" si="51"/>
        <v>20.636365697314822</v>
      </c>
      <c r="CB82">
        <f t="shared" si="69"/>
        <v>-450.06340106323387</v>
      </c>
      <c r="CC82" s="162">
        <f t="shared" si="52"/>
        <v>-1439.580298516006</v>
      </c>
      <c r="CD82">
        <f t="shared" si="78"/>
        <v>63999.185318588432</v>
      </c>
    </row>
    <row r="83" spans="4:82" x14ac:dyDescent="0.2">
      <c r="D83" s="22">
        <f t="shared" si="42"/>
        <v>0</v>
      </c>
      <c r="E83" s="23">
        <v>9.2017056000000004</v>
      </c>
      <c r="F83" s="23">
        <f>IF(K83&lt;6,1,IF(Data!K83&lt;9,2,IF(K83&gt;9,3)))</f>
        <v>3</v>
      </c>
      <c r="G83" s="23">
        <v>846.76339096774257</v>
      </c>
      <c r="H83" s="23">
        <v>214.91666499999999</v>
      </c>
      <c r="I83" s="64">
        <v>37.757522792323435</v>
      </c>
      <c r="J83" s="65">
        <f t="shared" si="43"/>
        <v>2.8425971090251525</v>
      </c>
      <c r="K83" s="65">
        <f t="shared" si="44"/>
        <v>15.103009116929375</v>
      </c>
      <c r="L83" s="65">
        <f t="shared" si="45"/>
        <v>1.1370388436100467</v>
      </c>
      <c r="M83">
        <f t="shared" si="46"/>
        <v>18.403411200000001</v>
      </c>
      <c r="N83">
        <f t="shared" si="47"/>
        <v>0</v>
      </c>
      <c r="O83">
        <f>IF(L83&lt;'Vehicle Data'!F$21,'Vehicle Data'!C$21,IF(L83&gt;'Vehicle Data'!C$21,'Vehicle Data'!C$20))</f>
        <v>0.6</v>
      </c>
      <c r="P83">
        <f>('Vehicle Data'!C$6*9.81*'Vehicle Data'!C$5*SIN(D83))/'Vehicle Data'!C$9</f>
        <v>0</v>
      </c>
      <c r="Q83" s="107">
        <f>'Vehicle Data'!C$6*9.81*SIN(D83)</f>
        <v>0</v>
      </c>
      <c r="R83">
        <f t="shared" si="41"/>
        <v>844.87086020416564</v>
      </c>
      <c r="S83">
        <f>IF(Data!O83=0.6,'Vehicle Data'!E$21,IF(Data!O83 = 0.9,'Vehicle Data'!E$20))+(P83*O83)</f>
        <v>1550.3723999999997</v>
      </c>
      <c r="T83">
        <f>IF(F83=3,'Vehicle Data'!H$16,IF(F83=2,'Vehicle Data'!H$15,IF(F83 = 1,'Vehicle Data'!G$14)))</f>
        <v>466.23005239380637</v>
      </c>
      <c r="U83" s="148">
        <f t="shared" si="48"/>
        <v>128.73237808084957</v>
      </c>
      <c r="V83" s="70" t="s">
        <v>77</v>
      </c>
      <c r="W83" s="99" t="s">
        <v>84</v>
      </c>
      <c r="X83">
        <f>IF(V83="S",'Vehicle Data'!C$14,IF(Data!V83 = "T1",'Vehicle Data'!P$2,IF(Data!V83="T2",'Vehicle Data'!P$3)))</f>
        <v>13.411199999999999</v>
      </c>
      <c r="Z83">
        <f t="shared" si="70"/>
        <v>6.3141323143135581</v>
      </c>
      <c r="AB83" t="b">
        <f>IF(AA83=1,'Vehicle Data'!I$14,IF(AA83=2,'Vehicle Data'!I$15,IF(AA83=3,'Vehicle Data'!I$16)))</f>
        <v>0</v>
      </c>
      <c r="AC83">
        <f>IF(Z83&lt;'Vehicle Data'!C$16,'Vehicle Data'!I$15,IF(Z83&lt;'Vehicle Data'!C$15,'Vehicle Data'!I$15,IF(Z82&gt;'Vehicle Data'!C$15,'Vehicle Data'!I$16)))</f>
        <v>0.98256251041858167</v>
      </c>
      <c r="AD83">
        <f>IF(O83=0.6,'Vehicle Data'!F$21,IF(O83=0.9,'Vehicle Data'!F$20))</f>
        <v>3.5315999999999996</v>
      </c>
      <c r="AE83" s="100">
        <f t="shared" si="49"/>
        <v>0.98256251041858167</v>
      </c>
      <c r="AF83" s="158">
        <f t="shared" si="71"/>
        <v>0.29871509196421142</v>
      </c>
      <c r="AG83" s="148">
        <f t="shared" si="53"/>
        <v>1.0065267778677629</v>
      </c>
      <c r="AH83" s="148">
        <f t="shared" si="72"/>
        <v>20.935080789279034</v>
      </c>
      <c r="AJ83">
        <f>(Z83^2)*'Vehicle Data'!C$31</f>
        <v>14.651588079377072</v>
      </c>
      <c r="AK83">
        <f>IF(O83=0.6,'Vehicle Data'!C$6*'Vehicle Data'!D$21*9.81,IF(O83=0.9,'Vehicle Data'!C$6*9.81*'Vehicle Data'!D$20))</f>
        <v>86.131799999999998</v>
      </c>
      <c r="AL83">
        <f t="shared" si="50"/>
        <v>100.78338807937708</v>
      </c>
      <c r="AN83">
        <f>IF(AG83&gt;0,AG83*'Vehicle Data'!C$6)</f>
        <v>441.86525548394792</v>
      </c>
      <c r="AO83">
        <f t="shared" si="54"/>
        <v>542.64864356332498</v>
      </c>
      <c r="AP83">
        <f>AO83*'Vehicle Data'!F$3</f>
        <v>138.70099329478586</v>
      </c>
      <c r="AQ83">
        <f>IF(AE83='Vehicle Data'!I$15,AP83/'Vehicle Data'!G$15,IF(AE83='Vehicle Data'!I$16,AP83/'Vehicle Data'!G$16,IF(AE83='Vehicle Data'!I$14,Data!AP83/'Vehicle Data'!G94)))</f>
        <v>17.183673367607948</v>
      </c>
      <c r="AR83">
        <f>IF(Z83&lt;'Vehicle Data'!C$16, Z83*'Vehicle Data'!F$7*'Vehicle Data'!G$14,IF(Z83&lt;'Vehicle Data'!C$15,Z83*'Vehicle Data'!F$7*'Vehicle Data'!G$15,IF(Z83&gt;'Vehicle Data'!C$15,Z83*'Vehicle Data'!F$7*'Vehicle Data'!G$16)))</f>
        <v>81.849863333694287</v>
      </c>
      <c r="AS83">
        <f t="shared" si="73"/>
        <v>4910.9918000216576</v>
      </c>
      <c r="AT83">
        <f t="shared" si="74"/>
        <v>17</v>
      </c>
      <c r="AU83">
        <f t="shared" si="75"/>
        <v>5000</v>
      </c>
      <c r="AW83">
        <f>VLOOKUP(AT83,BSFC!A$64:A$82,1,FALSE)</f>
        <v>17</v>
      </c>
      <c r="AX83" t="e" cm="1">
        <f t="array" ref="AX83">_xlfn.XLOOKUP(AT83,BSFC!A$64:A$82,,-1,_xlfn.XLOOKUP(Data!AU83,BSFC!C$63:Q$63,BSFC!B$64:Q$82,,-1))</f>
        <v>#VALUE!</v>
      </c>
      <c r="AY83">
        <f>HLOOKUP(AU83,BSFC!F$63:Q$63,1)</f>
        <v>5000</v>
      </c>
      <c r="AZ83">
        <f>IF(AT83&gt;0,MATCH(AT83,BSFC!A$64:A$83,0),IF(AT83&lt;=0,0))</f>
        <v>6</v>
      </c>
      <c r="BA83">
        <f>MATCH(AU83,BSFC!C$63:Q$63,0)</f>
        <v>10</v>
      </c>
      <c r="BB83" cm="1">
        <f t="array" ref="BB83">IF(AZ83&gt;0,INDEX(BSFC!C$64:Q$83,Data!AZ83,Data!BA83))</f>
        <v>644.79999999999995</v>
      </c>
      <c r="BC83">
        <f>0.5*'Vehicle Data'!C$6*Data!Z83^2</f>
        <v>8751.0845807435817</v>
      </c>
      <c r="BD83">
        <f t="shared" si="55"/>
        <v>9.2107175187768444</v>
      </c>
      <c r="BE83">
        <f t="shared" si="76"/>
        <v>5939.0706561073084</v>
      </c>
      <c r="BF83">
        <f t="shared" si="77"/>
        <v>0.49280278811695671</v>
      </c>
      <c r="BG83">
        <f t="shared" si="56"/>
        <v>21.235644560453434</v>
      </c>
      <c r="BH83">
        <f t="shared" si="39"/>
        <v>8801.5101170810576</v>
      </c>
      <c r="BI83" s="148">
        <f t="shared" si="57"/>
        <v>6871.6622130335309</v>
      </c>
      <c r="BO83">
        <f t="shared" si="58"/>
        <v>2523.0161169519547</v>
      </c>
      <c r="BP83">
        <f t="shared" si="59"/>
        <v>21097.835504952247</v>
      </c>
      <c r="BQ83">
        <f t="shared" si="60"/>
        <v>81650.693905830514</v>
      </c>
      <c r="BR83" s="148">
        <f t="shared" si="61"/>
        <v>145828.61493512575</v>
      </c>
      <c r="BS83" s="156">
        <f t="shared" si="62"/>
        <v>2523.0161169519547</v>
      </c>
      <c r="BT83" s="156">
        <f t="shared" si="63"/>
        <v>8801.5101170810576</v>
      </c>
      <c r="BU83">
        <f t="shared" si="64"/>
        <v>1969.8113486328753</v>
      </c>
      <c r="BV83">
        <f t="shared" si="65"/>
        <v>1969.8113486328753</v>
      </c>
      <c r="BW83" s="148">
        <f t="shared" si="66"/>
        <v>455.4</v>
      </c>
      <c r="BX83" s="148">
        <f t="shared" si="67"/>
        <v>3129354.9718154697</v>
      </c>
      <c r="BY83" s="148">
        <f t="shared" si="68"/>
        <v>0.24918113560205868</v>
      </c>
      <c r="BZ83">
        <f t="shared" si="51"/>
        <v>20.935080789279034</v>
      </c>
      <c r="CB83">
        <f t="shared" si="69"/>
        <v>-553.20476831907945</v>
      </c>
      <c r="CC83" s="162">
        <f t="shared" si="52"/>
        <v>-1851.9478365872362</v>
      </c>
      <c r="CD83">
        <f t="shared" si="78"/>
        <v>63445.980550269349</v>
      </c>
    </row>
    <row r="84" spans="4:82" x14ac:dyDescent="0.2">
      <c r="D84" s="22">
        <f t="shared" si="42"/>
        <v>0</v>
      </c>
      <c r="E84" s="23">
        <v>9.2017056000000004</v>
      </c>
      <c r="F84" s="23">
        <f>IF(K84&lt;6,1,IF(Data!K84&lt;9,2,IF(K84&gt;9,3)))</f>
        <v>3</v>
      </c>
      <c r="G84" s="23">
        <v>848.66206494079279</v>
      </c>
      <c r="H84" s="23">
        <v>214.96666499999998</v>
      </c>
      <c r="I84" s="64">
        <v>37.899652647774644</v>
      </c>
      <c r="J84" s="65">
        <f t="shared" si="43"/>
        <v>2.6747622441807155</v>
      </c>
      <c r="K84" s="65">
        <f t="shared" si="44"/>
        <v>15.159861059109858</v>
      </c>
      <c r="L84" s="65">
        <f t="shared" si="45"/>
        <v>1.0699048976722789</v>
      </c>
      <c r="M84">
        <f t="shared" si="46"/>
        <v>18.403411200000001</v>
      </c>
      <c r="N84">
        <f t="shared" si="47"/>
        <v>0</v>
      </c>
      <c r="O84">
        <f>IF(L84&lt;'Vehicle Data'!F$21,'Vehicle Data'!C$21,IF(L84&gt;'Vehicle Data'!C$21,'Vehicle Data'!C$20))</f>
        <v>0.6</v>
      </c>
      <c r="P84">
        <f>('Vehicle Data'!C$6*9.81*'Vehicle Data'!C$5*SIN(D84))/'Vehicle Data'!C$9</f>
        <v>0</v>
      </c>
      <c r="Q84" s="107">
        <f>'Vehicle Data'!C$6*9.81*SIN(D84)</f>
        <v>0</v>
      </c>
      <c r="R84">
        <f t="shared" si="41"/>
        <v>846.76339096774257</v>
      </c>
      <c r="S84">
        <f>IF(Data!O84=0.6,'Vehicle Data'!E$21,IF(Data!O84 = 0.9,'Vehicle Data'!E$20))+(P84*O84)</f>
        <v>1550.3723999999997</v>
      </c>
      <c r="T84">
        <f>IF(F84=3,'Vehicle Data'!H$16,IF(F84=2,'Vehicle Data'!H$15,IF(F84 = 1,'Vehicle Data'!G$14)))</f>
        <v>466.23005239380637</v>
      </c>
      <c r="U84" s="148">
        <f t="shared" si="48"/>
        <v>130.6249088444265</v>
      </c>
      <c r="V84" s="70" t="s">
        <v>77</v>
      </c>
      <c r="W84" s="99" t="s">
        <v>84</v>
      </c>
      <c r="X84">
        <f>IF(V84="S",'Vehicle Data'!C$14,IF(Data!V84 = "T1",'Vehicle Data'!P$2,IF(Data!V84="T2",'Vehicle Data'!P$3)))</f>
        <v>13.411199999999999</v>
      </c>
      <c r="Z84">
        <f t="shared" si="70"/>
        <v>6.6020698601929206</v>
      </c>
      <c r="AB84" t="b">
        <f>IF(AA84=1,'Vehicle Data'!I$14,IF(AA84=2,'Vehicle Data'!I$15,IF(AA84=3,'Vehicle Data'!I$16)))</f>
        <v>0</v>
      </c>
      <c r="AC84">
        <f>IF(Z84&lt;'Vehicle Data'!C$16,'Vehicle Data'!I$15,IF(Z84&lt;'Vehicle Data'!C$15,'Vehicle Data'!I$15,IF(Z83&gt;'Vehicle Data'!C$15,'Vehicle Data'!I$16)))</f>
        <v>0.98256251041858167</v>
      </c>
      <c r="AD84">
        <f>IF(O84=0.6,'Vehicle Data'!F$21,IF(O84=0.9,'Vehicle Data'!F$20))</f>
        <v>3.5315999999999996</v>
      </c>
      <c r="AE84" s="100">
        <f t="shared" si="49"/>
        <v>0.98256251041858167</v>
      </c>
      <c r="AF84" s="158">
        <f t="shared" si="71"/>
        <v>0.28665718534544959</v>
      </c>
      <c r="AG84" s="148">
        <f t="shared" si="53"/>
        <v>1.0044665216829292</v>
      </c>
      <c r="AH84" s="148">
        <f t="shared" si="72"/>
        <v>21.221737974624485</v>
      </c>
      <c r="AJ84">
        <f>(Z84^2)*'Vehicle Data'!C$31</f>
        <v>16.018342466283912</v>
      </c>
      <c r="AK84">
        <f>IF(O84=0.6,'Vehicle Data'!C$6*'Vehicle Data'!D$21*9.81,IF(O84=0.9,'Vehicle Data'!C$6*9.81*'Vehicle Data'!D$20))</f>
        <v>86.131799999999998</v>
      </c>
      <c r="AL84">
        <f t="shared" si="50"/>
        <v>102.15014246628391</v>
      </c>
      <c r="AN84">
        <f>IF(AG84&gt;0,AG84*'Vehicle Data'!C$6)</f>
        <v>440.9608030188059</v>
      </c>
      <c r="AO84">
        <f t="shared" si="54"/>
        <v>543.11094548508981</v>
      </c>
      <c r="AP84">
        <f>AO84*'Vehicle Data'!F$3</f>
        <v>138.81915766598894</v>
      </c>
      <c r="AQ84">
        <f>IF(AE84='Vehicle Data'!I$15,AP84/'Vehicle Data'!G$15,IF(AE84='Vehicle Data'!I$16,AP84/'Vehicle Data'!G$16,IF(AE84='Vehicle Data'!I$14,Data!AP84/'Vehicle Data'!G95)))</f>
        <v>17.198312757782514</v>
      </c>
      <c r="AR84">
        <f>IF(Z84&lt;'Vehicle Data'!C$16, Z84*'Vehicle Data'!F$7*'Vehicle Data'!G$14,IF(Z84&lt;'Vehicle Data'!C$15,Z84*'Vehicle Data'!F$7*'Vehicle Data'!G$15,IF(Z84&gt;'Vehicle Data'!C$15,Z84*'Vehicle Data'!F$7*'Vehicle Data'!G$16)))</f>
        <v>85.582387076574904</v>
      </c>
      <c r="AS84">
        <f t="shared" si="73"/>
        <v>5134.9432245944945</v>
      </c>
      <c r="AT84">
        <f t="shared" si="74"/>
        <v>17</v>
      </c>
      <c r="AU84">
        <f t="shared" si="75"/>
        <v>5000</v>
      </c>
      <c r="AW84">
        <f>VLOOKUP(AT84,BSFC!A$64:A$82,1,FALSE)</f>
        <v>17</v>
      </c>
      <c r="AX84" t="e" cm="1">
        <f t="array" ref="AX84">_xlfn.XLOOKUP(AT84,BSFC!A$64:A$82,,-1,_xlfn.XLOOKUP(Data!AU84,BSFC!C$63:Q$63,BSFC!B$64:Q$82,,-1))</f>
        <v>#VALUE!</v>
      </c>
      <c r="AY84">
        <f>HLOOKUP(AU84,BSFC!F$63:Q$63,1)</f>
        <v>5000</v>
      </c>
      <c r="AZ84">
        <f>IF(AT84&gt;0,MATCH(AT84,BSFC!A$64:A$83,0),IF(AT84&lt;=0,0))</f>
        <v>6</v>
      </c>
      <c r="BA84">
        <f>MATCH(AU84,BSFC!C$63:Q$63,0)</f>
        <v>10</v>
      </c>
      <c r="BB84" cm="1">
        <f t="array" ref="BB84">IF(AZ84&gt;0,INDEX(BSFC!C$64:Q$83,Data!AZ84,Data!BA84))</f>
        <v>644.79999999999995</v>
      </c>
      <c r="BC84">
        <f>0.5*'Vehicle Data'!C$6*Data!Z84^2</f>
        <v>9567.418153331475</v>
      </c>
      <c r="BD84">
        <f t="shared" si="55"/>
        <v>9.6076469227169312</v>
      </c>
      <c r="BE84">
        <f t="shared" si="76"/>
        <v>6195.0107357678771</v>
      </c>
      <c r="BF84">
        <f t="shared" si="77"/>
        <v>0.49329009463890627</v>
      </c>
      <c r="BG84">
        <f t="shared" si="56"/>
        <v>21.728934655092338</v>
      </c>
      <c r="BH84">
        <f t="shared" si="39"/>
        <v>9210.7175187768444</v>
      </c>
      <c r="BI84" s="148">
        <f t="shared" si="57"/>
        <v>6871.6622130335309</v>
      </c>
      <c r="BO84">
        <f t="shared" si="58"/>
        <v>2542.3103635769858</v>
      </c>
      <c r="BP84">
        <f t="shared" si="59"/>
        <v>23640.145868529231</v>
      </c>
      <c r="BQ84">
        <f t="shared" si="60"/>
        <v>84193.004269407495</v>
      </c>
      <c r="BR84" s="148">
        <f t="shared" si="61"/>
        <v>147725.30735062776</v>
      </c>
      <c r="BS84" s="156">
        <f t="shared" si="62"/>
        <v>2542.3103635769858</v>
      </c>
      <c r="BT84" s="156">
        <f t="shared" si="63"/>
        <v>9210.7175187768444</v>
      </c>
      <c r="BU84">
        <f t="shared" si="64"/>
        <v>1896.6924155020076</v>
      </c>
      <c r="BV84">
        <f t="shared" si="65"/>
        <v>1896.6924155020076</v>
      </c>
      <c r="BW84" s="148">
        <f t="shared" si="66"/>
        <v>455.4</v>
      </c>
      <c r="BX84" s="148">
        <f t="shared" si="67"/>
        <v>3129354.9718154697</v>
      </c>
      <c r="BY84" s="148">
        <f t="shared" si="68"/>
        <v>0.23993159056100394</v>
      </c>
      <c r="BZ84">
        <f t="shared" si="51"/>
        <v>21.221737974624485</v>
      </c>
      <c r="CB84">
        <f t="shared" si="69"/>
        <v>-645.61794807497813</v>
      </c>
      <c r="CC84" s="162">
        <f t="shared" si="52"/>
        <v>-2252.2301239264007</v>
      </c>
      <c r="CD84">
        <f t="shared" si="78"/>
        <v>62800.362602194371</v>
      </c>
    </row>
    <row r="85" spans="4:82" x14ac:dyDescent="0.2">
      <c r="D85" s="22">
        <f t="shared" si="42"/>
        <v>0</v>
      </c>
      <c r="E85" s="23">
        <v>9.2017056000000004</v>
      </c>
      <c r="F85" s="23">
        <f>IF(K85&lt;6,1,IF(Data!K85&lt;9,2,IF(K85&gt;9,3)))</f>
        <v>3</v>
      </c>
      <c r="G85" s="23">
        <v>850.56695363005372</v>
      </c>
      <c r="H85" s="23">
        <v>215.01666499999999</v>
      </c>
      <c r="I85" s="64">
        <v>38.03339075998371</v>
      </c>
      <c r="J85" s="65">
        <f t="shared" si="43"/>
        <v>2.8066806435280269</v>
      </c>
      <c r="K85" s="65">
        <f t="shared" si="44"/>
        <v>15.213356303993484</v>
      </c>
      <c r="L85" s="65">
        <f t="shared" si="45"/>
        <v>1.1226722574112036</v>
      </c>
      <c r="M85">
        <f t="shared" si="46"/>
        <v>18.403411200000001</v>
      </c>
      <c r="N85">
        <f t="shared" si="47"/>
        <v>0</v>
      </c>
      <c r="O85">
        <f>IF(L85&lt;'Vehicle Data'!F$21,'Vehicle Data'!C$21,IF(L85&gt;'Vehicle Data'!C$21,'Vehicle Data'!C$20))</f>
        <v>0.6</v>
      </c>
      <c r="P85">
        <f>('Vehicle Data'!C$6*9.81*'Vehicle Data'!C$5*SIN(D85))/'Vehicle Data'!C$9</f>
        <v>0</v>
      </c>
      <c r="Q85" s="107">
        <f>'Vehicle Data'!C$6*9.81*SIN(D85)</f>
        <v>0</v>
      </c>
      <c r="R85">
        <f t="shared" si="41"/>
        <v>848.66206494079279</v>
      </c>
      <c r="S85">
        <f>IF(Data!O85=0.6,'Vehicle Data'!E$21,IF(Data!O85 = 0.9,'Vehicle Data'!E$20))+(P85*O85)</f>
        <v>1550.3723999999997</v>
      </c>
      <c r="T85">
        <f>IF(F85=3,'Vehicle Data'!H$16,IF(F85=2,'Vehicle Data'!H$15,IF(F85 = 1,'Vehicle Data'!G$14)))</f>
        <v>466.23005239380637</v>
      </c>
      <c r="U85" s="148">
        <f t="shared" si="48"/>
        <v>132.52358281747672</v>
      </c>
      <c r="V85" s="70" t="s">
        <v>77</v>
      </c>
      <c r="W85" s="99" t="s">
        <v>84</v>
      </c>
      <c r="X85">
        <f>IF(V85="S",'Vehicle Data'!C$14,IF(Data!V85 = "T1",'Vehicle Data'!P$2,IF(Data!V85="T2",'Vehicle Data'!P$3)))</f>
        <v>13.411199999999999</v>
      </c>
      <c r="Z85">
        <f t="shared" si="70"/>
        <v>6.8788413391879502</v>
      </c>
      <c r="AB85" t="b">
        <f>IF(AA85=1,'Vehicle Data'!I$14,IF(AA85=2,'Vehicle Data'!I$15,IF(AA85=3,'Vehicle Data'!I$16)))</f>
        <v>0</v>
      </c>
      <c r="AC85">
        <f>IF(Z85&lt;'Vehicle Data'!C$16,'Vehicle Data'!I$15,IF(Z85&lt;'Vehicle Data'!C$15,'Vehicle Data'!I$15,IF(Z84&gt;'Vehicle Data'!C$15,'Vehicle Data'!I$16)))</f>
        <v>0.98256251041858167</v>
      </c>
      <c r="AD85">
        <f>IF(O85=0.6,'Vehicle Data'!F$21,IF(O85=0.9,'Vehicle Data'!F$20))</f>
        <v>3.5315999999999996</v>
      </c>
      <c r="AE85" s="100">
        <f t="shared" si="49"/>
        <v>0.98256251041858167</v>
      </c>
      <c r="AF85" s="158">
        <f t="shared" si="71"/>
        <v>0.27601653816809235</v>
      </c>
      <c r="AG85" s="148">
        <f t="shared" si="53"/>
        <v>1.0027351289598359</v>
      </c>
      <c r="AH85" s="148">
        <f t="shared" si="72"/>
        <v>21.497754512792579</v>
      </c>
      <c r="AJ85">
        <f>(Z85^2)*'Vehicle Data'!C$31</f>
        <v>17.389533377372498</v>
      </c>
      <c r="AK85">
        <f>IF(O85=0.6,'Vehicle Data'!C$6*'Vehicle Data'!D$21*9.81,IF(O85=0.9,'Vehicle Data'!C$6*9.81*'Vehicle Data'!D$20))</f>
        <v>86.131799999999998</v>
      </c>
      <c r="AL85">
        <f t="shared" si="50"/>
        <v>103.5213333773725</v>
      </c>
      <c r="AN85">
        <f>IF(AG85&gt;0,AG85*'Vehicle Data'!C$6)</f>
        <v>440.20072161336793</v>
      </c>
      <c r="AO85">
        <f t="shared" si="54"/>
        <v>543.72205499074039</v>
      </c>
      <c r="AP85">
        <f>AO85*'Vehicle Data'!F$3</f>
        <v>138.97535725563324</v>
      </c>
      <c r="AQ85">
        <f>IF(AE85='Vehicle Data'!I$15,AP85/'Vehicle Data'!G$15,IF(AE85='Vehicle Data'!I$16,AP85/'Vehicle Data'!G$16,IF(AE85='Vehicle Data'!I$14,Data!AP85/'Vehicle Data'!G96)))</f>
        <v>17.217664333173886</v>
      </c>
      <c r="AR85">
        <f>IF(Z85&lt;'Vehicle Data'!C$16, Z85*'Vehicle Data'!F$7*'Vehicle Data'!G$14,IF(Z85&lt;'Vehicle Data'!C$15,Z85*'Vehicle Data'!F$7*'Vehicle Data'!G$15,IF(Z85&gt;'Vehicle Data'!C$15,Z85*'Vehicle Data'!F$7*'Vehicle Data'!G$16)))</f>
        <v>89.170165507991953</v>
      </c>
      <c r="AS85">
        <f t="shared" si="73"/>
        <v>5350.2099304795174</v>
      </c>
      <c r="AT85">
        <f t="shared" si="74"/>
        <v>17</v>
      </c>
      <c r="AU85">
        <f t="shared" si="75"/>
        <v>5500</v>
      </c>
      <c r="AW85">
        <f>VLOOKUP(AT85,BSFC!A$64:A$82,1,FALSE)</f>
        <v>17</v>
      </c>
      <c r="AX85" t="e" cm="1">
        <f t="array" ref="AX85">_xlfn.XLOOKUP(AT85,BSFC!A$64:A$82,,-1,_xlfn.XLOOKUP(Data!AU85,BSFC!C$63:Q$63,BSFC!B$64:Q$82,,-1))</f>
        <v>#VALUE!</v>
      </c>
      <c r="AY85">
        <f>HLOOKUP(AU85,BSFC!F$63:Q$63,1)</f>
        <v>5500</v>
      </c>
      <c r="AZ85">
        <f>IF(AT85&gt;0,MATCH(AT85,BSFC!A$64:A$83,0),IF(AT85&lt;=0,0))</f>
        <v>6</v>
      </c>
      <c r="BA85">
        <f>MATCH(AU85,BSFC!C$63:Q$63,0)</f>
        <v>11</v>
      </c>
      <c r="BB85" cm="1">
        <f t="array" ref="BB85">IF(AZ85&gt;0,INDEX(BSFC!C$64:Q$83,Data!AZ85,Data!BA85))</f>
        <v>629.4</v>
      </c>
      <c r="BC85">
        <f>0.5*'Vehicle Data'!C$6*Data!Z85^2</f>
        <v>10386.401568253774</v>
      </c>
      <c r="BD85">
        <f t="shared" si="55"/>
        <v>9.9938270961205884</v>
      </c>
      <c r="BE85">
        <f t="shared" si="76"/>
        <v>6290.1147742982985</v>
      </c>
      <c r="BF85">
        <f t="shared" si="77"/>
        <v>0.4822710290782744</v>
      </c>
      <c r="BG85">
        <f t="shared" si="56"/>
        <v>22.211205684170611</v>
      </c>
      <c r="BH85">
        <f t="shared" si="39"/>
        <v>9607.6469227169309</v>
      </c>
      <c r="BI85" s="148">
        <f t="shared" si="57"/>
        <v>6871.6622130335309</v>
      </c>
      <c r="BO85">
        <f t="shared" si="58"/>
        <v>2561.1709456298845</v>
      </c>
      <c r="BP85">
        <f t="shared" si="59"/>
        <v>26201.316814159116</v>
      </c>
      <c r="BQ85">
        <f t="shared" si="60"/>
        <v>86754.17521503738</v>
      </c>
      <c r="BR85" s="148">
        <f t="shared" si="61"/>
        <v>149557.12962196776</v>
      </c>
      <c r="BS85" s="156">
        <f t="shared" si="62"/>
        <v>2561.1709456298845</v>
      </c>
      <c r="BT85" s="156">
        <f t="shared" si="63"/>
        <v>9607.6469227169309</v>
      </c>
      <c r="BU85">
        <f t="shared" si="64"/>
        <v>1831.822271340015</v>
      </c>
      <c r="BV85">
        <f t="shared" si="65"/>
        <v>1831.822271340015</v>
      </c>
      <c r="BW85" s="148">
        <f t="shared" si="66"/>
        <v>455.4</v>
      </c>
      <c r="BX85" s="148">
        <f t="shared" si="67"/>
        <v>3129354.9718154697</v>
      </c>
      <c r="BY85" s="148">
        <f t="shared" si="68"/>
        <v>0.23172551732451185</v>
      </c>
      <c r="BZ85">
        <f t="shared" si="51"/>
        <v>21.497754512792579</v>
      </c>
      <c r="CB85">
        <f t="shared" si="69"/>
        <v>-729.34867428986945</v>
      </c>
      <c r="CC85" s="162">
        <f t="shared" si="52"/>
        <v>-2642.4093249285584</v>
      </c>
      <c r="CD85">
        <f t="shared" si="78"/>
        <v>62071.013927904503</v>
      </c>
    </row>
    <row r="86" spans="4:82" x14ac:dyDescent="0.2">
      <c r="D86" s="22">
        <f t="shared" si="42"/>
        <v>0</v>
      </c>
      <c r="E86" s="23">
        <v>9.2017056000000004</v>
      </c>
      <c r="F86" s="23">
        <f>IF(K86&lt;6,1,IF(Data!K86&lt;9,2,IF(K86&gt;9,3)))</f>
        <v>3</v>
      </c>
      <c r="G86" s="23">
        <v>852.47838967742064</v>
      </c>
      <c r="H86" s="23">
        <v>215.066665</v>
      </c>
      <c r="I86" s="64">
        <v>38.173724792160144</v>
      </c>
      <c r="J86" s="65">
        <f t="shared" si="43"/>
        <v>3.0444958366682764</v>
      </c>
      <c r="K86" s="65">
        <f t="shared" si="44"/>
        <v>15.269489916864057</v>
      </c>
      <c r="L86" s="65">
        <f t="shared" si="45"/>
        <v>1.2177983346673107</v>
      </c>
      <c r="M86">
        <f t="shared" si="46"/>
        <v>18.403411200000001</v>
      </c>
      <c r="N86">
        <f t="shared" si="47"/>
        <v>0</v>
      </c>
      <c r="O86">
        <f>IF(L86&lt;'Vehicle Data'!F$21,'Vehicle Data'!C$21,IF(L86&gt;'Vehicle Data'!C$21,'Vehicle Data'!C$20))</f>
        <v>0.6</v>
      </c>
      <c r="P86">
        <f>('Vehicle Data'!C$6*9.81*'Vehicle Data'!C$5*SIN(D86))/'Vehicle Data'!C$9</f>
        <v>0</v>
      </c>
      <c r="Q86" s="107">
        <f>'Vehicle Data'!C$6*9.81*SIN(D86)</f>
        <v>0</v>
      </c>
      <c r="R86">
        <f t="shared" si="41"/>
        <v>850.56695363005372</v>
      </c>
      <c r="S86">
        <f>IF(Data!O86=0.6,'Vehicle Data'!E$21,IF(Data!O86 = 0.9,'Vehicle Data'!E$20))+(P86*O86)</f>
        <v>1550.3723999999997</v>
      </c>
      <c r="T86">
        <f>IF(F86=3,'Vehicle Data'!H$16,IF(F86=2,'Vehicle Data'!H$15,IF(F86 = 1,'Vehicle Data'!G$14)))</f>
        <v>466.23005239380637</v>
      </c>
      <c r="U86" s="148">
        <f t="shared" si="48"/>
        <v>134.42847150673765</v>
      </c>
      <c r="V86" s="70" t="s">
        <v>77</v>
      </c>
      <c r="W86" s="99" t="s">
        <v>84</v>
      </c>
      <c r="X86">
        <f>IF(V86="S",'Vehicle Data'!C$14,IF(Data!V86 = "T1",'Vehicle Data'!P$2,IF(Data!V86="T2",'Vehicle Data'!P$3)))</f>
        <v>13.411199999999999</v>
      </c>
      <c r="Z86">
        <f t="shared" si="70"/>
        <v>7.1457541655795458</v>
      </c>
      <c r="AB86" t="b">
        <f>IF(AA86=1,'Vehicle Data'!I$14,IF(AA86=2,'Vehicle Data'!I$15,IF(AA86=3,'Vehicle Data'!I$16)))</f>
        <v>0</v>
      </c>
      <c r="AC86">
        <f>IF(Z86&lt;'Vehicle Data'!C$16,'Vehicle Data'!I$15,IF(Z86&lt;'Vehicle Data'!C$15,'Vehicle Data'!I$15,IF(Z85&gt;'Vehicle Data'!C$15,'Vehicle Data'!I$16)))</f>
        <v>0.98256251041858167</v>
      </c>
      <c r="AD86">
        <f>IF(O86=0.6,'Vehicle Data'!F$21,IF(O86=0.9,'Vehicle Data'!F$20))</f>
        <v>3.5315999999999996</v>
      </c>
      <c r="AE86" s="100">
        <f t="shared" si="49"/>
        <v>0.98256251041858167</v>
      </c>
      <c r="AF86" s="158">
        <f t="shared" si="71"/>
        <v>0.26657629763372021</v>
      </c>
      <c r="AG86" s="148">
        <f t="shared" si="53"/>
        <v>1.0012624106526449</v>
      </c>
      <c r="AH86" s="148">
        <f t="shared" si="72"/>
        <v>21.764330810426298</v>
      </c>
      <c r="AJ86">
        <f>(Z86^2)*'Vehicle Data'!C$31</f>
        <v>18.765212453624809</v>
      </c>
      <c r="AK86">
        <f>IF(O86=0.6,'Vehicle Data'!C$6*'Vehicle Data'!D$21*9.81,IF(O86=0.9,'Vehicle Data'!C$6*9.81*'Vehicle Data'!D$20))</f>
        <v>86.131799999999998</v>
      </c>
      <c r="AL86">
        <f t="shared" si="50"/>
        <v>104.89701245362481</v>
      </c>
      <c r="AN86">
        <f>IF(AG86&gt;0,AG86*'Vehicle Data'!C$6)</f>
        <v>439.5541982765111</v>
      </c>
      <c r="AO86">
        <f t="shared" si="54"/>
        <v>544.45121073013593</v>
      </c>
      <c r="AP86">
        <f>AO86*'Vehicle Data'!F$3</f>
        <v>139.16172946262273</v>
      </c>
      <c r="AQ86">
        <f>IF(AE86='Vehicle Data'!I$15,AP86/'Vehicle Data'!G$15,IF(AE86='Vehicle Data'!I$16,AP86/'Vehicle Data'!G$16,IF(AE86='Vehicle Data'!I$14,Data!AP86/'Vehicle Data'!G97)))</f>
        <v>17.240753995717981</v>
      </c>
      <c r="AR86">
        <f>IF(Z86&lt;'Vehicle Data'!C$16, Z86*'Vehicle Data'!F$7*'Vehicle Data'!G$14,IF(Z86&lt;'Vehicle Data'!C$15,Z86*'Vehicle Data'!F$7*'Vehicle Data'!G$15,IF(Z86&gt;'Vehicle Data'!C$15,Z86*'Vehicle Data'!F$7*'Vehicle Data'!G$16)))</f>
        <v>92.630146590845968</v>
      </c>
      <c r="AS86">
        <f t="shared" si="73"/>
        <v>5557.8087954507582</v>
      </c>
      <c r="AT86">
        <f t="shared" si="74"/>
        <v>17</v>
      </c>
      <c r="AU86">
        <f t="shared" si="75"/>
        <v>5500</v>
      </c>
      <c r="AW86">
        <f>VLOOKUP(AT86,BSFC!A$64:A$82,1,FALSE)</f>
        <v>17</v>
      </c>
      <c r="AX86" t="e" cm="1">
        <f t="array" ref="AX86">_xlfn.XLOOKUP(AT86,BSFC!A$64:A$82,,-1,_xlfn.XLOOKUP(Data!AU86,BSFC!C$63:Q$63,BSFC!B$64:Q$82,,-1))</f>
        <v>#VALUE!</v>
      </c>
      <c r="AY86">
        <f>HLOOKUP(AU86,BSFC!F$63:Q$63,1)</f>
        <v>5500</v>
      </c>
      <c r="AZ86">
        <f>IF(AT86&gt;0,MATCH(AT86,BSFC!A$64:A$83,0),IF(AT86&lt;=0,0))</f>
        <v>6</v>
      </c>
      <c r="BA86">
        <f>MATCH(AU86,BSFC!C$63:Q$63,0)</f>
        <v>11</v>
      </c>
      <c r="BB86" cm="1">
        <f t="array" ref="BB86">IF(AZ86&gt;0,INDEX(BSFC!C$64:Q$83,Data!AZ86,Data!BA86))</f>
        <v>629.4</v>
      </c>
      <c r="BC86">
        <f>0.5*'Vehicle Data'!C$6*Data!Z86^2</f>
        <v>11208.065669579986</v>
      </c>
      <c r="BD86">
        <f t="shared" si="55"/>
        <v>10.370574736228946</v>
      </c>
      <c r="BE86">
        <f t="shared" si="76"/>
        <v>6527.2397389824982</v>
      </c>
      <c r="BF86">
        <f t="shared" si="77"/>
        <v>0.48333538982934571</v>
      </c>
      <c r="BG86">
        <f t="shared" si="56"/>
        <v>22.694541073999957</v>
      </c>
      <c r="BH86">
        <f t="shared" si="39"/>
        <v>9993.827096120589</v>
      </c>
      <c r="BI86" s="148">
        <f t="shared" si="57"/>
        <v>6871.6622130335309</v>
      </c>
      <c r="BO86">
        <f t="shared" si="58"/>
        <v>2580.0608992996436</v>
      </c>
      <c r="BP86">
        <f t="shared" si="59"/>
        <v>28781.377713458758</v>
      </c>
      <c r="BQ86">
        <f t="shared" si="60"/>
        <v>89334.236114337022</v>
      </c>
      <c r="BR86" s="148">
        <f t="shared" si="61"/>
        <v>151331.15540993889</v>
      </c>
      <c r="BS86" s="156">
        <f t="shared" si="62"/>
        <v>2580.0608992996436</v>
      </c>
      <c r="BT86" s="156">
        <f t="shared" si="63"/>
        <v>9993.827096120589</v>
      </c>
      <c r="BU86">
        <f t="shared" si="64"/>
        <v>1774.0257879711412</v>
      </c>
      <c r="BV86">
        <f t="shared" si="65"/>
        <v>1774.0257879711412</v>
      </c>
      <c r="BW86" s="148">
        <f t="shared" si="66"/>
        <v>455.4</v>
      </c>
      <c r="BX86" s="148">
        <f t="shared" si="67"/>
        <v>3129354.9718154697</v>
      </c>
      <c r="BY86" s="148">
        <f t="shared" si="68"/>
        <v>0.22441426217834934</v>
      </c>
      <c r="BZ86">
        <f t="shared" si="51"/>
        <v>21.764330810426298</v>
      </c>
      <c r="CB86">
        <f t="shared" si="69"/>
        <v>-806.03511132850235</v>
      </c>
      <c r="CC86" s="162">
        <f t="shared" si="52"/>
        <v>-3023.6563358532712</v>
      </c>
      <c r="CD86">
        <f t="shared" si="78"/>
        <v>61264.978816576004</v>
      </c>
    </row>
    <row r="87" spans="4:82" x14ac:dyDescent="0.2">
      <c r="D87" s="22">
        <f t="shared" si="42"/>
        <v>0</v>
      </c>
      <c r="E87" s="23">
        <v>9.2017056000000004</v>
      </c>
      <c r="F87" s="23">
        <f>IF(K87&lt;6,1,IF(Data!K87&lt;9,2,IF(K87&gt;9,3)))</f>
        <v>3</v>
      </c>
      <c r="G87" s="23">
        <v>854.39648685994348</v>
      </c>
      <c r="H87" s="23">
        <v>215.11666499999998</v>
      </c>
      <c r="I87" s="64">
        <v>38.325949583993506</v>
      </c>
      <c r="J87" s="65">
        <f t="shared" si="43"/>
        <v>3.1092357697012609</v>
      </c>
      <c r="K87" s="65">
        <f t="shared" si="44"/>
        <v>15.330379833597402</v>
      </c>
      <c r="L87" s="65">
        <f t="shared" si="45"/>
        <v>1.2436943078805043</v>
      </c>
      <c r="M87">
        <f t="shared" si="46"/>
        <v>18.403411200000001</v>
      </c>
      <c r="N87">
        <f t="shared" si="47"/>
        <v>0</v>
      </c>
      <c r="O87">
        <f>IF(L87&lt;'Vehicle Data'!F$21,'Vehicle Data'!C$21,IF(L87&gt;'Vehicle Data'!C$21,'Vehicle Data'!C$20))</f>
        <v>0.6</v>
      </c>
      <c r="P87">
        <f>('Vehicle Data'!C$6*9.81*'Vehicle Data'!C$5*SIN(D87))/'Vehicle Data'!C$9</f>
        <v>0</v>
      </c>
      <c r="Q87" s="107">
        <f>'Vehicle Data'!C$6*9.81*SIN(D87)</f>
        <v>0</v>
      </c>
      <c r="R87">
        <f t="shared" si="41"/>
        <v>852.47838967742064</v>
      </c>
      <c r="S87">
        <f>IF(Data!O87=0.6,'Vehicle Data'!E$21,IF(Data!O87 = 0.9,'Vehicle Data'!E$20))+(P87*O87)</f>
        <v>1550.3723999999997</v>
      </c>
      <c r="T87">
        <f>IF(F87=3,'Vehicle Data'!H$16,IF(F87=2,'Vehicle Data'!H$15,IF(F87 = 1,'Vehicle Data'!G$14)))</f>
        <v>466.23005239380637</v>
      </c>
      <c r="U87" s="148">
        <f t="shared" si="48"/>
        <v>136.33990755410457</v>
      </c>
      <c r="V87" s="70" t="s">
        <v>77</v>
      </c>
      <c r="W87" s="99" t="s">
        <v>84</v>
      </c>
      <c r="X87">
        <f>IF(V87="S",'Vehicle Data'!C$14,IF(Data!V87 = "T1",'Vehicle Data'!P$2,IF(Data!V87="T2",'Vehicle Data'!P$3)))</f>
        <v>13.411199999999999</v>
      </c>
      <c r="Z87">
        <f t="shared" si="70"/>
        <v>7.4039187865148985</v>
      </c>
      <c r="AB87" t="b">
        <f>IF(AA87=1,'Vehicle Data'!I$14,IF(AA87=2,'Vehicle Data'!I$15,IF(AA87=3,'Vehicle Data'!I$16)))</f>
        <v>0</v>
      </c>
      <c r="AC87">
        <f>IF(Z87&lt;'Vehicle Data'!C$16,'Vehicle Data'!I$15,IF(Z87&lt;'Vehicle Data'!C$15,'Vehicle Data'!I$15,IF(Z86&gt;'Vehicle Data'!C$15,'Vehicle Data'!I$16)))</f>
        <v>0.98256251041858167</v>
      </c>
      <c r="AD87">
        <f>IF(O87=0.6,'Vehicle Data'!F$21,IF(O87=0.9,'Vehicle Data'!F$20))</f>
        <v>3.5315999999999996</v>
      </c>
      <c r="AE87" s="100">
        <f t="shared" si="49"/>
        <v>0.98256251041858167</v>
      </c>
      <c r="AF87" s="158">
        <f t="shared" si="71"/>
        <v>0.25816545298258897</v>
      </c>
      <c r="AG87" s="148">
        <f t="shared" si="53"/>
        <v>0.99999677707754231</v>
      </c>
      <c r="AH87" s="148">
        <f t="shared" si="72"/>
        <v>22.022496263408886</v>
      </c>
      <c r="AJ87">
        <f>(Z87^2)*'Vehicle Data'!C$31</f>
        <v>20.145619923510786</v>
      </c>
      <c r="AK87">
        <f>IF(O87=0.6,'Vehicle Data'!C$6*'Vehicle Data'!D$21*9.81,IF(O87=0.9,'Vehicle Data'!C$6*9.81*'Vehicle Data'!D$20))</f>
        <v>86.131799999999998</v>
      </c>
      <c r="AL87">
        <f t="shared" si="50"/>
        <v>106.27741992351079</v>
      </c>
      <c r="AN87">
        <f>IF(AG87&gt;0,AG87*'Vehicle Data'!C$6)</f>
        <v>438.99858513704106</v>
      </c>
      <c r="AO87">
        <f t="shared" si="54"/>
        <v>545.27600506055182</v>
      </c>
      <c r="AP87">
        <f>AO87*'Vehicle Data'!F$3</f>
        <v>139.37254689347705</v>
      </c>
      <c r="AQ87">
        <f>IF(AE87='Vehicle Data'!I$15,AP87/'Vehicle Data'!G$15,IF(AE87='Vehicle Data'!I$16,AP87/'Vehicle Data'!G$16,IF(AE87='Vehicle Data'!I$14,Data!AP87/'Vehicle Data'!G98)))</f>
        <v>17.26687217833474</v>
      </c>
      <c r="AR87">
        <f>IF(Z87&lt;'Vehicle Data'!C$16, Z87*'Vehicle Data'!F$7*'Vehicle Data'!G$14,IF(Z87&lt;'Vehicle Data'!C$15,Z87*'Vehicle Data'!F$7*'Vehicle Data'!G$15,IF(Z87&gt;'Vehicle Data'!C$15,Z87*'Vehicle Data'!F$7*'Vehicle Data'!G$16)))</f>
        <v>95.976725010378317</v>
      </c>
      <c r="AS87">
        <f t="shared" si="73"/>
        <v>5758.6035006226994</v>
      </c>
      <c r="AT87">
        <f t="shared" si="74"/>
        <v>17</v>
      </c>
      <c r="AU87">
        <f t="shared" si="75"/>
        <v>6000</v>
      </c>
      <c r="AW87">
        <f>VLOOKUP(AT87,BSFC!A$64:A$82,1,FALSE)</f>
        <v>17</v>
      </c>
      <c r="AX87" t="e" cm="1">
        <f t="array" ref="AX87">_xlfn.XLOOKUP(AT87,BSFC!A$64:A$82,,-1,_xlfn.XLOOKUP(Data!AU87,BSFC!C$63:Q$63,BSFC!B$64:Q$82,,-1))</f>
        <v>#VALUE!</v>
      </c>
      <c r="AY87">
        <f>HLOOKUP(AU87,BSFC!F$63:Q$63,1)</f>
        <v>6000</v>
      </c>
      <c r="AZ87">
        <f>IF(AT87&gt;0,MATCH(AT87,BSFC!A$64:A$83,0),IF(AT87&lt;=0,0))</f>
        <v>6</v>
      </c>
      <c r="BA87">
        <f>MATCH(AU87,BSFC!C$63:Q$63,0)</f>
        <v>12</v>
      </c>
      <c r="BB87" cm="1">
        <f t="array" ref="BB87">IF(AZ87&gt;0,INDEX(BSFC!C$64:Q$83,Data!AZ87,Data!BA87))</f>
        <v>588.70000000000005</v>
      </c>
      <c r="BC87">
        <f>0.5*'Vehicle Data'!C$6*Data!Z87^2</f>
        <v>12032.55394070916</v>
      </c>
      <c r="BD87">
        <f t="shared" si="55"/>
        <v>10.738923686345066</v>
      </c>
      <c r="BE87">
        <f t="shared" si="76"/>
        <v>6322.0043741513409</v>
      </c>
      <c r="BF87">
        <f t="shared" si="77"/>
        <v>0.45336753416963604</v>
      </c>
      <c r="BG87">
        <f t="shared" si="56"/>
        <v>23.147908608169594</v>
      </c>
      <c r="BH87">
        <f t="shared" si="39"/>
        <v>10370.574736228946</v>
      </c>
      <c r="BI87" s="148">
        <f t="shared" si="57"/>
        <v>6871.6622130335309</v>
      </c>
      <c r="BO87">
        <f t="shared" si="58"/>
        <v>2598.792702228397</v>
      </c>
      <c r="BP87">
        <f t="shared" si="59"/>
        <v>31380.170415687156</v>
      </c>
      <c r="BQ87">
        <f t="shared" si="60"/>
        <v>91933.02881656542</v>
      </c>
      <c r="BR87" s="148">
        <f t="shared" si="61"/>
        <v>153053.145373429</v>
      </c>
      <c r="BS87" s="156">
        <f t="shared" si="62"/>
        <v>2598.792702228397</v>
      </c>
      <c r="BT87" s="156">
        <f t="shared" si="63"/>
        <v>10370.574736228946</v>
      </c>
      <c r="BU87">
        <f t="shared" si="64"/>
        <v>1721.9899634900944</v>
      </c>
      <c r="BV87">
        <f t="shared" si="65"/>
        <v>1721.9899634900944</v>
      </c>
      <c r="BW87" s="148">
        <f t="shared" si="66"/>
        <v>455.4</v>
      </c>
      <c r="BX87" s="148">
        <f t="shared" si="67"/>
        <v>3129354.9718154697</v>
      </c>
      <c r="BY87" s="148">
        <f t="shared" si="68"/>
        <v>0.21783173038149689</v>
      </c>
      <c r="BZ87">
        <f t="shared" si="51"/>
        <v>22.022496263408886</v>
      </c>
      <c r="CB87">
        <f t="shared" si="69"/>
        <v>-876.80273873830265</v>
      </c>
      <c r="CC87" s="162">
        <f t="shared" si="52"/>
        <v>-3396.2822237003093</v>
      </c>
      <c r="CD87">
        <f t="shared" si="78"/>
        <v>60388.176077837699</v>
      </c>
    </row>
    <row r="88" spans="4:82" x14ac:dyDescent="0.2">
      <c r="D88" s="22">
        <f t="shared" si="42"/>
        <v>0</v>
      </c>
      <c r="E88" s="23">
        <v>9.2017056000000004</v>
      </c>
      <c r="F88" s="23">
        <f>IF(K88&lt;6,1,IF(Data!K88&lt;9,2,IF(K88&gt;9,3)))</f>
        <v>3</v>
      </c>
      <c r="G88" s="23">
        <v>856.321906116783</v>
      </c>
      <c r="H88" s="23">
        <v>215.16666499999999</v>
      </c>
      <c r="I88" s="64">
        <v>38.481411372478604</v>
      </c>
      <c r="J88" s="65">
        <f t="shared" si="43"/>
        <v>0.77049965863549363</v>
      </c>
      <c r="K88" s="65">
        <f t="shared" si="44"/>
        <v>15.392564548991441</v>
      </c>
      <c r="L88" s="65">
        <f t="shared" si="45"/>
        <v>0.30819986345420458</v>
      </c>
      <c r="M88">
        <f t="shared" si="46"/>
        <v>18.403411200000001</v>
      </c>
      <c r="N88">
        <f t="shared" si="47"/>
        <v>0</v>
      </c>
      <c r="O88">
        <f>IF(L88&lt;'Vehicle Data'!F$21,'Vehicle Data'!C$21,IF(L88&gt;'Vehicle Data'!C$21,'Vehicle Data'!C$20))</f>
        <v>0.6</v>
      </c>
      <c r="P88">
        <f>('Vehicle Data'!C$6*9.81*'Vehicle Data'!C$5*SIN(D88))/'Vehicle Data'!C$9</f>
        <v>0</v>
      </c>
      <c r="Q88" s="107">
        <f>'Vehicle Data'!C$6*9.81*SIN(D88)</f>
        <v>0</v>
      </c>
      <c r="R88">
        <f t="shared" si="41"/>
        <v>854.39648685994348</v>
      </c>
      <c r="S88">
        <f>IF(Data!O88=0.6,'Vehicle Data'!E$21,IF(Data!O88 = 0.9,'Vehicle Data'!E$20))+(P88*O88)</f>
        <v>1550.3723999999997</v>
      </c>
      <c r="T88">
        <f>IF(F88=3,'Vehicle Data'!H$16,IF(F88=2,'Vehicle Data'!H$15,IF(F88 = 1,'Vehicle Data'!G$14)))</f>
        <v>466.23005239380637</v>
      </c>
      <c r="U88" s="148">
        <f t="shared" si="48"/>
        <v>138.25800473662741</v>
      </c>
      <c r="V88" s="70" t="s">
        <v>77</v>
      </c>
      <c r="W88" s="99" t="s">
        <v>84</v>
      </c>
      <c r="X88">
        <f>IF(V88="S",'Vehicle Data'!C$14,IF(Data!V88 = "T1",'Vehicle Data'!P$2,IF(Data!V88="T2",'Vehicle Data'!P$3)))</f>
        <v>13.411199999999999</v>
      </c>
      <c r="Z88">
        <f t="shared" si="70"/>
        <v>7.6542350475459759</v>
      </c>
      <c r="AB88" t="b">
        <f>IF(AA88=1,'Vehicle Data'!I$14,IF(AA88=2,'Vehicle Data'!I$15,IF(AA88=3,'Vehicle Data'!I$16)))</f>
        <v>0</v>
      </c>
      <c r="AC88">
        <f>IF(Z88&lt;'Vehicle Data'!C$16,'Vehicle Data'!I$15,IF(Z88&lt;'Vehicle Data'!C$15,'Vehicle Data'!I$15,IF(Z87&gt;'Vehicle Data'!C$15,'Vehicle Data'!I$16)))</f>
        <v>0.98256251041858167</v>
      </c>
      <c r="AD88">
        <f>IF(O88=0.6,'Vehicle Data'!F$21,IF(O88=0.9,'Vehicle Data'!F$20))</f>
        <v>3.5315999999999996</v>
      </c>
      <c r="AE88" s="100">
        <f t="shared" si="49"/>
        <v>0.98256251041858167</v>
      </c>
      <c r="AF88" s="158">
        <f t="shared" si="71"/>
        <v>0.25059292935324784</v>
      </c>
      <c r="AG88" s="148">
        <f t="shared" si="53"/>
        <v>0.99889594521727132</v>
      </c>
      <c r="AH88" s="148">
        <f t="shared" si="72"/>
        <v>22.273089192762136</v>
      </c>
      <c r="AJ88">
        <f>(Z88^2)*'Vehicle Data'!C$31</f>
        <v>21.530837954932327</v>
      </c>
      <c r="AK88">
        <f>IF(O88=0.6,'Vehicle Data'!C$6*'Vehicle Data'!D$21*9.81,IF(O88=0.9,'Vehicle Data'!C$6*9.81*'Vehicle Data'!D$20))</f>
        <v>86.131799999999998</v>
      </c>
      <c r="AL88">
        <f t="shared" si="50"/>
        <v>107.66263795493232</v>
      </c>
      <c r="AN88">
        <f>IF(AG88&gt;0,AG88*'Vehicle Data'!C$6)</f>
        <v>438.51531995038209</v>
      </c>
      <c r="AO88">
        <f t="shared" si="54"/>
        <v>546.17795790531443</v>
      </c>
      <c r="AP88">
        <f>AO88*'Vehicle Data'!F$3</f>
        <v>139.60308604059836</v>
      </c>
      <c r="AQ88">
        <f>IF(AE88='Vehicle Data'!I$15,AP88/'Vehicle Data'!G$15,IF(AE88='Vehicle Data'!I$16,AP88/'Vehicle Data'!G$16,IF(AE88='Vehicle Data'!I$14,Data!AP88/'Vehicle Data'!G99)))</f>
        <v>17.295433685418974</v>
      </c>
      <c r="AR88">
        <f>IF(Z88&lt;'Vehicle Data'!C$16, Z88*'Vehicle Data'!F$7*'Vehicle Data'!G$14,IF(Z88&lt;'Vehicle Data'!C$15,Z88*'Vehicle Data'!F$7*'Vehicle Data'!G$15,IF(Z88&gt;'Vehicle Data'!C$15,Z88*'Vehicle Data'!F$7*'Vehicle Data'!G$16)))</f>
        <v>99.221565431151546</v>
      </c>
      <c r="AS88">
        <f t="shared" si="73"/>
        <v>5953.2939258690931</v>
      </c>
      <c r="AT88">
        <f t="shared" si="74"/>
        <v>17</v>
      </c>
      <c r="AU88">
        <f t="shared" si="75"/>
        <v>6000</v>
      </c>
      <c r="AW88">
        <f>VLOOKUP(AT88,BSFC!A$64:A$82,1,FALSE)</f>
        <v>17</v>
      </c>
      <c r="AX88" t="e" cm="1">
        <f t="array" ref="AX88">_xlfn.XLOOKUP(AT88,BSFC!A$64:A$82,,-1,_xlfn.XLOOKUP(Data!AU88,BSFC!C$63:Q$63,BSFC!B$64:Q$82,,-1))</f>
        <v>#VALUE!</v>
      </c>
      <c r="AY88">
        <f>HLOOKUP(AU88,BSFC!F$63:Q$63,1)</f>
        <v>6000</v>
      </c>
      <c r="AZ88">
        <f>IF(AT88&gt;0,MATCH(AT88,BSFC!A$64:A$83,0),IF(AT88&lt;=0,0))</f>
        <v>6</v>
      </c>
      <c r="BA88">
        <f>MATCH(AU88,BSFC!C$63:Q$63,0)</f>
        <v>12</v>
      </c>
      <c r="BB88" cm="1">
        <f t="array" ref="BB88">IF(AZ88&gt;0,INDEX(BSFC!C$64:Q$83,Data!AZ88,Data!BA88))</f>
        <v>588.70000000000005</v>
      </c>
      <c r="BC88">
        <f>0.5*'Vehicle Data'!C$6*Data!Z88^2</f>
        <v>12859.915458796311</v>
      </c>
      <c r="BD88">
        <f t="shared" si="55"/>
        <v>11.099911744161561</v>
      </c>
      <c r="BE88">
        <f t="shared" si="76"/>
        <v>6534.5180437879117</v>
      </c>
      <c r="BF88">
        <f t="shared" si="77"/>
        <v>0.45486222736235205</v>
      </c>
      <c r="BG88">
        <f t="shared" si="56"/>
        <v>23.602770835531945</v>
      </c>
      <c r="BH88">
        <f t="shared" ref="BH88:BH151" si="79">AQ88*(AS88/9.588)</f>
        <v>10738.923686345066</v>
      </c>
      <c r="BI88" s="148">
        <f t="shared" si="57"/>
        <v>6871.6622130335309</v>
      </c>
      <c r="BO88">
        <f t="shared" si="58"/>
        <v>2618.1510609424336</v>
      </c>
      <c r="BP88">
        <f t="shared" si="59"/>
        <v>33998.321476629593</v>
      </c>
      <c r="BQ88">
        <f t="shared" si="60"/>
        <v>94551.17987750785</v>
      </c>
      <c r="BR88" s="148">
        <f t="shared" si="61"/>
        <v>154728.45755917142</v>
      </c>
      <c r="BS88" s="156">
        <f t="shared" si="62"/>
        <v>2618.1510609424336</v>
      </c>
      <c r="BT88" s="156">
        <f t="shared" si="63"/>
        <v>10738.923686345066</v>
      </c>
      <c r="BU88">
        <f t="shared" si="64"/>
        <v>1675.3121857424173</v>
      </c>
      <c r="BV88">
        <f t="shared" si="65"/>
        <v>1675.3121857424173</v>
      </c>
      <c r="BW88" s="148">
        <f t="shared" si="66"/>
        <v>455.4</v>
      </c>
      <c r="BX88" s="148">
        <f t="shared" si="67"/>
        <v>3129354.9718154697</v>
      </c>
      <c r="BY88" s="148">
        <f t="shared" si="68"/>
        <v>0.21192699149641575</v>
      </c>
      <c r="BZ88">
        <f t="shared" si="51"/>
        <v>22.273089192762136</v>
      </c>
      <c r="CB88">
        <f t="shared" si="69"/>
        <v>-942.83887520001622</v>
      </c>
      <c r="CC88" s="162">
        <f t="shared" si="52"/>
        <v>-3762.4320751322498</v>
      </c>
      <c r="CD88">
        <f t="shared" si="78"/>
        <v>59445.337202637682</v>
      </c>
    </row>
    <row r="89" spans="4:82" x14ac:dyDescent="0.2">
      <c r="D89" s="22">
        <f t="shared" si="42"/>
        <v>0</v>
      </c>
      <c r="E89" s="23">
        <v>9.2017056000000004</v>
      </c>
      <c r="F89" s="23">
        <f>IF(K89&lt;6,1,IF(Data!K89&lt;9,2,IF(K89&gt;9,3)))</f>
        <v>3</v>
      </c>
      <c r="G89" s="23">
        <v>858.25319875867774</v>
      </c>
      <c r="H89" s="23">
        <v>215.21666499999998</v>
      </c>
      <c r="I89" s="64">
        <v>38.519936355410366</v>
      </c>
      <c r="J89" s="65">
        <f t="shared" si="43"/>
        <v>1.8121962727646377</v>
      </c>
      <c r="K89" s="65">
        <f t="shared" si="44"/>
        <v>15.407974542164146</v>
      </c>
      <c r="L89" s="65">
        <f t="shared" si="45"/>
        <v>0.72487850910584795</v>
      </c>
      <c r="M89">
        <f t="shared" si="46"/>
        <v>18.403411200000001</v>
      </c>
      <c r="N89">
        <f t="shared" si="47"/>
        <v>0</v>
      </c>
      <c r="O89">
        <f>IF(L89&lt;'Vehicle Data'!F$21,'Vehicle Data'!C$21,IF(L89&gt;'Vehicle Data'!C$21,'Vehicle Data'!C$20))</f>
        <v>0.6</v>
      </c>
      <c r="P89">
        <f>('Vehicle Data'!C$6*9.81*'Vehicle Data'!C$5*SIN(D89))/'Vehicle Data'!C$9</f>
        <v>0</v>
      </c>
      <c r="Q89" s="107">
        <f>'Vehicle Data'!C$6*9.81*SIN(D89)</f>
        <v>0</v>
      </c>
      <c r="R89">
        <f t="shared" si="41"/>
        <v>856.321906116783</v>
      </c>
      <c r="S89">
        <f>IF(Data!O89=0.6,'Vehicle Data'!E$21,IF(Data!O89 = 0.9,'Vehicle Data'!E$20))+(P89*O89)</f>
        <v>1550.3723999999997</v>
      </c>
      <c r="T89">
        <f>IF(F89=3,'Vehicle Data'!H$16,IF(F89=2,'Vehicle Data'!H$15,IF(F89 = 1,'Vehicle Data'!G$14)))</f>
        <v>466.23005239380637</v>
      </c>
      <c r="U89" s="148">
        <f t="shared" si="48"/>
        <v>140.18342399346693</v>
      </c>
      <c r="V89" s="70" t="s">
        <v>77</v>
      </c>
      <c r="W89" s="99" t="s">
        <v>84</v>
      </c>
      <c r="X89">
        <f>IF(V89="S",'Vehicle Data'!C$14,IF(Data!V89 = "T1",'Vehicle Data'!P$2,IF(Data!V89="T2",'Vehicle Data'!P$3)))</f>
        <v>13.411199999999999</v>
      </c>
      <c r="Z89">
        <f t="shared" si="70"/>
        <v>7.8975314953660156</v>
      </c>
      <c r="AB89" t="b">
        <f>IF(AA89=1,'Vehicle Data'!I$14,IF(AA89=2,'Vehicle Data'!I$15,IF(AA89=3,'Vehicle Data'!I$16)))</f>
        <v>0</v>
      </c>
      <c r="AC89">
        <f>IF(Z89&lt;'Vehicle Data'!C$16,'Vehicle Data'!I$15,IF(Z89&lt;'Vehicle Data'!C$15,'Vehicle Data'!I$15,IF(Z88&gt;'Vehicle Data'!C$15,'Vehicle Data'!I$16)))</f>
        <v>0.98256251041858167</v>
      </c>
      <c r="AD89">
        <f>IF(O89=0.6,'Vehicle Data'!F$21,IF(O89=0.9,'Vehicle Data'!F$20))</f>
        <v>3.5315999999999996</v>
      </c>
      <c r="AE89" s="100">
        <f t="shared" si="49"/>
        <v>0.98256251041858167</v>
      </c>
      <c r="AF89" s="158">
        <f t="shared" si="71"/>
        <v>0.24380013653244489</v>
      </c>
      <c r="AG89" s="148">
        <f t="shared" si="53"/>
        <v>0.99793400971972712</v>
      </c>
      <c r="AH89" s="148">
        <f t="shared" si="72"/>
        <v>22.516889329294582</v>
      </c>
      <c r="AJ89">
        <f>(Z89^2)*'Vehicle Data'!C$31</f>
        <v>22.921343867209586</v>
      </c>
      <c r="AK89">
        <f>IF(O89=0.6,'Vehicle Data'!C$6*'Vehicle Data'!D$21*9.81,IF(O89=0.9,'Vehicle Data'!C$6*9.81*'Vehicle Data'!D$20))</f>
        <v>86.131799999999998</v>
      </c>
      <c r="AL89">
        <f t="shared" si="50"/>
        <v>109.05314386720958</v>
      </c>
      <c r="AN89">
        <f>IF(AG89&gt;0,AG89*'Vehicle Data'!C$6)</f>
        <v>438.09303026696023</v>
      </c>
      <c r="AO89">
        <f t="shared" si="54"/>
        <v>547.14617413416977</v>
      </c>
      <c r="AP89">
        <f>AO89*'Vehicle Data'!F$3</f>
        <v>139.85056210869379</v>
      </c>
      <c r="AQ89">
        <f>IF(AE89='Vehicle Data'!I$15,AP89/'Vehicle Data'!G$15,IF(AE89='Vehicle Data'!I$16,AP89/'Vehicle Data'!G$16,IF(AE89='Vehicle Data'!I$14,Data!AP89/'Vehicle Data'!G100)))</f>
        <v>17.32609350853512</v>
      </c>
      <c r="AR89">
        <f>IF(Z89&lt;'Vehicle Data'!C$16, Z89*'Vehicle Data'!F$7*'Vehicle Data'!G$14,IF(Z89&lt;'Vehicle Data'!C$15,Z89*'Vehicle Data'!F$7*'Vehicle Data'!G$15,IF(Z89&gt;'Vehicle Data'!C$15,Z89*'Vehicle Data'!F$7*'Vehicle Data'!G$16)))</f>
        <v>102.37540827326318</v>
      </c>
      <c r="AS89">
        <f t="shared" si="73"/>
        <v>6142.5244963957903</v>
      </c>
      <c r="AT89">
        <f t="shared" si="74"/>
        <v>17</v>
      </c>
      <c r="AU89">
        <f t="shared" si="75"/>
        <v>6000</v>
      </c>
      <c r="AW89">
        <f>VLOOKUP(AT89,BSFC!A$64:A$82,1,FALSE)</f>
        <v>17</v>
      </c>
      <c r="AX89" t="e" cm="1">
        <f t="array" ref="AX89">_xlfn.XLOOKUP(AT89,BSFC!A$64:A$82,,-1,_xlfn.XLOOKUP(Data!AU89,BSFC!C$63:Q$63,BSFC!B$64:Q$82,,-1))</f>
        <v>#VALUE!</v>
      </c>
      <c r="AY89">
        <f>HLOOKUP(AU89,BSFC!F$63:Q$63,1)</f>
        <v>6000</v>
      </c>
      <c r="AZ89">
        <f>IF(AT89&gt;0,MATCH(AT89,BSFC!A$64:A$83,0),IF(AT89&lt;=0,0))</f>
        <v>6</v>
      </c>
      <c r="BA89">
        <f>MATCH(AU89,BSFC!C$63:Q$63,0)</f>
        <v>12</v>
      </c>
      <c r="BB89" cm="1">
        <f t="array" ref="BB89">IF(AZ89&gt;0,INDEX(BSFC!C$64:Q$83,Data!AZ89,Data!BA89))</f>
        <v>588.70000000000005</v>
      </c>
      <c r="BC89">
        <f>0.5*'Vehicle Data'!C$6*Data!Z89^2</f>
        <v>13690.43531660545</v>
      </c>
      <c r="BD89">
        <f t="shared" si="55"/>
        <v>11.453866516442012</v>
      </c>
      <c r="BE89">
        <f t="shared" si="76"/>
        <v>6742.8912182294134</v>
      </c>
      <c r="BF89">
        <f t="shared" si="77"/>
        <v>0.45664383322993185</v>
      </c>
      <c r="BG89">
        <f t="shared" si="56"/>
        <v>24.059414668761878</v>
      </c>
      <c r="BH89">
        <f t="shared" si="79"/>
        <v>11099.911744161562</v>
      </c>
      <c r="BI89" s="148">
        <f t="shared" si="57"/>
        <v>6871.6622130335309</v>
      </c>
      <c r="BO89">
        <f t="shared" si="58"/>
        <v>2635.4173414627821</v>
      </c>
      <c r="BP89">
        <f t="shared" si="59"/>
        <v>36633.738818092374</v>
      </c>
      <c r="BQ89">
        <f t="shared" si="60"/>
        <v>97186.597218970637</v>
      </c>
      <c r="BR89" s="148">
        <f t="shared" si="61"/>
        <v>156359.97483411088</v>
      </c>
      <c r="BS89" s="156">
        <f t="shared" si="62"/>
        <v>2635.4173414627821</v>
      </c>
      <c r="BT89" s="156">
        <f t="shared" si="63"/>
        <v>11099.911744161562</v>
      </c>
      <c r="BU89">
        <f t="shared" si="64"/>
        <v>1631.5172749394696</v>
      </c>
      <c r="BV89">
        <f t="shared" si="65"/>
        <v>1631.5172749394696</v>
      </c>
      <c r="BW89" s="148">
        <f t="shared" si="66"/>
        <v>455.4</v>
      </c>
      <c r="BX89" s="148">
        <f t="shared" si="67"/>
        <v>3129354.9718154697</v>
      </c>
      <c r="BY89" s="148">
        <f t="shared" si="68"/>
        <v>0.20638693527984289</v>
      </c>
      <c r="BZ89">
        <f t="shared" si="51"/>
        <v>22.516889329294582</v>
      </c>
      <c r="CB89">
        <f t="shared" si="69"/>
        <v>-1003.9000665233125</v>
      </c>
      <c r="CC89" s="162">
        <f t="shared" si="52"/>
        <v>-4117.7174090290509</v>
      </c>
      <c r="CD89">
        <f t="shared" si="78"/>
        <v>58441.437136114371</v>
      </c>
    </row>
    <row r="90" spans="4:82" x14ac:dyDescent="0.2">
      <c r="D90" s="22">
        <f t="shared" si="42"/>
        <v>0</v>
      </c>
      <c r="E90" s="23">
        <v>9.2017056000000004</v>
      </c>
      <c r="F90" s="23">
        <f>IF(K90&lt;6,1,IF(Data!K90&lt;9,2,IF(K90&gt;9,3)))</f>
        <v>3</v>
      </c>
      <c r="G90" s="23">
        <v>860.18548952225456</v>
      </c>
      <c r="H90" s="23">
        <v>215.26666499999999</v>
      </c>
      <c r="I90" s="64">
        <v>38.610546169048618</v>
      </c>
      <c r="J90" s="65">
        <f t="shared" si="43"/>
        <v>2.4724719118010858</v>
      </c>
      <c r="K90" s="65">
        <f t="shared" si="44"/>
        <v>15.444218467619446</v>
      </c>
      <c r="L90" s="65">
        <f t="shared" si="45"/>
        <v>0.9889887647204415</v>
      </c>
      <c r="M90">
        <f t="shared" si="46"/>
        <v>18.403411200000001</v>
      </c>
      <c r="N90">
        <f t="shared" si="47"/>
        <v>0</v>
      </c>
      <c r="O90">
        <f>IF(L90&lt;'Vehicle Data'!F$21,'Vehicle Data'!C$21,IF(L90&gt;'Vehicle Data'!C$21,'Vehicle Data'!C$20))</f>
        <v>0.6</v>
      </c>
      <c r="P90">
        <f>('Vehicle Data'!C$6*9.81*'Vehicle Data'!C$5*SIN(D90))/'Vehicle Data'!C$9</f>
        <v>0</v>
      </c>
      <c r="Q90" s="107">
        <f>'Vehicle Data'!C$6*9.81*SIN(D90)</f>
        <v>0</v>
      </c>
      <c r="R90">
        <f t="shared" si="41"/>
        <v>858.25319875867774</v>
      </c>
      <c r="S90">
        <f>IF(Data!O90=0.6,'Vehicle Data'!E$21,IF(Data!O90 = 0.9,'Vehicle Data'!E$20))+(P90*O90)</f>
        <v>1550.3723999999997</v>
      </c>
      <c r="T90">
        <f>IF(F90=3,'Vehicle Data'!H$16,IF(F90=2,'Vehicle Data'!H$15,IF(F90 = 1,'Vehicle Data'!G$14)))</f>
        <v>466.23005239380637</v>
      </c>
      <c r="U90" s="148">
        <f t="shared" si="48"/>
        <v>142.11471663536167</v>
      </c>
      <c r="V90" s="70" t="s">
        <v>77</v>
      </c>
      <c r="W90" s="99" t="s">
        <v>84</v>
      </c>
      <c r="X90">
        <f>IF(V90="S",'Vehicle Data'!C$14,IF(Data!V90 = "T1",'Vehicle Data'!P$2,IF(Data!V90="T2",'Vehicle Data'!P$3)))</f>
        <v>13.411199999999999</v>
      </c>
      <c r="Z90">
        <f t="shared" si="70"/>
        <v>8.1342630405860525</v>
      </c>
      <c r="AB90" t="b">
        <f>IF(AA90=1,'Vehicle Data'!I$14,IF(AA90=2,'Vehicle Data'!I$15,IF(AA90=3,'Vehicle Data'!I$16)))</f>
        <v>0</v>
      </c>
      <c r="AC90">
        <f>IF(Z90&lt;'Vehicle Data'!C$16,'Vehicle Data'!I$15,IF(Z90&lt;'Vehicle Data'!C$15,'Vehicle Data'!I$15,IF(Z89&gt;'Vehicle Data'!C$15,'Vehicle Data'!I$16)))</f>
        <v>0.98256251041858167</v>
      </c>
      <c r="AD90">
        <f>IF(O90=0.6,'Vehicle Data'!F$21,IF(O90=0.9,'Vehicle Data'!F$20))</f>
        <v>3.5315999999999996</v>
      </c>
      <c r="AE90" s="100">
        <f t="shared" si="49"/>
        <v>0.98256251041858167</v>
      </c>
      <c r="AF90" s="158">
        <f t="shared" si="71"/>
        <v>0.23742687349284416</v>
      </c>
      <c r="AG90" s="148">
        <f t="shared" si="53"/>
        <v>0.99707140029021102</v>
      </c>
      <c r="AH90" s="148">
        <f t="shared" si="72"/>
        <v>22.754316202787425</v>
      </c>
      <c r="AJ90">
        <f>(Z90^2)*'Vehicle Data'!C$31</f>
        <v>24.31609144094077</v>
      </c>
      <c r="AK90">
        <f>IF(O90=0.6,'Vehicle Data'!C$6*'Vehicle Data'!D$21*9.81,IF(O90=0.9,'Vehicle Data'!C$6*9.81*'Vehicle Data'!D$20))</f>
        <v>86.131799999999998</v>
      </c>
      <c r="AL90">
        <f t="shared" si="50"/>
        <v>110.44789144094077</v>
      </c>
      <c r="AN90">
        <f>IF(AG90&gt;0,AG90*'Vehicle Data'!C$6)</f>
        <v>437.71434472740265</v>
      </c>
      <c r="AO90">
        <f t="shared" si="54"/>
        <v>548.16223616834338</v>
      </c>
      <c r="AP90">
        <f>AO90*'Vehicle Data'!F$3</f>
        <v>140.11026756462857</v>
      </c>
      <c r="AQ90">
        <f>IF(AE90='Vehicle Data'!I$15,AP90/'Vehicle Data'!G$15,IF(AE90='Vehicle Data'!I$16,AP90/'Vehicle Data'!G$16,IF(AE90='Vehicle Data'!I$14,Data!AP90/'Vehicle Data'!G101)))</f>
        <v>17.358268431155064</v>
      </c>
      <c r="AR90">
        <f>IF(Z90&lt;'Vehicle Data'!C$16, Z90*'Vehicle Data'!F$7*'Vehicle Data'!G$14,IF(Z90&lt;'Vehicle Data'!C$15,Z90*'Vehicle Data'!F$7*'Vehicle Data'!G$15,IF(Z90&gt;'Vehicle Data'!C$15,Z90*'Vehicle Data'!F$7*'Vehicle Data'!G$16)))</f>
        <v>105.44415052611549</v>
      </c>
      <c r="AS90">
        <f t="shared" si="73"/>
        <v>6326.6490315669298</v>
      </c>
      <c r="AT90">
        <f t="shared" si="74"/>
        <v>17</v>
      </c>
      <c r="AU90">
        <f t="shared" si="75"/>
        <v>6500</v>
      </c>
      <c r="AW90">
        <f>VLOOKUP(AT90,BSFC!A$64:A$82,1,FALSE)</f>
        <v>17</v>
      </c>
      <c r="AX90" t="e" cm="1">
        <f t="array" ref="AX90">_xlfn.XLOOKUP(AT90,BSFC!A$64:A$82,,-1,_xlfn.XLOOKUP(Data!AU90,BSFC!C$63:Q$63,BSFC!B$64:Q$82,,-1))</f>
        <v>#VALUE!</v>
      </c>
      <c r="AY90">
        <f>HLOOKUP(AU90,BSFC!F$63:Q$63,1)</f>
        <v>6500</v>
      </c>
      <c r="AZ90">
        <f>IF(AT90&gt;0,MATCH(AT90,BSFC!A$64:A$83,0),IF(AT90&lt;=0,0))</f>
        <v>6</v>
      </c>
      <c r="BA90">
        <f>MATCH(AU90,BSFC!C$63:Q$63,0)</f>
        <v>13</v>
      </c>
      <c r="BB90" cm="1">
        <f t="array" ref="BB90">IF(AZ90&gt;0,INDEX(BSFC!C$64:Q$83,Data!AZ90,Data!BA90))</f>
        <v>511.2</v>
      </c>
      <c r="BC90">
        <f>0.5*'Vehicle Data'!C$6*Data!Z90^2</f>
        <v>14523.488629351014</v>
      </c>
      <c r="BD90">
        <f t="shared" si="55"/>
        <v>11.800357204354082</v>
      </c>
      <c r="BE90">
        <f t="shared" si="76"/>
        <v>6032.3426028658068</v>
      </c>
      <c r="BF90">
        <f t="shared" si="77"/>
        <v>0.39784451223225398</v>
      </c>
      <c r="BG90">
        <f t="shared" si="56"/>
        <v>24.457259180994132</v>
      </c>
      <c r="BH90">
        <f t="shared" si="79"/>
        <v>11453.866516442013</v>
      </c>
      <c r="BI90" s="148">
        <f t="shared" si="57"/>
        <v>6871.6622130335309</v>
      </c>
      <c r="BO90">
        <f t="shared" si="58"/>
        <v>2645.9952169591843</v>
      </c>
      <c r="BP90">
        <f t="shared" si="59"/>
        <v>39279.734035051559</v>
      </c>
      <c r="BQ90">
        <f t="shared" si="60"/>
        <v>99832.592435929822</v>
      </c>
      <c r="BR90" s="148">
        <f t="shared" si="61"/>
        <v>157947.42002758724</v>
      </c>
      <c r="BS90" s="156">
        <f t="shared" si="62"/>
        <v>2645.9952169591843</v>
      </c>
      <c r="BT90" s="156">
        <f t="shared" si="63"/>
        <v>11453.866516442013</v>
      </c>
      <c r="BU90">
        <f t="shared" si="64"/>
        <v>1587.445193476377</v>
      </c>
      <c r="BV90">
        <f t="shared" si="65"/>
        <v>1587.445193476377</v>
      </c>
      <c r="BW90" s="148">
        <f t="shared" si="66"/>
        <v>455.4</v>
      </c>
      <c r="BX90" s="148">
        <f t="shared" si="67"/>
        <v>3129354.9718154697</v>
      </c>
      <c r="BY90" s="148">
        <f t="shared" si="68"/>
        <v>0.20081181697476166</v>
      </c>
      <c r="BZ90">
        <f t="shared" si="51"/>
        <v>22.754316202787425</v>
      </c>
      <c r="CB90">
        <f t="shared" si="69"/>
        <v>-1058.5500234828073</v>
      </c>
      <c r="CC90" s="162">
        <f t="shared" si="52"/>
        <v>-4458.4254844880224</v>
      </c>
      <c r="CD90">
        <f t="shared" si="78"/>
        <v>57382.887112631564</v>
      </c>
    </row>
    <row r="91" spans="4:82" x14ac:dyDescent="0.2">
      <c r="D91" s="22">
        <f t="shared" si="42"/>
        <v>0</v>
      </c>
      <c r="E91" s="23">
        <v>9.2017056000000004</v>
      </c>
      <c r="F91" s="23">
        <f>IF(K91&lt;6,1,IF(Data!K91&lt;9,2,IF(K91&gt;9,3)))</f>
        <v>3</v>
      </c>
      <c r="G91" s="23">
        <v>862.12368349530539</v>
      </c>
      <c r="H91" s="23">
        <v>215.316665</v>
      </c>
      <c r="I91" s="64">
        <v>38.7341697646387</v>
      </c>
      <c r="J91" s="65">
        <f t="shared" si="43"/>
        <v>2.4696535336874956</v>
      </c>
      <c r="K91" s="65">
        <f t="shared" si="44"/>
        <v>15.49366790585548</v>
      </c>
      <c r="L91" s="65">
        <f t="shared" si="45"/>
        <v>0.98786141347501244</v>
      </c>
      <c r="M91">
        <f t="shared" si="46"/>
        <v>18.403411200000001</v>
      </c>
      <c r="N91">
        <f t="shared" si="47"/>
        <v>0</v>
      </c>
      <c r="O91">
        <f>IF(L91&lt;'Vehicle Data'!F$21,'Vehicle Data'!C$21,IF(L91&gt;'Vehicle Data'!C$21,'Vehicle Data'!C$20))</f>
        <v>0.6</v>
      </c>
      <c r="P91">
        <f>('Vehicle Data'!C$6*9.81*'Vehicle Data'!C$5*SIN(D91))/'Vehicle Data'!C$9</f>
        <v>0</v>
      </c>
      <c r="Q91" s="107">
        <f>'Vehicle Data'!C$6*9.81*SIN(D91)</f>
        <v>0</v>
      </c>
      <c r="R91">
        <f t="shared" si="41"/>
        <v>860.18548952225456</v>
      </c>
      <c r="S91">
        <f>IF(Data!O91=0.6,'Vehicle Data'!E$21,IF(Data!O91 = 0.9,'Vehicle Data'!E$20))+(P91*O91)</f>
        <v>1550.3723999999997</v>
      </c>
      <c r="T91">
        <f>IF(F91=3,'Vehicle Data'!H$16,IF(F91=2,'Vehicle Data'!H$15,IF(F91 = 1,'Vehicle Data'!G$14)))</f>
        <v>466.23005239380637</v>
      </c>
      <c r="U91" s="148">
        <f t="shared" si="48"/>
        <v>144.04700739893849</v>
      </c>
      <c r="V91" s="70" t="s">
        <v>77</v>
      </c>
      <c r="W91" s="99" t="s">
        <v>84</v>
      </c>
      <c r="X91">
        <f>IF(V91="S",'Vehicle Data'!C$14,IF(Data!V91 = "T1",'Vehicle Data'!P$2,IF(Data!V91="T2",'Vehicle Data'!P$3)))</f>
        <v>13.411199999999999</v>
      </c>
      <c r="Z91">
        <f t="shared" si="70"/>
        <v>8.3644143931587696</v>
      </c>
      <c r="AB91" t="b">
        <f>IF(AA91=1,'Vehicle Data'!I$14,IF(AA91=2,'Vehicle Data'!I$15,IF(AA91=3,'Vehicle Data'!I$16)))</f>
        <v>0</v>
      </c>
      <c r="AC91">
        <f>IF(Z91&lt;'Vehicle Data'!C$16,'Vehicle Data'!I$15,IF(Z91&lt;'Vehicle Data'!C$15,'Vehicle Data'!I$15,IF(Z90&gt;'Vehicle Data'!C$15,'Vehicle Data'!I$16)))</f>
        <v>0.98256251041858167</v>
      </c>
      <c r="AD91">
        <f>IF(O91=0.6,'Vehicle Data'!F$21,IF(O91=0.9,'Vehicle Data'!F$20))</f>
        <v>3.5315999999999996</v>
      </c>
      <c r="AE91" s="100">
        <f t="shared" si="49"/>
        <v>0.98256251041858167</v>
      </c>
      <c r="AF91" s="158">
        <f t="shared" si="71"/>
        <v>0.23101327513821304</v>
      </c>
      <c r="AG91" s="148">
        <f t="shared" si="53"/>
        <v>0.99626894789929132</v>
      </c>
      <c r="AH91" s="148">
        <f t="shared" si="72"/>
        <v>22.985329477925639</v>
      </c>
      <c r="AJ91">
        <f>(Z91^2)*'Vehicle Data'!C$31</f>
        <v>25.71155984162699</v>
      </c>
      <c r="AK91">
        <f>IF(O91=0.6,'Vehicle Data'!C$6*'Vehicle Data'!D$21*9.81,IF(O91=0.9,'Vehicle Data'!C$6*9.81*'Vehicle Data'!D$20))</f>
        <v>86.131799999999998</v>
      </c>
      <c r="AL91">
        <f t="shared" si="50"/>
        <v>111.84335984162699</v>
      </c>
      <c r="AN91">
        <f>IF(AG91&gt;0,AG91*'Vehicle Data'!C$6)</f>
        <v>437.36206812778892</v>
      </c>
      <c r="AO91">
        <f t="shared" si="54"/>
        <v>549.20542796941595</v>
      </c>
      <c r="AP91">
        <f>AO91*'Vehicle Data'!F$3</f>
        <v>140.37690738898272</v>
      </c>
      <c r="AQ91">
        <f>IF(AE91='Vehicle Data'!I$15,AP91/'Vehicle Data'!G$15,IF(AE91='Vehicle Data'!I$16,AP91/'Vehicle Data'!G$16,IF(AE91='Vehicle Data'!I$14,Data!AP91/'Vehicle Data'!G102)))</f>
        <v>17.39130245304386</v>
      </c>
      <c r="AR91">
        <f>IF(Z91&lt;'Vehicle Data'!C$16, Z91*'Vehicle Data'!F$7*'Vehicle Data'!G$14,IF(Z91&lt;'Vehicle Data'!C$15,Z91*'Vehicle Data'!F$7*'Vehicle Data'!G$15,IF(Z91&gt;'Vehicle Data'!C$15,Z91*'Vehicle Data'!F$7*'Vehicle Data'!G$16)))</f>
        <v>108.42759398539145</v>
      </c>
      <c r="AS91">
        <f t="shared" si="73"/>
        <v>6505.6556391234872</v>
      </c>
      <c r="AT91">
        <f t="shared" si="74"/>
        <v>17</v>
      </c>
      <c r="AU91">
        <f t="shared" si="75"/>
        <v>6500</v>
      </c>
      <c r="AW91">
        <f>VLOOKUP(AT91,BSFC!A$64:A$82,1,FALSE)</f>
        <v>17</v>
      </c>
      <c r="AX91" t="e" cm="1">
        <f t="array" ref="AX91">_xlfn.XLOOKUP(AT91,BSFC!A$64:A$82,,-1,_xlfn.XLOOKUP(Data!AU91,BSFC!C$63:Q$63,BSFC!B$64:Q$82,,-1))</f>
        <v>#VALUE!</v>
      </c>
      <c r="AY91">
        <f>HLOOKUP(AU91,BSFC!F$63:Q$63,1)</f>
        <v>6500</v>
      </c>
      <c r="AZ91">
        <f>IF(AT91&gt;0,MATCH(AT91,BSFC!A$64:A$83,0),IF(AT91&lt;=0,0))</f>
        <v>6</v>
      </c>
      <c r="BA91">
        <f>MATCH(AU91,BSFC!C$63:Q$63,0)</f>
        <v>13</v>
      </c>
      <c r="BB91" cm="1">
        <f t="array" ref="BB91">IF(AZ91&gt;0,INDEX(BSFC!C$64:Q$83,Data!AZ91,Data!BA91))</f>
        <v>511.2</v>
      </c>
      <c r="BC91">
        <f>0.5*'Vehicle Data'!C$6*Data!Z91^2</f>
        <v>15356.972476835708</v>
      </c>
      <c r="BD91">
        <f t="shared" si="55"/>
        <v>12.141544528151641</v>
      </c>
      <c r="BE91">
        <f t="shared" si="76"/>
        <v>6206.7575627911192</v>
      </c>
      <c r="BF91">
        <f t="shared" si="77"/>
        <v>0.39828983126923595</v>
      </c>
      <c r="BG91">
        <f t="shared" si="56"/>
        <v>24.855549012263367</v>
      </c>
      <c r="BH91">
        <f t="shared" si="79"/>
        <v>11800.357204354083</v>
      </c>
      <c r="BI91" s="148">
        <f t="shared" si="57"/>
        <v>6871.6622130335309</v>
      </c>
      <c r="BO91">
        <f t="shared" si="58"/>
        <v>2662.8454534856855</v>
      </c>
      <c r="BP91">
        <f t="shared" si="59"/>
        <v>41942.579488537245</v>
      </c>
      <c r="BQ91">
        <f t="shared" si="60"/>
        <v>102495.43788941551</v>
      </c>
      <c r="BR91" s="148">
        <f t="shared" si="61"/>
        <v>159498.06583982706</v>
      </c>
      <c r="BS91" s="156">
        <f t="shared" si="62"/>
        <v>2662.8454534856855</v>
      </c>
      <c r="BT91" s="156">
        <f t="shared" si="63"/>
        <v>11800.357204354083</v>
      </c>
      <c r="BU91">
        <f t="shared" si="64"/>
        <v>1550.6458122398262</v>
      </c>
      <c r="BV91">
        <f t="shared" si="65"/>
        <v>1550.6458122398262</v>
      </c>
      <c r="BW91" s="148">
        <f t="shared" si="66"/>
        <v>455.4</v>
      </c>
      <c r="BX91" s="148">
        <f t="shared" si="67"/>
        <v>3129354.9718154697</v>
      </c>
      <c r="BY91" s="148">
        <f t="shared" si="68"/>
        <v>0.19615669524833801</v>
      </c>
      <c r="BZ91">
        <f t="shared" si="51"/>
        <v>22.985329477925639</v>
      </c>
      <c r="CB91">
        <f t="shared" si="69"/>
        <v>-1112.1996412458593</v>
      </c>
      <c r="CC91" s="162">
        <f t="shared" si="52"/>
        <v>-4814.4403847806534</v>
      </c>
      <c r="CD91">
        <f t="shared" si="78"/>
        <v>56270.687471385703</v>
      </c>
    </row>
    <row r="92" spans="4:82" x14ac:dyDescent="0.2">
      <c r="D92" s="22">
        <f t="shared" si="42"/>
        <v>0</v>
      </c>
      <c r="E92" s="23">
        <v>9.2017056000000004</v>
      </c>
      <c r="F92" s="23">
        <f>IF(K92&lt;6,1,IF(Data!K92&lt;9,2,IF(K92&gt;9,3)))</f>
        <v>3</v>
      </c>
      <c r="G92" s="23">
        <v>864.06841218456577</v>
      </c>
      <c r="H92" s="23">
        <v>215.36666499999998</v>
      </c>
      <c r="I92" s="64">
        <v>38.857652441323033</v>
      </c>
      <c r="J92" s="65">
        <f t="shared" si="43"/>
        <v>2.6017985071451957</v>
      </c>
      <c r="K92" s="65">
        <f t="shared" si="44"/>
        <v>15.543060976529214</v>
      </c>
      <c r="L92" s="65">
        <f t="shared" si="45"/>
        <v>1.0407194028580711</v>
      </c>
      <c r="M92">
        <f t="shared" si="46"/>
        <v>18.403411200000001</v>
      </c>
      <c r="N92">
        <f t="shared" si="47"/>
        <v>0</v>
      </c>
      <c r="O92">
        <f>IF(L92&lt;'Vehicle Data'!F$21,'Vehicle Data'!C$21,IF(L92&gt;'Vehicle Data'!C$21,'Vehicle Data'!C$20))</f>
        <v>0.6</v>
      </c>
      <c r="P92">
        <f>('Vehicle Data'!C$6*9.81*'Vehicle Data'!C$5*SIN(D92))/'Vehicle Data'!C$9</f>
        <v>0</v>
      </c>
      <c r="Q92" s="107">
        <f>'Vehicle Data'!C$6*9.81*SIN(D92)</f>
        <v>0</v>
      </c>
      <c r="R92">
        <f t="shared" si="41"/>
        <v>862.12368349530539</v>
      </c>
      <c r="S92">
        <f>IF(Data!O92=0.6,'Vehicle Data'!E$21,IF(Data!O92 = 0.9,'Vehicle Data'!E$20))+(P92*O92)</f>
        <v>1550.3723999999997</v>
      </c>
      <c r="T92">
        <f>IF(F92=3,'Vehicle Data'!H$16,IF(F92=2,'Vehicle Data'!H$15,IF(F92 = 1,'Vehicle Data'!G$14)))</f>
        <v>466.23005239380637</v>
      </c>
      <c r="U92" s="148">
        <f t="shared" si="48"/>
        <v>145.98520137198932</v>
      </c>
      <c r="V92" s="70" t="s">
        <v>77</v>
      </c>
      <c r="W92" s="99" t="s">
        <v>84</v>
      </c>
      <c r="X92">
        <f>IF(V92="S",'Vehicle Data'!C$14,IF(Data!V92 = "T1",'Vehicle Data'!P$2,IF(Data!V92="T2",'Vehicle Data'!P$3)))</f>
        <v>13.411199999999999</v>
      </c>
      <c r="Z92">
        <f t="shared" si="70"/>
        <v>8.5890757134955766</v>
      </c>
      <c r="AB92" t="b">
        <f>IF(AA92=1,'Vehicle Data'!I$14,IF(AA92=2,'Vehicle Data'!I$15,IF(AA92=3,'Vehicle Data'!I$16)))</f>
        <v>0</v>
      </c>
      <c r="AC92">
        <f>IF(Z92&lt;'Vehicle Data'!C$16,'Vehicle Data'!I$15,IF(Z92&lt;'Vehicle Data'!C$15,'Vehicle Data'!I$15,IF(Z91&gt;'Vehicle Data'!C$15,'Vehicle Data'!I$16)))</f>
        <v>0.98256251041858167</v>
      </c>
      <c r="AD92">
        <f>IF(O92=0.6,'Vehicle Data'!F$21,IF(O92=0.9,'Vehicle Data'!F$20))</f>
        <v>3.5315999999999996</v>
      </c>
      <c r="AE92" s="100">
        <f t="shared" si="49"/>
        <v>0.98256251041858167</v>
      </c>
      <c r="AF92" s="158">
        <f t="shared" si="71"/>
        <v>0.2256580379196616</v>
      </c>
      <c r="AG92" s="148">
        <f t="shared" si="53"/>
        <v>0.9955830619106536</v>
      </c>
      <c r="AH92" s="148">
        <f t="shared" si="72"/>
        <v>23.2109875158453</v>
      </c>
      <c r="AJ92">
        <f>(Z92^2)*'Vehicle Data'!C$31</f>
        <v>27.111291442468644</v>
      </c>
      <c r="AK92">
        <f>IF(O92=0.6,'Vehicle Data'!C$6*'Vehicle Data'!D$21*9.81,IF(O92=0.9,'Vehicle Data'!C$6*9.81*'Vehicle Data'!D$20))</f>
        <v>86.131799999999998</v>
      </c>
      <c r="AL92">
        <f t="shared" si="50"/>
        <v>113.24309144246864</v>
      </c>
      <c r="AN92">
        <f>IF(AG92&gt;0,AG92*'Vehicle Data'!C$6)</f>
        <v>437.06096417877694</v>
      </c>
      <c r="AO92">
        <f t="shared" si="54"/>
        <v>550.30405562124554</v>
      </c>
      <c r="AP92">
        <f>AO92*'Vehicle Data'!F$3</f>
        <v>140.65771661679037</v>
      </c>
      <c r="AQ92">
        <f>IF(AE92='Vehicle Data'!I$15,AP92/'Vehicle Data'!G$15,IF(AE92='Vehicle Data'!I$16,AP92/'Vehicle Data'!G$16,IF(AE92='Vehicle Data'!I$14,Data!AP92/'Vehicle Data'!G103)))</f>
        <v>17.426091923073116</v>
      </c>
      <c r="AR92">
        <f>IF(Z92&lt;'Vehicle Data'!C$16, Z92*'Vehicle Data'!F$7*'Vehicle Data'!G$14,IF(Z92&lt;'Vehicle Data'!C$15,Z92*'Vehicle Data'!F$7*'Vehicle Data'!G$15,IF(Z92&gt;'Vehicle Data'!C$15,Z92*'Vehicle Data'!F$7*'Vehicle Data'!G$16)))</f>
        <v>111.33987036012785</v>
      </c>
      <c r="AS92">
        <f t="shared" si="73"/>
        <v>6680.3922216076708</v>
      </c>
      <c r="AT92">
        <f t="shared" si="74"/>
        <v>17</v>
      </c>
      <c r="AU92">
        <f t="shared" si="75"/>
        <v>6500</v>
      </c>
      <c r="AW92">
        <f>VLOOKUP(AT92,BSFC!A$64:A$82,1,FALSE)</f>
        <v>17</v>
      </c>
      <c r="AX92" t="e" cm="1">
        <f t="array" ref="AX92">_xlfn.XLOOKUP(AT92,BSFC!A$64:A$82,,-1,_xlfn.XLOOKUP(Data!AU92,BSFC!C$63:Q$63,BSFC!B$64:Q$82,,-1))</f>
        <v>#VALUE!</v>
      </c>
      <c r="AY92">
        <f>HLOOKUP(AU92,BSFC!F$63:Q$63,1)</f>
        <v>6500</v>
      </c>
      <c r="AZ92">
        <f>IF(AT92&gt;0,MATCH(AT92,BSFC!A$64:A$83,0),IF(AT92&lt;=0,0))</f>
        <v>6</v>
      </c>
      <c r="BA92">
        <f>MATCH(AU92,BSFC!C$63:Q$63,0)</f>
        <v>13</v>
      </c>
      <c r="BB92" cm="1">
        <f t="array" ref="BB92">IF(AZ92&gt;0,INDEX(BSFC!C$64:Q$83,Data!AZ92,Data!BA92))</f>
        <v>511.2</v>
      </c>
      <c r="BC92">
        <f>0.5*'Vehicle Data'!C$6*Data!Z92^2</f>
        <v>16193.002643869022</v>
      </c>
      <c r="BD92">
        <f t="shared" si="55"/>
        <v>12.477730515246572</v>
      </c>
      <c r="BE92">
        <f t="shared" si="76"/>
        <v>6378.6158393940477</v>
      </c>
      <c r="BF92">
        <f t="shared" si="77"/>
        <v>0.39982942637803781</v>
      </c>
      <c r="BG92">
        <f t="shared" si="56"/>
        <v>25.255378438641404</v>
      </c>
      <c r="BH92">
        <f t="shared" si="79"/>
        <v>12141.54452815164</v>
      </c>
      <c r="BI92" s="148">
        <f t="shared" si="57"/>
        <v>6871.6622130335309</v>
      </c>
      <c r="BO92">
        <f t="shared" si="58"/>
        <v>2680.5214633879305</v>
      </c>
      <c r="BP92">
        <f t="shared" si="59"/>
        <v>44623.100951925175</v>
      </c>
      <c r="BQ92">
        <f t="shared" si="60"/>
        <v>105175.95935280345</v>
      </c>
      <c r="BR92" s="148">
        <f t="shared" si="61"/>
        <v>161015.14120107784</v>
      </c>
      <c r="BS92" s="156">
        <f t="shared" si="62"/>
        <v>2680.5214633879305</v>
      </c>
      <c r="BT92" s="156">
        <f t="shared" si="63"/>
        <v>12141.54452815164</v>
      </c>
      <c r="BU92">
        <f t="shared" si="64"/>
        <v>1517.0753612507883</v>
      </c>
      <c r="BV92">
        <f t="shared" si="65"/>
        <v>1517.0753612507883</v>
      </c>
      <c r="BW92" s="148">
        <f t="shared" si="66"/>
        <v>455.4</v>
      </c>
      <c r="BX92" s="148">
        <f t="shared" si="67"/>
        <v>3129354.9718154697</v>
      </c>
      <c r="BY92" s="148">
        <f t="shared" si="68"/>
        <v>0.19191003319822472</v>
      </c>
      <c r="BZ92">
        <f t="shared" si="51"/>
        <v>23.2109875158453</v>
      </c>
      <c r="CB92">
        <f t="shared" si="69"/>
        <v>-1163.4461021371421</v>
      </c>
      <c r="CC92" s="162">
        <f t="shared" si="52"/>
        <v>-5155.7928663341108</v>
      </c>
      <c r="CD92">
        <f t="shared" si="78"/>
        <v>55107.241369248564</v>
      </c>
    </row>
    <row r="93" spans="4:82" x14ac:dyDescent="0.2">
      <c r="D93" s="22">
        <f t="shared" si="42"/>
        <v>0</v>
      </c>
      <c r="E93" s="23">
        <v>9.2017056000000004</v>
      </c>
      <c r="F93" s="23">
        <f>IF(K93&lt;6,1,IF(Data!K93&lt;9,2,IF(K93&gt;9,3)))</f>
        <v>3</v>
      </c>
      <c r="G93" s="23">
        <v>866.01988615761604</v>
      </c>
      <c r="H93" s="23">
        <v>215.41666499999999</v>
      </c>
      <c r="I93" s="64">
        <v>38.987742366680322</v>
      </c>
      <c r="J93" s="65">
        <f t="shared" si="43"/>
        <v>2.643780599429042</v>
      </c>
      <c r="K93" s="65">
        <f t="shared" si="44"/>
        <v>15.595096946672129</v>
      </c>
      <c r="L93" s="65">
        <f t="shared" si="45"/>
        <v>1.0575122397716239</v>
      </c>
      <c r="M93">
        <f t="shared" si="46"/>
        <v>18.403411200000001</v>
      </c>
      <c r="N93">
        <f t="shared" si="47"/>
        <v>0</v>
      </c>
      <c r="O93">
        <f>IF(L93&lt;'Vehicle Data'!F$21,'Vehicle Data'!C$21,IF(L93&gt;'Vehicle Data'!C$21,'Vehicle Data'!C$20))</f>
        <v>0.6</v>
      </c>
      <c r="P93">
        <f>('Vehicle Data'!C$6*9.81*'Vehicle Data'!C$5*SIN(D93))/'Vehicle Data'!C$9</f>
        <v>0</v>
      </c>
      <c r="Q93" s="107">
        <f>'Vehicle Data'!C$6*9.81*SIN(D93)</f>
        <v>0</v>
      </c>
      <c r="R93">
        <f t="shared" si="41"/>
        <v>864.06841218456577</v>
      </c>
      <c r="S93">
        <f>IF(Data!O93=0.6,'Vehicle Data'!E$21,IF(Data!O93 = 0.9,'Vehicle Data'!E$20))+(P93*O93)</f>
        <v>1550.3723999999997</v>
      </c>
      <c r="T93">
        <f>IF(F93=3,'Vehicle Data'!H$16,IF(F93=2,'Vehicle Data'!H$15,IF(F93 = 1,'Vehicle Data'!G$14)))</f>
        <v>466.23005239380637</v>
      </c>
      <c r="U93" s="148">
        <f t="shared" si="48"/>
        <v>147.92993006124971</v>
      </c>
      <c r="V93" s="70" t="s">
        <v>77</v>
      </c>
      <c r="W93" s="99" t="s">
        <v>84</v>
      </c>
      <c r="X93">
        <f>IF(V93="S",'Vehicle Data'!C$14,IF(Data!V93 = "T1",'Vehicle Data'!P$2,IF(Data!V93="T2",'Vehicle Data'!P$3)))</f>
        <v>13.411199999999999</v>
      </c>
      <c r="Z93">
        <f t="shared" si="70"/>
        <v>8.8087375155674277</v>
      </c>
      <c r="AB93" t="b">
        <f>IF(AA93=1,'Vehicle Data'!I$14,IF(AA93=2,'Vehicle Data'!I$15,IF(AA93=3,'Vehicle Data'!I$16)))</f>
        <v>0</v>
      </c>
      <c r="AC93">
        <f>IF(Z93&lt;'Vehicle Data'!C$16,'Vehicle Data'!I$15,IF(Z93&lt;'Vehicle Data'!C$15,'Vehicle Data'!I$15,IF(Z92&gt;'Vehicle Data'!C$15,'Vehicle Data'!I$16)))</f>
        <v>0.98256251041858167</v>
      </c>
      <c r="AD93">
        <f>IF(O93=0.6,'Vehicle Data'!F$21,IF(O93=0.9,'Vehicle Data'!F$20))</f>
        <v>3.5315999999999996</v>
      </c>
      <c r="AE93" s="100">
        <f t="shared" si="49"/>
        <v>0.98256251041858167</v>
      </c>
      <c r="AF93" s="158">
        <f t="shared" si="71"/>
        <v>0.22077269141276193</v>
      </c>
      <c r="AG93" s="148">
        <f t="shared" si="53"/>
        <v>0.99496817593787479</v>
      </c>
      <c r="AH93" s="148">
        <f t="shared" si="72"/>
        <v>23.431760207258062</v>
      </c>
      <c r="AJ93">
        <f>(Z93^2)*'Vehicle Data'!C$31</f>
        <v>28.515742307175653</v>
      </c>
      <c r="AK93">
        <f>IF(O93=0.6,'Vehicle Data'!C$6*'Vehicle Data'!D$21*9.81,IF(O93=0.9,'Vehicle Data'!C$6*9.81*'Vehicle Data'!D$20))</f>
        <v>86.131799999999998</v>
      </c>
      <c r="AL93">
        <f t="shared" si="50"/>
        <v>114.64754230717566</v>
      </c>
      <c r="AN93">
        <f>IF(AG93&gt;0,AG93*'Vehicle Data'!C$6)</f>
        <v>436.79102923672701</v>
      </c>
      <c r="AO93">
        <f t="shared" si="54"/>
        <v>551.43857154390264</v>
      </c>
      <c r="AP93">
        <f>AO93*'Vehicle Data'!F$3</f>
        <v>140.94769888662151</v>
      </c>
      <c r="AQ93">
        <f>IF(AE93='Vehicle Data'!I$15,AP93/'Vehicle Data'!G$15,IF(AE93='Vehicle Data'!I$16,AP93/'Vehicle Data'!G$16,IF(AE93='Vehicle Data'!I$14,Data!AP93/'Vehicle Data'!G104)))</f>
        <v>17.462017841762002</v>
      </c>
      <c r="AR93">
        <f>IF(Z93&lt;'Vehicle Data'!C$16, Z93*'Vehicle Data'!F$7*'Vehicle Data'!G$14,IF(Z93&lt;'Vehicle Data'!C$15,Z93*'Vehicle Data'!F$7*'Vehicle Data'!G$15,IF(Z93&gt;'Vehicle Data'!C$15,Z93*'Vehicle Data'!F$7*'Vehicle Data'!G$16)))</f>
        <v>114.18733816476296</v>
      </c>
      <c r="AS93">
        <f t="shared" si="73"/>
        <v>6851.2402898857781</v>
      </c>
      <c r="AT93">
        <f t="shared" si="74"/>
        <v>17</v>
      </c>
      <c r="AU93">
        <f t="shared" si="75"/>
        <v>7000</v>
      </c>
      <c r="AW93">
        <f>VLOOKUP(AT93,BSFC!A$64:A$82,1,FALSE)</f>
        <v>17</v>
      </c>
      <c r="AX93" t="e" cm="1">
        <f t="array" ref="AX93">_xlfn.XLOOKUP(AT93,BSFC!A$64:A$82,,-1,_xlfn.XLOOKUP(Data!AU93,BSFC!C$63:Q$63,BSFC!B$64:Q$82,,-1))</f>
        <v>#VALUE!</v>
      </c>
      <c r="AY93">
        <f>HLOOKUP(AU93,BSFC!F$63:Q$63,1)</f>
        <v>7000</v>
      </c>
      <c r="AZ93">
        <f>IF(AT93&gt;0,MATCH(AT93,BSFC!A$64:A$83,0),IF(AT93&lt;=0,0))</f>
        <v>6</v>
      </c>
      <c r="BA93">
        <f>MATCH(AU93,BSFC!C$63:Q$63,0)</f>
        <v>14</v>
      </c>
      <c r="BB93" cm="1">
        <f t="array" ref="BB93">IF(AZ93&gt;0,INDEX(BSFC!C$64:Q$83,Data!AZ93,Data!BA93))</f>
        <v>500</v>
      </c>
      <c r="BC93">
        <f>0.5*'Vehicle Data'!C$6*Data!Z93^2</f>
        <v>17031.85152768722</v>
      </c>
      <c r="BD93">
        <f t="shared" si="55"/>
        <v>0</v>
      </c>
      <c r="BE93">
        <f t="shared" si="76"/>
        <v>0</v>
      </c>
      <c r="BF93">
        <f t="shared" si="77"/>
        <v>0</v>
      </c>
      <c r="BG93">
        <f t="shared" si="56"/>
        <v>25.255378438641404</v>
      </c>
      <c r="BH93">
        <f t="shared" si="79"/>
        <v>12477.730515246572</v>
      </c>
      <c r="BI93" s="148">
        <f t="shared" si="57"/>
        <v>6871.6622130335309</v>
      </c>
      <c r="BO93">
        <f t="shared" si="58"/>
        <v>2698.4196414690678</v>
      </c>
      <c r="BP93">
        <f t="shared" si="59"/>
        <v>47321.520593394242</v>
      </c>
      <c r="BQ93">
        <f t="shared" si="60"/>
        <v>107874.37899427251</v>
      </c>
      <c r="BR93" s="148">
        <f t="shared" si="61"/>
        <v>162501.19896314709</v>
      </c>
      <c r="BS93" s="156">
        <f t="shared" si="62"/>
        <v>2698.4196414690678</v>
      </c>
      <c r="BT93" s="156">
        <f t="shared" si="63"/>
        <v>12477.730515246572</v>
      </c>
      <c r="BU93">
        <f t="shared" si="64"/>
        <v>1486.0577620692475</v>
      </c>
      <c r="BV93">
        <f t="shared" si="65"/>
        <v>1486.0577620692475</v>
      </c>
      <c r="BW93" s="148">
        <f t="shared" si="66"/>
        <v>455.4</v>
      </c>
      <c r="BX93" s="148">
        <f t="shared" si="67"/>
        <v>3129354.9718154697</v>
      </c>
      <c r="BY93" s="148">
        <f t="shared" si="68"/>
        <v>0.18798630690175977</v>
      </c>
      <c r="BZ93">
        <f t="shared" si="51"/>
        <v>23.431760207258062</v>
      </c>
      <c r="CB93">
        <f t="shared" si="69"/>
        <v>-1212.3618793998203</v>
      </c>
      <c r="CC93" s="162">
        <f t="shared" si="52"/>
        <v>-5491.4485647736183</v>
      </c>
      <c r="CD93">
        <f t="shared" si="78"/>
        <v>53894.879489848747</v>
      </c>
    </row>
    <row r="94" spans="4:82" x14ac:dyDescent="0.2">
      <c r="D94" s="22">
        <f t="shared" si="42"/>
        <v>0</v>
      </c>
      <c r="E94" s="23">
        <v>9.2017056000000004</v>
      </c>
      <c r="F94" s="23">
        <f>IF(K94&lt;6,1,IF(Data!K94&lt;9,2,IF(K94&gt;9,3)))</f>
        <v>3</v>
      </c>
      <c r="G94" s="23">
        <v>867.97817277256081</v>
      </c>
      <c r="H94" s="23">
        <v>215.46666499999998</v>
      </c>
      <c r="I94" s="64">
        <v>39.119931396651729</v>
      </c>
      <c r="J94" s="65">
        <f t="shared" si="43"/>
        <v>2.6734019893828136</v>
      </c>
      <c r="K94" s="65">
        <f t="shared" si="44"/>
        <v>15.647972558660692</v>
      </c>
      <c r="L94" s="65">
        <f t="shared" si="45"/>
        <v>1.0693607957531326</v>
      </c>
      <c r="M94">
        <f t="shared" si="46"/>
        <v>18.403411200000001</v>
      </c>
      <c r="N94">
        <f t="shared" si="47"/>
        <v>0</v>
      </c>
      <c r="O94">
        <f>IF(L94&lt;'Vehicle Data'!F$21,'Vehicle Data'!C$21,IF(L94&gt;'Vehicle Data'!C$21,'Vehicle Data'!C$20))</f>
        <v>0.6</v>
      </c>
      <c r="P94">
        <f>('Vehicle Data'!C$6*9.81*'Vehicle Data'!C$5*SIN(D94))/'Vehicle Data'!C$9</f>
        <v>0</v>
      </c>
      <c r="Q94" s="107">
        <f>'Vehicle Data'!C$6*9.81*SIN(D94)</f>
        <v>0</v>
      </c>
      <c r="R94">
        <f t="shared" si="41"/>
        <v>866.01988615761604</v>
      </c>
      <c r="S94">
        <f>IF(Data!O94=0.6,'Vehicle Data'!E$21,IF(Data!O94 = 0.9,'Vehicle Data'!E$20))+(P94*O94)</f>
        <v>1550.3723999999997</v>
      </c>
      <c r="T94">
        <f>IF(F94=3,'Vehicle Data'!H$16,IF(F94=2,'Vehicle Data'!H$15,IF(F94 = 1,'Vehicle Data'!G$14)))</f>
        <v>466.23005239380637</v>
      </c>
      <c r="U94" s="148">
        <f t="shared" si="48"/>
        <v>149.88140403429998</v>
      </c>
      <c r="V94" s="70" t="s">
        <v>77</v>
      </c>
      <c r="W94" s="99" t="s">
        <v>84</v>
      </c>
      <c r="X94">
        <f>IF(V94="S",'Vehicle Data'!C$14,IF(Data!V94 = "T1",'Vehicle Data'!P$2,IF(Data!V94="T2",'Vehicle Data'!P$3)))</f>
        <v>13.411199999999999</v>
      </c>
      <c r="Z94">
        <f t="shared" si="70"/>
        <v>9.0237878382705006</v>
      </c>
      <c r="AB94" t="b">
        <f>IF(AA94=1,'Vehicle Data'!I$14,IF(AA94=2,'Vehicle Data'!I$15,IF(AA94=3,'Vehicle Data'!I$16)))</f>
        <v>0</v>
      </c>
      <c r="AC94" t="b">
        <f>IF(Z94&lt;'Vehicle Data'!C$16,'Vehicle Data'!I$15,IF(Z94&lt;'Vehicle Data'!C$15,'Vehicle Data'!I$15,IF(Z93&gt;'Vehicle Data'!C$15,'Vehicle Data'!I$16)))</f>
        <v>0</v>
      </c>
      <c r="AD94">
        <f>IF(O94=0.6,'Vehicle Data'!F$21,IF(O94=0.9,'Vehicle Data'!F$20))</f>
        <v>3.5315999999999996</v>
      </c>
      <c r="AE94" s="100" t="b">
        <f t="shared" si="49"/>
        <v>0</v>
      </c>
      <c r="AF94" s="158">
        <f t="shared" si="71"/>
        <v>0.21625884916907456</v>
      </c>
      <c r="AG94" s="148">
        <f t="shared" si="53"/>
        <v>0.99441166698775496</v>
      </c>
      <c r="AH94" s="148">
        <f t="shared" si="72"/>
        <v>23.648019056427138</v>
      </c>
      <c r="AJ94">
        <f>(Z94^2)*'Vehicle Data'!C$31</f>
        <v>29.925064504168592</v>
      </c>
      <c r="AK94">
        <f>IF(O94=0.6,'Vehicle Data'!C$6*'Vehicle Data'!D$21*9.81,IF(O94=0.9,'Vehicle Data'!C$6*9.81*'Vehicle Data'!D$20))</f>
        <v>86.131799999999998</v>
      </c>
      <c r="AL94">
        <f t="shared" si="50"/>
        <v>116.05686450416859</v>
      </c>
      <c r="AN94">
        <f>IF(AG94&gt;0,AG94*'Vehicle Data'!C$6)</f>
        <v>436.54672180762441</v>
      </c>
      <c r="AO94">
        <f t="shared" si="54"/>
        <v>552.60358631179304</v>
      </c>
      <c r="AP94">
        <f>AO94*'Vehicle Data'!F$3</f>
        <v>141.2454766612943</v>
      </c>
      <c r="AQ94" t="b">
        <f>IF(AE94='Vehicle Data'!I$15,AP94/'Vehicle Data'!G$15,IF(AE94='Vehicle Data'!I$16,AP94/'Vehicle Data'!G$16,IF(AE94='Vehicle Data'!I$14,Data!AP94/'Vehicle Data'!G105)))</f>
        <v>0</v>
      </c>
      <c r="AR94">
        <f>IF(Z94&lt;'Vehicle Data'!C$16, Z94*'Vehicle Data'!F$7*'Vehicle Data'!G$14,IF(Z94&lt;'Vehicle Data'!C$15,Z94*'Vehicle Data'!F$7*'Vehicle Data'!G$15,IF(Z94&gt;'Vehicle Data'!C$15,Z94*'Vehicle Data'!F$7*'Vehicle Data'!G$16)))</f>
        <v>78.499705305880539</v>
      </c>
      <c r="AS94">
        <f t="shared" si="73"/>
        <v>4709.9823183528324</v>
      </c>
      <c r="AT94">
        <f t="shared" si="74"/>
        <v>0</v>
      </c>
      <c r="AU94">
        <f t="shared" si="75"/>
        <v>4500</v>
      </c>
      <c r="AW94" t="e">
        <f>VLOOKUP(AT94,BSFC!A$64:A$82,1,FALSE)</f>
        <v>#N/A</v>
      </c>
      <c r="AX94" t="e" cm="1">
        <f t="array" ref="AX94">_xlfn.XLOOKUP(AT94,BSFC!A$64:A$82,,-1,_xlfn.XLOOKUP(Data!AU94,BSFC!C$63:Q$63,BSFC!B$64:Q$82,,-1))</f>
        <v>#VALUE!</v>
      </c>
      <c r="AY94">
        <f>HLOOKUP(AU94,BSFC!F$63:Q$63,1)</f>
        <v>4500</v>
      </c>
      <c r="AZ94">
        <f>IF(AT94&gt;0,MATCH(AT94,BSFC!A$64:A$83,0),IF(AT94&lt;=0,0))</f>
        <v>0</v>
      </c>
      <c r="BA94">
        <f>MATCH(AU94,BSFC!C$63:Q$63,0)</f>
        <v>9</v>
      </c>
      <c r="BB94" t="b" cm="1">
        <f t="array" ref="BB94">IF(AZ94&gt;0,INDEX(BSFC!C$64:Q$83,Data!AZ94,Data!BA94))</f>
        <v>0</v>
      </c>
      <c r="BC94">
        <f>0.5*'Vehicle Data'!C$6*Data!Z94^2</f>
        <v>17873.60995555103</v>
      </c>
      <c r="BD94">
        <f t="shared" si="55"/>
        <v>2.6901995849333695</v>
      </c>
      <c r="BE94">
        <f t="shared" si="76"/>
        <v>0</v>
      </c>
      <c r="BF94">
        <f t="shared" si="77"/>
        <v>0</v>
      </c>
      <c r="BG94">
        <f t="shared" si="56"/>
        <v>25.255378438641404</v>
      </c>
      <c r="BH94">
        <f t="shared" si="79"/>
        <v>0</v>
      </c>
      <c r="BI94" s="148">
        <f t="shared" si="57"/>
        <v>6871.6622130335309</v>
      </c>
      <c r="BO94">
        <f t="shared" si="58"/>
        <v>0</v>
      </c>
      <c r="BP94">
        <f t="shared" si="59"/>
        <v>47321.520593394242</v>
      </c>
      <c r="BQ94">
        <f t="shared" si="60"/>
        <v>107874.37899427251</v>
      </c>
      <c r="BR94" s="148">
        <f t="shared" si="61"/>
        <v>163992.44458808683</v>
      </c>
      <c r="BS94" s="156" t="b">
        <f t="shared" si="62"/>
        <v>0</v>
      </c>
      <c r="BT94" s="156">
        <f t="shared" si="63"/>
        <v>0</v>
      </c>
      <c r="BU94">
        <f t="shared" si="64"/>
        <v>1491.2456249397387</v>
      </c>
      <c r="BV94">
        <f t="shared" si="65"/>
        <v>1491.2456249397387</v>
      </c>
      <c r="BW94" s="148">
        <f t="shared" si="66"/>
        <v>455.4</v>
      </c>
      <c r="BX94" s="148">
        <f t="shared" si="67"/>
        <v>3129354.9718154697</v>
      </c>
      <c r="BY94" s="148">
        <f t="shared" si="68"/>
        <v>0.18864257155487693</v>
      </c>
      <c r="BZ94">
        <f t="shared" si="51"/>
        <v>23.648019056427138</v>
      </c>
      <c r="CB94">
        <f t="shared" si="69"/>
        <v>1491.2456249397387</v>
      </c>
      <c r="CC94" s="162">
        <f t="shared" si="52"/>
        <v>6895.6513486939348</v>
      </c>
      <c r="CD94">
        <f t="shared" si="78"/>
        <v>55386.125114788483</v>
      </c>
    </row>
    <row r="95" spans="4:82" x14ac:dyDescent="0.2">
      <c r="D95" s="22">
        <f t="shared" si="42"/>
        <v>0</v>
      </c>
      <c r="E95" s="23">
        <v>9.2017056000000004</v>
      </c>
      <c r="F95" s="23">
        <f>IF(K95&lt;6,1,IF(Data!K95&lt;9,2,IF(K95&gt;9,3)))</f>
        <v>3</v>
      </c>
      <c r="G95" s="23">
        <v>869.94343202940047</v>
      </c>
      <c r="H95" s="23">
        <v>215.51666499999999</v>
      </c>
      <c r="I95" s="64">
        <v>39.253601496120901</v>
      </c>
      <c r="J95" s="65">
        <f t="shared" si="43"/>
        <v>2.7299869530424745</v>
      </c>
      <c r="K95" s="65">
        <f t="shared" si="44"/>
        <v>15.701440598448361</v>
      </c>
      <c r="L95" s="65">
        <f t="shared" si="45"/>
        <v>1.0919947812169899</v>
      </c>
      <c r="M95">
        <f t="shared" si="46"/>
        <v>18.403411200000001</v>
      </c>
      <c r="N95">
        <f t="shared" si="47"/>
        <v>0</v>
      </c>
      <c r="O95">
        <f>IF(L95&lt;'Vehicle Data'!F$21,'Vehicle Data'!C$21,IF(L95&gt;'Vehicle Data'!C$21,'Vehicle Data'!C$20))</f>
        <v>0.6</v>
      </c>
      <c r="P95">
        <f>('Vehicle Data'!C$6*9.81*'Vehicle Data'!C$5*SIN(D95))/'Vehicle Data'!C$9</f>
        <v>0</v>
      </c>
      <c r="Q95" s="107">
        <f>'Vehicle Data'!C$6*9.81*SIN(D95)</f>
        <v>0</v>
      </c>
      <c r="R95">
        <f t="shared" si="41"/>
        <v>867.97817277256081</v>
      </c>
      <c r="S95">
        <f>IF(Data!O95=0.6,'Vehicle Data'!E$21,IF(Data!O95 = 0.9,'Vehicle Data'!E$20))+(P95*O95)</f>
        <v>1550.3723999999997</v>
      </c>
      <c r="T95">
        <f>IF(F95=3,'Vehicle Data'!H$16,IF(F95=2,'Vehicle Data'!H$15,IF(F95 = 1,'Vehicle Data'!G$14)))</f>
        <v>466.23005239380637</v>
      </c>
      <c r="U95" s="148">
        <f t="shared" si="48"/>
        <v>151.83969064924474</v>
      </c>
      <c r="V95" s="70" t="s">
        <v>77</v>
      </c>
      <c r="W95" s="99" t="s">
        <v>84</v>
      </c>
      <c r="X95">
        <f>IF(V95="S",'Vehicle Data'!C$14,IF(Data!V95 = "T1",'Vehicle Data'!P$2,IF(Data!V95="T2",'Vehicle Data'!P$3)))</f>
        <v>13.411199999999999</v>
      </c>
      <c r="Z95">
        <f t="shared" si="70"/>
        <v>9.0237878382705006</v>
      </c>
      <c r="AB95" t="b">
        <f>IF(AA95=1,'Vehicle Data'!I$14,IF(AA95=2,'Vehicle Data'!I$15,IF(AA95=3,'Vehicle Data'!I$16)))</f>
        <v>0</v>
      </c>
      <c r="AC95">
        <f>IF(Z95&lt;'Vehicle Data'!C$16,'Vehicle Data'!I$15,IF(Z95&lt;'Vehicle Data'!C$15,'Vehicle Data'!I$15,IF(Z94&gt;'Vehicle Data'!C$15,'Vehicle Data'!I$16)))</f>
        <v>0.46202745420001456</v>
      </c>
      <c r="AD95">
        <f>IF(O95=0.6,'Vehicle Data'!F$21,IF(O95=0.9,'Vehicle Data'!F$20))</f>
        <v>3.5315999999999996</v>
      </c>
      <c r="AE95" s="100">
        <f t="shared" si="49"/>
        <v>0.46202745420001456</v>
      </c>
      <c r="AF95" s="158">
        <f t="shared" si="71"/>
        <v>0.21701381393737348</v>
      </c>
      <c r="AG95" s="148">
        <f t="shared" si="53"/>
        <v>0</v>
      </c>
      <c r="AH95" s="148">
        <f t="shared" si="72"/>
        <v>23.865032870364512</v>
      </c>
      <c r="AJ95">
        <f>(Z95^2)*'Vehicle Data'!C$31</f>
        <v>29.925064504168592</v>
      </c>
      <c r="AK95">
        <f>IF(O95=0.6,'Vehicle Data'!C$6*'Vehicle Data'!D$21*9.81,IF(O95=0.9,'Vehicle Data'!C$6*9.81*'Vehicle Data'!D$20))</f>
        <v>86.131799999999998</v>
      </c>
      <c r="AL95">
        <f t="shared" si="50"/>
        <v>116.05686450416859</v>
      </c>
      <c r="AN95" t="b">
        <f>IF(AG95&gt;0,AG95*'Vehicle Data'!C$6)</f>
        <v>0</v>
      </c>
      <c r="AO95">
        <f t="shared" si="54"/>
        <v>116.05686450416859</v>
      </c>
      <c r="AP95">
        <f>AO95*'Vehicle Data'!F$3</f>
        <v>29.664134567265489</v>
      </c>
      <c r="AQ95">
        <f>IF(AE95='Vehicle Data'!I$15,AP95/'Vehicle Data'!G$15,IF(AE95='Vehicle Data'!I$16,AP95/'Vehicle Data'!G$16,IF(AE95='Vehicle Data'!I$14,Data!AP95/'Vehicle Data'!G106)))</f>
        <v>5.4763758920780097</v>
      </c>
      <c r="AR95">
        <f>IF(Z95&lt;'Vehicle Data'!C$16, Z95*'Vehicle Data'!F$7*'Vehicle Data'!G$14,IF(Z95&lt;'Vehicle Data'!C$15,Z95*'Vehicle Data'!F$7*'Vehicle Data'!G$15,IF(Z95&gt;'Vehicle Data'!C$15,Z95*'Vehicle Data'!F$7*'Vehicle Data'!G$16)))</f>
        <v>78.499705305880539</v>
      </c>
      <c r="AS95">
        <f t="shared" si="73"/>
        <v>4709.9823183528324</v>
      </c>
      <c r="AT95">
        <f t="shared" si="74"/>
        <v>5</v>
      </c>
      <c r="AU95">
        <f t="shared" si="75"/>
        <v>4500</v>
      </c>
      <c r="AW95">
        <f>VLOOKUP(AT95,BSFC!A$64:A$82,1,FALSE)</f>
        <v>5</v>
      </c>
      <c r="AX95" t="e" cm="1">
        <f t="array" ref="AX95">_xlfn.XLOOKUP(AT95,BSFC!A$64:A$82,,-1,_xlfn.XLOOKUP(Data!AU95,BSFC!C$63:Q$63,BSFC!B$64:Q$82,,-1))</f>
        <v>#VALUE!</v>
      </c>
      <c r="AY95">
        <f>HLOOKUP(AU95,BSFC!F$63:Q$63,1)</f>
        <v>4500</v>
      </c>
      <c r="AZ95">
        <f>IF(AT95&gt;0,MATCH(AT95,BSFC!A$64:A$83,0),IF(AT95&lt;=0,0))</f>
        <v>18</v>
      </c>
      <c r="BA95">
        <f>MATCH(AU95,BSFC!C$63:Q$63,0)</f>
        <v>9</v>
      </c>
      <c r="BB95" cm="1">
        <f t="array" ref="BB95">IF(AZ95&gt;0,INDEX(BSFC!C$64:Q$83,Data!AZ95,Data!BA95))</f>
        <v>700</v>
      </c>
      <c r="BC95">
        <f>0.5*'Vehicle Data'!C$6*Data!Z95^2</f>
        <v>17873.60995555103</v>
      </c>
      <c r="BD95">
        <f t="shared" si="55"/>
        <v>7.5156277501859607</v>
      </c>
      <c r="BE95">
        <f t="shared" si="76"/>
        <v>5260.9394251301728</v>
      </c>
      <c r="BF95">
        <f t="shared" si="77"/>
        <v>0.31713792487249776</v>
      </c>
      <c r="BG95">
        <f t="shared" si="56"/>
        <v>25.572516363513902</v>
      </c>
      <c r="BH95">
        <f t="shared" si="79"/>
        <v>2690.1995849333694</v>
      </c>
      <c r="BI95" s="148">
        <f t="shared" si="57"/>
        <v>6871.6622130335309</v>
      </c>
      <c r="BO95">
        <f t="shared" si="58"/>
        <v>579.4632711436235</v>
      </c>
      <c r="BP95">
        <f t="shared" si="59"/>
        <v>47900.983864537862</v>
      </c>
      <c r="BQ95">
        <f t="shared" si="60"/>
        <v>108453.84226541614</v>
      </c>
      <c r="BR95" s="148">
        <f t="shared" si="61"/>
        <v>165472.58601939891</v>
      </c>
      <c r="BS95" s="156">
        <f t="shared" si="62"/>
        <v>579.4632711436235</v>
      </c>
      <c r="BT95" s="156">
        <f t="shared" si="63"/>
        <v>2690.1995849333694</v>
      </c>
      <c r="BU95">
        <f t="shared" si="64"/>
        <v>1480.1414313120802</v>
      </c>
      <c r="BV95">
        <f t="shared" si="65"/>
        <v>1480.1414313120802</v>
      </c>
      <c r="BW95" s="148">
        <f t="shared" si="66"/>
        <v>455.4</v>
      </c>
      <c r="BX95" s="148">
        <f t="shared" si="67"/>
        <v>3129354.9718154697</v>
      </c>
      <c r="BY95" s="148">
        <f t="shared" si="68"/>
        <v>0.1872378910609781</v>
      </c>
      <c r="BZ95">
        <f t="shared" si="51"/>
        <v>23.865032870364512</v>
      </c>
      <c r="CB95">
        <f t="shared" si="69"/>
        <v>900.67816016845666</v>
      </c>
      <c r="CC95" s="162">
        <f t="shared" si="52"/>
        <v>4150.3263954817858</v>
      </c>
      <c r="CD95">
        <f t="shared" si="78"/>
        <v>56286.803274956939</v>
      </c>
    </row>
    <row r="96" spans="4:82" x14ac:dyDescent="0.2">
      <c r="D96" s="22">
        <f t="shared" si="42"/>
        <v>0</v>
      </c>
      <c r="E96" s="23">
        <v>9.2017056000000004</v>
      </c>
      <c r="F96" s="23">
        <f>IF(K96&lt;6,1,IF(Data!K96&lt;9,2,IF(K96&gt;9,3)))</f>
        <v>3</v>
      </c>
      <c r="G96" s="23">
        <v>871.91589128624048</v>
      </c>
      <c r="H96" s="23">
        <v>215.566665</v>
      </c>
      <c r="I96" s="64">
        <v>39.390100843773055</v>
      </c>
      <c r="J96" s="65">
        <f t="shared" si="43"/>
        <v>2.7848797452021308</v>
      </c>
      <c r="K96" s="65">
        <f t="shared" si="44"/>
        <v>15.756040337509223</v>
      </c>
      <c r="L96" s="65">
        <f t="shared" si="45"/>
        <v>1.1139518980808452</v>
      </c>
      <c r="M96">
        <f t="shared" si="46"/>
        <v>18.403411200000001</v>
      </c>
      <c r="N96">
        <f t="shared" si="47"/>
        <v>0</v>
      </c>
      <c r="O96">
        <f>IF(L96&lt;'Vehicle Data'!F$21,'Vehicle Data'!C$21,IF(L96&gt;'Vehicle Data'!C$21,'Vehicle Data'!C$20))</f>
        <v>0.6</v>
      </c>
      <c r="P96">
        <f>('Vehicle Data'!C$6*9.81*'Vehicle Data'!C$5*SIN(D96))/'Vehicle Data'!C$9</f>
        <v>0</v>
      </c>
      <c r="Q96" s="107">
        <f>'Vehicle Data'!C$6*9.81*SIN(D96)</f>
        <v>0</v>
      </c>
      <c r="R96">
        <f t="shared" si="41"/>
        <v>869.94343202940047</v>
      </c>
      <c r="S96">
        <f>IF(Data!O96=0.6,'Vehicle Data'!E$21,IF(Data!O96 = 0.9,'Vehicle Data'!E$20))+(P96*O96)</f>
        <v>1550.3723999999997</v>
      </c>
      <c r="T96">
        <f>IF(F96=3,'Vehicle Data'!H$16,IF(F96=2,'Vehicle Data'!H$15,IF(F96 = 1,'Vehicle Data'!G$14)))</f>
        <v>466.23005239380637</v>
      </c>
      <c r="U96" s="148">
        <f t="shared" si="48"/>
        <v>153.8049499060844</v>
      </c>
      <c r="V96" s="70" t="s">
        <v>77</v>
      </c>
      <c r="W96" s="99" t="s">
        <v>84</v>
      </c>
      <c r="X96">
        <f>IF(V96="S",'Vehicle Data'!C$14,IF(Data!V96 = "T1",'Vehicle Data'!P$2,IF(Data!V96="T2",'Vehicle Data'!P$3)))</f>
        <v>13.411199999999999</v>
      </c>
      <c r="Z96">
        <f t="shared" si="70"/>
        <v>9.1238563345046089</v>
      </c>
      <c r="AB96" t="b">
        <f>IF(AA96=1,'Vehicle Data'!I$14,IF(AA96=2,'Vehicle Data'!I$15,IF(AA96=3,'Vehicle Data'!I$16)))</f>
        <v>0</v>
      </c>
      <c r="AC96">
        <f>IF(Z96&lt;'Vehicle Data'!C$16,'Vehicle Data'!I$15,IF(Z96&lt;'Vehicle Data'!C$15,'Vehicle Data'!I$15,IF(Z95&gt;'Vehicle Data'!C$15,'Vehicle Data'!I$16)))</f>
        <v>0.46202745420001456</v>
      </c>
      <c r="AD96">
        <f>IF(O96=0.6,'Vehicle Data'!F$21,IF(O96=0.9,'Vehicle Data'!F$20))</f>
        <v>3.5315999999999996</v>
      </c>
      <c r="AE96" s="100">
        <f t="shared" si="49"/>
        <v>0.46202745420001456</v>
      </c>
      <c r="AF96" s="158">
        <f t="shared" si="71"/>
        <v>0.21539787396776944</v>
      </c>
      <c r="AG96" s="148">
        <f t="shared" si="53"/>
        <v>0.46457513433527114</v>
      </c>
      <c r="AH96" s="148">
        <f t="shared" si="72"/>
        <v>24.080430744332283</v>
      </c>
      <c r="AJ96">
        <f>(Z96^2)*'Vehicle Data'!C$31</f>
        <v>30.592447246659866</v>
      </c>
      <c r="AK96">
        <f>IF(O96=0.6,'Vehicle Data'!C$6*'Vehicle Data'!D$21*9.81,IF(O96=0.9,'Vehicle Data'!C$6*9.81*'Vehicle Data'!D$20))</f>
        <v>86.131799999999998</v>
      </c>
      <c r="AL96">
        <f t="shared" si="50"/>
        <v>116.72424724665987</v>
      </c>
      <c r="AN96">
        <f>IF(AG96&gt;0,AG96*'Vehicle Data'!C$6)</f>
        <v>203.94848397318404</v>
      </c>
      <c r="AO96">
        <f t="shared" si="54"/>
        <v>320.67273121984391</v>
      </c>
      <c r="AP96">
        <f>AO96*'Vehicle Data'!F$3</f>
        <v>81.9639500997921</v>
      </c>
      <c r="AQ96">
        <f>IF(AE96='Vehicle Data'!I$15,AP96/'Vehicle Data'!G$15,IF(AE96='Vehicle Data'!I$16,AP96/'Vehicle Data'!G$16,IF(AE96='Vehicle Data'!I$14,Data!AP96/'Vehicle Data'!G107)))</f>
        <v>15.131585899738722</v>
      </c>
      <c r="AR96">
        <f>IF(Z96&lt;'Vehicle Data'!C$16, Z96*'Vehicle Data'!F$7*'Vehicle Data'!G$14,IF(Z96&lt;'Vehicle Data'!C$15,Z96*'Vehicle Data'!F$7*'Vehicle Data'!G$15,IF(Z96&gt;'Vehicle Data'!C$15,Z96*'Vehicle Data'!F$7*'Vehicle Data'!G$16)))</f>
        <v>79.370220837225929</v>
      </c>
      <c r="AS96">
        <f t="shared" si="73"/>
        <v>4762.2132502335553</v>
      </c>
      <c r="AT96">
        <f t="shared" si="74"/>
        <v>15</v>
      </c>
      <c r="AU96">
        <f t="shared" si="75"/>
        <v>5000</v>
      </c>
      <c r="AW96">
        <f>VLOOKUP(AT96,BSFC!A$64:A$82,1,FALSE)</f>
        <v>15</v>
      </c>
      <c r="AX96" t="e" cm="1">
        <f t="array" ref="AX96">_xlfn.XLOOKUP(AT96,BSFC!A$64:A$82,,-1,_xlfn.XLOOKUP(Data!AU96,BSFC!C$63:Q$63,BSFC!B$64:Q$82,,-1))</f>
        <v>#VALUE!</v>
      </c>
      <c r="AY96">
        <f>HLOOKUP(AU96,BSFC!F$63:Q$63,1)</f>
        <v>5000</v>
      </c>
      <c r="AZ96">
        <f>IF(AT96&gt;0,MATCH(AT96,BSFC!A$64:A$83,0),IF(AT96&lt;=0,0))</f>
        <v>8</v>
      </c>
      <c r="BA96">
        <f>MATCH(AU96,BSFC!C$63:Q$63,0)</f>
        <v>10</v>
      </c>
      <c r="BB96" cm="1">
        <f t="array" ref="BB96">IF(AZ96&gt;0,INDEX(BSFC!C$64:Q$83,Data!AZ96,Data!BA96))</f>
        <v>705.8</v>
      </c>
      <c r="BC96">
        <f>0.5*'Vehicle Data'!C$6*Data!Z96^2</f>
        <v>18272.223593583232</v>
      </c>
      <c r="BD96">
        <f t="shared" si="55"/>
        <v>7.6128521633436677</v>
      </c>
      <c r="BE96">
        <f t="shared" si="76"/>
        <v>5373.1510568879603</v>
      </c>
      <c r="BF96">
        <f t="shared" si="77"/>
        <v>0.32149036504481665</v>
      </c>
      <c r="BG96">
        <f t="shared" si="56"/>
        <v>25.894006728558718</v>
      </c>
      <c r="BH96">
        <f t="shared" si="79"/>
        <v>7515.6277501859604</v>
      </c>
      <c r="BI96" s="148">
        <f t="shared" si="57"/>
        <v>6871.6622130335309</v>
      </c>
      <c r="BO96">
        <f t="shared" si="58"/>
        <v>1607.2805320254586</v>
      </c>
      <c r="BP96">
        <f t="shared" si="59"/>
        <v>49508.264396563318</v>
      </c>
      <c r="BQ96">
        <f t="shared" si="60"/>
        <v>110061.1227974416</v>
      </c>
      <c r="BR96" s="148">
        <f t="shared" si="61"/>
        <v>166942.14907717417</v>
      </c>
      <c r="BS96" s="156">
        <f t="shared" si="62"/>
        <v>1607.2805320254586</v>
      </c>
      <c r="BT96" s="156">
        <f t="shared" si="63"/>
        <v>7515.6277501859604</v>
      </c>
      <c r="BU96">
        <f t="shared" si="64"/>
        <v>1469.5630577752463</v>
      </c>
      <c r="BV96">
        <f t="shared" si="65"/>
        <v>1469.5630577752463</v>
      </c>
      <c r="BW96" s="148">
        <f t="shared" si="66"/>
        <v>455.4</v>
      </c>
      <c r="BX96" s="148">
        <f t="shared" si="67"/>
        <v>3129354.9718154697</v>
      </c>
      <c r="BY96" s="148">
        <f t="shared" si="68"/>
        <v>0.18589972680856864</v>
      </c>
      <c r="BZ96">
        <f t="shared" si="51"/>
        <v>24.080430744332283</v>
      </c>
      <c r="CB96">
        <f t="shared" si="69"/>
        <v>-137.71747425021226</v>
      </c>
      <c r="CC96" s="162">
        <f t="shared" si="52"/>
        <v>-639.36320128590808</v>
      </c>
      <c r="CD96">
        <f t="shared" si="78"/>
        <v>56149.085800706729</v>
      </c>
    </row>
    <row r="97" spans="4:82" x14ac:dyDescent="0.2">
      <c r="D97" s="22">
        <f t="shared" si="42"/>
        <v>0</v>
      </c>
      <c r="E97" s="23">
        <v>9.2017056000000004</v>
      </c>
      <c r="F97" s="23">
        <f>IF(K97&lt;6,1,IF(Data!K97&lt;9,2,IF(K97&gt;9,3)))</f>
        <v>3</v>
      </c>
      <c r="G97" s="23">
        <v>873.89572318497426</v>
      </c>
      <c r="H97" s="23">
        <v>215.61666499999998</v>
      </c>
      <c r="I97" s="64">
        <v>39.529344831033114</v>
      </c>
      <c r="J97" s="65">
        <f t="shared" si="43"/>
        <v>2.7033573605548149</v>
      </c>
      <c r="K97" s="65">
        <f t="shared" si="44"/>
        <v>15.811737932413246</v>
      </c>
      <c r="L97" s="65">
        <f t="shared" si="45"/>
        <v>1.0813429442219331</v>
      </c>
      <c r="M97">
        <f t="shared" si="46"/>
        <v>18.403411200000001</v>
      </c>
      <c r="N97">
        <f t="shared" si="47"/>
        <v>0</v>
      </c>
      <c r="O97">
        <f>IF(L97&lt;'Vehicle Data'!F$21,'Vehicle Data'!C$21,IF(L97&gt;'Vehicle Data'!C$21,'Vehicle Data'!C$20))</f>
        <v>0.6</v>
      </c>
      <c r="P97">
        <f>('Vehicle Data'!C$6*9.81*'Vehicle Data'!C$5*SIN(D97))/'Vehicle Data'!C$9</f>
        <v>0</v>
      </c>
      <c r="Q97" s="107">
        <f>'Vehicle Data'!C$6*9.81*SIN(D97)</f>
        <v>0</v>
      </c>
      <c r="R97">
        <f t="shared" si="41"/>
        <v>871.91589128624048</v>
      </c>
      <c r="S97">
        <f>IF(Data!O97=0.6,'Vehicle Data'!E$21,IF(Data!O97 = 0.9,'Vehicle Data'!E$20))+(P97*O97)</f>
        <v>1550.3723999999997</v>
      </c>
      <c r="T97">
        <f>IF(F97=3,'Vehicle Data'!H$16,IF(F97=2,'Vehicle Data'!H$15,IF(F97 = 1,'Vehicle Data'!G$14)))</f>
        <v>466.23005239380637</v>
      </c>
      <c r="U97" s="148">
        <f t="shared" si="48"/>
        <v>155.77740916292441</v>
      </c>
      <c r="V97" s="70" t="s">
        <v>77</v>
      </c>
      <c r="W97" s="99" t="s">
        <v>84</v>
      </c>
      <c r="X97">
        <f>IF(V97="S",'Vehicle Data'!C$14,IF(Data!V97 = "T1",'Vehicle Data'!P$2,IF(Data!V97="T2",'Vehicle Data'!P$3)))</f>
        <v>13.411199999999999</v>
      </c>
      <c r="Z97">
        <f t="shared" si="70"/>
        <v>9.2231998281822989</v>
      </c>
      <c r="AB97" t="b">
        <f>IF(AA97=1,'Vehicle Data'!I$14,IF(AA97=2,'Vehicle Data'!I$15,IF(AA97=3,'Vehicle Data'!I$16)))</f>
        <v>0</v>
      </c>
      <c r="AC97">
        <f>IF(Z97&lt;'Vehicle Data'!C$16,'Vehicle Data'!I$15,IF(Z97&lt;'Vehicle Data'!C$15,'Vehicle Data'!I$15,IF(Z96&gt;'Vehicle Data'!C$15,'Vehicle Data'!I$16)))</f>
        <v>0.46202745420001456</v>
      </c>
      <c r="AD97">
        <f>IF(O97=0.6,'Vehicle Data'!F$21,IF(O97=0.9,'Vehicle Data'!F$20))</f>
        <v>3.5315999999999996</v>
      </c>
      <c r="AE97" s="100">
        <f t="shared" si="49"/>
        <v>0.46202745420001456</v>
      </c>
      <c r="AF97" s="158">
        <f t="shared" si="71"/>
        <v>0.21385845407067819</v>
      </c>
      <c r="AG97" s="148">
        <f t="shared" si="53"/>
        <v>0.46452918641625429</v>
      </c>
      <c r="AH97" s="148">
        <f t="shared" si="72"/>
        <v>24.294289198402961</v>
      </c>
      <c r="AJ97">
        <f>(Z97^2)*'Vehicle Data'!C$31</f>
        <v>31.26227503843889</v>
      </c>
      <c r="AK97">
        <f>IF(O97=0.6,'Vehicle Data'!C$6*'Vehicle Data'!D$21*9.81,IF(O97=0.9,'Vehicle Data'!C$6*9.81*'Vehicle Data'!D$20))</f>
        <v>86.131799999999998</v>
      </c>
      <c r="AL97">
        <f t="shared" si="50"/>
        <v>117.39407503843888</v>
      </c>
      <c r="AN97">
        <f>IF(AG97&gt;0,AG97*'Vehicle Data'!C$6)</f>
        <v>203.92831283673564</v>
      </c>
      <c r="AO97">
        <f t="shared" si="54"/>
        <v>321.32238787517451</v>
      </c>
      <c r="AP97">
        <f>AO97*'Vehicle Data'!F$3</f>
        <v>82.130002340894606</v>
      </c>
      <c r="AQ97">
        <f>IF(AE97='Vehicle Data'!I$15,AP97/'Vehicle Data'!G$15,IF(AE97='Vehicle Data'!I$16,AP97/'Vehicle Data'!G$16,IF(AE97='Vehicle Data'!I$14,Data!AP97/'Vehicle Data'!G108)))</f>
        <v>15.162241251842024</v>
      </c>
      <c r="AR97">
        <f>IF(Z97&lt;'Vehicle Data'!C$16, Z97*'Vehicle Data'!F$7*'Vehicle Data'!G$14,IF(Z97&lt;'Vehicle Data'!C$15,Z97*'Vehicle Data'!F$7*'Vehicle Data'!G$15,IF(Z97&gt;'Vehicle Data'!C$15,Z97*'Vehicle Data'!F$7*'Vehicle Data'!G$16)))</f>
        <v>80.234429428731332</v>
      </c>
      <c r="AS97">
        <f t="shared" si="73"/>
        <v>4814.0657657238798</v>
      </c>
      <c r="AT97">
        <f t="shared" si="74"/>
        <v>15</v>
      </c>
      <c r="AU97">
        <f t="shared" si="75"/>
        <v>5000</v>
      </c>
      <c r="AW97">
        <f>VLOOKUP(AT97,BSFC!A$64:A$82,1,FALSE)</f>
        <v>15</v>
      </c>
      <c r="AX97" t="e" cm="1">
        <f t="array" ref="AX97">_xlfn.XLOOKUP(AT97,BSFC!A$64:A$82,,-1,_xlfn.XLOOKUP(Data!AU97,BSFC!C$63:Q$63,BSFC!B$64:Q$82,,-1))</f>
        <v>#VALUE!</v>
      </c>
      <c r="AY97">
        <f>HLOOKUP(AU97,BSFC!F$63:Q$63,1)</f>
        <v>5000</v>
      </c>
      <c r="AZ97">
        <f>IF(AT97&gt;0,MATCH(AT97,BSFC!A$64:A$83,0),IF(AT97&lt;=0,0))</f>
        <v>8</v>
      </c>
      <c r="BA97">
        <f>MATCH(AU97,BSFC!C$63:Q$63,0)</f>
        <v>10</v>
      </c>
      <c r="BB97" cm="1">
        <f t="array" ref="BB97">IF(AZ97&gt;0,INDEX(BSFC!C$64:Q$83,Data!AZ97,Data!BA97))</f>
        <v>705.8</v>
      </c>
      <c r="BC97">
        <f>0.5*'Vehicle Data'!C$6*Data!Z97^2</f>
        <v>18672.297607992747</v>
      </c>
      <c r="BD97">
        <f t="shared" si="55"/>
        <v>7.7099153934340663</v>
      </c>
      <c r="BE97">
        <f t="shared" si="76"/>
        <v>5441.6582846857636</v>
      </c>
      <c r="BF97">
        <f t="shared" si="77"/>
        <v>0.3232623967621655</v>
      </c>
      <c r="BG97">
        <f t="shared" si="56"/>
        <v>26.217269125320882</v>
      </c>
      <c r="BH97">
        <f t="shared" si="79"/>
        <v>7612.8521633436676</v>
      </c>
      <c r="BI97" s="148">
        <f t="shared" si="57"/>
        <v>6871.6622130335309</v>
      </c>
      <c r="BO97">
        <f t="shared" si="58"/>
        <v>1616.8644060824934</v>
      </c>
      <c r="BP97">
        <f t="shared" si="59"/>
        <v>51125.128802645813</v>
      </c>
      <c r="BQ97">
        <f t="shared" si="60"/>
        <v>111677.98720352408</v>
      </c>
      <c r="BR97" s="148">
        <f t="shared" si="61"/>
        <v>168401.59499895023</v>
      </c>
      <c r="BS97" s="156">
        <f t="shared" si="62"/>
        <v>1616.8644060824934</v>
      </c>
      <c r="BT97" s="156">
        <f t="shared" si="63"/>
        <v>7612.8521633436676</v>
      </c>
      <c r="BU97">
        <f t="shared" si="64"/>
        <v>1459.44592177606</v>
      </c>
      <c r="BV97">
        <f t="shared" si="65"/>
        <v>1459.44592177606</v>
      </c>
      <c r="BW97" s="148">
        <f t="shared" si="66"/>
        <v>455.4</v>
      </c>
      <c r="BX97" s="148">
        <f t="shared" si="67"/>
        <v>3129354.9718154697</v>
      </c>
      <c r="BY97" s="148">
        <f t="shared" si="68"/>
        <v>0.18461990910467158</v>
      </c>
      <c r="BZ97">
        <f t="shared" si="51"/>
        <v>24.294289198402961</v>
      </c>
      <c r="CB97">
        <f t="shared" si="69"/>
        <v>-157.41848430643336</v>
      </c>
      <c r="CC97" s="162">
        <f t="shared" si="52"/>
        <v>-736.08726384231761</v>
      </c>
      <c r="CD97">
        <f t="shared" si="78"/>
        <v>55991.667316400293</v>
      </c>
    </row>
    <row r="98" spans="4:82" x14ac:dyDescent="0.2">
      <c r="D98" s="22">
        <f t="shared" si="42"/>
        <v>0</v>
      </c>
      <c r="E98" s="23">
        <v>9.2017056000000004</v>
      </c>
      <c r="F98" s="23">
        <f>IF(K98&lt;6,1,IF(Data!K98&lt;9,2,IF(K98&gt;9,3)))</f>
        <v>3</v>
      </c>
      <c r="G98" s="23">
        <v>875.88253187423504</v>
      </c>
      <c r="H98" s="23">
        <v>215.66666499999999</v>
      </c>
      <c r="I98" s="64">
        <v>39.664512699060886</v>
      </c>
      <c r="J98" s="65">
        <f t="shared" si="43"/>
        <v>2.5808641306663835</v>
      </c>
      <c r="K98" s="65">
        <f t="shared" si="44"/>
        <v>15.865805079624355</v>
      </c>
      <c r="L98" s="65">
        <f t="shared" si="45"/>
        <v>1.0323456522665322</v>
      </c>
      <c r="M98">
        <f t="shared" si="46"/>
        <v>18.403411200000001</v>
      </c>
      <c r="N98">
        <f t="shared" si="47"/>
        <v>0</v>
      </c>
      <c r="O98">
        <f>IF(L98&lt;'Vehicle Data'!F$21,'Vehicle Data'!C$21,IF(L98&gt;'Vehicle Data'!C$21,'Vehicle Data'!C$20))</f>
        <v>0.6</v>
      </c>
      <c r="P98">
        <f>('Vehicle Data'!C$6*9.81*'Vehicle Data'!C$5*SIN(D98))/'Vehicle Data'!C$9</f>
        <v>0</v>
      </c>
      <c r="Q98" s="107">
        <f>'Vehicle Data'!C$6*9.81*SIN(D98)</f>
        <v>0</v>
      </c>
      <c r="R98">
        <f t="shared" si="41"/>
        <v>873.89572318497426</v>
      </c>
      <c r="S98">
        <f>IF(Data!O98=0.6,'Vehicle Data'!E$21,IF(Data!O98 = 0.9,'Vehicle Data'!E$20))+(P98*O98)</f>
        <v>1550.3723999999997</v>
      </c>
      <c r="T98">
        <f>IF(F98=3,'Vehicle Data'!H$16,IF(F98=2,'Vehicle Data'!H$15,IF(F98 = 1,'Vehicle Data'!G$14)))</f>
        <v>466.23005239380637</v>
      </c>
      <c r="U98" s="148">
        <f t="shared" si="48"/>
        <v>157.75724106165819</v>
      </c>
      <c r="V98" s="70" t="s">
        <v>77</v>
      </c>
      <c r="W98" s="99" t="s">
        <v>84</v>
      </c>
      <c r="X98">
        <f>IF(V98="S",'Vehicle Data'!C$14,IF(Data!V98 = "T1",'Vehicle Data'!P$2,IF(Data!V98="T2",'Vehicle Data'!P$3)))</f>
        <v>13.411199999999999</v>
      </c>
      <c r="Z98">
        <f t="shared" si="70"/>
        <v>9.3218500553492003</v>
      </c>
      <c r="AB98" t="b">
        <f>IF(AA98=1,'Vehicle Data'!I$14,IF(AA98=2,'Vehicle Data'!I$15,IF(AA98=3,'Vehicle Data'!I$16)))</f>
        <v>0</v>
      </c>
      <c r="AC98">
        <f>IF(Z98&lt;'Vehicle Data'!C$16,'Vehicle Data'!I$15,IF(Z98&lt;'Vehicle Data'!C$15,'Vehicle Data'!I$15,IF(Z97&gt;'Vehicle Data'!C$15,'Vehicle Data'!I$16)))</f>
        <v>0.46202745420001456</v>
      </c>
      <c r="AD98">
        <f>IF(O98=0.6,'Vehicle Data'!F$21,IF(O98=0.9,'Vehicle Data'!F$20))</f>
        <v>3.5315999999999996</v>
      </c>
      <c r="AE98" s="100">
        <f t="shared" si="49"/>
        <v>0.46202745420001456</v>
      </c>
      <c r="AF98" s="158">
        <f t="shared" si="71"/>
        <v>0.21238615585730022</v>
      </c>
      <c r="AG98" s="148">
        <f t="shared" si="53"/>
        <v>0.4644852051147032</v>
      </c>
      <c r="AH98" s="148">
        <f t="shared" si="72"/>
        <v>24.50667535426026</v>
      </c>
      <c r="AJ98">
        <f>(Z98^2)*'Vehicle Data'!C$31</f>
        <v>31.93460650699711</v>
      </c>
      <c r="AK98">
        <f>IF(O98=0.6,'Vehicle Data'!C$6*'Vehicle Data'!D$21*9.81,IF(O98=0.9,'Vehicle Data'!C$6*9.81*'Vehicle Data'!D$20))</f>
        <v>86.131799999999998</v>
      </c>
      <c r="AL98">
        <f t="shared" si="50"/>
        <v>118.06640650699711</v>
      </c>
      <c r="AN98">
        <f>IF(AG98&gt;0,AG98*'Vehicle Data'!C$6)</f>
        <v>203.90900504535472</v>
      </c>
      <c r="AO98">
        <f t="shared" si="54"/>
        <v>321.97541155235183</v>
      </c>
      <c r="AP98">
        <f>AO98*'Vehicle Data'!F$3</f>
        <v>82.296915192781128</v>
      </c>
      <c r="AQ98">
        <f>IF(AE98='Vehicle Data'!I$15,AP98/'Vehicle Data'!G$15,IF(AE98='Vehicle Data'!I$16,AP98/'Vehicle Data'!G$16,IF(AE98='Vehicle Data'!I$14,Data!AP98/'Vehicle Data'!G109)))</f>
        <v>15.19305548362339</v>
      </c>
      <c r="AR98">
        <f>IF(Z98&lt;'Vehicle Data'!C$16, Z98*'Vehicle Data'!F$7*'Vehicle Data'!G$14,IF(Z98&lt;'Vehicle Data'!C$15,Z98*'Vehicle Data'!F$7*'Vehicle Data'!G$15,IF(Z98&gt;'Vehicle Data'!C$15,Z98*'Vehicle Data'!F$7*'Vehicle Data'!G$16)))</f>
        <v>81.092607158499874</v>
      </c>
      <c r="AS98">
        <f t="shared" si="73"/>
        <v>4865.5564295099921</v>
      </c>
      <c r="AT98">
        <f t="shared" si="74"/>
        <v>15</v>
      </c>
      <c r="AU98">
        <f t="shared" si="75"/>
        <v>5000</v>
      </c>
      <c r="AW98">
        <f>VLOOKUP(AT98,BSFC!A$64:A$82,1,FALSE)</f>
        <v>15</v>
      </c>
      <c r="AX98" t="e" cm="1">
        <f t="array" ref="AX98">_xlfn.XLOOKUP(AT98,BSFC!A$64:A$82,,-1,_xlfn.XLOOKUP(Data!AU98,BSFC!C$63:Q$63,BSFC!B$64:Q$82,,-1))</f>
        <v>#VALUE!</v>
      </c>
      <c r="AY98">
        <f>HLOOKUP(AU98,BSFC!F$63:Q$63,1)</f>
        <v>5000</v>
      </c>
      <c r="AZ98">
        <f>IF(AT98&gt;0,MATCH(AT98,BSFC!A$64:A$83,0),IF(AT98&lt;=0,0))</f>
        <v>8</v>
      </c>
      <c r="BA98">
        <f>MATCH(AU98,BSFC!C$63:Q$63,0)</f>
        <v>10</v>
      </c>
      <c r="BB98" cm="1">
        <f t="array" ref="BB98">IF(AZ98&gt;0,INDEX(BSFC!C$64:Q$83,Data!AZ98,Data!BA98))</f>
        <v>705.8</v>
      </c>
      <c r="BC98">
        <f>0.5*'Vehicle Data'!C$6*Data!Z98^2</f>
        <v>19073.867015743846</v>
      </c>
      <c r="BD98">
        <f t="shared" si="55"/>
        <v>0</v>
      </c>
      <c r="BE98">
        <f t="shared" si="76"/>
        <v>0</v>
      </c>
      <c r="BF98">
        <f t="shared" si="77"/>
        <v>0</v>
      </c>
      <c r="BG98">
        <f t="shared" si="56"/>
        <v>26.217269125320882</v>
      </c>
      <c r="BH98">
        <f t="shared" si="79"/>
        <v>7709.9153934340666</v>
      </c>
      <c r="BI98" s="148">
        <f t="shared" si="57"/>
        <v>6871.6622130335309</v>
      </c>
      <c r="BO98">
        <f t="shared" si="58"/>
        <v>1626.161026985998</v>
      </c>
      <c r="BP98">
        <f t="shared" si="59"/>
        <v>52751.289829631809</v>
      </c>
      <c r="BQ98">
        <f t="shared" si="60"/>
        <v>113304.14823051008</v>
      </c>
      <c r="BR98" s="148">
        <f t="shared" si="61"/>
        <v>169850.9532229022</v>
      </c>
      <c r="BS98" s="156">
        <f t="shared" si="62"/>
        <v>1626.161026985998</v>
      </c>
      <c r="BT98" s="156">
        <f t="shared" si="63"/>
        <v>7709.9153934340666</v>
      </c>
      <c r="BU98">
        <f t="shared" si="64"/>
        <v>1449.358223951961</v>
      </c>
      <c r="BV98">
        <f t="shared" si="65"/>
        <v>1449.358223951961</v>
      </c>
      <c r="BW98" s="148">
        <f t="shared" si="66"/>
        <v>455.4</v>
      </c>
      <c r="BX98" s="148">
        <f t="shared" si="67"/>
        <v>3129354.9718154697</v>
      </c>
      <c r="BY98" s="148">
        <f t="shared" si="68"/>
        <v>0.18334381532992305</v>
      </c>
      <c r="BZ98">
        <f t="shared" si="51"/>
        <v>24.50667535426026</v>
      </c>
      <c r="CB98">
        <f t="shared" si="69"/>
        <v>-176.80280303403697</v>
      </c>
      <c r="CC98" s="162">
        <f t="shared" si="52"/>
        <v>-832.45917004510261</v>
      </c>
      <c r="CD98">
        <f t="shared" si="78"/>
        <v>55814.864513366258</v>
      </c>
    </row>
    <row r="99" spans="4:82" x14ac:dyDescent="0.2">
      <c r="D99" s="22">
        <f t="shared" si="42"/>
        <v>0</v>
      </c>
      <c r="E99" s="23">
        <v>9.2017056000000004</v>
      </c>
      <c r="F99" s="23">
        <f>IF(K99&lt;6,1,IF(Data!K99&lt;9,2,IF(K99&gt;9,3)))</f>
        <v>3</v>
      </c>
      <c r="G99" s="23">
        <v>877.87523527970677</v>
      </c>
      <c r="H99" s="23">
        <v>215.71666499999998</v>
      </c>
      <c r="I99" s="64">
        <v>39.793555905594161</v>
      </c>
      <c r="J99" s="65">
        <f t="shared" si="43"/>
        <v>2.6696498750504429</v>
      </c>
      <c r="K99" s="65">
        <f t="shared" si="44"/>
        <v>15.917422362237664</v>
      </c>
      <c r="L99" s="65">
        <f t="shared" si="45"/>
        <v>1.0678599500201773</v>
      </c>
      <c r="M99">
        <f t="shared" si="46"/>
        <v>18.403411200000001</v>
      </c>
      <c r="N99">
        <f t="shared" si="47"/>
        <v>0</v>
      </c>
      <c r="O99">
        <f>IF(L99&lt;'Vehicle Data'!F$21,'Vehicle Data'!C$21,IF(L99&gt;'Vehicle Data'!C$21,'Vehicle Data'!C$20))</f>
        <v>0.6</v>
      </c>
      <c r="P99">
        <f>('Vehicle Data'!C$6*9.81*'Vehicle Data'!C$5*SIN(D99))/'Vehicle Data'!C$9</f>
        <v>0</v>
      </c>
      <c r="Q99" s="107">
        <f>'Vehicle Data'!C$6*9.81*SIN(D99)</f>
        <v>0</v>
      </c>
      <c r="R99">
        <f t="shared" si="41"/>
        <v>875.88253187423504</v>
      </c>
      <c r="S99">
        <f>IF(Data!O99=0.6,'Vehicle Data'!E$21,IF(Data!O99 = 0.9,'Vehicle Data'!E$20))+(P99*O99)</f>
        <v>1550.3723999999997</v>
      </c>
      <c r="T99">
        <f>IF(F99=3,'Vehicle Data'!H$16,IF(F99=2,'Vehicle Data'!H$15,IF(F99 = 1,'Vehicle Data'!G$14)))</f>
        <v>466.23005239380637</v>
      </c>
      <c r="U99" s="148">
        <f t="shared" si="48"/>
        <v>159.74404975091898</v>
      </c>
      <c r="V99" s="70" t="s">
        <v>77</v>
      </c>
      <c r="W99" s="99" t="s">
        <v>84</v>
      </c>
      <c r="X99">
        <f>IF(V99="S",'Vehicle Data'!C$14,IF(Data!V99 = "T1",'Vehicle Data'!P$2,IF(Data!V99="T2",'Vehicle Data'!P$3)))</f>
        <v>13.411199999999999</v>
      </c>
      <c r="Z99">
        <f t="shared" si="70"/>
        <v>9.4198093810743941</v>
      </c>
      <c r="AB99" t="b">
        <f>IF(AA99=1,'Vehicle Data'!I$14,IF(AA99=2,'Vehicle Data'!I$15,IF(AA99=3,'Vehicle Data'!I$16)))</f>
        <v>0</v>
      </c>
      <c r="AC99">
        <f>IF(Z99&lt;'Vehicle Data'!C$16,'Vehicle Data'!I$15,IF(Z99&lt;'Vehicle Data'!C$15,'Vehicle Data'!I$15,IF(Z98&gt;'Vehicle Data'!C$15,'Vehicle Data'!I$16)))</f>
        <v>0.46202745420001456</v>
      </c>
      <c r="AD99">
        <f>IF(O99=0.6,'Vehicle Data'!F$21,IF(O99=0.9,'Vehicle Data'!F$20))</f>
        <v>3.5315999999999996</v>
      </c>
      <c r="AE99" s="100">
        <f t="shared" si="49"/>
        <v>0.46202745420001456</v>
      </c>
      <c r="AF99" s="158">
        <f t="shared" si="71"/>
        <v>0.21091814164016282</v>
      </c>
      <c r="AG99" s="148">
        <f t="shared" si="53"/>
        <v>0.46444238965616091</v>
      </c>
      <c r="AH99" s="148">
        <f t="shared" si="72"/>
        <v>24.717593495900424</v>
      </c>
      <c r="AJ99">
        <f>(Z99^2)*'Vehicle Data'!C$31</f>
        <v>32.609307225098114</v>
      </c>
      <c r="AK99">
        <f>IF(O99=0.6,'Vehicle Data'!C$6*'Vehicle Data'!D$21*9.81,IF(O99=0.9,'Vehicle Data'!C$6*9.81*'Vehicle Data'!D$20))</f>
        <v>86.131799999999998</v>
      </c>
      <c r="AL99">
        <f t="shared" si="50"/>
        <v>118.74110722509812</v>
      </c>
      <c r="AN99">
        <f>IF(AG99&gt;0,AG99*'Vehicle Data'!C$6)</f>
        <v>203.89020905905465</v>
      </c>
      <c r="AO99">
        <f t="shared" si="54"/>
        <v>322.63131628415277</v>
      </c>
      <c r="AP99">
        <f>AO99*'Vehicle Data'!F$3</f>
        <v>82.464564442229445</v>
      </c>
      <c r="AQ99">
        <v>0</v>
      </c>
      <c r="AR99">
        <f>IF(Z99&lt;'Vehicle Data'!C$16, Z99*'Vehicle Data'!F$7*'Vehicle Data'!G$14,IF(Z99&lt;'Vehicle Data'!C$15,Z99*'Vehicle Data'!F$7*'Vehicle Data'!G$15,IF(Z99&gt;'Vehicle Data'!C$15,Z99*'Vehicle Data'!F$7*'Vehicle Data'!G$16)))</f>
        <v>81.944774600732671</v>
      </c>
      <c r="AS99">
        <f t="shared" si="73"/>
        <v>4916.6864760439603</v>
      </c>
      <c r="AT99">
        <f t="shared" si="74"/>
        <v>0</v>
      </c>
      <c r="AU99">
        <f t="shared" si="75"/>
        <v>5000</v>
      </c>
      <c r="AW99" t="e">
        <f>VLOOKUP(AT99,BSFC!A$64:A$82,1,FALSE)</f>
        <v>#N/A</v>
      </c>
      <c r="AX99" t="e" cm="1">
        <f t="array" ref="AX99">_xlfn.XLOOKUP(AT99,BSFC!A$64:A$82,,-1,_xlfn.XLOOKUP(Data!AU99,BSFC!C$63:Q$63,BSFC!B$64:Q$82,,-1))</f>
        <v>#VALUE!</v>
      </c>
      <c r="AY99">
        <f>HLOOKUP(AU99,BSFC!F$63:Q$63,1)</f>
        <v>5000</v>
      </c>
      <c r="AZ99">
        <f>IF(AT99&gt;0,MATCH(AT99,BSFC!A$64:A$83,0),IF(AT99&lt;=0,0))</f>
        <v>0</v>
      </c>
      <c r="BA99">
        <f>MATCH(AU99,BSFC!C$63:Q$63,0)</f>
        <v>10</v>
      </c>
      <c r="BB99" t="b" cm="1">
        <f t="array" ref="BB99">IF(AZ99&gt;0,INDEX(BSFC!C$64:Q$83,Data!AZ99,Data!BA99))</f>
        <v>0</v>
      </c>
      <c r="BC99">
        <f>0.5*'Vehicle Data'!C$6*Data!Z99^2</f>
        <v>19476.851526283088</v>
      </c>
      <c r="BD99">
        <f t="shared" si="55"/>
        <v>7.9034806713782944</v>
      </c>
      <c r="BE99">
        <f t="shared" si="76"/>
        <v>0</v>
      </c>
      <c r="BF99">
        <f t="shared" si="77"/>
        <v>0</v>
      </c>
      <c r="BG99">
        <f t="shared" si="56"/>
        <v>26.217269125320882</v>
      </c>
      <c r="BH99">
        <f t="shared" si="79"/>
        <v>0</v>
      </c>
      <c r="BI99" s="148">
        <f t="shared" si="57"/>
        <v>6871.6622130335309</v>
      </c>
      <c r="BO99">
        <f t="shared" si="58"/>
        <v>0</v>
      </c>
      <c r="BP99">
        <f t="shared" si="59"/>
        <v>52751.289829631809</v>
      </c>
      <c r="BQ99">
        <f t="shared" si="60"/>
        <v>113304.14823051008</v>
      </c>
      <c r="BR99" s="148">
        <f t="shared" si="61"/>
        <v>171289.75932075951</v>
      </c>
      <c r="BS99" s="156" t="b">
        <f t="shared" si="62"/>
        <v>0</v>
      </c>
      <c r="BT99" s="156">
        <f t="shared" si="63"/>
        <v>0</v>
      </c>
      <c r="BU99">
        <f t="shared" si="64"/>
        <v>1438.8060978573108</v>
      </c>
      <c r="BV99">
        <f t="shared" si="65"/>
        <v>1438.8060978573108</v>
      </c>
      <c r="BW99" s="148">
        <f t="shared" si="66"/>
        <v>455.4</v>
      </c>
      <c r="BX99" s="148">
        <f t="shared" si="67"/>
        <v>3129354.9718154697</v>
      </c>
      <c r="BY99" s="148">
        <f t="shared" si="68"/>
        <v>0.18200897137894978</v>
      </c>
      <c r="BZ99">
        <f t="shared" si="51"/>
        <v>24.717593495900424</v>
      </c>
      <c r="CB99">
        <f t="shared" si="69"/>
        <v>1438.8060978573108</v>
      </c>
      <c r="CC99" s="162">
        <f t="shared" si="52"/>
        <v>6821.6327276009288</v>
      </c>
      <c r="CD99">
        <f t="shared" si="78"/>
        <v>57253.67061122357</v>
      </c>
    </row>
    <row r="100" spans="4:82" x14ac:dyDescent="0.2">
      <c r="D100" s="22">
        <f t="shared" si="42"/>
        <v>0</v>
      </c>
      <c r="E100" s="23">
        <v>9.2017056000000004</v>
      </c>
      <c r="F100" s="23">
        <f>IF(K100&lt;6,1,IF(Data!K100&lt;9,2,IF(K100&gt;9,3)))</f>
        <v>3</v>
      </c>
      <c r="G100" s="23">
        <v>879.87150056349594</v>
      </c>
      <c r="H100" s="23">
        <v>215.76666499999999</v>
      </c>
      <c r="I100" s="64">
        <v>39.927038399346714</v>
      </c>
      <c r="J100" s="65">
        <f t="shared" si="43"/>
        <v>2.6160212200899218</v>
      </c>
      <c r="K100" s="65">
        <f t="shared" si="44"/>
        <v>15.970815359738685</v>
      </c>
      <c r="L100" s="65">
        <f t="shared" si="45"/>
        <v>1.0464084880359898</v>
      </c>
      <c r="M100">
        <f t="shared" si="46"/>
        <v>18.403411200000001</v>
      </c>
      <c r="N100">
        <f t="shared" si="47"/>
        <v>0</v>
      </c>
      <c r="O100">
        <f>IF(L100&lt;'Vehicle Data'!F$21,'Vehicle Data'!C$21,IF(L100&gt;'Vehicle Data'!C$21,'Vehicle Data'!C$20))</f>
        <v>0.6</v>
      </c>
      <c r="P100">
        <f>('Vehicle Data'!C$6*9.81*'Vehicle Data'!C$5*SIN(D100))/'Vehicle Data'!C$9</f>
        <v>0</v>
      </c>
      <c r="Q100" s="107">
        <f>'Vehicle Data'!C$6*9.81*SIN(D100)</f>
        <v>0</v>
      </c>
      <c r="R100">
        <f t="shared" si="41"/>
        <v>877.87523527970677</v>
      </c>
      <c r="S100">
        <f>IF(Data!O100=0.6,'Vehicle Data'!E$21,IF(Data!O100 = 0.9,'Vehicle Data'!E$20))+(P100*O100)</f>
        <v>1550.3723999999997</v>
      </c>
      <c r="T100">
        <f>IF(F100=3,'Vehicle Data'!H$16,IF(F100=2,'Vehicle Data'!H$15,IF(F100 = 1,'Vehicle Data'!G$14)))</f>
        <v>466.23005239380637</v>
      </c>
      <c r="U100" s="148">
        <f t="shared" si="48"/>
        <v>161.73675315639071</v>
      </c>
      <c r="V100" s="70" t="s">
        <v>77</v>
      </c>
      <c r="W100" s="99" t="s">
        <v>84</v>
      </c>
      <c r="X100">
        <f>IF(V100="S",'Vehicle Data'!C$14,IF(Data!V100 = "T1",'Vehicle Data'!P$2,IF(Data!V100="T2",'Vehicle Data'!P$3)))</f>
        <v>13.411199999999999</v>
      </c>
      <c r="Z100">
        <f t="shared" si="70"/>
        <v>9.5170466079865754</v>
      </c>
      <c r="AB100" t="b">
        <f>IF(AA100=1,'Vehicle Data'!I$14,IF(AA100=2,'Vehicle Data'!I$15,IF(AA100=3,'Vehicle Data'!I$16)))</f>
        <v>0</v>
      </c>
      <c r="AC100">
        <f>IF(Z100&lt;'Vehicle Data'!C$16,'Vehicle Data'!I$15,IF(Z100&lt;'Vehicle Data'!C$15,'Vehicle Data'!I$15,IF(Z99&gt;'Vehicle Data'!C$15,'Vehicle Data'!I$16)))</f>
        <v>0.46202745420001456</v>
      </c>
      <c r="AD100">
        <f>IF(O100=0.6,'Vehicle Data'!F$21,IF(O100=0.9,'Vehicle Data'!F$20))</f>
        <v>3.5315999999999996</v>
      </c>
      <c r="AE100" s="100">
        <f t="shared" si="49"/>
        <v>0.46202745420001456</v>
      </c>
      <c r="AF100" s="158">
        <f t="shared" si="71"/>
        <v>0.20938254140727652</v>
      </c>
      <c r="AG100" s="148">
        <f t="shared" si="53"/>
        <v>0.46439987908563074</v>
      </c>
      <c r="AH100" s="148">
        <f t="shared" si="72"/>
        <v>24.9269760373077</v>
      </c>
      <c r="AJ100">
        <f>(Z100^2)*'Vehicle Data'!C$31</f>
        <v>33.28600973093139</v>
      </c>
      <c r="AK100">
        <f>IF(O100=0.6,'Vehicle Data'!C$6*'Vehicle Data'!D$21*9.81,IF(O100=0.9,'Vehicle Data'!C$6*9.81*'Vehicle Data'!D$20))</f>
        <v>86.131799999999998</v>
      </c>
      <c r="AL100">
        <f t="shared" si="50"/>
        <v>119.4178097309314</v>
      </c>
      <c r="AN100">
        <f>IF(AG100&gt;0,AG100*'Vehicle Data'!C$6)</f>
        <v>203.87154691859189</v>
      </c>
      <c r="AO100">
        <f t="shared" si="54"/>
        <v>323.28935664952326</v>
      </c>
      <c r="AP100">
        <f>AO100*'Vehicle Data'!F$3</f>
        <v>82.632759559618137</v>
      </c>
      <c r="AQ100">
        <f>IF(AE100='Vehicle Data'!I$15,AP100/'Vehicle Data'!G$15,IF(AE100='Vehicle Data'!I$16,AP100/'Vehicle Data'!G$16,IF(AE100='Vehicle Data'!I$14,Data!AP100/'Vehicle Data'!G111)))</f>
        <v>15.255056618019065</v>
      </c>
      <c r="AR100">
        <f>IF(Z100&lt;'Vehicle Data'!C$16, Z100*'Vehicle Data'!F$7*'Vehicle Data'!G$14,IF(Z100&lt;'Vehicle Data'!C$15,Z100*'Vehicle Data'!F$7*'Vehicle Data'!G$15,IF(Z100&gt;'Vehicle Data'!C$15,Z100*'Vehicle Data'!F$7*'Vehicle Data'!G$16)))</f>
        <v>82.790660363360516</v>
      </c>
      <c r="AS100">
        <f t="shared" si="73"/>
        <v>4967.4396218016309</v>
      </c>
      <c r="AT100">
        <f t="shared" si="74"/>
        <v>15</v>
      </c>
      <c r="AU100">
        <f t="shared" si="75"/>
        <v>5000</v>
      </c>
      <c r="AW100">
        <f>VLOOKUP(AT100,BSFC!A$64:A$82,1,FALSE)</f>
        <v>15</v>
      </c>
      <c r="AX100" t="e" cm="1">
        <f t="array" ref="AX100">_xlfn.XLOOKUP(AT100,BSFC!A$64:A$82,,-1,_xlfn.XLOOKUP(Data!AU100,BSFC!C$63:Q$63,BSFC!B$64:Q$82,,-1))</f>
        <v>#VALUE!</v>
      </c>
      <c r="AY100">
        <f>HLOOKUP(AU100,BSFC!F$63:Q$63,1)</f>
        <v>5000</v>
      </c>
      <c r="AZ100">
        <f>IF(AT100&gt;0,MATCH(AT100,BSFC!A$64:A$83,0),IF(AT100&lt;=0,0))</f>
        <v>8</v>
      </c>
      <c r="BA100">
        <f>MATCH(AU100,BSFC!C$63:Q$63,0)</f>
        <v>10</v>
      </c>
      <c r="BB100" cm="1">
        <f t="array" ref="BB100">IF(AZ100&gt;0,INDEX(BSFC!C$64:Q$83,Data!AZ100,Data!BA100))</f>
        <v>705.8</v>
      </c>
      <c r="BC100">
        <f>0.5*'Vehicle Data'!C$6*Data!Z100^2</f>
        <v>19881.031662420239</v>
      </c>
      <c r="BD100">
        <f t="shared" si="55"/>
        <v>7.999825088381959</v>
      </c>
      <c r="BE100">
        <f t="shared" si="76"/>
        <v>5646.2765473799864</v>
      </c>
      <c r="BF100">
        <f t="shared" si="77"/>
        <v>0.32839770360520121</v>
      </c>
      <c r="BG100">
        <f t="shared" si="56"/>
        <v>26.545666828926084</v>
      </c>
      <c r="BH100">
        <f t="shared" si="79"/>
        <v>7903.4806713782946</v>
      </c>
      <c r="BI100" s="148">
        <f t="shared" si="57"/>
        <v>6871.6622130335309</v>
      </c>
      <c r="BO100">
        <f t="shared" si="58"/>
        <v>1641.1807155099739</v>
      </c>
      <c r="BP100">
        <f t="shared" si="59"/>
        <v>54392.470545141783</v>
      </c>
      <c r="BQ100">
        <f t="shared" si="60"/>
        <v>114945.32894602005</v>
      </c>
      <c r="BR100" s="148">
        <f t="shared" si="61"/>
        <v>172716.67993668132</v>
      </c>
      <c r="BS100" s="156">
        <f t="shared" si="62"/>
        <v>1641.1807155099739</v>
      </c>
      <c r="BT100" s="156">
        <f t="shared" si="63"/>
        <v>7903.4806713782946</v>
      </c>
      <c r="BU100">
        <f t="shared" si="64"/>
        <v>1426.9206159218079</v>
      </c>
      <c r="BV100">
        <f t="shared" si="65"/>
        <v>1426.9206159218079</v>
      </c>
      <c r="BW100" s="148">
        <f t="shared" si="66"/>
        <v>455.4</v>
      </c>
      <c r="BX100" s="148">
        <f t="shared" si="67"/>
        <v>3129354.9718154697</v>
      </c>
      <c r="BY100" s="148">
        <f t="shared" si="68"/>
        <v>0.18050545791410869</v>
      </c>
      <c r="BZ100">
        <f t="shared" si="51"/>
        <v>24.9269760373077</v>
      </c>
      <c r="CB100">
        <f t="shared" si="69"/>
        <v>-214.26009958816599</v>
      </c>
      <c r="CC100" s="162">
        <f t="shared" si="52"/>
        <v>-1023.2949612136115</v>
      </c>
      <c r="CD100">
        <f t="shared" si="78"/>
        <v>57039.410511635404</v>
      </c>
    </row>
    <row r="101" spans="4:82" x14ac:dyDescent="0.2">
      <c r="D101" s="22">
        <f t="shared" si="42"/>
        <v>0</v>
      </c>
      <c r="E101" s="23">
        <v>9.2017056000000004</v>
      </c>
      <c r="F101" s="23">
        <f>IF(K101&lt;6,1,IF(Data!K101&lt;9,2,IF(K101&gt;9,3)))</f>
        <v>3</v>
      </c>
      <c r="G101" s="23">
        <v>881.87080604328435</v>
      </c>
      <c r="H101" s="23">
        <v>215.816665</v>
      </c>
      <c r="I101" s="64">
        <v>40.057839460351239</v>
      </c>
      <c r="J101" s="65">
        <f t="shared" si="43"/>
        <v>2.3755714691710779</v>
      </c>
      <c r="K101" s="65">
        <f t="shared" si="44"/>
        <v>16.023135784140496</v>
      </c>
      <c r="L101" s="65">
        <f t="shared" si="45"/>
        <v>0.95022858766843121</v>
      </c>
      <c r="M101">
        <f t="shared" si="46"/>
        <v>18.403411200000001</v>
      </c>
      <c r="N101">
        <f t="shared" si="47"/>
        <v>0</v>
      </c>
      <c r="O101">
        <f>IF(L101&lt;'Vehicle Data'!F$21,'Vehicle Data'!C$21,IF(L101&gt;'Vehicle Data'!C$21,'Vehicle Data'!C$20))</f>
        <v>0.6</v>
      </c>
      <c r="P101">
        <f>('Vehicle Data'!C$6*9.81*'Vehicle Data'!C$5*SIN(D101))/'Vehicle Data'!C$9</f>
        <v>0</v>
      </c>
      <c r="Q101" s="107">
        <f>'Vehicle Data'!C$6*9.81*SIN(D101)</f>
        <v>0</v>
      </c>
      <c r="R101">
        <f t="shared" si="41"/>
        <v>879.87150056349594</v>
      </c>
      <c r="S101">
        <f>IF(Data!O101=0.6,'Vehicle Data'!E$21,IF(Data!O101 = 0.9,'Vehicle Data'!E$20))+(P101*O101)</f>
        <v>1550.3723999999997</v>
      </c>
      <c r="T101">
        <f>IF(F101=3,'Vehicle Data'!H$16,IF(F101=2,'Vehicle Data'!H$15,IF(F101 = 1,'Vehicle Data'!G$14)))</f>
        <v>466.23005239380637</v>
      </c>
      <c r="U101" s="148">
        <f t="shared" si="48"/>
        <v>163.73301844017988</v>
      </c>
      <c r="V101" s="70" t="s">
        <v>77</v>
      </c>
      <c r="W101" s="99" t="s">
        <v>84</v>
      </c>
      <c r="X101">
        <f>IF(V101="S",'Vehicle Data'!C$14,IF(Data!V101 = "T1",'Vehicle Data'!P$2,IF(Data!V101="T2",'Vehicle Data'!P$3)))</f>
        <v>13.411199999999999</v>
      </c>
      <c r="Z101">
        <f t="shared" si="70"/>
        <v>9.613471530750104</v>
      </c>
      <c r="AB101" t="b">
        <f>IF(AA101=1,'Vehicle Data'!I$14,IF(AA101=2,'Vehicle Data'!I$15,IF(AA101=3,'Vehicle Data'!I$16)))</f>
        <v>0</v>
      </c>
      <c r="AC101">
        <f>IF(Z101&lt;'Vehicle Data'!C$16,'Vehicle Data'!I$15,IF(Z101&lt;'Vehicle Data'!C$15,'Vehicle Data'!I$15,IF(Z100&gt;'Vehicle Data'!C$15,'Vehicle Data'!I$16)))</f>
        <v>0.46202745420001456</v>
      </c>
      <c r="AD101">
        <f>IF(O101=0.6,'Vehicle Data'!F$21,IF(O101=0.9,'Vehicle Data'!F$20))</f>
        <v>3.5315999999999996</v>
      </c>
      <c r="AE101" s="100">
        <f t="shared" si="49"/>
        <v>0.46202745420001456</v>
      </c>
      <c r="AF101" s="158">
        <f t="shared" si="71"/>
        <v>0.20765290430244918</v>
      </c>
      <c r="AG101" s="148">
        <f t="shared" si="53"/>
        <v>0.46435624431760597</v>
      </c>
      <c r="AH101" s="148">
        <f t="shared" si="72"/>
        <v>25.134628941610149</v>
      </c>
      <c r="AJ101">
        <f>(Z101^2)*'Vehicle Data'!C$31</f>
        <v>33.963921815659468</v>
      </c>
      <c r="AK101">
        <f>IF(O101=0.6,'Vehicle Data'!C$6*'Vehicle Data'!D$21*9.81,IF(O101=0.9,'Vehicle Data'!C$6*9.81*'Vehicle Data'!D$20))</f>
        <v>86.131799999999998</v>
      </c>
      <c r="AL101">
        <f t="shared" si="50"/>
        <v>120.09572181565946</v>
      </c>
      <c r="AN101">
        <f>IF(AG101&gt;0,AG101*'Vehicle Data'!C$6)</f>
        <v>203.85239125542901</v>
      </c>
      <c r="AO101">
        <f t="shared" si="54"/>
        <v>323.94811307108847</v>
      </c>
      <c r="AP101">
        <f>AO101*'Vehicle Data'!F$3</f>
        <v>82.801137700970216</v>
      </c>
      <c r="AQ101">
        <f>IF(AE101='Vehicle Data'!I$15,AP101/'Vehicle Data'!G$15,IF(AE101='Vehicle Data'!I$16,AP101/'Vehicle Data'!G$16,IF(AE101='Vehicle Data'!I$14,Data!AP101/'Vehicle Data'!G112)))</f>
        <v>15.286141360840821</v>
      </c>
      <c r="AR101">
        <f>IF(Z101&lt;'Vehicle Data'!C$16, Z101*'Vehicle Data'!F$7*'Vehicle Data'!G$14,IF(Z101&lt;'Vehicle Data'!C$15,Z101*'Vehicle Data'!F$7*'Vehicle Data'!G$15,IF(Z101&gt;'Vehicle Data'!C$15,Z101*'Vehicle Data'!F$7*'Vehicle Data'!G$16)))</f>
        <v>83.629479732426049</v>
      </c>
      <c r="AS101">
        <f t="shared" si="73"/>
        <v>5017.768783945563</v>
      </c>
      <c r="AT101">
        <f t="shared" si="74"/>
        <v>15</v>
      </c>
      <c r="AU101">
        <f t="shared" si="75"/>
        <v>5000</v>
      </c>
      <c r="AW101">
        <f>VLOOKUP(AT101,BSFC!A$64:A$82,1,FALSE)</f>
        <v>15</v>
      </c>
      <c r="AX101" t="e" cm="1">
        <f t="array" ref="AX101">_xlfn.XLOOKUP(AT101,BSFC!A$64:A$82,,-1,_xlfn.XLOOKUP(Data!AU101,BSFC!C$63:Q$63,BSFC!B$64:Q$82,,-1))</f>
        <v>#VALUE!</v>
      </c>
      <c r="AY101">
        <f>HLOOKUP(AU101,BSFC!F$63:Q$63,1)</f>
        <v>5000</v>
      </c>
      <c r="AZ101">
        <f>IF(AT101&gt;0,MATCH(AT101,BSFC!A$64:A$83,0),IF(AT101&lt;=0,0))</f>
        <v>8</v>
      </c>
      <c r="BA101">
        <f>MATCH(AU101,BSFC!C$63:Q$63,0)</f>
        <v>10</v>
      </c>
      <c r="BB101" cm="1">
        <f t="array" ref="BB101">IF(AZ101&gt;0,INDEX(BSFC!C$64:Q$83,Data!AZ101,Data!BA101))</f>
        <v>705.8</v>
      </c>
      <c r="BC101">
        <f>0.5*'Vehicle Data'!C$6*Data!Z101^2</f>
        <v>20285.934254523134</v>
      </c>
      <c r="BD101">
        <f t="shared" si="55"/>
        <v>8.095855259993268</v>
      </c>
      <c r="BE101">
        <f t="shared" si="76"/>
        <v>5714.054642503248</v>
      </c>
      <c r="BF101">
        <f t="shared" si="77"/>
        <v>0.329594456071859</v>
      </c>
      <c r="BG101">
        <f t="shared" si="56"/>
        <v>26.875261284997944</v>
      </c>
      <c r="BH101">
        <f t="shared" si="79"/>
        <v>7999.8250883819592</v>
      </c>
      <c r="BI101" s="148">
        <f t="shared" si="57"/>
        <v>6871.6622130335309</v>
      </c>
      <c r="BO101">
        <f t="shared" si="58"/>
        <v>1647.3330457758079</v>
      </c>
      <c r="BP101">
        <f t="shared" si="59"/>
        <v>56039.803590917589</v>
      </c>
      <c r="BQ101">
        <f t="shared" si="60"/>
        <v>116592.66199179586</v>
      </c>
      <c r="BR101" s="148">
        <f t="shared" si="61"/>
        <v>174131.70040498866</v>
      </c>
      <c r="BS101" s="156">
        <f t="shared" si="62"/>
        <v>1647.3330457758079</v>
      </c>
      <c r="BT101" s="156">
        <f t="shared" si="63"/>
        <v>7999.8250883819592</v>
      </c>
      <c r="BU101">
        <f t="shared" si="64"/>
        <v>1415.0204683073409</v>
      </c>
      <c r="BV101">
        <f t="shared" si="65"/>
        <v>1415.0204683073409</v>
      </c>
      <c r="BW101" s="148">
        <f t="shared" si="66"/>
        <v>455.4</v>
      </c>
      <c r="BX101" s="148">
        <f t="shared" si="67"/>
        <v>3129354.9718154697</v>
      </c>
      <c r="BY101" s="148">
        <f t="shared" si="68"/>
        <v>0.1790000892408786</v>
      </c>
      <c r="BZ101">
        <f t="shared" si="51"/>
        <v>25.134628941610149</v>
      </c>
      <c r="CB101">
        <f t="shared" si="69"/>
        <v>-232.312577468467</v>
      </c>
      <c r="CC101" s="162">
        <f t="shared" si="52"/>
        <v>-1118.7542897550834</v>
      </c>
      <c r="CD101">
        <f t="shared" si="78"/>
        <v>56807.097934166937</v>
      </c>
    </row>
    <row r="102" spans="4:82" x14ac:dyDescent="0.2">
      <c r="D102" s="22">
        <f t="shared" si="42"/>
        <v>0</v>
      </c>
      <c r="E102" s="23">
        <v>9.2017056000000004</v>
      </c>
      <c r="F102" s="23">
        <f>IF(K102&lt;6,1,IF(Data!K102&lt;9,2,IF(K102&gt;9,3)))</f>
        <v>3</v>
      </c>
      <c r="G102" s="23">
        <v>883.87416623928198</v>
      </c>
      <c r="H102" s="23">
        <v>215.86666499999998</v>
      </c>
      <c r="I102" s="64">
        <v>40.176618033809753</v>
      </c>
      <c r="J102" s="65">
        <f t="shared" si="43"/>
        <v>2.4079399722329451</v>
      </c>
      <c r="K102" s="65">
        <f t="shared" si="44"/>
        <v>16.070647213523902</v>
      </c>
      <c r="L102" s="65">
        <f t="shared" si="45"/>
        <v>0.96317598889313538</v>
      </c>
      <c r="M102">
        <f t="shared" si="46"/>
        <v>18.403411200000001</v>
      </c>
      <c r="N102">
        <f t="shared" si="47"/>
        <v>0</v>
      </c>
      <c r="O102">
        <f>IF(L102&lt;'Vehicle Data'!F$21,'Vehicle Data'!C$21,IF(L102&gt;'Vehicle Data'!C$21,'Vehicle Data'!C$20))</f>
        <v>0.6</v>
      </c>
      <c r="P102">
        <f>('Vehicle Data'!C$6*9.81*'Vehicle Data'!C$5*SIN(D102))/'Vehicle Data'!C$9</f>
        <v>0</v>
      </c>
      <c r="Q102" s="107">
        <f>'Vehicle Data'!C$6*9.81*SIN(D102)</f>
        <v>0</v>
      </c>
      <c r="R102">
        <f t="shared" si="41"/>
        <v>881.87080604328435</v>
      </c>
      <c r="S102">
        <f>IF(Data!O102=0.6,'Vehicle Data'!E$21,IF(Data!O102 = 0.9,'Vehicle Data'!E$20))+(P102*O102)</f>
        <v>1550.3723999999997</v>
      </c>
      <c r="T102">
        <f>IF(F102=3,'Vehicle Data'!H$16,IF(F102=2,'Vehicle Data'!H$15,IF(F102 = 1,'Vehicle Data'!G$14)))</f>
        <v>466.23005239380637</v>
      </c>
      <c r="U102" s="148">
        <f t="shared" si="48"/>
        <v>165.73232391996828</v>
      </c>
      <c r="V102" s="70" t="s">
        <v>77</v>
      </c>
      <c r="W102" s="99" t="s">
        <v>84</v>
      </c>
      <c r="X102">
        <f>IF(V102="S",'Vehicle Data'!C$14,IF(Data!V102 = "T1",'Vehicle Data'!P$2,IF(Data!V102="T2",'Vehicle Data'!P$3)))</f>
        <v>13.411199999999999</v>
      </c>
      <c r="Z102">
        <f t="shared" si="70"/>
        <v>9.7090835259839174</v>
      </c>
      <c r="AB102" t="b">
        <f>IF(AA102=1,'Vehicle Data'!I$14,IF(AA102=2,'Vehicle Data'!I$15,IF(AA102=3,'Vehicle Data'!I$16)))</f>
        <v>0</v>
      </c>
      <c r="AC102">
        <f>IF(Z102&lt;'Vehicle Data'!C$16,'Vehicle Data'!I$15,IF(Z102&lt;'Vehicle Data'!C$15,'Vehicle Data'!I$15,IF(Z101&gt;'Vehicle Data'!C$15,'Vehicle Data'!I$16)))</f>
        <v>0.46202745420001456</v>
      </c>
      <c r="AD102">
        <f>IF(O102=0.6,'Vehicle Data'!F$21,IF(O102=0.9,'Vehicle Data'!F$20))</f>
        <v>3.5315999999999996</v>
      </c>
      <c r="AE102" s="100">
        <f t="shared" si="49"/>
        <v>0.46202745420001456</v>
      </c>
      <c r="AF102" s="158">
        <f t="shared" si="71"/>
        <v>0.2059211329717956</v>
      </c>
      <c r="AG102" s="148">
        <f t="shared" si="53"/>
        <v>0.46431366151675729</v>
      </c>
      <c r="AH102" s="148">
        <f t="shared" si="72"/>
        <v>25.340550074581945</v>
      </c>
      <c r="AJ102">
        <f>(Z102^2)*'Vehicle Data'!C$31</f>
        <v>34.642866321090629</v>
      </c>
      <c r="AK102">
        <f>IF(O102=0.6,'Vehicle Data'!C$6*'Vehicle Data'!D$21*9.81,IF(O102=0.9,'Vehicle Data'!C$6*9.81*'Vehicle Data'!D$20))</f>
        <v>86.131799999999998</v>
      </c>
      <c r="AL102">
        <f t="shared" si="50"/>
        <v>120.77466632109062</v>
      </c>
      <c r="AN102">
        <f>IF(AG102&gt;0,AG102*'Vehicle Data'!C$6)</f>
        <v>203.83369740585644</v>
      </c>
      <c r="AO102">
        <f t="shared" si="54"/>
        <v>324.60836372694706</v>
      </c>
      <c r="AP102">
        <f>AO102*'Vehicle Data'!F$3</f>
        <v>82.969897768607666</v>
      </c>
      <c r="AQ102">
        <f>IF(AE102='Vehicle Data'!I$15,AP102/'Vehicle Data'!G$15,IF(AE102='Vehicle Data'!I$16,AP102/'Vehicle Data'!G$16,IF(AE102='Vehicle Data'!I$14,Data!AP102/'Vehicle Data'!G113)))</f>
        <v>15.317296612104245</v>
      </c>
      <c r="AR102">
        <f>IF(Z102&lt;'Vehicle Data'!C$16, Z102*'Vehicle Data'!F$7*'Vehicle Data'!G$14,IF(Z102&lt;'Vehicle Data'!C$15,Z102*'Vehicle Data'!F$7*'Vehicle Data'!G$15,IF(Z102&gt;'Vehicle Data'!C$15,Z102*'Vehicle Data'!F$7*'Vehicle Data'!G$16)))</f>
        <v>84.4612272850148</v>
      </c>
      <c r="AS102">
        <f t="shared" si="73"/>
        <v>5067.6736371008883</v>
      </c>
      <c r="AT102">
        <f t="shared" si="74"/>
        <v>15</v>
      </c>
      <c r="AU102">
        <f t="shared" si="75"/>
        <v>5000</v>
      </c>
      <c r="AW102">
        <f>VLOOKUP(AT102,BSFC!A$64:A$82,1,FALSE)</f>
        <v>15</v>
      </c>
      <c r="AX102" t="e" cm="1">
        <f t="array" ref="AX102">_xlfn.XLOOKUP(AT102,BSFC!A$64:A$82,,-1,_xlfn.XLOOKUP(Data!AU102,BSFC!C$63:Q$63,BSFC!B$64:Q$82,,-1))</f>
        <v>#VALUE!</v>
      </c>
      <c r="AY102">
        <f>HLOOKUP(AU102,BSFC!F$63:Q$63,1)</f>
        <v>5000</v>
      </c>
      <c r="AZ102">
        <f>IF(AT102&gt;0,MATCH(AT102,BSFC!A$64:A$83,0),IF(AT102&lt;=0,0))</f>
        <v>8</v>
      </c>
      <c r="BA102">
        <f>MATCH(AU102,BSFC!C$63:Q$63,0)</f>
        <v>10</v>
      </c>
      <c r="BB102" cm="1">
        <f t="array" ref="BB102">IF(AZ102&gt;0,INDEX(BSFC!C$64:Q$83,Data!AZ102,Data!BA102))</f>
        <v>705.8</v>
      </c>
      <c r="BC102">
        <f>0.5*'Vehicle Data'!C$6*Data!Z102^2</f>
        <v>20691.453489739841</v>
      </c>
      <c r="BD102">
        <f t="shared" si="55"/>
        <v>8.1916550021964163</v>
      </c>
      <c r="BE102">
        <f t="shared" si="76"/>
        <v>5781.67010055023</v>
      </c>
      <c r="BF102">
        <f t="shared" si="77"/>
        <v>0.33071334932623853</v>
      </c>
      <c r="BG102">
        <f t="shared" si="56"/>
        <v>27.205974634324182</v>
      </c>
      <c r="BH102">
        <f t="shared" si="79"/>
        <v>8095.8552599932673</v>
      </c>
      <c r="BI102" s="148">
        <f t="shared" si="57"/>
        <v>6871.6622130335309</v>
      </c>
      <c r="BO102">
        <f t="shared" si="58"/>
        <v>1654.3237420351702</v>
      </c>
      <c r="BP102">
        <f t="shared" si="59"/>
        <v>57694.127332952761</v>
      </c>
      <c r="BQ102">
        <f t="shared" si="60"/>
        <v>118246.98573383102</v>
      </c>
      <c r="BR102" s="148">
        <f t="shared" si="61"/>
        <v>175535.87001785755</v>
      </c>
      <c r="BS102" s="156">
        <f t="shared" si="62"/>
        <v>1654.3237420351702</v>
      </c>
      <c r="BT102" s="156">
        <f t="shared" si="63"/>
        <v>8095.8552599932673</v>
      </c>
      <c r="BU102">
        <f t="shared" si="64"/>
        <v>1404.1696128688895</v>
      </c>
      <c r="BV102">
        <f t="shared" si="65"/>
        <v>1404.1696128688895</v>
      </c>
      <c r="BW102" s="148">
        <f t="shared" si="66"/>
        <v>455.4</v>
      </c>
      <c r="BX102" s="148">
        <f t="shared" si="67"/>
        <v>3129354.9718154697</v>
      </c>
      <c r="BY102" s="148">
        <f t="shared" si="68"/>
        <v>0.17762745602791452</v>
      </c>
      <c r="BZ102">
        <f t="shared" si="51"/>
        <v>25.340550074581945</v>
      </c>
      <c r="CB102">
        <f t="shared" si="69"/>
        <v>-250.15412916628065</v>
      </c>
      <c r="CC102" s="162">
        <f t="shared" si="52"/>
        <v>-1214.8055207162433</v>
      </c>
      <c r="CD102">
        <f t="shared" si="78"/>
        <v>56556.943805000657</v>
      </c>
    </row>
    <row r="103" spans="4:82" x14ac:dyDescent="0.2">
      <c r="D103" s="22">
        <f t="shared" si="42"/>
        <v>0</v>
      </c>
      <c r="E103" s="23">
        <v>9.2017056000000004</v>
      </c>
      <c r="F103" s="23">
        <f>IF(K103&lt;6,1,IF(Data!K103&lt;9,2,IF(K103&gt;9,3)))</f>
        <v>3</v>
      </c>
      <c r="G103" s="23">
        <v>885.88206115149114</v>
      </c>
      <c r="H103" s="23">
        <v>215.91666499999999</v>
      </c>
      <c r="I103" s="64">
        <v>40.297015032421427</v>
      </c>
      <c r="J103" s="65">
        <f t="shared" si="43"/>
        <v>2.4249507750111574</v>
      </c>
      <c r="K103" s="65">
        <f t="shared" si="44"/>
        <v>16.11880601296857</v>
      </c>
      <c r="L103" s="65">
        <f t="shared" si="45"/>
        <v>0.96998031000450569</v>
      </c>
      <c r="M103">
        <f t="shared" si="46"/>
        <v>18.403411200000001</v>
      </c>
      <c r="N103">
        <f t="shared" si="47"/>
        <v>0</v>
      </c>
      <c r="O103">
        <f>IF(L103&lt;'Vehicle Data'!F$21,'Vehicle Data'!C$21,IF(L103&gt;'Vehicle Data'!C$21,'Vehicle Data'!C$20))</f>
        <v>0.6</v>
      </c>
      <c r="P103">
        <f>('Vehicle Data'!C$6*9.81*'Vehicle Data'!C$5*SIN(D103))/'Vehicle Data'!C$9</f>
        <v>0</v>
      </c>
      <c r="Q103" s="107">
        <f>'Vehicle Data'!C$6*9.81*SIN(D103)</f>
        <v>0</v>
      </c>
      <c r="R103">
        <f t="shared" si="41"/>
        <v>883.87416623928198</v>
      </c>
      <c r="S103">
        <f>IF(Data!O103=0.6,'Vehicle Data'!E$21,IF(Data!O103 = 0.9,'Vehicle Data'!E$20))+(P103*O103)</f>
        <v>1550.3723999999997</v>
      </c>
      <c r="T103">
        <f>IF(F103=3,'Vehicle Data'!H$16,IF(F103=2,'Vehicle Data'!H$15,IF(F103 = 1,'Vehicle Data'!G$14)))</f>
        <v>466.23005239380637</v>
      </c>
      <c r="U103" s="148">
        <f t="shared" si="48"/>
        <v>167.73568411596591</v>
      </c>
      <c r="V103" s="70" t="s">
        <v>77</v>
      </c>
      <c r="W103" s="99" t="s">
        <v>84</v>
      </c>
      <c r="X103">
        <f>IF(V103="S",'Vehicle Data'!C$14,IF(Data!V103 = "T1",'Vehicle Data'!P$2,IF(Data!V103="T2",'Vehicle Data'!P$3)))</f>
        <v>13.411199999999999</v>
      </c>
      <c r="Z103">
        <f t="shared" si="70"/>
        <v>9.8039541888432531</v>
      </c>
      <c r="AB103" t="b">
        <f>IF(AA103=1,'Vehicle Data'!I$14,IF(AA103=2,'Vehicle Data'!I$15,IF(AA103=3,'Vehicle Data'!I$16)))</f>
        <v>0</v>
      </c>
      <c r="AC103">
        <f>IF(Z103&lt;'Vehicle Data'!C$16,'Vehicle Data'!I$15,IF(Z103&lt;'Vehicle Data'!C$15,'Vehicle Data'!I$15,IF(Z102&gt;'Vehicle Data'!C$15,'Vehicle Data'!I$16)))</f>
        <v>0.46202745420001456</v>
      </c>
      <c r="AD103">
        <f>IF(O103=0.6,'Vehicle Data'!F$21,IF(O103=0.9,'Vehicle Data'!F$20))</f>
        <v>3.5315999999999996</v>
      </c>
      <c r="AE103" s="100">
        <f t="shared" si="49"/>
        <v>0.46202745420001456</v>
      </c>
      <c r="AF103" s="158">
        <f t="shared" si="71"/>
        <v>0.20434206009218425</v>
      </c>
      <c r="AG103" s="148">
        <f t="shared" si="53"/>
        <v>0.46427379080223091</v>
      </c>
      <c r="AH103" s="148">
        <f t="shared" si="72"/>
        <v>25.544892134674129</v>
      </c>
      <c r="AJ103">
        <f>(Z103^2)*'Vehicle Data'!C$31</f>
        <v>35.323187768324424</v>
      </c>
      <c r="AK103">
        <f>IF(O103=0.6,'Vehicle Data'!C$6*'Vehicle Data'!D$21*9.81,IF(O103=0.9,'Vehicle Data'!C$6*9.81*'Vehicle Data'!D$20))</f>
        <v>86.131799999999998</v>
      </c>
      <c r="AL103">
        <f t="shared" si="50"/>
        <v>121.45498776832443</v>
      </c>
      <c r="AN103">
        <f>IF(AG103&gt;0,AG103*'Vehicle Data'!C$6)</f>
        <v>203.81619416217936</v>
      </c>
      <c r="AO103">
        <f t="shared" si="54"/>
        <v>325.27118193050376</v>
      </c>
      <c r="AP103">
        <f>AO103*'Vehicle Data'!F$3</f>
        <v>83.139314101436753</v>
      </c>
      <c r="AQ103">
        <f>IF(AE103='Vehicle Data'!I$15,AP103/'Vehicle Data'!G$15,IF(AE103='Vehicle Data'!I$16,AP103/'Vehicle Data'!G$16,IF(AE103='Vehicle Data'!I$14,Data!AP103/'Vehicle Data'!G114)))</f>
        <v>15.348573018254765</v>
      </c>
      <c r="AR103">
        <f>IF(Z103&lt;'Vehicle Data'!C$16, Z103*'Vehicle Data'!F$7*'Vehicle Data'!G$14,IF(Z103&lt;'Vehicle Data'!C$15,Z103*'Vehicle Data'!F$7*'Vehicle Data'!G$15,IF(Z103&gt;'Vehicle Data'!C$15,Z103*'Vehicle Data'!F$7*'Vehicle Data'!G$16)))</f>
        <v>85.286525841464325</v>
      </c>
      <c r="AS103">
        <f t="shared" si="73"/>
        <v>5117.1915504878598</v>
      </c>
      <c r="AT103">
        <f t="shared" si="74"/>
        <v>15</v>
      </c>
      <c r="AU103">
        <f t="shared" si="75"/>
        <v>5000</v>
      </c>
      <c r="AW103">
        <f>VLOOKUP(AT103,BSFC!A$64:A$82,1,FALSE)</f>
        <v>15</v>
      </c>
      <c r="AX103" t="e" cm="1">
        <f t="array" ref="AX103">_xlfn.XLOOKUP(AT103,BSFC!A$64:A$82,,-1,_xlfn.XLOOKUP(Data!AU103,BSFC!C$63:Q$63,BSFC!B$64:Q$82,,-1))</f>
        <v>#VALUE!</v>
      </c>
      <c r="AY103">
        <f>HLOOKUP(AU103,BSFC!F$63:Q$63,1)</f>
        <v>5000</v>
      </c>
      <c r="AZ103">
        <f>IF(AT103&gt;0,MATCH(AT103,BSFC!A$64:A$83,0),IF(AT103&lt;=0,0))</f>
        <v>8</v>
      </c>
      <c r="BA103">
        <f>MATCH(AU103,BSFC!C$63:Q$63,0)</f>
        <v>10</v>
      </c>
      <c r="BB103" cm="1">
        <f t="array" ref="BB103">IF(AZ103&gt;0,INDEX(BSFC!C$64:Q$83,Data!AZ103,Data!BA103))</f>
        <v>705.8</v>
      </c>
      <c r="BC103">
        <f>0.5*'Vehicle Data'!C$6*Data!Z103^2</f>
        <v>21097.79514325771</v>
      </c>
      <c r="BD103">
        <f t="shared" si="55"/>
        <v>8.2872547328473871</v>
      </c>
      <c r="BE103">
        <f t="shared" si="76"/>
        <v>5849.1443904436856</v>
      </c>
      <c r="BF103">
        <f t="shared" si="77"/>
        <v>0.33200728181108502</v>
      </c>
      <c r="BG103">
        <f t="shared" si="56"/>
        <v>27.537981916135266</v>
      </c>
      <c r="BH103">
        <f t="shared" si="79"/>
        <v>8191.6550021964167</v>
      </c>
      <c r="BI103" s="148">
        <f t="shared" si="57"/>
        <v>6871.6622130335309</v>
      </c>
      <c r="BO103">
        <f t="shared" si="58"/>
        <v>1661.7267085390745</v>
      </c>
      <c r="BP103">
        <f t="shared" si="59"/>
        <v>59355.854041491839</v>
      </c>
      <c r="BQ103">
        <f t="shared" si="60"/>
        <v>119908.7124423701</v>
      </c>
      <c r="BR103" s="148">
        <f t="shared" si="61"/>
        <v>176929.82821414326</v>
      </c>
      <c r="BS103" s="156">
        <f t="shared" si="62"/>
        <v>1661.7267085390745</v>
      </c>
      <c r="BT103" s="156">
        <f t="shared" si="63"/>
        <v>8191.6550021964167</v>
      </c>
      <c r="BU103">
        <f t="shared" si="64"/>
        <v>1393.9581962857112</v>
      </c>
      <c r="BV103">
        <f t="shared" si="65"/>
        <v>1393.9581962857112</v>
      </c>
      <c r="BW103" s="148">
        <f t="shared" si="66"/>
        <v>455.4</v>
      </c>
      <c r="BX103" s="148">
        <f t="shared" si="67"/>
        <v>3129354.9718154697</v>
      </c>
      <c r="BY103" s="148">
        <f t="shared" si="68"/>
        <v>0.17633571183014246</v>
      </c>
      <c r="BZ103">
        <f t="shared" si="51"/>
        <v>25.544892134674129</v>
      </c>
      <c r="CB103">
        <f t="shared" si="69"/>
        <v>-267.76851225336327</v>
      </c>
      <c r="CC103" s="162">
        <f t="shared" si="52"/>
        <v>-1310.3935241357838</v>
      </c>
      <c r="CD103">
        <f t="shared" si="78"/>
        <v>56289.175292747292</v>
      </c>
    </row>
    <row r="104" spans="4:82" x14ac:dyDescent="0.2">
      <c r="D104" s="22">
        <f t="shared" si="42"/>
        <v>0</v>
      </c>
      <c r="E104" s="23">
        <v>9.2017056000000004</v>
      </c>
      <c r="F104" s="23">
        <f>IF(K104&lt;6,1,IF(Data!K104&lt;9,2,IF(K104&gt;9,3)))</f>
        <v>3</v>
      </c>
      <c r="G104" s="23">
        <v>887.89456663127874</v>
      </c>
      <c r="H104" s="23">
        <v>215.96666499999998</v>
      </c>
      <c r="I104" s="64">
        <v>40.418262571171944</v>
      </c>
      <c r="J104" s="65">
        <f t="shared" si="43"/>
        <v>2.4153344156794012</v>
      </c>
      <c r="K104" s="65">
        <f t="shared" si="44"/>
        <v>16.167305028468778</v>
      </c>
      <c r="L104" s="65">
        <f t="shared" si="45"/>
        <v>0.9661337662717463</v>
      </c>
      <c r="M104">
        <f t="shared" si="46"/>
        <v>18.403411200000001</v>
      </c>
      <c r="N104">
        <f t="shared" si="47"/>
        <v>0</v>
      </c>
      <c r="O104">
        <f>IF(L104&lt;'Vehicle Data'!F$21,'Vehicle Data'!C$21,IF(L104&gt;'Vehicle Data'!C$21,'Vehicle Data'!C$20))</f>
        <v>0.6</v>
      </c>
      <c r="P104">
        <f>('Vehicle Data'!C$6*9.81*'Vehicle Data'!C$5*SIN(D104))/'Vehicle Data'!C$9</f>
        <v>0</v>
      </c>
      <c r="Q104" s="107">
        <f>'Vehicle Data'!C$6*9.81*SIN(D104)</f>
        <v>0</v>
      </c>
      <c r="R104">
        <f t="shared" si="41"/>
        <v>885.88206115149114</v>
      </c>
      <c r="S104">
        <f>IF(Data!O104=0.6,'Vehicle Data'!E$21,IF(Data!O104 = 0.9,'Vehicle Data'!E$20))+(P104*O104)</f>
        <v>1550.3723999999997</v>
      </c>
      <c r="T104">
        <f>IF(F104=3,'Vehicle Data'!H$16,IF(F104=2,'Vehicle Data'!H$15,IF(F104 = 1,'Vehicle Data'!G$14)))</f>
        <v>466.23005239380637</v>
      </c>
      <c r="U104" s="148">
        <f t="shared" si="48"/>
        <v>169.74357902817508</v>
      </c>
      <c r="V104" s="70" t="s">
        <v>77</v>
      </c>
      <c r="W104" s="99" t="s">
        <v>84</v>
      </c>
      <c r="X104">
        <f>IF(V104="S",'Vehicle Data'!C$14,IF(Data!V104 = "T1",'Vehicle Data'!P$2,IF(Data!V104="T2",'Vehicle Data'!P$3)))</f>
        <v>13.411199999999999</v>
      </c>
      <c r="Z104">
        <f t="shared" si="70"/>
        <v>9.8981272413581092</v>
      </c>
      <c r="AB104" t="b">
        <f>IF(AA104=1,'Vehicle Data'!I$14,IF(AA104=2,'Vehicle Data'!I$15,IF(AA104=3,'Vehicle Data'!I$16)))</f>
        <v>0</v>
      </c>
      <c r="AC104">
        <f>IF(Z104&lt;'Vehicle Data'!C$16,'Vehicle Data'!I$15,IF(Z104&lt;'Vehicle Data'!C$15,'Vehicle Data'!I$15,IF(Z103&gt;'Vehicle Data'!C$15,'Vehicle Data'!I$16)))</f>
        <v>0.46202745420001456</v>
      </c>
      <c r="AD104">
        <f>IF(O104=0.6,'Vehicle Data'!F$21,IF(O104=0.9,'Vehicle Data'!F$20))</f>
        <v>3.5315999999999996</v>
      </c>
      <c r="AE104" s="100">
        <f t="shared" si="49"/>
        <v>0.46202745420001456</v>
      </c>
      <c r="AF104" s="158">
        <f t="shared" si="71"/>
        <v>0.20285604167821009</v>
      </c>
      <c r="AG104" s="148">
        <f t="shared" si="53"/>
        <v>0.46423587750096446</v>
      </c>
      <c r="AH104" s="148">
        <f t="shared" si="72"/>
        <v>25.747748176352339</v>
      </c>
      <c r="AJ104">
        <f>(Z104^2)*'Vehicle Data'!C$31</f>
        <v>36.005049160647452</v>
      </c>
      <c r="AK104">
        <f>IF(O104=0.6,'Vehicle Data'!C$6*'Vehicle Data'!D$21*9.81,IF(O104=0.9,'Vehicle Data'!C$6*9.81*'Vehicle Data'!D$20))</f>
        <v>86.131799999999998</v>
      </c>
      <c r="AL104">
        <f t="shared" si="50"/>
        <v>122.13684916064744</v>
      </c>
      <c r="AN104">
        <f>IF(AG104&gt;0,AG104*'Vehicle Data'!C$6)</f>
        <v>203.79955022292339</v>
      </c>
      <c r="AO104">
        <f t="shared" si="54"/>
        <v>325.9363993835708</v>
      </c>
      <c r="AP104">
        <f>AO104*'Vehicle Data'!F$3</f>
        <v>83.309343682440698</v>
      </c>
      <c r="AQ104">
        <f>IF(AE104='Vehicle Data'!I$15,AP104/'Vehicle Data'!G$15,IF(AE104='Vehicle Data'!I$16,AP104/'Vehicle Data'!G$16,IF(AE104='Vehicle Data'!I$14,Data!AP104/'Vehicle Data'!G115)))</f>
        <v>15.379962637804889</v>
      </c>
      <c r="AR104">
        <f>IF(Z104&lt;'Vehicle Data'!C$16, Z104*'Vehicle Data'!F$7*'Vehicle Data'!G$14,IF(Z104&lt;'Vehicle Data'!C$15,Z104*'Vehicle Data'!F$7*'Vehicle Data'!G$15,IF(Z104&gt;'Vehicle Data'!C$15,Z104*'Vehicle Data'!F$7*'Vehicle Data'!G$16)))</f>
        <v>86.105755748313314</v>
      </c>
      <c r="AS104">
        <f t="shared" si="73"/>
        <v>5166.3453448987984</v>
      </c>
      <c r="AT104">
        <f t="shared" si="74"/>
        <v>15</v>
      </c>
      <c r="AU104">
        <f t="shared" si="75"/>
        <v>5000</v>
      </c>
      <c r="AW104">
        <f>VLOOKUP(AT104,BSFC!A$64:A$82,1,FALSE)</f>
        <v>15</v>
      </c>
      <c r="AX104" t="e" cm="1">
        <f t="array" ref="AX104">_xlfn.XLOOKUP(AT104,BSFC!A$64:A$82,,-1,_xlfn.XLOOKUP(Data!AU104,BSFC!C$63:Q$63,BSFC!B$64:Q$82,,-1))</f>
        <v>#VALUE!</v>
      </c>
      <c r="AY104">
        <f>HLOOKUP(AU104,BSFC!F$63:Q$63,1)</f>
        <v>5000</v>
      </c>
      <c r="AZ104">
        <f>IF(AT104&gt;0,MATCH(AT104,BSFC!A$64:A$83,0),IF(AT104&lt;=0,0))</f>
        <v>8</v>
      </c>
      <c r="BA104">
        <f>MATCH(AU104,BSFC!C$63:Q$63,0)</f>
        <v>10</v>
      </c>
      <c r="BB104" cm="1">
        <f t="array" ref="BB104">IF(AZ104&gt;0,INDEX(BSFC!C$64:Q$83,Data!AZ104,Data!BA104))</f>
        <v>705.8</v>
      </c>
      <c r="BC104">
        <f>0.5*'Vehicle Data'!C$6*Data!Z104^2</f>
        <v>21505.056573502352</v>
      </c>
      <c r="BD104">
        <f t="shared" si="55"/>
        <v>8.3826666029687704</v>
      </c>
      <c r="BE104">
        <f t="shared" si="76"/>
        <v>5916.4860883753581</v>
      </c>
      <c r="BF104">
        <f t="shared" si="77"/>
        <v>0.33338748570333937</v>
      </c>
      <c r="BG104">
        <f t="shared" si="56"/>
        <v>27.871369401838606</v>
      </c>
      <c r="BH104">
        <f t="shared" si="79"/>
        <v>8287.2547328473865</v>
      </c>
      <c r="BI104" s="148">
        <f t="shared" si="57"/>
        <v>6871.6622130335309</v>
      </c>
      <c r="BO104">
        <f t="shared" si="58"/>
        <v>1669.2123686203822</v>
      </c>
      <c r="BP104">
        <f t="shared" si="59"/>
        <v>61025.066410112224</v>
      </c>
      <c r="BQ104">
        <f t="shared" si="60"/>
        <v>121577.92481099049</v>
      </c>
      <c r="BR104" s="148">
        <f t="shared" si="61"/>
        <v>178313.9130442515</v>
      </c>
      <c r="BS104" s="156">
        <f t="shared" si="62"/>
        <v>1669.2123686203822</v>
      </c>
      <c r="BT104" s="156">
        <f t="shared" si="63"/>
        <v>8287.2547328473865</v>
      </c>
      <c r="BU104">
        <f t="shared" si="64"/>
        <v>1384.0848301082515</v>
      </c>
      <c r="BV104">
        <f t="shared" si="65"/>
        <v>1384.0848301082515</v>
      </c>
      <c r="BW104" s="148">
        <f t="shared" si="66"/>
        <v>455.4</v>
      </c>
      <c r="BX104" s="148">
        <f t="shared" si="67"/>
        <v>3129354.9718154697</v>
      </c>
      <c r="BY104" s="148">
        <f t="shared" si="68"/>
        <v>0.17508673100869379</v>
      </c>
      <c r="BZ104">
        <f t="shared" si="51"/>
        <v>25.747748176352339</v>
      </c>
      <c r="CB104">
        <f t="shared" si="69"/>
        <v>-285.12753851213074</v>
      </c>
      <c r="CC104" s="162">
        <f t="shared" si="52"/>
        <v>-1405.56591833941</v>
      </c>
      <c r="CD104">
        <f t="shared" si="78"/>
        <v>56004.047754235158</v>
      </c>
    </row>
    <row r="105" spans="4:82" x14ac:dyDescent="0.2">
      <c r="D105" s="22">
        <f t="shared" si="42"/>
        <v>0</v>
      </c>
      <c r="E105" s="23">
        <v>9.2017056000000004</v>
      </c>
      <c r="F105" s="23">
        <f>IF(K105&lt;6,1,IF(Data!K105&lt;9,2,IF(K105&gt;9,3)))</f>
        <v>3</v>
      </c>
      <c r="G105" s="23">
        <v>889.91204475296104</v>
      </c>
      <c r="H105" s="23">
        <v>216.01666499999999</v>
      </c>
      <c r="I105" s="64">
        <v>40.539029291955941</v>
      </c>
      <c r="J105" s="65">
        <f t="shared" si="43"/>
        <v>2.4892326206614284</v>
      </c>
      <c r="K105" s="65">
        <f t="shared" si="44"/>
        <v>16.215611716782377</v>
      </c>
      <c r="L105" s="65">
        <f t="shared" si="45"/>
        <v>0.99569304826458549</v>
      </c>
      <c r="M105">
        <f t="shared" si="46"/>
        <v>18.403411200000001</v>
      </c>
      <c r="N105">
        <f t="shared" si="47"/>
        <v>0</v>
      </c>
      <c r="O105">
        <f>IF(L105&lt;'Vehicle Data'!F$21,'Vehicle Data'!C$21,IF(L105&gt;'Vehicle Data'!C$21,'Vehicle Data'!C$20))</f>
        <v>0.6</v>
      </c>
      <c r="P105">
        <f>('Vehicle Data'!C$6*9.81*'Vehicle Data'!C$5*SIN(D105))/'Vehicle Data'!C$9</f>
        <v>0</v>
      </c>
      <c r="Q105" s="107">
        <f>'Vehicle Data'!C$6*9.81*SIN(D105)</f>
        <v>0</v>
      </c>
      <c r="R105">
        <f t="shared" si="41"/>
        <v>887.89456663127874</v>
      </c>
      <c r="S105">
        <f>IF(Data!O105=0.6,'Vehicle Data'!E$21,IF(Data!O105 = 0.9,'Vehicle Data'!E$20))+(P105*O105)</f>
        <v>1550.3723999999997</v>
      </c>
      <c r="T105">
        <f>IF(F105=3,'Vehicle Data'!H$16,IF(F105=2,'Vehicle Data'!H$15,IF(F105 = 1,'Vehicle Data'!G$14)))</f>
        <v>466.23005239380637</v>
      </c>
      <c r="U105" s="148">
        <f t="shared" si="48"/>
        <v>171.75608450796267</v>
      </c>
      <c r="V105" s="70" t="s">
        <v>77</v>
      </c>
      <c r="W105" s="99" t="s">
        <v>84</v>
      </c>
      <c r="X105">
        <f>IF(V105="S",'Vehicle Data'!C$14,IF(Data!V105 = "T1",'Vehicle Data'!P$2,IF(Data!V105="T2",'Vehicle Data'!P$3)))</f>
        <v>13.411199999999999</v>
      </c>
      <c r="Z105">
        <f t="shared" si="70"/>
        <v>9.9916259163809364</v>
      </c>
      <c r="AB105" t="b">
        <f>IF(AA105=1,'Vehicle Data'!I$14,IF(AA105=2,'Vehicle Data'!I$15,IF(AA105=3,'Vehicle Data'!I$16)))</f>
        <v>0</v>
      </c>
      <c r="AC105">
        <f>IF(Z105&lt;'Vehicle Data'!C$16,'Vehicle Data'!I$15,IF(Z105&lt;'Vehicle Data'!C$15,'Vehicle Data'!I$15,IF(Z104&gt;'Vehicle Data'!C$15,'Vehicle Data'!I$16)))</f>
        <v>0.46202745420001456</v>
      </c>
      <c r="AD105">
        <f>IF(O105=0.6,'Vehicle Data'!F$21,IF(O105=0.9,'Vehicle Data'!F$20))</f>
        <v>3.5315999999999996</v>
      </c>
      <c r="AE105" s="100">
        <f t="shared" si="49"/>
        <v>0.46202745420001456</v>
      </c>
      <c r="AF105" s="158">
        <f t="shared" si="71"/>
        <v>0.20141921811625838</v>
      </c>
      <c r="AG105" s="148">
        <f t="shared" si="53"/>
        <v>0.46419937430628</v>
      </c>
      <c r="AH105" s="148">
        <f t="shared" si="72"/>
        <v>25.949167394468596</v>
      </c>
      <c r="AJ105">
        <f>(Z105^2)*'Vehicle Data'!C$31</f>
        <v>36.688476256438996</v>
      </c>
      <c r="AK105">
        <f>IF(O105=0.6,'Vehicle Data'!C$6*'Vehicle Data'!D$21*9.81,IF(O105=0.9,'Vehicle Data'!C$6*9.81*'Vehicle Data'!D$20))</f>
        <v>86.131799999999998</v>
      </c>
      <c r="AL105">
        <f t="shared" si="50"/>
        <v>122.820276256439</v>
      </c>
      <c r="AN105">
        <f>IF(AG105&gt;0,AG105*'Vehicle Data'!C$6)</f>
        <v>203.78352532045693</v>
      </c>
      <c r="AO105">
        <f t="shared" si="54"/>
        <v>326.60380157689593</v>
      </c>
      <c r="AP105">
        <f>AO105*'Vehicle Data'!F$3</f>
        <v>83.479931683054602</v>
      </c>
      <c r="AQ105">
        <f>IF(AE105='Vehicle Data'!I$15,AP105/'Vehicle Data'!G$15,IF(AE105='Vehicle Data'!I$16,AP105/'Vehicle Data'!G$16,IF(AE105='Vehicle Data'!I$14,Data!AP105/'Vehicle Data'!G116)))</f>
        <v>15.411455348705367</v>
      </c>
      <c r="AR105">
        <f>IF(Z105&lt;'Vehicle Data'!C$16, Z105*'Vehicle Data'!F$7*'Vehicle Data'!G$14,IF(Z105&lt;'Vehicle Data'!C$15,Z105*'Vehicle Data'!F$7*'Vehicle Data'!G$15,IF(Z105&gt;'Vehicle Data'!C$15,Z105*'Vehicle Data'!F$7*'Vehicle Data'!G$16)))</f>
        <v>86.919119112714952</v>
      </c>
      <c r="AS105">
        <f t="shared" si="73"/>
        <v>5215.1471467628971</v>
      </c>
      <c r="AT105">
        <f t="shared" si="74"/>
        <v>15</v>
      </c>
      <c r="AU105">
        <f t="shared" si="75"/>
        <v>5000</v>
      </c>
      <c r="AW105">
        <f>VLOOKUP(AT105,BSFC!A$64:A$82,1,FALSE)</f>
        <v>15</v>
      </c>
      <c r="AX105" t="e" cm="1">
        <f t="array" ref="AX105">_xlfn.XLOOKUP(AT105,BSFC!A$64:A$82,,-1,_xlfn.XLOOKUP(Data!AU105,BSFC!C$63:Q$63,BSFC!B$64:Q$82,,-1))</f>
        <v>#VALUE!</v>
      </c>
      <c r="AY105">
        <f>HLOOKUP(AU105,BSFC!F$63:Q$63,1)</f>
        <v>5000</v>
      </c>
      <c r="AZ105">
        <f>IF(AT105&gt;0,MATCH(AT105,BSFC!A$64:A$83,0),IF(AT105&lt;=0,0))</f>
        <v>8</v>
      </c>
      <c r="BA105">
        <f>MATCH(AU105,BSFC!C$63:Q$63,0)</f>
        <v>10</v>
      </c>
      <c r="BB105" cm="1">
        <f t="array" ref="BB105">IF(AZ105&gt;0,INDEX(BSFC!C$64:Q$83,Data!AZ105,Data!BA105))</f>
        <v>705.8</v>
      </c>
      <c r="BC105">
        <f>0.5*'Vehicle Data'!C$6*Data!Z105^2</f>
        <v>21913.253165410497</v>
      </c>
      <c r="BD105">
        <f t="shared" si="55"/>
        <v>8.4779241832326768</v>
      </c>
      <c r="BE105">
        <f t="shared" si="76"/>
        <v>5983.7188885256228</v>
      </c>
      <c r="BF105">
        <f t="shared" si="77"/>
        <v>0.33478777220953265</v>
      </c>
      <c r="BG105">
        <f t="shared" si="56"/>
        <v>28.20615717404814</v>
      </c>
      <c r="BH105">
        <f t="shared" si="79"/>
        <v>8382.6666029687713</v>
      </c>
      <c r="BI105" s="148">
        <f t="shared" si="57"/>
        <v>6871.6622130335309</v>
      </c>
      <c r="BO105">
        <f t="shared" si="58"/>
        <v>1677.0162812862145</v>
      </c>
      <c r="BP105">
        <f t="shared" si="59"/>
        <v>62702.082691398435</v>
      </c>
      <c r="BQ105">
        <f t="shared" si="60"/>
        <v>123254.9410922767</v>
      </c>
      <c r="BR105" s="148">
        <f t="shared" si="61"/>
        <v>179688.64139223032</v>
      </c>
      <c r="BS105" s="156">
        <f t="shared" si="62"/>
        <v>1677.0162812862145</v>
      </c>
      <c r="BT105" s="156">
        <f t="shared" si="63"/>
        <v>8382.6666029687713</v>
      </c>
      <c r="BU105">
        <f t="shared" si="64"/>
        <v>1374.7283479788207</v>
      </c>
      <c r="BV105">
        <f t="shared" si="65"/>
        <v>1374.7283479788207</v>
      </c>
      <c r="BW105" s="148">
        <f t="shared" si="66"/>
        <v>455.4</v>
      </c>
      <c r="BX105" s="148">
        <f t="shared" si="67"/>
        <v>3129354.9718154697</v>
      </c>
      <c r="BY105" s="148">
        <f t="shared" si="68"/>
        <v>0.17390313601932078</v>
      </c>
      <c r="BZ105">
        <f t="shared" si="51"/>
        <v>25.949167394468596</v>
      </c>
      <c r="CB105">
        <f t="shared" si="69"/>
        <v>-302.28793330739381</v>
      </c>
      <c r="CC105" s="162">
        <f t="shared" si="52"/>
        <v>-1500.7899252836755</v>
      </c>
      <c r="CD105">
        <f t="shared" si="78"/>
        <v>55701.759820927764</v>
      </c>
    </row>
    <row r="106" spans="4:82" x14ac:dyDescent="0.2">
      <c r="D106" s="22">
        <f t="shared" si="42"/>
        <v>0</v>
      </c>
      <c r="E106" s="23">
        <v>9.2017056000000004</v>
      </c>
      <c r="F106" s="23">
        <f>IF(K106&lt;6,1,IF(Data!K106&lt;9,2,IF(K106&gt;9,3)))</f>
        <v>3</v>
      </c>
      <c r="G106" s="23">
        <v>891.93505551653857</v>
      </c>
      <c r="H106" s="23">
        <v>216.066665</v>
      </c>
      <c r="I106" s="64">
        <v>40.663490922989041</v>
      </c>
      <c r="J106" s="65">
        <f t="shared" si="43"/>
        <v>2.4986405161294551</v>
      </c>
      <c r="K106" s="65">
        <f t="shared" si="44"/>
        <v>16.265396369195617</v>
      </c>
      <c r="L106" s="65">
        <f t="shared" si="45"/>
        <v>0.99945620645178201</v>
      </c>
      <c r="M106">
        <f t="shared" si="46"/>
        <v>18.403411200000001</v>
      </c>
      <c r="N106">
        <f t="shared" si="47"/>
        <v>0</v>
      </c>
      <c r="O106">
        <f>IF(L106&lt;'Vehicle Data'!F$21,'Vehicle Data'!C$21,IF(L106&gt;'Vehicle Data'!C$21,'Vehicle Data'!C$20))</f>
        <v>0.6</v>
      </c>
      <c r="P106">
        <f>('Vehicle Data'!C$6*9.81*'Vehicle Data'!C$5*SIN(D106))/'Vehicle Data'!C$9</f>
        <v>0</v>
      </c>
      <c r="Q106" s="107">
        <f>'Vehicle Data'!C$6*9.81*SIN(D106)</f>
        <v>0</v>
      </c>
      <c r="R106">
        <f t="shared" si="41"/>
        <v>889.91204475296104</v>
      </c>
      <c r="S106">
        <f>IF(Data!O106=0.6,'Vehicle Data'!E$21,IF(Data!O106 = 0.9,'Vehicle Data'!E$20))+(P106*O106)</f>
        <v>1550.3723999999997</v>
      </c>
      <c r="T106">
        <f>IF(F106=3,'Vehicle Data'!H$16,IF(F106=2,'Vehicle Data'!H$15,IF(F106 = 1,'Vehicle Data'!G$14)))</f>
        <v>466.23005239380637</v>
      </c>
      <c r="U106" s="148">
        <f t="shared" si="48"/>
        <v>173.77356262964497</v>
      </c>
      <c r="V106" s="70" t="s">
        <v>77</v>
      </c>
      <c r="W106" s="99" t="s">
        <v>84</v>
      </c>
      <c r="X106">
        <f>IF(V106="S",'Vehicle Data'!C$14,IF(Data!V106 = "T1",'Vehicle Data'!P$2,IF(Data!V106="T2",'Vehicle Data'!P$3)))</f>
        <v>13.411199999999999</v>
      </c>
      <c r="Z106">
        <f t="shared" si="70"/>
        <v>10.084485560197178</v>
      </c>
      <c r="AB106" t="b">
        <f>IF(AA106=1,'Vehicle Data'!I$14,IF(AA106=2,'Vehicle Data'!I$15,IF(AA106=3,'Vehicle Data'!I$16)))</f>
        <v>0</v>
      </c>
      <c r="AC106">
        <f>IF(Z106&lt;'Vehicle Data'!C$16,'Vehicle Data'!I$15,IF(Z106&lt;'Vehicle Data'!C$15,'Vehicle Data'!I$15,IF(Z105&gt;'Vehicle Data'!C$15,'Vehicle Data'!I$16)))</f>
        <v>0.46202745420001456</v>
      </c>
      <c r="AD106">
        <f>IF(O106=0.6,'Vehicle Data'!F$21,IF(O106=0.9,'Vehicle Data'!F$20))</f>
        <v>3.5315999999999996</v>
      </c>
      <c r="AE106" s="100">
        <f t="shared" si="49"/>
        <v>0.46202745420001456</v>
      </c>
      <c r="AF106" s="158">
        <f t="shared" si="71"/>
        <v>0.20005761420742765</v>
      </c>
      <c r="AG106" s="148">
        <f t="shared" si="53"/>
        <v>0.46416450673035292</v>
      </c>
      <c r="AH106" s="148">
        <f t="shared" si="72"/>
        <v>26.149225008676023</v>
      </c>
      <c r="AJ106">
        <f>(Z106^2)*'Vehicle Data'!C$31</f>
        <v>37.373592012580843</v>
      </c>
      <c r="AK106">
        <f>IF(O106=0.6,'Vehicle Data'!C$6*'Vehicle Data'!D$21*9.81,IF(O106=0.9,'Vehicle Data'!C$6*9.81*'Vehicle Data'!D$20))</f>
        <v>86.131799999999998</v>
      </c>
      <c r="AL106">
        <f t="shared" si="50"/>
        <v>123.50539201258084</v>
      </c>
      <c r="AN106">
        <f>IF(AG106&gt;0,AG106*'Vehicle Data'!C$6)</f>
        <v>203.76821845462493</v>
      </c>
      <c r="AO106">
        <f t="shared" si="54"/>
        <v>327.2736104672058</v>
      </c>
      <c r="AP106">
        <f>AO106*'Vehicle Data'!F$3</f>
        <v>83.651134835417807</v>
      </c>
      <c r="AQ106">
        <f>IF(AE106='Vehicle Data'!I$15,AP106/'Vehicle Data'!G$15,IF(AE106='Vehicle Data'!I$16,AP106/'Vehicle Data'!G$16,IF(AE106='Vehicle Data'!I$14,Data!AP106/'Vehicle Data'!G117)))</f>
        <v>15.443061624429461</v>
      </c>
      <c r="AR106">
        <f>IF(Z106&lt;'Vehicle Data'!C$16, Z106*'Vehicle Data'!F$7*'Vehicle Data'!G$14,IF(Z106&lt;'Vehicle Data'!C$15,Z106*'Vehicle Data'!F$7*'Vehicle Data'!G$15,IF(Z106&gt;'Vehicle Data'!C$15,Z106*'Vehicle Data'!F$7*'Vehicle Data'!G$16)))</f>
        <v>87.726923418958606</v>
      </c>
      <c r="AS106">
        <f t="shared" si="73"/>
        <v>5263.6154051375161</v>
      </c>
      <c r="AT106">
        <f t="shared" si="74"/>
        <v>15</v>
      </c>
      <c r="AU106">
        <f t="shared" si="75"/>
        <v>5500</v>
      </c>
      <c r="AW106">
        <f>VLOOKUP(AT106,BSFC!A$64:A$82,1,FALSE)</f>
        <v>15</v>
      </c>
      <c r="AX106" t="e" cm="1">
        <f t="array" ref="AX106">_xlfn.XLOOKUP(AT106,BSFC!A$64:A$82,,-1,_xlfn.XLOOKUP(Data!AU106,BSFC!C$63:Q$63,BSFC!B$64:Q$82,,-1))</f>
        <v>#VALUE!</v>
      </c>
      <c r="AY106">
        <f>HLOOKUP(AU106,BSFC!F$63:Q$63,1)</f>
        <v>5500</v>
      </c>
      <c r="AZ106">
        <f>IF(AT106&gt;0,MATCH(AT106,BSFC!A$64:A$83,0),IF(AT106&lt;=0,0))</f>
        <v>8</v>
      </c>
      <c r="BA106">
        <f>MATCH(AU106,BSFC!C$63:Q$63,0)</f>
        <v>11</v>
      </c>
      <c r="BB106" cm="1">
        <f t="array" ref="BB106">IF(AZ106&gt;0,INDEX(BSFC!C$64:Q$83,Data!AZ106,Data!BA106))</f>
        <v>635.6</v>
      </c>
      <c r="BC106">
        <f>0.5*'Vehicle Data'!C$6*Data!Z106^2</f>
        <v>22322.458358534674</v>
      </c>
      <c r="BD106">
        <f t="shared" si="55"/>
        <v>8.5730683151018017</v>
      </c>
      <c r="BE106">
        <f t="shared" si="76"/>
        <v>5449.0422210787056</v>
      </c>
      <c r="BF106">
        <f t="shared" si="77"/>
        <v>0.30281177401793014</v>
      </c>
      <c r="BG106">
        <f t="shared" si="56"/>
        <v>28.50896894806607</v>
      </c>
      <c r="BH106">
        <f t="shared" si="79"/>
        <v>8477.924183232677</v>
      </c>
      <c r="BI106" s="148">
        <f t="shared" si="57"/>
        <v>6871.6622130335309</v>
      </c>
      <c r="BO106">
        <f t="shared" si="58"/>
        <v>1685.3055650574213</v>
      </c>
      <c r="BP106">
        <f t="shared" si="59"/>
        <v>64387.388256455859</v>
      </c>
      <c r="BQ106">
        <f t="shared" si="60"/>
        <v>124940.24665733412</v>
      </c>
      <c r="BR106" s="148">
        <f t="shared" si="61"/>
        <v>181054.64211581834</v>
      </c>
      <c r="BS106" s="156">
        <f t="shared" si="62"/>
        <v>1685.3055650574213</v>
      </c>
      <c r="BT106" s="156">
        <f t="shared" si="63"/>
        <v>8477.924183232677</v>
      </c>
      <c r="BU106">
        <f t="shared" si="64"/>
        <v>1366.0007235880194</v>
      </c>
      <c r="BV106">
        <f t="shared" si="65"/>
        <v>1366.0007235880194</v>
      </c>
      <c r="BW106" s="148">
        <f t="shared" si="66"/>
        <v>455.4</v>
      </c>
      <c r="BX106" s="148">
        <f t="shared" si="67"/>
        <v>3129354.9718154697</v>
      </c>
      <c r="BY106" s="148">
        <f t="shared" si="68"/>
        <v>0.17279909153388442</v>
      </c>
      <c r="BZ106">
        <f t="shared" si="51"/>
        <v>26.149225008676023</v>
      </c>
      <c r="CB106">
        <f t="shared" si="69"/>
        <v>-319.30484146940194</v>
      </c>
      <c r="CC106" s="162">
        <f t="shared" si="52"/>
        <v>-1596.0644274120684</v>
      </c>
      <c r="CD106">
        <f t="shared" si="78"/>
        <v>55382.454979458365</v>
      </c>
    </row>
    <row r="107" spans="4:82" x14ac:dyDescent="0.2">
      <c r="D107" s="22">
        <f t="shared" si="42"/>
        <v>0</v>
      </c>
      <c r="E107" s="23">
        <v>9.2017056000000004</v>
      </c>
      <c r="F107" s="23">
        <f>IF(K107&lt;6,1,IF(Data!K107&lt;9,2,IF(K107&gt;9,3)))</f>
        <v>3</v>
      </c>
      <c r="G107" s="23">
        <v>893.96395684769357</v>
      </c>
      <c r="H107" s="23">
        <v>216.11666499999998</v>
      </c>
      <c r="I107" s="64">
        <v>40.788422948795471</v>
      </c>
      <c r="J107" s="65">
        <f t="shared" si="43"/>
        <v>2.6585037615346248</v>
      </c>
      <c r="K107" s="65">
        <f t="shared" si="44"/>
        <v>16.315369179518189</v>
      </c>
      <c r="L107" s="65">
        <f t="shared" si="45"/>
        <v>1.0634015046138214</v>
      </c>
      <c r="M107">
        <f t="shared" si="46"/>
        <v>18.403411200000001</v>
      </c>
      <c r="N107">
        <f t="shared" si="47"/>
        <v>0</v>
      </c>
      <c r="O107">
        <f>IF(L107&lt;'Vehicle Data'!F$21,'Vehicle Data'!C$21,IF(L107&gt;'Vehicle Data'!C$21,'Vehicle Data'!C$20))</f>
        <v>0.6</v>
      </c>
      <c r="P107">
        <f>('Vehicle Data'!C$6*9.81*'Vehicle Data'!C$5*SIN(D107))/'Vehicle Data'!C$9</f>
        <v>0</v>
      </c>
      <c r="Q107" s="107">
        <f>'Vehicle Data'!C$6*9.81*SIN(D107)</f>
        <v>0</v>
      </c>
      <c r="R107">
        <f t="shared" si="41"/>
        <v>891.93505551653857</v>
      </c>
      <c r="S107">
        <f>IF(Data!O107=0.6,'Vehicle Data'!E$21,IF(Data!O107 = 0.9,'Vehicle Data'!E$20))+(P107*O107)</f>
        <v>1550.3723999999997</v>
      </c>
      <c r="T107">
        <f>IF(F107=3,'Vehicle Data'!H$16,IF(F107=2,'Vehicle Data'!H$15,IF(F107 = 1,'Vehicle Data'!G$14)))</f>
        <v>466.23005239380637</v>
      </c>
      <c r="U107" s="148">
        <f t="shared" si="48"/>
        <v>175.7965733932225</v>
      </c>
      <c r="V107" s="70" t="s">
        <v>77</v>
      </c>
      <c r="W107" s="99" t="s">
        <v>84</v>
      </c>
      <c r="X107">
        <f>IF(V107="S",'Vehicle Data'!C$14,IF(Data!V107 = "T1",'Vehicle Data'!P$2,IF(Data!V107="T2",'Vehicle Data'!P$3)))</f>
        <v>13.411199999999999</v>
      </c>
      <c r="Z107">
        <f t="shared" si="70"/>
        <v>10.176749089942982</v>
      </c>
      <c r="AB107" t="b">
        <f>IF(AA107=1,'Vehicle Data'!I$14,IF(AA107=2,'Vehicle Data'!I$15,IF(AA107=3,'Vehicle Data'!I$16)))</f>
        <v>0</v>
      </c>
      <c r="AC107">
        <f>IF(Z107&lt;'Vehicle Data'!C$16,'Vehicle Data'!I$15,IF(Z107&lt;'Vehicle Data'!C$15,'Vehicle Data'!I$15,IF(Z106&gt;'Vehicle Data'!C$15,'Vehicle Data'!I$16)))</f>
        <v>0.46202745420001456</v>
      </c>
      <c r="AD107">
        <f>IF(O107=0.6,'Vehicle Data'!F$21,IF(O107=0.9,'Vehicle Data'!F$20))</f>
        <v>3.5315999999999996</v>
      </c>
      <c r="AE107" s="100">
        <f t="shared" si="49"/>
        <v>0.46202745420001456</v>
      </c>
      <c r="AF107" s="158">
        <f t="shared" si="71"/>
        <v>0.19878752494514587</v>
      </c>
      <c r="AG107" s="148">
        <f t="shared" si="53"/>
        <v>0.46413138737585857</v>
      </c>
      <c r="AH107" s="148">
        <f t="shared" si="72"/>
        <v>26.348012533621169</v>
      </c>
      <c r="AJ107">
        <f>(Z107^2)*'Vehicle Data'!C$31</f>
        <v>38.060586599573341</v>
      </c>
      <c r="AK107">
        <f>IF(O107=0.6,'Vehicle Data'!C$6*'Vehicle Data'!D$21*9.81,IF(O107=0.9,'Vehicle Data'!C$6*9.81*'Vehicle Data'!D$20))</f>
        <v>86.131799999999998</v>
      </c>
      <c r="AL107">
        <f t="shared" si="50"/>
        <v>124.19238659957334</v>
      </c>
      <c r="AN107">
        <f>IF(AG107&gt;0,AG107*'Vehicle Data'!C$6)</f>
        <v>203.75367905800192</v>
      </c>
      <c r="AO107">
        <f t="shared" si="54"/>
        <v>327.94606565757528</v>
      </c>
      <c r="AP107">
        <f>AO107*'Vehicle Data'!F$3</f>
        <v>83.823014382076238</v>
      </c>
      <c r="AQ107">
        <f>IF(AE107='Vehicle Data'!I$15,AP107/'Vehicle Data'!G$15,IF(AE107='Vehicle Data'!I$16,AP107/'Vehicle Data'!G$16,IF(AE107='Vehicle Data'!I$14,Data!AP107/'Vehicle Data'!G118)))</f>
        <v>15.474792771128756</v>
      </c>
      <c r="AR107">
        <f>IF(Z107&lt;'Vehicle Data'!C$16, Z107*'Vehicle Data'!F$7*'Vehicle Data'!G$14,IF(Z107&lt;'Vehicle Data'!C$15,Z107*'Vehicle Data'!F$7*'Vehicle Data'!G$15,IF(Z107&gt;'Vehicle Data'!C$15,Z107*'Vehicle Data'!F$7*'Vehicle Data'!G$16)))</f>
        <v>88.529542011653049</v>
      </c>
      <c r="AS107">
        <f t="shared" si="73"/>
        <v>5311.7725206991827</v>
      </c>
      <c r="AT107">
        <f t="shared" si="74"/>
        <v>15</v>
      </c>
      <c r="AU107">
        <f t="shared" si="75"/>
        <v>5500</v>
      </c>
      <c r="AW107">
        <f>VLOOKUP(AT107,BSFC!A$64:A$82,1,FALSE)</f>
        <v>15</v>
      </c>
      <c r="AX107" t="e" cm="1">
        <f t="array" ref="AX107">_xlfn.XLOOKUP(AT107,BSFC!A$64:A$82,,-1,_xlfn.XLOOKUP(Data!AU107,BSFC!C$63:Q$63,BSFC!B$64:Q$82,,-1))</f>
        <v>#VALUE!</v>
      </c>
      <c r="AY107">
        <f>HLOOKUP(AU107,BSFC!F$63:Q$63,1)</f>
        <v>5500</v>
      </c>
      <c r="AZ107">
        <f>IF(AT107&gt;0,MATCH(AT107,BSFC!A$64:A$83,0),IF(AT107&lt;=0,0))</f>
        <v>8</v>
      </c>
      <c r="BA107">
        <f>MATCH(AU107,BSFC!C$63:Q$63,0)</f>
        <v>11</v>
      </c>
      <c r="BB107" cm="1">
        <f t="array" ref="BB107">IF(AZ107&gt;0,INDEX(BSFC!C$64:Q$83,Data!AZ107,Data!BA107))</f>
        <v>635.6</v>
      </c>
      <c r="BC107">
        <f>0.5*'Vehicle Data'!C$6*Data!Z107^2</f>
        <v>22732.78573770434</v>
      </c>
      <c r="BD107">
        <f t="shared" si="55"/>
        <v>8.6681246373153407</v>
      </c>
      <c r="BE107">
        <f t="shared" si="76"/>
        <v>5509.4600194776303</v>
      </c>
      <c r="BF107">
        <f t="shared" si="77"/>
        <v>0.30422553362672033</v>
      </c>
      <c r="BG107">
        <f t="shared" si="56"/>
        <v>28.81319448169279</v>
      </c>
      <c r="BH107">
        <f t="shared" si="79"/>
        <v>8573.068315101802</v>
      </c>
      <c r="BI107" s="148">
        <f t="shared" si="57"/>
        <v>6871.6622130335309</v>
      </c>
      <c r="BO107">
        <f t="shared" si="58"/>
        <v>1693.9179675850992</v>
      </c>
      <c r="BP107">
        <f t="shared" si="59"/>
        <v>66081.306224040964</v>
      </c>
      <c r="BQ107">
        <f t="shared" si="60"/>
        <v>126634.16462491923</v>
      </c>
      <c r="BR107" s="148">
        <f t="shared" si="61"/>
        <v>182412.38611854939</v>
      </c>
      <c r="BS107" s="156">
        <f t="shared" si="62"/>
        <v>1693.9179675850992</v>
      </c>
      <c r="BT107" s="156">
        <f t="shared" si="63"/>
        <v>8573.068315101802</v>
      </c>
      <c r="BU107">
        <f t="shared" si="64"/>
        <v>1357.7440027310529</v>
      </c>
      <c r="BV107">
        <f t="shared" si="65"/>
        <v>1357.7440027310529</v>
      </c>
      <c r="BW107" s="148">
        <f t="shared" si="66"/>
        <v>455.4</v>
      </c>
      <c r="BX107" s="148">
        <f t="shared" si="67"/>
        <v>3129354.9718154697</v>
      </c>
      <c r="BY107" s="148">
        <f t="shared" si="68"/>
        <v>0.17175461634547814</v>
      </c>
      <c r="BZ107">
        <f t="shared" si="51"/>
        <v>26.348012533621169</v>
      </c>
      <c r="CB107">
        <f t="shared" si="69"/>
        <v>-336.17396485404629</v>
      </c>
      <c r="CC107" s="162">
        <f t="shared" si="52"/>
        <v>-1691.1220407156366</v>
      </c>
      <c r="CD107">
        <f t="shared" si="78"/>
        <v>55046.281014604319</v>
      </c>
    </row>
    <row r="108" spans="4:82" x14ac:dyDescent="0.2">
      <c r="D108" s="22">
        <f t="shared" si="42"/>
        <v>0</v>
      </c>
      <c r="E108" s="23">
        <v>9.2017056000000004</v>
      </c>
      <c r="F108" s="23">
        <f>IF(K108&lt;6,1,IF(Data!K108&lt;9,2,IF(K108&gt;9,3)))</f>
        <v>3</v>
      </c>
      <c r="G108" s="23">
        <v>895.99945610453312</v>
      </c>
      <c r="H108" s="23">
        <v>216.16666499999999</v>
      </c>
      <c r="I108" s="64">
        <v>40.921348136872233</v>
      </c>
      <c r="J108" s="65">
        <f t="shared" si="43"/>
        <v>2.523392000000805</v>
      </c>
      <c r="K108" s="65">
        <f t="shared" si="44"/>
        <v>16.368539254748892</v>
      </c>
      <c r="L108" s="65">
        <f t="shared" si="45"/>
        <v>1.0093568000003361</v>
      </c>
      <c r="M108">
        <f t="shared" si="46"/>
        <v>18.403411200000001</v>
      </c>
      <c r="N108">
        <f t="shared" si="47"/>
        <v>0</v>
      </c>
      <c r="O108">
        <f>IF(L108&lt;'Vehicle Data'!F$21,'Vehicle Data'!C$21,IF(L108&gt;'Vehicle Data'!C$21,'Vehicle Data'!C$20))</f>
        <v>0.6</v>
      </c>
      <c r="P108">
        <f>('Vehicle Data'!C$6*9.81*'Vehicle Data'!C$5*SIN(D108))/'Vehicle Data'!C$9</f>
        <v>0</v>
      </c>
      <c r="Q108" s="107">
        <f>'Vehicle Data'!C$6*9.81*SIN(D108)</f>
        <v>0</v>
      </c>
      <c r="R108">
        <f t="shared" si="41"/>
        <v>893.96395684769357</v>
      </c>
      <c r="S108">
        <f>IF(Data!O108=0.6,'Vehicle Data'!E$21,IF(Data!O108 = 0.9,'Vehicle Data'!E$20))+(P108*O108)</f>
        <v>1550.3723999999997</v>
      </c>
      <c r="T108">
        <f>IF(F108=3,'Vehicle Data'!H$16,IF(F108=2,'Vehicle Data'!H$15,IF(F108 = 1,'Vehicle Data'!G$14)))</f>
        <v>466.23005239380637</v>
      </c>
      <c r="U108" s="148">
        <f t="shared" si="48"/>
        <v>177.8254747243775</v>
      </c>
      <c r="V108" s="70" t="s">
        <v>77</v>
      </c>
      <c r="W108" s="99" t="s">
        <v>84</v>
      </c>
      <c r="X108">
        <f>IF(V108="S",'Vehicle Data'!C$14,IF(Data!V108 = "T1",'Vehicle Data'!P$2,IF(Data!V108="T2",'Vehicle Data'!P$3)))</f>
        <v>13.411199999999999</v>
      </c>
      <c r="Z108">
        <f t="shared" si="70"/>
        <v>10.268448679005434</v>
      </c>
      <c r="AB108" t="b">
        <f>IF(AA108=1,'Vehicle Data'!I$14,IF(AA108=2,'Vehicle Data'!I$15,IF(AA108=3,'Vehicle Data'!I$16)))</f>
        <v>0</v>
      </c>
      <c r="AC108">
        <f>IF(Z108&lt;'Vehicle Data'!C$16,'Vehicle Data'!I$15,IF(Z108&lt;'Vehicle Data'!C$15,'Vehicle Data'!I$15,IF(Z107&gt;'Vehicle Data'!C$15,'Vehicle Data'!I$16)))</f>
        <v>0.46202745420001456</v>
      </c>
      <c r="AD108">
        <f>IF(O108=0.6,'Vehicle Data'!F$21,IF(O108=0.9,'Vehicle Data'!F$20))</f>
        <v>3.5315999999999996</v>
      </c>
      <c r="AE108" s="100">
        <f t="shared" si="49"/>
        <v>0.46202745420001456</v>
      </c>
      <c r="AF108" s="158">
        <f t="shared" si="71"/>
        <v>0.19758596401258055</v>
      </c>
      <c r="AG108" s="148">
        <f t="shared" si="53"/>
        <v>0.4640997123490701</v>
      </c>
      <c r="AH108" s="148">
        <f t="shared" si="72"/>
        <v>26.545598497633751</v>
      </c>
      <c r="AJ108">
        <f>(Z108^2)*'Vehicle Data'!C$31</f>
        <v>38.749581565462918</v>
      </c>
      <c r="AK108">
        <f>IF(O108=0.6,'Vehicle Data'!C$6*'Vehicle Data'!D$21*9.81,IF(O108=0.9,'Vehicle Data'!C$6*9.81*'Vehicle Data'!D$20))</f>
        <v>86.131799999999998</v>
      </c>
      <c r="AL108">
        <f t="shared" si="50"/>
        <v>124.88138156546292</v>
      </c>
      <c r="AN108">
        <f>IF(AG108&gt;0,AG108*'Vehicle Data'!C$6)</f>
        <v>203.73977372124179</v>
      </c>
      <c r="AO108">
        <f t="shared" si="54"/>
        <v>328.62115528670472</v>
      </c>
      <c r="AP108">
        <f>AO108*'Vehicle Data'!F$3</f>
        <v>83.995567291281731</v>
      </c>
      <c r="AQ108">
        <f>IF(AE108='Vehicle Data'!I$15,AP108/'Vehicle Data'!G$15,IF(AE108='Vehicle Data'!I$16,AP108/'Vehicle Data'!G$16,IF(AE108='Vehicle Data'!I$14,Data!AP108/'Vehicle Data'!G119)))</f>
        <v>15.506648229104046</v>
      </c>
      <c r="AR108">
        <f>IF(Z108&lt;'Vehicle Data'!C$16, Z108*'Vehicle Data'!F$7*'Vehicle Data'!G$14,IF(Z108&lt;'Vehicle Data'!C$15,Z108*'Vehicle Data'!F$7*'Vehicle Data'!G$15,IF(Z108&gt;'Vehicle Data'!C$15,Z108*'Vehicle Data'!F$7*'Vehicle Data'!G$16)))</f>
        <v>89.327254773420776</v>
      </c>
      <c r="AS108">
        <f t="shared" si="73"/>
        <v>5359.6352864052469</v>
      </c>
      <c r="AT108">
        <f t="shared" si="74"/>
        <v>16</v>
      </c>
      <c r="AU108">
        <f t="shared" si="75"/>
        <v>5500</v>
      </c>
      <c r="AW108">
        <f>VLOOKUP(AT108,BSFC!A$64:A$82,1,FALSE)</f>
        <v>16</v>
      </c>
      <c r="AX108" t="e" cm="1">
        <f t="array" ref="AX108">_xlfn.XLOOKUP(AT108,BSFC!A$64:A$82,,-1,_xlfn.XLOOKUP(Data!AU108,BSFC!C$63:Q$63,BSFC!B$64:Q$82,,-1))</f>
        <v>#VALUE!</v>
      </c>
      <c r="AY108">
        <f>HLOOKUP(AU108,BSFC!F$63:Q$63,1)</f>
        <v>5500</v>
      </c>
      <c r="AZ108">
        <f>IF(AT108&gt;0,MATCH(AT108,BSFC!A$64:A$83,0),IF(AT108&lt;=0,0))</f>
        <v>7</v>
      </c>
      <c r="BA108">
        <f>MATCH(AU108,BSFC!C$63:Q$63,0)</f>
        <v>11</v>
      </c>
      <c r="BB108" cm="1">
        <f t="array" ref="BB108">IF(AZ108&gt;0,INDEX(BSFC!C$64:Q$83,Data!AZ108,Data!BA108))</f>
        <v>632.5</v>
      </c>
      <c r="BC108">
        <f>0.5*'Vehicle Data'!C$6*Data!Z108^2</f>
        <v>23144.307901004373</v>
      </c>
      <c r="BD108">
        <f t="shared" si="55"/>
        <v>8.7631409732104277</v>
      </c>
      <c r="BE108">
        <f t="shared" si="76"/>
        <v>5542.6866655555959</v>
      </c>
      <c r="BF108">
        <f t="shared" si="77"/>
        <v>0.30421030223152168</v>
      </c>
      <c r="BG108">
        <f t="shared" si="56"/>
        <v>29.117404783924311</v>
      </c>
      <c r="BH108">
        <f t="shared" si="79"/>
        <v>8668.1246373153408</v>
      </c>
      <c r="BI108" s="148">
        <f t="shared" si="57"/>
        <v>6871.6622130335309</v>
      </c>
      <c r="BO108">
        <f t="shared" si="58"/>
        <v>1703.1457503222116</v>
      </c>
      <c r="BP108">
        <f t="shared" si="59"/>
        <v>67784.451974363168</v>
      </c>
      <c r="BQ108">
        <f t="shared" si="60"/>
        <v>128337.31037524143</v>
      </c>
      <c r="BR108" s="148">
        <f t="shared" si="61"/>
        <v>183762.55617094986</v>
      </c>
      <c r="BS108" s="156">
        <f t="shared" si="62"/>
        <v>1703.1457503222116</v>
      </c>
      <c r="BT108" s="156">
        <f t="shared" si="63"/>
        <v>8668.1246373153408</v>
      </c>
      <c r="BU108">
        <f t="shared" si="64"/>
        <v>1350.1700524004611</v>
      </c>
      <c r="BV108">
        <f t="shared" si="65"/>
        <v>1350.1700524004611</v>
      </c>
      <c r="BW108" s="148">
        <f t="shared" si="66"/>
        <v>455.4</v>
      </c>
      <c r="BX108" s="148">
        <f t="shared" si="67"/>
        <v>3129354.9718154697</v>
      </c>
      <c r="BY108" s="148">
        <f t="shared" si="68"/>
        <v>0.17079651162865833</v>
      </c>
      <c r="BZ108">
        <f t="shared" si="51"/>
        <v>26.545598497633751</v>
      </c>
      <c r="CB108">
        <f t="shared" si="69"/>
        <v>-352.97569792175045</v>
      </c>
      <c r="CC108" s="162">
        <f t="shared" si="52"/>
        <v>-1786.4411558063591</v>
      </c>
      <c r="CD108">
        <f t="shared" si="78"/>
        <v>54693.30531668257</v>
      </c>
    </row>
    <row r="109" spans="4:82" x14ac:dyDescent="0.2">
      <c r="D109" s="22">
        <f t="shared" si="42"/>
        <v>0</v>
      </c>
      <c r="E109" s="23">
        <v>9.2017056000000004</v>
      </c>
      <c r="F109" s="23">
        <f>IF(K109&lt;6,1,IF(Data!K109&lt;9,2,IF(K109&gt;9,3)))</f>
        <v>3</v>
      </c>
      <c r="G109" s="23">
        <v>898.04206271947805</v>
      </c>
      <c r="H109" s="23">
        <v>216.21666499999998</v>
      </c>
      <c r="I109" s="64">
        <v>41.04751773687223</v>
      </c>
      <c r="J109" s="65">
        <f t="shared" si="43"/>
        <v>2.4873428828087212</v>
      </c>
      <c r="K109" s="65">
        <f t="shared" si="44"/>
        <v>16.419007094748892</v>
      </c>
      <c r="L109" s="65">
        <f t="shared" si="45"/>
        <v>0.9949371531234743</v>
      </c>
      <c r="M109">
        <f t="shared" si="46"/>
        <v>18.403411200000001</v>
      </c>
      <c r="N109">
        <f t="shared" si="47"/>
        <v>0</v>
      </c>
      <c r="O109">
        <f>IF(L109&lt;'Vehicle Data'!F$21,'Vehicle Data'!C$21,IF(L109&gt;'Vehicle Data'!C$21,'Vehicle Data'!C$20))</f>
        <v>0.6</v>
      </c>
      <c r="P109">
        <f>('Vehicle Data'!C$6*9.81*'Vehicle Data'!C$5*SIN(D109))/'Vehicle Data'!C$9</f>
        <v>0</v>
      </c>
      <c r="Q109" s="107">
        <f>'Vehicle Data'!C$6*9.81*SIN(D109)</f>
        <v>0</v>
      </c>
      <c r="R109">
        <f t="shared" si="41"/>
        <v>895.99945610453312</v>
      </c>
      <c r="S109">
        <f>IF(Data!O109=0.6,'Vehicle Data'!E$21,IF(Data!O109 = 0.9,'Vehicle Data'!E$20))+(P109*O109)</f>
        <v>1550.3723999999997</v>
      </c>
      <c r="T109">
        <f>IF(F109=3,'Vehicle Data'!H$16,IF(F109=2,'Vehicle Data'!H$15,IF(F109 = 1,'Vehicle Data'!G$14)))</f>
        <v>466.23005239380637</v>
      </c>
      <c r="U109" s="148">
        <f t="shared" si="48"/>
        <v>179.86097398121706</v>
      </c>
      <c r="V109" s="70" t="s">
        <v>77</v>
      </c>
      <c r="W109" s="99" t="s">
        <v>84</v>
      </c>
      <c r="X109">
        <f>IF(V109="S",'Vehicle Data'!C$14,IF(Data!V109 = "T1",'Vehicle Data'!P$2,IF(Data!V109="T2",'Vehicle Data'!P$3)))</f>
        <v>13.411199999999999</v>
      </c>
      <c r="Z109">
        <f t="shared" si="70"/>
        <v>10.359630850213518</v>
      </c>
      <c r="AB109" t="b">
        <f>IF(AA109=1,'Vehicle Data'!I$14,IF(AA109=2,'Vehicle Data'!I$15,IF(AA109=3,'Vehicle Data'!I$16)))</f>
        <v>0</v>
      </c>
      <c r="AC109">
        <f>IF(Z109&lt;'Vehicle Data'!C$16,'Vehicle Data'!I$15,IF(Z109&lt;'Vehicle Data'!C$15,'Vehicle Data'!I$15,IF(Z108&gt;'Vehicle Data'!C$15,'Vehicle Data'!I$16)))</f>
        <v>0.46202745420001456</v>
      </c>
      <c r="AD109">
        <f>IF(O109=0.6,'Vehicle Data'!F$21,IF(O109=0.9,'Vehicle Data'!F$20))</f>
        <v>3.5315999999999996</v>
      </c>
      <c r="AE109" s="100">
        <f t="shared" si="49"/>
        <v>0.46202745420001456</v>
      </c>
      <c r="AF109" s="158">
        <f t="shared" si="71"/>
        <v>0.19648376339564305</v>
      </c>
      <c r="AG109" s="148">
        <f t="shared" si="53"/>
        <v>0.46406975127241457</v>
      </c>
      <c r="AH109" s="148">
        <f t="shared" si="72"/>
        <v>26.742082261029395</v>
      </c>
      <c r="AJ109">
        <f>(Z109^2)*'Vehicle Data'!C$31</f>
        <v>39.440817122115668</v>
      </c>
      <c r="AK109">
        <f>IF(O109=0.6,'Vehicle Data'!C$6*'Vehicle Data'!D$21*9.81,IF(O109=0.9,'Vehicle Data'!C$6*9.81*'Vehicle Data'!D$20))</f>
        <v>86.131799999999998</v>
      </c>
      <c r="AL109">
        <f t="shared" si="50"/>
        <v>125.57261712211567</v>
      </c>
      <c r="AN109">
        <f>IF(AG109&gt;0,AG109*'Vehicle Data'!C$6)</f>
        <v>203.72662080858998</v>
      </c>
      <c r="AO109">
        <f t="shared" si="54"/>
        <v>329.29923793070566</v>
      </c>
      <c r="AP109">
        <f>AO109*'Vehicle Data'!F$3</f>
        <v>84.168885215088366</v>
      </c>
      <c r="AQ109">
        <f>IF(AE109='Vehicle Data'!I$15,AP109/'Vehicle Data'!G$15,IF(AE109='Vehicle Data'!I$16,AP109/'Vehicle Data'!G$16,IF(AE109='Vehicle Data'!I$14,Data!AP109/'Vehicle Data'!G120)))</f>
        <v>15.538644918488238</v>
      </c>
      <c r="AR109">
        <f>IF(Z109&lt;'Vehicle Data'!C$16, Z109*'Vehicle Data'!F$7*'Vehicle Data'!G$14,IF(Z109&lt;'Vehicle Data'!C$15,Z109*'Vehicle Data'!F$7*'Vehicle Data'!G$15,IF(Z109&gt;'Vehicle Data'!C$15,Z109*'Vehicle Data'!F$7*'Vehicle Data'!G$16)))</f>
        <v>90.120466415501753</v>
      </c>
      <c r="AS109">
        <f t="shared" si="73"/>
        <v>5407.2279849301049</v>
      </c>
      <c r="AT109">
        <f t="shared" si="74"/>
        <v>16</v>
      </c>
      <c r="AU109">
        <f t="shared" si="75"/>
        <v>5500</v>
      </c>
      <c r="AW109">
        <f>VLOOKUP(AT109,BSFC!A$64:A$82,1,FALSE)</f>
        <v>16</v>
      </c>
      <c r="AX109" t="e" cm="1">
        <f t="array" ref="AX109">_xlfn.XLOOKUP(AT109,BSFC!A$64:A$82,,-1,_xlfn.XLOOKUP(Data!AU109,BSFC!C$63:Q$63,BSFC!B$64:Q$82,,-1))</f>
        <v>#VALUE!</v>
      </c>
      <c r="AY109">
        <f>HLOOKUP(AU109,BSFC!F$63:Q$63,1)</f>
        <v>5500</v>
      </c>
      <c r="AZ109">
        <f>IF(AT109&gt;0,MATCH(AT109,BSFC!A$64:A$83,0),IF(AT109&lt;=0,0))</f>
        <v>7</v>
      </c>
      <c r="BA109">
        <f>MATCH(AU109,BSFC!C$63:Q$63,0)</f>
        <v>11</v>
      </c>
      <c r="BB109" cm="1">
        <f t="array" ref="BB109">IF(AZ109&gt;0,INDEX(BSFC!C$64:Q$83,Data!AZ109,Data!BA109))</f>
        <v>632.5</v>
      </c>
      <c r="BC109">
        <f>0.5*'Vehicle Data'!C$6*Data!Z109^2</f>
        <v>23557.168321916699</v>
      </c>
      <c r="BD109">
        <f t="shared" si="55"/>
        <v>8.8581485204181121</v>
      </c>
      <c r="BE109">
        <f t="shared" si="76"/>
        <v>5602.7789391644556</v>
      </c>
      <c r="BF109">
        <f t="shared" si="77"/>
        <v>0.30579308095580027</v>
      </c>
      <c r="BG109">
        <f t="shared" si="56"/>
        <v>29.423197864880112</v>
      </c>
      <c r="BH109">
        <f t="shared" si="79"/>
        <v>8763.1409732104275</v>
      </c>
      <c r="BI109" s="148">
        <f t="shared" si="57"/>
        <v>6871.6622130335309</v>
      </c>
      <c r="BO109">
        <f t="shared" si="58"/>
        <v>1712.8307774470641</v>
      </c>
      <c r="BP109">
        <f t="shared" si="59"/>
        <v>69497.282751810228</v>
      </c>
      <c r="BQ109">
        <f t="shared" si="60"/>
        <v>130050.14115268849</v>
      </c>
      <c r="BR109" s="148">
        <f t="shared" si="61"/>
        <v>185105.6812635035</v>
      </c>
      <c r="BS109" s="156">
        <f t="shared" si="62"/>
        <v>1712.8307774470641</v>
      </c>
      <c r="BT109" s="156">
        <f t="shared" si="63"/>
        <v>8763.1409732104275</v>
      </c>
      <c r="BU109">
        <f t="shared" si="64"/>
        <v>1343.1250925536383</v>
      </c>
      <c r="BV109">
        <f t="shared" si="65"/>
        <v>1343.1250925536383</v>
      </c>
      <c r="BW109" s="148">
        <f t="shared" si="66"/>
        <v>455.4</v>
      </c>
      <c r="BX109" s="148">
        <f t="shared" si="67"/>
        <v>3129354.9718154697</v>
      </c>
      <c r="BY109" s="148">
        <f t="shared" si="68"/>
        <v>0.16990532420803525</v>
      </c>
      <c r="BZ109">
        <f t="shared" si="51"/>
        <v>26.742082261029395</v>
      </c>
      <c r="CB109">
        <f t="shared" si="69"/>
        <v>-369.70568489342577</v>
      </c>
      <c r="CC109" s="162">
        <f t="shared" si="52"/>
        <v>-1881.6093426965663</v>
      </c>
      <c r="CD109">
        <f t="shared" si="78"/>
        <v>54323.599631789148</v>
      </c>
    </row>
    <row r="110" spans="4:82" x14ac:dyDescent="0.2">
      <c r="D110" s="22">
        <f t="shared" si="42"/>
        <v>0</v>
      </c>
      <c r="E110" s="23">
        <v>9.2017056000000004</v>
      </c>
      <c r="F110" s="23">
        <f>IF(K110&lt;6,1,IF(Data!K110&lt;9,2,IF(K110&gt;9,3)))</f>
        <v>3</v>
      </c>
      <c r="G110" s="23">
        <v>900.09190726010684</v>
      </c>
      <c r="H110" s="23">
        <v>216.26666499999999</v>
      </c>
      <c r="I110" s="64">
        <v>41.171884881012694</v>
      </c>
      <c r="J110" s="65">
        <f t="shared" si="43"/>
        <v>2.3282092217232666</v>
      </c>
      <c r="K110" s="65">
        <f t="shared" si="44"/>
        <v>16.468753952405077</v>
      </c>
      <c r="L110" s="65">
        <f t="shared" si="45"/>
        <v>0.93128368868932088</v>
      </c>
      <c r="M110">
        <f t="shared" si="46"/>
        <v>18.403411200000001</v>
      </c>
      <c r="N110">
        <f t="shared" si="47"/>
        <v>0</v>
      </c>
      <c r="O110">
        <f>IF(L110&lt;'Vehicle Data'!F$21,'Vehicle Data'!C$21,IF(L110&gt;'Vehicle Data'!C$21,'Vehicle Data'!C$20))</f>
        <v>0.6</v>
      </c>
      <c r="P110">
        <f>('Vehicle Data'!C$6*9.81*'Vehicle Data'!C$5*SIN(D110))/'Vehicle Data'!C$9</f>
        <v>0</v>
      </c>
      <c r="Q110" s="107">
        <f>'Vehicle Data'!C$6*9.81*SIN(D110)</f>
        <v>0</v>
      </c>
      <c r="R110">
        <f t="shared" si="41"/>
        <v>898.04206271947805</v>
      </c>
      <c r="S110">
        <f>IF(Data!O110=0.6,'Vehicle Data'!E$21,IF(Data!O110 = 0.9,'Vehicle Data'!E$20))+(P110*O110)</f>
        <v>1550.3723999999997</v>
      </c>
      <c r="T110">
        <f>IF(F110=3,'Vehicle Data'!H$16,IF(F110=2,'Vehicle Data'!H$15,IF(F110 = 1,'Vehicle Data'!G$14)))</f>
        <v>466.23005239380637</v>
      </c>
      <c r="U110" s="148">
        <f t="shared" si="48"/>
        <v>181.90358059616199</v>
      </c>
      <c r="V110" s="70" t="s">
        <v>77</v>
      </c>
      <c r="W110" s="99" t="s">
        <v>84</v>
      </c>
      <c r="X110">
        <f>IF(V110="S",'Vehicle Data'!C$14,IF(Data!V110 = "T1",'Vehicle Data'!P$2,IF(Data!V110="T2",'Vehicle Data'!P$3)))</f>
        <v>13.411199999999999</v>
      </c>
      <c r="Z110">
        <f t="shared" si="70"/>
        <v>10.450331670390462</v>
      </c>
      <c r="AB110" t="b">
        <f>IF(AA110=1,'Vehicle Data'!I$14,IF(AA110=2,'Vehicle Data'!I$15,IF(AA110=3,'Vehicle Data'!I$16)))</f>
        <v>0</v>
      </c>
      <c r="AC110">
        <f>IF(Z110&lt;'Vehicle Data'!C$16,'Vehicle Data'!I$15,IF(Z110&lt;'Vehicle Data'!C$15,'Vehicle Data'!I$15,IF(Z109&gt;'Vehicle Data'!C$15,'Vehicle Data'!I$16)))</f>
        <v>0.46202745420001456</v>
      </c>
      <c r="AD110">
        <f>IF(O110=0.6,'Vehicle Data'!F$21,IF(O110=0.9,'Vehicle Data'!F$20))</f>
        <v>3.5315999999999996</v>
      </c>
      <c r="AE110" s="100">
        <f t="shared" si="49"/>
        <v>0.46202745420001456</v>
      </c>
      <c r="AF110" s="158">
        <f t="shared" si="71"/>
        <v>0.19545854422327735</v>
      </c>
      <c r="AG110" s="148">
        <f t="shared" si="53"/>
        <v>0.46404121414786226</v>
      </c>
      <c r="AH110" s="148">
        <f t="shared" si="72"/>
        <v>26.937540805252674</v>
      </c>
      <c r="AJ110">
        <f>(Z110^2)*'Vehicle Data'!C$31</f>
        <v>40.134466267778478</v>
      </c>
      <c r="AK110">
        <f>IF(O110=0.6,'Vehicle Data'!C$6*'Vehicle Data'!D$21*9.81,IF(O110=0.9,'Vehicle Data'!C$6*9.81*'Vehicle Data'!D$20))</f>
        <v>86.131799999999998</v>
      </c>
      <c r="AL110">
        <f t="shared" si="50"/>
        <v>126.26626626777848</v>
      </c>
      <c r="AN110">
        <f>IF(AG110&gt;0,AG110*'Vehicle Data'!C$6)</f>
        <v>203.71409301091154</v>
      </c>
      <c r="AO110">
        <f t="shared" si="54"/>
        <v>329.98035927869</v>
      </c>
      <c r="AP110">
        <f>AO110*'Vehicle Data'!F$3</f>
        <v>84.342979831633158</v>
      </c>
      <c r="AQ110">
        <f>IF(AE110='Vehicle Data'!I$15,AP110/'Vehicle Data'!G$15,IF(AE110='Vehicle Data'!I$16,AP110/'Vehicle Data'!G$16,IF(AE110='Vehicle Data'!I$14,Data!AP110/'Vehicle Data'!G121)))</f>
        <v>15.570784995213705</v>
      </c>
      <c r="AR110">
        <f>IF(Z110&lt;'Vehicle Data'!C$16, Z110*'Vehicle Data'!F$7*'Vehicle Data'!G$14,IF(Z110&lt;'Vehicle Data'!C$15,Z110*'Vehicle Data'!F$7*'Vehicle Data'!G$15,IF(Z110&gt;'Vehicle Data'!C$15,Z110*'Vehicle Data'!F$7*'Vehicle Data'!G$16)))</f>
        <v>90.909490690285281</v>
      </c>
      <c r="AS110">
        <f t="shared" si="73"/>
        <v>5454.5694414171166</v>
      </c>
      <c r="AT110">
        <f t="shared" si="74"/>
        <v>16</v>
      </c>
      <c r="AU110">
        <f t="shared" si="75"/>
        <v>5500</v>
      </c>
      <c r="AW110">
        <f>VLOOKUP(AT110,BSFC!A$64:A$82,1,FALSE)</f>
        <v>16</v>
      </c>
      <c r="AX110" t="e" cm="1">
        <f t="array" ref="AX110">_xlfn.XLOOKUP(AT110,BSFC!A$64:A$82,,-1,_xlfn.XLOOKUP(Data!AU110,BSFC!C$63:Q$63,BSFC!B$64:Q$82,,-1))</f>
        <v>#VALUE!</v>
      </c>
      <c r="AY110">
        <f>HLOOKUP(AU110,BSFC!F$63:Q$63,1)</f>
        <v>5500</v>
      </c>
      <c r="AZ110">
        <f>IF(AT110&gt;0,MATCH(AT110,BSFC!A$64:A$83,0),IF(AT110&lt;=0,0))</f>
        <v>7</v>
      </c>
      <c r="BA110">
        <f>MATCH(AU110,BSFC!C$63:Q$63,0)</f>
        <v>11</v>
      </c>
      <c r="BB110" cm="1">
        <f t="array" ref="BB110">IF(AZ110&gt;0,INDEX(BSFC!C$64:Q$83,Data!AZ110,Data!BA110))</f>
        <v>632.5</v>
      </c>
      <c r="BC110">
        <f>0.5*'Vehicle Data'!C$6*Data!Z110^2</f>
        <v>23971.470328645915</v>
      </c>
      <c r="BD110">
        <f t="shared" si="55"/>
        <v>8.9531582555833822</v>
      </c>
      <c r="BE110">
        <f t="shared" si="76"/>
        <v>5662.8725966564889</v>
      </c>
      <c r="BF110">
        <f t="shared" si="77"/>
        <v>0.30746023162899105</v>
      </c>
      <c r="BG110">
        <f t="shared" si="56"/>
        <v>29.730658096509103</v>
      </c>
      <c r="BH110">
        <f t="shared" si="79"/>
        <v>8858.1485204181117</v>
      </c>
      <c r="BI110" s="148">
        <f t="shared" si="57"/>
        <v>6871.6622130335309</v>
      </c>
      <c r="BO110">
        <f t="shared" si="58"/>
        <v>1722.6609765833782</v>
      </c>
      <c r="BP110">
        <f t="shared" si="59"/>
        <v>71219.943728393613</v>
      </c>
      <c r="BQ110">
        <f t="shared" si="60"/>
        <v>131772.80212927188</v>
      </c>
      <c r="BR110" s="148">
        <f t="shared" si="61"/>
        <v>186442.02647281782</v>
      </c>
      <c r="BS110" s="156">
        <f t="shared" si="62"/>
        <v>1722.6609765833782</v>
      </c>
      <c r="BT110" s="156">
        <f t="shared" si="63"/>
        <v>8858.1485204181117</v>
      </c>
      <c r="BU110">
        <f t="shared" si="64"/>
        <v>1336.345209314316</v>
      </c>
      <c r="BV110">
        <f t="shared" si="65"/>
        <v>1336.345209314316</v>
      </c>
      <c r="BW110" s="148">
        <f t="shared" si="66"/>
        <v>455.4</v>
      </c>
      <c r="BX110" s="148">
        <f t="shared" si="67"/>
        <v>3129354.9718154697</v>
      </c>
      <c r="BY110" s="148">
        <f t="shared" si="68"/>
        <v>0.16904766897826096</v>
      </c>
      <c r="BZ110">
        <f t="shared" si="51"/>
        <v>26.937540805252674</v>
      </c>
      <c r="CB110">
        <f t="shared" si="69"/>
        <v>-386.31576726906223</v>
      </c>
      <c r="CC110" s="162">
        <f t="shared" si="52"/>
        <v>-1976.4588383906193</v>
      </c>
      <c r="CD110">
        <f t="shared" si="78"/>
        <v>53937.283864520083</v>
      </c>
    </row>
    <row r="111" spans="4:82" x14ac:dyDescent="0.2">
      <c r="D111" s="22">
        <f t="shared" si="42"/>
        <v>0</v>
      </c>
      <c r="E111" s="23">
        <v>9.2017056000000004</v>
      </c>
      <c r="F111" s="23">
        <f>IF(K111&lt;6,1,IF(Data!K111&lt;9,2,IF(K111&gt;9,3)))</f>
        <v>3</v>
      </c>
      <c r="G111" s="23">
        <v>902.14956651694695</v>
      </c>
      <c r="H111" s="23">
        <v>216.316665</v>
      </c>
      <c r="I111" s="64">
        <v>41.288295342098884</v>
      </c>
      <c r="J111" s="65">
        <f t="shared" si="43"/>
        <v>2.222160071866218</v>
      </c>
      <c r="K111" s="65">
        <f t="shared" si="44"/>
        <v>16.515318136839554</v>
      </c>
      <c r="L111" s="65">
        <f t="shared" si="45"/>
        <v>0.8888640287465156</v>
      </c>
      <c r="M111">
        <f t="shared" si="46"/>
        <v>18.403411200000001</v>
      </c>
      <c r="N111">
        <f t="shared" si="47"/>
        <v>0</v>
      </c>
      <c r="O111">
        <f>IF(L111&lt;'Vehicle Data'!F$21,'Vehicle Data'!C$21,IF(L111&gt;'Vehicle Data'!C$21,'Vehicle Data'!C$20))</f>
        <v>0.6</v>
      </c>
      <c r="P111">
        <f>('Vehicle Data'!C$6*9.81*'Vehicle Data'!C$5*SIN(D111))/'Vehicle Data'!C$9</f>
        <v>0</v>
      </c>
      <c r="Q111" s="107">
        <f>'Vehicle Data'!C$6*9.81*SIN(D111)</f>
        <v>0</v>
      </c>
      <c r="R111">
        <f t="shared" si="41"/>
        <v>900.09190726010684</v>
      </c>
      <c r="S111">
        <f>IF(Data!O111=0.6,'Vehicle Data'!E$21,IF(Data!O111 = 0.9,'Vehicle Data'!E$20))+(P111*O111)</f>
        <v>1550.3723999999997</v>
      </c>
      <c r="T111">
        <f>IF(F111=3,'Vehicle Data'!H$16,IF(F111=2,'Vehicle Data'!H$15,IF(F111 = 1,'Vehicle Data'!G$14)))</f>
        <v>466.23005239380637</v>
      </c>
      <c r="U111" s="148">
        <f t="shared" si="48"/>
        <v>183.95342513679077</v>
      </c>
      <c r="V111" s="70" t="s">
        <v>77</v>
      </c>
      <c r="W111" s="99" t="s">
        <v>84</v>
      </c>
      <c r="X111">
        <f>IF(V111="S",'Vehicle Data'!C$14,IF(Data!V111 = "T1",'Vehicle Data'!P$2,IF(Data!V111="T2",'Vehicle Data'!P$3)))</f>
        <v>13.411199999999999</v>
      </c>
      <c r="Z111">
        <f t="shared" si="70"/>
        <v>10.540569288723969</v>
      </c>
      <c r="AB111" t="b">
        <f>IF(AA111=1,'Vehicle Data'!I$14,IF(AA111=2,'Vehicle Data'!I$15,IF(AA111=3,'Vehicle Data'!I$16)))</f>
        <v>0</v>
      </c>
      <c r="AC111">
        <f>IF(Z111&lt;'Vehicle Data'!C$16,'Vehicle Data'!I$15,IF(Z111&lt;'Vehicle Data'!C$15,'Vehicle Data'!I$15,IF(Z110&gt;'Vehicle Data'!C$15,'Vehicle Data'!I$16)))</f>
        <v>0.46202745420001456</v>
      </c>
      <c r="AD111">
        <f>IF(O111=0.6,'Vehicle Data'!F$21,IF(O111=0.9,'Vehicle Data'!F$20))</f>
        <v>3.5315999999999996</v>
      </c>
      <c r="AE111" s="100">
        <f t="shared" si="49"/>
        <v>0.46202745420001456</v>
      </c>
      <c r="AF111" s="158">
        <f t="shared" si="71"/>
        <v>0.1944719003765436</v>
      </c>
      <c r="AG111" s="148">
        <f t="shared" si="53"/>
        <v>0.4640136603734823</v>
      </c>
      <c r="AH111" s="148">
        <f t="shared" si="72"/>
        <v>27.132012705629219</v>
      </c>
      <c r="AJ111">
        <f>(Z111^2)*'Vehicle Data'!C$31</f>
        <v>40.830573341918672</v>
      </c>
      <c r="AK111">
        <f>IF(O111=0.6,'Vehicle Data'!C$6*'Vehicle Data'!D$21*9.81,IF(O111=0.9,'Vehicle Data'!C$6*9.81*'Vehicle Data'!D$20))</f>
        <v>86.131799999999998</v>
      </c>
      <c r="AL111">
        <f t="shared" si="50"/>
        <v>126.96237334191866</v>
      </c>
      <c r="AN111">
        <f>IF(AG111&gt;0,AG111*'Vehicle Data'!C$6)</f>
        <v>203.70199690395873</v>
      </c>
      <c r="AO111">
        <f t="shared" si="54"/>
        <v>330.66437024587742</v>
      </c>
      <c r="AP111">
        <f>AO111*'Vehicle Data'!F$3</f>
        <v>84.51781303484627</v>
      </c>
      <c r="AQ111">
        <f>IF(AE111='Vehicle Data'!I$15,AP111/'Vehicle Data'!G$15,IF(AE111='Vehicle Data'!I$16,AP111/'Vehicle Data'!G$16,IF(AE111='Vehicle Data'!I$14,Data!AP111/'Vehicle Data'!G122)))</f>
        <v>15.603061424416113</v>
      </c>
      <c r="AR111">
        <f>IF(Z111&lt;'Vehicle Data'!C$16, Z111*'Vehicle Data'!F$7*'Vehicle Data'!G$14,IF(Z111&lt;'Vehicle Data'!C$15,Z111*'Vehicle Data'!F$7*'Vehicle Data'!G$15,IF(Z111&gt;'Vehicle Data'!C$15,Z111*'Vehicle Data'!F$7*'Vehicle Data'!G$16)))</f>
        <v>91.694485481124971</v>
      </c>
      <c r="AS111">
        <f t="shared" si="73"/>
        <v>5501.6691288674983</v>
      </c>
      <c r="AT111">
        <f t="shared" si="74"/>
        <v>16</v>
      </c>
      <c r="AU111">
        <f t="shared" si="75"/>
        <v>5500</v>
      </c>
      <c r="AW111">
        <f>VLOOKUP(AT111,BSFC!A$64:A$82,1,FALSE)</f>
        <v>16</v>
      </c>
      <c r="AX111" t="e" cm="1">
        <f t="array" ref="AX111">_xlfn.XLOOKUP(AT111,BSFC!A$64:A$82,,-1,_xlfn.XLOOKUP(Data!AU111,BSFC!C$63:Q$63,BSFC!B$64:Q$82,,-1))</f>
        <v>#VALUE!</v>
      </c>
      <c r="AY111">
        <f>HLOOKUP(AU111,BSFC!F$63:Q$63,1)</f>
        <v>5500</v>
      </c>
      <c r="AZ111">
        <f>IF(AT111&gt;0,MATCH(AT111,BSFC!A$64:A$83,0),IF(AT111&lt;=0,0))</f>
        <v>7</v>
      </c>
      <c r="BA111">
        <f>MATCH(AU111,BSFC!C$63:Q$63,0)</f>
        <v>11</v>
      </c>
      <c r="BB111" cm="1">
        <f t="array" ref="BB111">IF(AZ111&gt;0,INDEX(BSFC!C$64:Q$83,Data!AZ111,Data!BA111))</f>
        <v>632.5</v>
      </c>
      <c r="BC111">
        <f>0.5*'Vehicle Data'!C$6*Data!Z111^2</f>
        <v>24387.240404220804</v>
      </c>
      <c r="BD111">
        <f t="shared" si="55"/>
        <v>9.0482109621858484</v>
      </c>
      <c r="BE111">
        <f t="shared" si="76"/>
        <v>5722.9934335825492</v>
      </c>
      <c r="BF111">
        <f t="shared" si="77"/>
        <v>0.30915594690868853</v>
      </c>
      <c r="BG111">
        <f t="shared" si="56"/>
        <v>30.039814043417792</v>
      </c>
      <c r="BH111">
        <f t="shared" si="79"/>
        <v>8953.1582555833829</v>
      </c>
      <c r="BI111" s="148">
        <f t="shared" si="57"/>
        <v>6871.6622130335309</v>
      </c>
      <c r="BO111">
        <f t="shared" si="58"/>
        <v>1733.0093538009587</v>
      </c>
      <c r="BP111">
        <f t="shared" si="59"/>
        <v>72952.953082194566</v>
      </c>
      <c r="BQ111">
        <f t="shared" si="60"/>
        <v>133505.81148307284</v>
      </c>
      <c r="BR111" s="148">
        <f t="shared" si="61"/>
        <v>187772.13307334855</v>
      </c>
      <c r="BS111" s="156">
        <f t="shared" si="62"/>
        <v>1733.0093538009587</v>
      </c>
      <c r="BT111" s="156">
        <f t="shared" si="63"/>
        <v>8953.1582555833829</v>
      </c>
      <c r="BU111">
        <f t="shared" si="64"/>
        <v>1330.1066005307357</v>
      </c>
      <c r="BV111">
        <f t="shared" si="65"/>
        <v>1330.1066005307357</v>
      </c>
      <c r="BW111" s="148">
        <f t="shared" si="66"/>
        <v>455.4</v>
      </c>
      <c r="BX111" s="148">
        <f t="shared" si="67"/>
        <v>3129354.9718154697</v>
      </c>
      <c r="BY111" s="148">
        <f t="shared" si="68"/>
        <v>0.16825848496713802</v>
      </c>
      <c r="BZ111">
        <f t="shared" si="51"/>
        <v>27.132012705629219</v>
      </c>
      <c r="CB111">
        <f t="shared" si="69"/>
        <v>-402.902753270223</v>
      </c>
      <c r="CC111" s="162">
        <f t="shared" si="52"/>
        <v>-2071.7787633591547</v>
      </c>
      <c r="CD111">
        <f t="shared" si="78"/>
        <v>53534.381111249859</v>
      </c>
    </row>
    <row r="112" spans="4:82" x14ac:dyDescent="0.2">
      <c r="D112" s="22">
        <f t="shared" si="42"/>
        <v>0</v>
      </c>
      <c r="E112" s="23">
        <v>9.2017056000000004</v>
      </c>
      <c r="F112" s="23">
        <f>IF(K112&lt;6,1,IF(Data!K112&lt;9,2,IF(K112&gt;9,3)))</f>
        <v>3</v>
      </c>
      <c r="G112" s="23">
        <v>904.2149942670485</v>
      </c>
      <c r="H112" s="23">
        <v>216.36666499999998</v>
      </c>
      <c r="I112" s="64">
        <v>41.399403345692157</v>
      </c>
      <c r="J112" s="65">
        <f t="shared" si="43"/>
        <v>2.5119673336050115</v>
      </c>
      <c r="K112" s="65">
        <f t="shared" si="44"/>
        <v>16.559761338276864</v>
      </c>
      <c r="L112" s="65">
        <f t="shared" si="45"/>
        <v>1.0047869334419903</v>
      </c>
      <c r="M112">
        <f t="shared" si="46"/>
        <v>18.403411200000001</v>
      </c>
      <c r="N112">
        <f t="shared" si="47"/>
        <v>0</v>
      </c>
      <c r="O112">
        <f>IF(L112&lt;'Vehicle Data'!F$21,'Vehicle Data'!C$21,IF(L112&gt;'Vehicle Data'!C$21,'Vehicle Data'!C$20))</f>
        <v>0.6</v>
      </c>
      <c r="P112">
        <f>('Vehicle Data'!C$6*9.81*'Vehicle Data'!C$5*SIN(D112))/'Vehicle Data'!C$9</f>
        <v>0</v>
      </c>
      <c r="Q112" s="107">
        <f>'Vehicle Data'!C$6*9.81*SIN(D112)</f>
        <v>0</v>
      </c>
      <c r="R112">
        <f t="shared" si="41"/>
        <v>902.14956651694695</v>
      </c>
      <c r="S112">
        <f>IF(Data!O112=0.6,'Vehicle Data'!E$21,IF(Data!O112 = 0.9,'Vehicle Data'!E$20))+(P112*O112)</f>
        <v>1550.3723999999997</v>
      </c>
      <c r="T112">
        <f>IF(F112=3,'Vehicle Data'!H$16,IF(F112=2,'Vehicle Data'!H$15,IF(F112 = 1,'Vehicle Data'!G$14)))</f>
        <v>466.23005239380637</v>
      </c>
      <c r="U112" s="148">
        <f t="shared" si="48"/>
        <v>186.01108439363088</v>
      </c>
      <c r="V112" s="70" t="s">
        <v>77</v>
      </c>
      <c r="W112" s="99" t="s">
        <v>84</v>
      </c>
      <c r="X112">
        <f>IF(V112="S",'Vehicle Data'!C$14,IF(Data!V112 = "T1",'Vehicle Data'!P$2,IF(Data!V112="T2",'Vehicle Data'!P$3)))</f>
        <v>13.411199999999999</v>
      </c>
      <c r="Z112">
        <f t="shared" si="70"/>
        <v>10.630380570162517</v>
      </c>
      <c r="AB112" t="b">
        <f>IF(AA112=1,'Vehicle Data'!I$14,IF(AA112=2,'Vehicle Data'!I$15,IF(AA112=3,'Vehicle Data'!I$16)))</f>
        <v>0</v>
      </c>
      <c r="AC112">
        <f>IF(Z112&lt;'Vehicle Data'!C$16,'Vehicle Data'!I$15,IF(Z112&lt;'Vehicle Data'!C$15,'Vehicle Data'!I$15,IF(Z111&gt;'Vehicle Data'!C$15,'Vehicle Data'!I$16)))</f>
        <v>0.46202745420001456</v>
      </c>
      <c r="AD112">
        <f>IF(O112=0.6,'Vehicle Data'!F$21,IF(O112=0.9,'Vehicle Data'!F$20))</f>
        <v>3.5315999999999996</v>
      </c>
      <c r="AE112" s="100">
        <f t="shared" si="49"/>
        <v>0.46202745420001456</v>
      </c>
      <c r="AF112" s="158">
        <f t="shared" si="71"/>
        <v>0.19356402560182789</v>
      </c>
      <c r="AG112" s="148">
        <f t="shared" si="53"/>
        <v>0.46398746440257949</v>
      </c>
      <c r="AH112" s="148">
        <f t="shared" si="72"/>
        <v>27.325576731231045</v>
      </c>
      <c r="AJ112">
        <f>(Z112^2)*'Vehicle Data'!C$31</f>
        <v>41.529334216934629</v>
      </c>
      <c r="AK112">
        <f>IF(O112=0.6,'Vehicle Data'!C$6*'Vehicle Data'!D$21*9.81,IF(O112=0.9,'Vehicle Data'!C$6*9.81*'Vehicle Data'!D$20))</f>
        <v>86.131799999999998</v>
      </c>
      <c r="AL112">
        <f t="shared" si="50"/>
        <v>127.66113421693463</v>
      </c>
      <c r="AN112">
        <f>IF(AG112&gt;0,AG112*'Vehicle Data'!C$6)</f>
        <v>203.69049687273238</v>
      </c>
      <c r="AO112">
        <f t="shared" si="54"/>
        <v>331.35163108966702</v>
      </c>
      <c r="AP112">
        <f>AO112*'Vehicle Data'!F$3</f>
        <v>84.693476906518896</v>
      </c>
      <c r="AQ112">
        <f>IF(AE112='Vehicle Data'!I$15,AP112/'Vehicle Data'!G$15,IF(AE112='Vehicle Data'!I$16,AP112/'Vehicle Data'!G$16,IF(AE112='Vehicle Data'!I$14,Data!AP112/'Vehicle Data'!G123)))</f>
        <v>15.635491205563298</v>
      </c>
      <c r="AR112">
        <f>IF(Z112&lt;'Vehicle Data'!C$16, Z112*'Vehicle Data'!F$7*'Vehicle Data'!G$14,IF(Z112&lt;'Vehicle Data'!C$15,Z112*'Vehicle Data'!F$7*'Vehicle Data'!G$15,IF(Z112&gt;'Vehicle Data'!C$15,Z112*'Vehicle Data'!F$7*'Vehicle Data'!G$16)))</f>
        <v>92.47577148345863</v>
      </c>
      <c r="AS112">
        <f t="shared" si="73"/>
        <v>5548.5462890075178</v>
      </c>
      <c r="AT112">
        <f t="shared" si="74"/>
        <v>16</v>
      </c>
      <c r="AU112">
        <f t="shared" si="75"/>
        <v>5500</v>
      </c>
      <c r="AW112">
        <f>VLOOKUP(AT112,BSFC!A$64:A$82,1,FALSE)</f>
        <v>16</v>
      </c>
      <c r="AX112" t="e" cm="1">
        <f t="array" ref="AX112">_xlfn.XLOOKUP(AT112,BSFC!A$64:A$82,,-1,_xlfn.XLOOKUP(Data!AU112,BSFC!C$63:Q$63,BSFC!B$64:Q$82,,-1))</f>
        <v>#VALUE!</v>
      </c>
      <c r="AY112">
        <f>HLOOKUP(AU112,BSFC!F$63:Q$63,1)</f>
        <v>5500</v>
      </c>
      <c r="AZ112">
        <f>IF(AT112&gt;0,MATCH(AT112,BSFC!A$64:A$83,0),IF(AT112&lt;=0,0))</f>
        <v>7</v>
      </c>
      <c r="BA112">
        <f>MATCH(AU112,BSFC!C$63:Q$63,0)</f>
        <v>11</v>
      </c>
      <c r="BB112" cm="1">
        <f t="array" ref="BB112">IF(AZ112&gt;0,INDEX(BSFC!C$64:Q$83,Data!AZ112,Data!BA112))</f>
        <v>632.5</v>
      </c>
      <c r="BC112">
        <f>0.5*'Vehicle Data'!C$6*Data!Z112^2</f>
        <v>24804.595539094284</v>
      </c>
      <c r="BD112">
        <f t="shared" si="55"/>
        <v>9.1433057731725835</v>
      </c>
      <c r="BE112">
        <f t="shared" si="76"/>
        <v>5783.1409015316594</v>
      </c>
      <c r="BF112">
        <f t="shared" si="77"/>
        <v>0.31094667597862563</v>
      </c>
      <c r="BG112">
        <f t="shared" si="56"/>
        <v>30.350760719396419</v>
      </c>
      <c r="BH112">
        <f t="shared" si="79"/>
        <v>9048.210962185849</v>
      </c>
      <c r="BI112" s="148">
        <f t="shared" si="57"/>
        <v>6871.6622130335309</v>
      </c>
      <c r="BO112">
        <f t="shared" si="58"/>
        <v>1743.3600367777879</v>
      </c>
      <c r="BP112">
        <f t="shared" si="59"/>
        <v>74696.31311897235</v>
      </c>
      <c r="BQ112">
        <f t="shared" si="60"/>
        <v>135249.17151985064</v>
      </c>
      <c r="BR112" s="148">
        <f t="shared" si="61"/>
        <v>189096.12754457656</v>
      </c>
      <c r="BS112" s="156">
        <f t="shared" si="62"/>
        <v>1743.3600367777879</v>
      </c>
      <c r="BT112" s="156">
        <f t="shared" si="63"/>
        <v>9048.210962185849</v>
      </c>
      <c r="BU112">
        <f t="shared" si="64"/>
        <v>1323.9944712280028</v>
      </c>
      <c r="BV112">
        <f t="shared" si="65"/>
        <v>1323.9944712280028</v>
      </c>
      <c r="BW112" s="148">
        <f t="shared" si="66"/>
        <v>455.4</v>
      </c>
      <c r="BX112" s="148">
        <f t="shared" si="67"/>
        <v>3129354.9718154697</v>
      </c>
      <c r="BY112" s="148">
        <f t="shared" si="68"/>
        <v>0.16748530061034234</v>
      </c>
      <c r="BZ112">
        <f t="shared" si="51"/>
        <v>27.325576731231045</v>
      </c>
      <c r="CB112">
        <f t="shared" si="69"/>
        <v>-419.36556554978506</v>
      </c>
      <c r="CC112" s="162">
        <f t="shared" si="52"/>
        <v>-2166.5470339640806</v>
      </c>
      <c r="CD112">
        <f t="shared" si="78"/>
        <v>53115.015545700073</v>
      </c>
    </row>
    <row r="113" spans="4:82" x14ac:dyDescent="0.2">
      <c r="D113" s="22">
        <f t="shared" si="42"/>
        <v>0</v>
      </c>
      <c r="E113" s="23">
        <v>9.2017056000000004</v>
      </c>
      <c r="F113" s="23">
        <f>IF(K113&lt;6,1,IF(Data!K113&lt;9,2,IF(K113&gt;9,3)))</f>
        <v>3</v>
      </c>
      <c r="G113" s="23">
        <v>906.28885994283451</v>
      </c>
      <c r="H113" s="23">
        <v>216.41666499999999</v>
      </c>
      <c r="I113" s="64">
        <v>41.525001712372436</v>
      </c>
      <c r="J113" s="65">
        <f t="shared" si="43"/>
        <v>2.8717504548805399</v>
      </c>
      <c r="K113" s="65">
        <f t="shared" si="44"/>
        <v>16.610000684948975</v>
      </c>
      <c r="L113" s="65">
        <f t="shared" si="45"/>
        <v>1.14870018195223</v>
      </c>
      <c r="M113">
        <f t="shared" si="46"/>
        <v>18.403411200000001</v>
      </c>
      <c r="N113">
        <f t="shared" si="47"/>
        <v>0</v>
      </c>
      <c r="O113">
        <f>IF(L113&lt;'Vehicle Data'!F$21,'Vehicle Data'!C$21,IF(L113&gt;'Vehicle Data'!C$21,'Vehicle Data'!C$20))</f>
        <v>0.6</v>
      </c>
      <c r="P113">
        <f>('Vehicle Data'!C$6*9.81*'Vehicle Data'!C$5*SIN(D113))/'Vehicle Data'!C$9</f>
        <v>0</v>
      </c>
      <c r="Q113" s="107">
        <f>'Vehicle Data'!C$6*9.81*SIN(D113)</f>
        <v>0</v>
      </c>
      <c r="R113">
        <f t="shared" si="41"/>
        <v>904.2149942670485</v>
      </c>
      <c r="S113">
        <f>IF(Data!O113=0.6,'Vehicle Data'!E$21,IF(Data!O113 = 0.9,'Vehicle Data'!E$20))+(P113*O113)</f>
        <v>1550.3723999999997</v>
      </c>
      <c r="T113">
        <f>IF(F113=3,'Vehicle Data'!H$16,IF(F113=2,'Vehicle Data'!H$15,IF(F113 = 1,'Vehicle Data'!G$14)))</f>
        <v>466.23005239380637</v>
      </c>
      <c r="U113" s="148">
        <f t="shared" si="48"/>
        <v>188.07651214373243</v>
      </c>
      <c r="V113" s="70" t="s">
        <v>77</v>
      </c>
      <c r="W113" s="99" t="s">
        <v>84</v>
      </c>
      <c r="X113">
        <f>IF(V113="S",'Vehicle Data'!C$14,IF(Data!V113 = "T1",'Vehicle Data'!P$2,IF(Data!V113="T2",'Vehicle Data'!P$3)))</f>
        <v>13.411199999999999</v>
      </c>
      <c r="Z113">
        <f t="shared" si="70"/>
        <v>10.719774238150528</v>
      </c>
      <c r="AB113" t="b">
        <f>IF(AA113=1,'Vehicle Data'!I$14,IF(AA113=2,'Vehicle Data'!I$15,IF(AA113=3,'Vehicle Data'!I$16)))</f>
        <v>0</v>
      </c>
      <c r="AC113">
        <f>IF(Z113&lt;'Vehicle Data'!C$16,'Vehicle Data'!I$15,IF(Z113&lt;'Vehicle Data'!C$15,'Vehicle Data'!I$15,IF(Z112&gt;'Vehicle Data'!C$15,'Vehicle Data'!I$16)))</f>
        <v>0.46202745420001456</v>
      </c>
      <c r="AD113">
        <f>IF(O113=0.6,'Vehicle Data'!F$21,IF(O113=0.9,'Vehicle Data'!F$20))</f>
        <v>3.5315999999999996</v>
      </c>
      <c r="AE113" s="100">
        <f t="shared" si="49"/>
        <v>0.46202745420001456</v>
      </c>
      <c r="AF113" s="158">
        <f t="shared" si="71"/>
        <v>0.19267455677852921</v>
      </c>
      <c r="AG113" s="148">
        <f t="shared" si="53"/>
        <v>0.46396197548161477</v>
      </c>
      <c r="AH113" s="148">
        <f t="shared" si="72"/>
        <v>27.518251288009573</v>
      </c>
      <c r="AJ113">
        <f>(Z113^2)*'Vehicle Data'!C$31</f>
        <v>42.230733195966543</v>
      </c>
      <c r="AK113">
        <f>IF(O113=0.6,'Vehicle Data'!C$6*'Vehicle Data'!D$21*9.81,IF(O113=0.9,'Vehicle Data'!C$6*9.81*'Vehicle Data'!D$20))</f>
        <v>86.131799999999998</v>
      </c>
      <c r="AL113">
        <f t="shared" si="50"/>
        <v>128.36253319596653</v>
      </c>
      <c r="AN113">
        <f>IF(AG113&gt;0,AG113*'Vehicle Data'!C$6)</f>
        <v>203.67930723642888</v>
      </c>
      <c r="AO113">
        <f t="shared" si="54"/>
        <v>332.04184043239542</v>
      </c>
      <c r="AP113">
        <f>AO113*'Vehicle Data'!F$3</f>
        <v>84.86989441452026</v>
      </c>
      <c r="AQ113">
        <f>IF(AE113='Vehicle Data'!I$15,AP113/'Vehicle Data'!G$15,IF(AE113='Vehicle Data'!I$16,AP113/'Vehicle Data'!G$16,IF(AE113='Vehicle Data'!I$14,Data!AP113/'Vehicle Data'!G124)))</f>
        <v>15.668060117545826</v>
      </c>
      <c r="AR113">
        <f>IF(Z113&lt;'Vehicle Data'!C$16, Z113*'Vehicle Data'!F$7*'Vehicle Data'!G$14,IF(Z113&lt;'Vehicle Data'!C$15,Z113*'Vehicle Data'!F$7*'Vehicle Data'!G$15,IF(Z113&gt;'Vehicle Data'!C$15,Z113*'Vehicle Data'!F$7*'Vehicle Data'!G$16)))</f>
        <v>93.253424584245138</v>
      </c>
      <c r="AS113">
        <f t="shared" si="73"/>
        <v>5595.2054750547086</v>
      </c>
      <c r="AT113">
        <f t="shared" si="74"/>
        <v>16</v>
      </c>
      <c r="AU113">
        <f t="shared" si="75"/>
        <v>5500</v>
      </c>
      <c r="AW113">
        <f>VLOOKUP(AT113,BSFC!A$64:A$82,1,FALSE)</f>
        <v>16</v>
      </c>
      <c r="AX113" t="e" cm="1">
        <f t="array" ref="AX113">_xlfn.XLOOKUP(AT113,BSFC!A$64:A$82,,-1,_xlfn.XLOOKUP(Data!AU113,BSFC!C$63:Q$63,BSFC!B$64:Q$82,,-1))</f>
        <v>#VALUE!</v>
      </c>
      <c r="AY113">
        <f>HLOOKUP(AU113,BSFC!F$63:Q$63,1)</f>
        <v>5500</v>
      </c>
      <c r="AZ113">
        <f>IF(AT113&gt;0,MATCH(AT113,BSFC!A$64:A$83,0),IF(AT113&lt;=0,0))</f>
        <v>7</v>
      </c>
      <c r="BA113">
        <f>MATCH(AU113,BSFC!C$63:Q$63,0)</f>
        <v>11</v>
      </c>
      <c r="BB113" cm="1">
        <f t="array" ref="BB113">IF(AZ113&gt;0,INDEX(BSFC!C$64:Q$83,Data!AZ113,Data!BA113))</f>
        <v>632.5</v>
      </c>
      <c r="BC113">
        <f>0.5*'Vehicle Data'!C$6*Data!Z113^2</f>
        <v>25223.526357863004</v>
      </c>
      <c r="BD113">
        <f t="shared" si="55"/>
        <v>9.238489735337799</v>
      </c>
      <c r="BE113">
        <f t="shared" si="76"/>
        <v>5843.3447576011577</v>
      </c>
      <c r="BF113">
        <f t="shared" si="77"/>
        <v>0.31273996146526256</v>
      </c>
      <c r="BG113">
        <f t="shared" si="56"/>
        <v>30.663500680861681</v>
      </c>
      <c r="BH113">
        <f t="shared" si="79"/>
        <v>9143.3057731725839</v>
      </c>
      <c r="BI113" s="148">
        <f t="shared" si="57"/>
        <v>6871.6622130335309</v>
      </c>
      <c r="BO113">
        <f t="shared" si="58"/>
        <v>1754.3119338611823</v>
      </c>
      <c r="BP113">
        <f t="shared" si="59"/>
        <v>76450.625052833537</v>
      </c>
      <c r="BQ113">
        <f t="shared" si="60"/>
        <v>137003.48345371181</v>
      </c>
      <c r="BR113" s="148">
        <f t="shared" si="61"/>
        <v>190414.58274282209</v>
      </c>
      <c r="BS113" s="156">
        <f t="shared" si="62"/>
        <v>1754.3119338611823</v>
      </c>
      <c r="BT113" s="156">
        <f t="shared" si="63"/>
        <v>9143.3057731725839</v>
      </c>
      <c r="BU113">
        <f t="shared" si="64"/>
        <v>1318.4551982455198</v>
      </c>
      <c r="BV113">
        <f t="shared" si="65"/>
        <v>1318.4551982455198</v>
      </c>
      <c r="BW113" s="148">
        <f t="shared" si="66"/>
        <v>455.4</v>
      </c>
      <c r="BX113" s="148">
        <f t="shared" si="67"/>
        <v>3129354.9718154697</v>
      </c>
      <c r="BY113" s="148">
        <f t="shared" si="68"/>
        <v>0.16678458257805823</v>
      </c>
      <c r="BZ113">
        <f t="shared" si="51"/>
        <v>27.518251288009573</v>
      </c>
      <c r="CB113">
        <f t="shared" si="69"/>
        <v>-435.8567356156625</v>
      </c>
      <c r="CC113" s="162">
        <f t="shared" si="52"/>
        <v>-2262.1395523263832</v>
      </c>
      <c r="CD113">
        <f t="shared" si="78"/>
        <v>52679.158810084409</v>
      </c>
    </row>
    <row r="114" spans="4:82" x14ac:dyDescent="0.2">
      <c r="D114" s="22">
        <f t="shared" si="42"/>
        <v>0</v>
      </c>
      <c r="E114" s="23">
        <v>9.2017056000000004</v>
      </c>
      <c r="F114" s="23">
        <f>IF(K114&lt;6,1,IF(Data!K114&lt;9,2,IF(K114&gt;9,3)))</f>
        <v>3</v>
      </c>
      <c r="G114" s="23">
        <v>908.37254033483123</v>
      </c>
      <c r="H114" s="23">
        <v>216.46666499999998</v>
      </c>
      <c r="I114" s="64">
        <v>41.668589235116414</v>
      </c>
      <c r="J114" s="65">
        <f t="shared" si="43"/>
        <v>2.9043818048176253</v>
      </c>
      <c r="K114" s="65">
        <f t="shared" si="44"/>
        <v>16.667435694046567</v>
      </c>
      <c r="L114" s="65">
        <f t="shared" si="45"/>
        <v>1.1617527219270074</v>
      </c>
      <c r="M114">
        <f t="shared" si="46"/>
        <v>18.403411200000001</v>
      </c>
      <c r="N114">
        <f t="shared" si="47"/>
        <v>0</v>
      </c>
      <c r="O114">
        <f>IF(L114&lt;'Vehicle Data'!F$21,'Vehicle Data'!C$21,IF(L114&gt;'Vehicle Data'!C$21,'Vehicle Data'!C$20))</f>
        <v>0.6</v>
      </c>
      <c r="P114">
        <f>('Vehicle Data'!C$6*9.81*'Vehicle Data'!C$5*SIN(D114))/'Vehicle Data'!C$9</f>
        <v>0</v>
      </c>
      <c r="Q114" s="107">
        <f>'Vehicle Data'!C$6*9.81*SIN(D114)</f>
        <v>0</v>
      </c>
      <c r="R114">
        <f t="shared" si="41"/>
        <v>906.28885994283451</v>
      </c>
      <c r="S114">
        <f>IF(Data!O114=0.6,'Vehicle Data'!E$21,IF(Data!O114 = 0.9,'Vehicle Data'!E$20))+(P114*O114)</f>
        <v>1550.3723999999997</v>
      </c>
      <c r="T114">
        <f>IF(F114=3,'Vehicle Data'!H$16,IF(F114=2,'Vehicle Data'!H$15,IF(F114 = 1,'Vehicle Data'!G$14)))</f>
        <v>466.23005239380637</v>
      </c>
      <c r="U114" s="148">
        <f t="shared" si="48"/>
        <v>190.15037781951844</v>
      </c>
      <c r="V114" s="70" t="s">
        <v>77</v>
      </c>
      <c r="W114" s="99" t="s">
        <v>84</v>
      </c>
      <c r="X114">
        <f>IF(V114="S",'Vehicle Data'!C$14,IF(Data!V114 = "T1",'Vehicle Data'!P$2,IF(Data!V114="T2",'Vehicle Data'!P$3)))</f>
        <v>13.411199999999999</v>
      </c>
      <c r="Z114">
        <f t="shared" si="70"/>
        <v>10.808789269570767</v>
      </c>
      <c r="AB114" t="b">
        <f>IF(AA114=1,'Vehicle Data'!I$14,IF(AA114=2,'Vehicle Data'!I$15,IF(AA114=3,'Vehicle Data'!I$16)))</f>
        <v>0</v>
      </c>
      <c r="AC114">
        <f>IF(Z114&lt;'Vehicle Data'!C$16,'Vehicle Data'!I$15,IF(Z114&lt;'Vehicle Data'!C$15,'Vehicle Data'!I$15,IF(Z113&gt;'Vehicle Data'!C$15,'Vehicle Data'!I$16)))</f>
        <v>0.46202745420001456</v>
      </c>
      <c r="AD114">
        <f>IF(O114=0.6,'Vehicle Data'!F$21,IF(O114=0.9,'Vehicle Data'!F$20))</f>
        <v>3.5315999999999996</v>
      </c>
      <c r="AE114" s="100">
        <f t="shared" si="49"/>
        <v>0.46202745420001456</v>
      </c>
      <c r="AF114" s="158">
        <f t="shared" si="71"/>
        <v>0.19186845298431526</v>
      </c>
      <c r="AG114" s="148">
        <f t="shared" si="53"/>
        <v>0.46393781799822736</v>
      </c>
      <c r="AH114" s="148">
        <f t="shared" si="72"/>
        <v>27.710119740993889</v>
      </c>
      <c r="AJ114">
        <f>(Z114^2)*'Vehicle Data'!C$31</f>
        <v>42.934997611690655</v>
      </c>
      <c r="AK114">
        <f>IF(O114=0.6,'Vehicle Data'!C$6*'Vehicle Data'!D$21*9.81,IF(O114=0.9,'Vehicle Data'!C$6*9.81*'Vehicle Data'!D$20))</f>
        <v>86.131799999999998</v>
      </c>
      <c r="AL114">
        <f t="shared" si="50"/>
        <v>129.06679761169065</v>
      </c>
      <c r="AN114">
        <f>IF(AG114&gt;0,AG114*'Vehicle Data'!C$6)</f>
        <v>203.66870210122181</v>
      </c>
      <c r="AO114">
        <f t="shared" si="54"/>
        <v>332.73549971291243</v>
      </c>
      <c r="AP114">
        <f>AO114*'Vehicle Data'!F$3</f>
        <v>85.047193726620421</v>
      </c>
      <c r="AQ114">
        <f>IF(AE114='Vehicle Data'!I$15,AP114/'Vehicle Data'!G$15,IF(AE114='Vehicle Data'!I$16,AP114/'Vehicle Data'!G$16,IF(AE114='Vehicle Data'!I$14,Data!AP114/'Vehicle Data'!G125)))</f>
        <v>15.70079182176142</v>
      </c>
      <c r="AR114">
        <f>IF(Z114&lt;'Vehicle Data'!C$16, Z114*'Vehicle Data'!F$7*'Vehicle Data'!G$14,IF(Z114&lt;'Vehicle Data'!C$15,Z114*'Vehicle Data'!F$7*'Vehicle Data'!G$15,IF(Z114&gt;'Vehicle Data'!C$15,Z114*'Vehicle Data'!F$7*'Vehicle Data'!G$16)))</f>
        <v>94.027783851054053</v>
      </c>
      <c r="AS114">
        <f t="shared" si="73"/>
        <v>5641.6670310632435</v>
      </c>
      <c r="AT114">
        <f t="shared" si="74"/>
        <v>16</v>
      </c>
      <c r="AU114">
        <f t="shared" si="75"/>
        <v>5500</v>
      </c>
      <c r="AW114">
        <f>VLOOKUP(AT114,BSFC!A$64:A$82,1,FALSE)</f>
        <v>16</v>
      </c>
      <c r="AX114" t="e" cm="1">
        <f t="array" ref="AX114">_xlfn.XLOOKUP(AT114,BSFC!A$64:A$82,,-1,_xlfn.XLOOKUP(Data!AU114,BSFC!C$63:Q$63,BSFC!B$64:Q$82,,-1))</f>
        <v>#VALUE!</v>
      </c>
      <c r="AY114">
        <f>HLOOKUP(AU114,BSFC!F$63:Q$63,1)</f>
        <v>5500</v>
      </c>
      <c r="AZ114">
        <f>IF(AT114&gt;0,MATCH(AT114,BSFC!A$64:A$83,0),IF(AT114&lt;=0,0))</f>
        <v>7</v>
      </c>
      <c r="BA114">
        <f>MATCH(AU114,BSFC!C$63:Q$63,0)</f>
        <v>11</v>
      </c>
      <c r="BB114" cm="1">
        <f t="array" ref="BB114">IF(AZ114&gt;0,INDEX(BSFC!C$64:Q$83,Data!AZ114,Data!BA114))</f>
        <v>632.5</v>
      </c>
      <c r="BC114">
        <f>0.5*'Vehicle Data'!C$6*Data!Z114^2</f>
        <v>25644.168641540396</v>
      </c>
      <c r="BD114">
        <f t="shared" si="55"/>
        <v>2.372952135080252</v>
      </c>
      <c r="BE114">
        <f t="shared" si="76"/>
        <v>1500.8922254382594</v>
      </c>
      <c r="BF114">
        <f t="shared" si="77"/>
        <v>7.9992741497506931E-2</v>
      </c>
      <c r="BG114">
        <f t="shared" si="56"/>
        <v>30.743493422359187</v>
      </c>
      <c r="BH114">
        <f t="shared" si="79"/>
        <v>9238.4897353377983</v>
      </c>
      <c r="BI114" s="148">
        <f t="shared" si="57"/>
        <v>6871.6622130335309</v>
      </c>
      <c r="BO114">
        <f t="shared" si="58"/>
        <v>1766.466778675499</v>
      </c>
      <c r="BP114">
        <f t="shared" si="59"/>
        <v>78217.091831509038</v>
      </c>
      <c r="BQ114">
        <f t="shared" si="60"/>
        <v>138769.95023238732</v>
      </c>
      <c r="BR114" s="148">
        <f t="shared" si="61"/>
        <v>191728.49479569506</v>
      </c>
      <c r="BS114" s="156">
        <f t="shared" si="62"/>
        <v>1766.466778675499</v>
      </c>
      <c r="BT114" s="156">
        <f t="shared" si="63"/>
        <v>9238.4897353377983</v>
      </c>
      <c r="BU114">
        <f t="shared" si="64"/>
        <v>1313.9120528729641</v>
      </c>
      <c r="BV114">
        <f t="shared" si="65"/>
        <v>1313.9120528729641</v>
      </c>
      <c r="BW114" s="148">
        <f t="shared" si="66"/>
        <v>455.4</v>
      </c>
      <c r="BX114" s="148">
        <f t="shared" si="67"/>
        <v>3129354.9718154697</v>
      </c>
      <c r="BY114" s="148">
        <f t="shared" si="68"/>
        <v>0.16620987468842993</v>
      </c>
      <c r="BZ114">
        <f t="shared" si="51"/>
        <v>27.710119740993889</v>
      </c>
      <c r="CB114">
        <f t="shared" si="69"/>
        <v>-452.5547258025349</v>
      </c>
      <c r="CC114" s="162">
        <f t="shared" si="52"/>
        <v>-2358.6718856774637</v>
      </c>
      <c r="CD114">
        <f t="shared" si="78"/>
        <v>52226.604084281877</v>
      </c>
    </row>
    <row r="115" spans="4:82" x14ac:dyDescent="0.2">
      <c r="D115" s="22">
        <f t="shared" si="42"/>
        <v>0</v>
      </c>
      <c r="E115" s="23">
        <v>9.2017056000000004</v>
      </c>
      <c r="F115" s="23">
        <f>IF(K115&lt;6,1,IF(Data!K115&lt;9,2,IF(K115&gt;9,3)))</f>
        <v>3</v>
      </c>
      <c r="G115" s="23">
        <v>910.46654922009054</v>
      </c>
      <c r="H115" s="23">
        <v>216.51666499999999</v>
      </c>
      <c r="I115" s="64">
        <v>41.813808325357328</v>
      </c>
      <c r="J115" s="65">
        <f t="shared" si="43"/>
        <v>2.7261609865251497</v>
      </c>
      <c r="K115" s="65">
        <f t="shared" si="44"/>
        <v>16.725523330142931</v>
      </c>
      <c r="L115" s="65">
        <f t="shared" si="45"/>
        <v>1.0904643946100741</v>
      </c>
      <c r="M115">
        <f t="shared" si="46"/>
        <v>18.403411200000001</v>
      </c>
      <c r="N115">
        <f t="shared" si="47"/>
        <v>0</v>
      </c>
      <c r="O115">
        <f>IF(L115&lt;'Vehicle Data'!F$21,'Vehicle Data'!C$21,IF(L115&gt;'Vehicle Data'!C$21,'Vehicle Data'!C$20))</f>
        <v>0.6</v>
      </c>
      <c r="P115">
        <f>('Vehicle Data'!C$6*9.81*'Vehicle Data'!C$5*SIN(D115))/'Vehicle Data'!C$9</f>
        <v>0</v>
      </c>
      <c r="Q115" s="107">
        <f>'Vehicle Data'!C$6*9.81*SIN(D115)</f>
        <v>0</v>
      </c>
      <c r="R115">
        <f t="shared" si="41"/>
        <v>908.37254033483123</v>
      </c>
      <c r="S115">
        <f>IF(Data!O115=0.6,'Vehicle Data'!E$21,IF(Data!O115 = 0.9,'Vehicle Data'!E$20))+(P115*O115)</f>
        <v>1550.3723999999997</v>
      </c>
      <c r="T115">
        <f>IF(F115=3,'Vehicle Data'!H$16,IF(F115=2,'Vehicle Data'!H$15,IF(F115 = 1,'Vehicle Data'!G$14)))</f>
        <v>466.23005239380637</v>
      </c>
      <c r="U115" s="148">
        <f t="shared" si="48"/>
        <v>192.23405821151516</v>
      </c>
      <c r="V115" s="70" t="s">
        <v>77</v>
      </c>
      <c r="W115" s="99" t="s">
        <v>85</v>
      </c>
      <c r="X115">
        <f>IF(V115="S",'Vehicle Data'!C$14,IF(Data!V115 = "T1",'Vehicle Data'!P$2,IF(Data!V115="T2",'Vehicle Data'!P$3)))</f>
        <v>13.411199999999999</v>
      </c>
      <c r="Z115">
        <f t="shared" si="70"/>
        <v>10.89749331579284</v>
      </c>
      <c r="AB115" t="b">
        <f>IF(AA115=1,'Vehicle Data'!I$14,IF(AA115=2,'Vehicle Data'!I$15,IF(AA115=3,'Vehicle Data'!I$16)))</f>
        <v>0</v>
      </c>
      <c r="AC115">
        <f>IF(Z115&lt;'Vehicle Data'!C$16,'Vehicle Data'!I$15,IF(Z115&lt;'Vehicle Data'!C$15,'Vehicle Data'!I$15,IF(Z114&gt;'Vehicle Data'!C$15,'Vehicle Data'!I$16)))</f>
        <v>0.46202745420001456</v>
      </c>
      <c r="AD115">
        <f>IF(O115=0.6,'Vehicle Data'!F$21,IF(O115=0.9,'Vehicle Data'!F$20))</f>
        <v>3.5315999999999996</v>
      </c>
      <c r="AE115" s="100">
        <f t="shared" si="49"/>
        <v>-3.5315999999999996</v>
      </c>
      <c r="AF115" s="158">
        <f t="shared" si="71"/>
        <v>0.19120731085716897</v>
      </c>
      <c r="AG115" s="148">
        <f t="shared" si="53"/>
        <v>0.46391555754023817</v>
      </c>
      <c r="AH115" s="148">
        <f t="shared" si="72"/>
        <v>27.901327051851059</v>
      </c>
      <c r="AJ115">
        <f>(Z115^2)*'Vehicle Data'!C$31</f>
        <v>43.642595008647994</v>
      </c>
      <c r="AK115">
        <f>IF(O115=0.6,'Vehicle Data'!C$6*'Vehicle Data'!D$21*9.81,IF(O115=0.9,'Vehicle Data'!C$6*9.81*'Vehicle Data'!D$20))</f>
        <v>86.131799999999998</v>
      </c>
      <c r="AL115">
        <f t="shared" si="50"/>
        <v>129.77439500864799</v>
      </c>
      <c r="AN115">
        <f>IF(AG115&gt;0,AG115*'Vehicle Data'!C$6)</f>
        <v>203.65892976016457</v>
      </c>
      <c r="AO115">
        <f t="shared" si="54"/>
        <v>333.43332476881255</v>
      </c>
      <c r="AP115">
        <f>AO115*'Vehicle Data'!F$3</f>
        <v>85.225557810908484</v>
      </c>
      <c r="AQ115">
        <v>4</v>
      </c>
      <c r="AR115">
        <f>IF(Z115&lt;'Vehicle Data'!C$16, Z115*'Vehicle Data'!F$7*'Vehicle Data'!G$14,IF(Z115&lt;'Vehicle Data'!C$15,Z115*'Vehicle Data'!F$7*'Vehicle Data'!G$15,IF(Z115&gt;'Vehicle Data'!C$15,Z115*'Vehicle Data'!F$7*'Vehicle Data'!G$16)))</f>
        <v>94.799437796456061</v>
      </c>
      <c r="AS115">
        <f t="shared" si="73"/>
        <v>5687.9662677873639</v>
      </c>
      <c r="AT115">
        <f t="shared" si="74"/>
        <v>4</v>
      </c>
      <c r="AU115">
        <f t="shared" si="75"/>
        <v>5500</v>
      </c>
      <c r="AW115">
        <f>VLOOKUP(AT115,BSFC!A$64:A$82,1,FALSE)</f>
        <v>4</v>
      </c>
      <c r="AX115" t="e" cm="1">
        <f t="array" ref="AX115">_xlfn.XLOOKUP(AT115,BSFC!A$64:A$82,,-1,_xlfn.XLOOKUP(Data!AU115,BSFC!C$63:Q$63,BSFC!B$64:Q$82,,-1))</f>
        <v>#VALUE!</v>
      </c>
      <c r="AY115">
        <f>HLOOKUP(AU115,BSFC!F$63:Q$63,1)</f>
        <v>5500</v>
      </c>
      <c r="AZ115">
        <f>IF(AT115&gt;0,MATCH(AT115,BSFC!A$64:A$83,0),IF(AT115&lt;=0,0))</f>
        <v>19</v>
      </c>
      <c r="BA115">
        <f>MATCH(AU115,BSFC!C$63:Q$63,0)</f>
        <v>11</v>
      </c>
      <c r="BB115" cm="1">
        <f t="array" ref="BB115">IF(AZ115&gt;0,INDEX(BSFC!C$64:Q$83,Data!AZ115,Data!BA115))</f>
        <v>670</v>
      </c>
      <c r="BC115">
        <f>0.5*'Vehicle Data'!C$6*Data!Z115^2</f>
        <v>26066.801644621042</v>
      </c>
      <c r="BD115">
        <f t="shared" si="55"/>
        <v>2.2202703330576474</v>
      </c>
      <c r="BE115">
        <f t="shared" si="76"/>
        <v>1487.5811231486239</v>
      </c>
      <c r="BF115">
        <f t="shared" si="77"/>
        <v>7.901010728864874E-2</v>
      </c>
      <c r="BG115">
        <f t="shared" si="56"/>
        <v>30.822503529647836</v>
      </c>
      <c r="BH115">
        <f t="shared" si="79"/>
        <v>2372.952135080252</v>
      </c>
      <c r="BI115" s="148">
        <f t="shared" si="57"/>
        <v>6871.6622130335309</v>
      </c>
      <c r="BO115">
        <f t="shared" si="58"/>
        <v>487.33096700892571</v>
      </c>
      <c r="BP115">
        <f t="shared" si="59"/>
        <v>78704.42279851796</v>
      </c>
      <c r="BQ115">
        <f t="shared" si="60"/>
        <v>139257.28119939624</v>
      </c>
      <c r="BR115" s="148">
        <f t="shared" si="61"/>
        <v>193139.7216559971</v>
      </c>
      <c r="BS115" s="156">
        <f t="shared" si="62"/>
        <v>487.33096700892571</v>
      </c>
      <c r="BT115" s="156">
        <f t="shared" si="63"/>
        <v>2372.952135080252</v>
      </c>
      <c r="BU115">
        <f t="shared" si="64"/>
        <v>1411.2268603020395</v>
      </c>
      <c r="BV115">
        <f t="shared" si="65"/>
        <v>1411.2268603020395</v>
      </c>
      <c r="BW115" s="148">
        <f t="shared" si="66"/>
        <v>455.4</v>
      </c>
      <c r="BX115" s="148">
        <f t="shared" si="67"/>
        <v>3129354.9718154697</v>
      </c>
      <c r="BY115" s="148">
        <f t="shared" si="68"/>
        <v>0.17852019782820799</v>
      </c>
      <c r="BZ115">
        <f t="shared" si="51"/>
        <v>27.901327051851059</v>
      </c>
      <c r="CB115">
        <f t="shared" si="69"/>
        <v>923.89589329311389</v>
      </c>
      <c r="CC115" s="162">
        <f t="shared" si="52"/>
        <v>4831.9067359472283</v>
      </c>
      <c r="CD115">
        <f t="shared" si="78"/>
        <v>53150.499977574989</v>
      </c>
    </row>
    <row r="116" spans="4:82" x14ac:dyDescent="0.2">
      <c r="D116" s="22">
        <f t="shared" si="42"/>
        <v>0</v>
      </c>
      <c r="E116" s="23">
        <v>9.2017056000000004</v>
      </c>
      <c r="F116" s="23">
        <f>IF(K116&lt;6,1,IF(Data!K116&lt;9,2,IF(K116&gt;9,3)))</f>
        <v>3</v>
      </c>
      <c r="G116" s="23">
        <v>912.57078546345576</v>
      </c>
      <c r="H116" s="23">
        <v>216.566665</v>
      </c>
      <c r="I116" s="64">
        <v>41.950116374683617</v>
      </c>
      <c r="J116" s="65">
        <f t="shared" si="43"/>
        <v>2.4331338113516439</v>
      </c>
      <c r="K116" s="65">
        <f t="shared" si="44"/>
        <v>16.780046549873447</v>
      </c>
      <c r="L116" s="65">
        <f t="shared" si="45"/>
        <v>0.97325352454068592</v>
      </c>
      <c r="M116">
        <f t="shared" si="46"/>
        <v>18.403411200000001</v>
      </c>
      <c r="N116">
        <f t="shared" si="47"/>
        <v>0</v>
      </c>
      <c r="O116">
        <f>IF(L116&lt;'Vehicle Data'!F$21,'Vehicle Data'!C$21,IF(L116&gt;'Vehicle Data'!C$21,'Vehicle Data'!C$20))</f>
        <v>0.6</v>
      </c>
      <c r="P116">
        <f>('Vehicle Data'!C$6*9.81*'Vehicle Data'!C$5*SIN(D116))/'Vehicle Data'!C$9</f>
        <v>0</v>
      </c>
      <c r="Q116" s="107">
        <f>'Vehicle Data'!C$6*9.81*SIN(D116)</f>
        <v>0</v>
      </c>
      <c r="R116">
        <f t="shared" si="41"/>
        <v>910.46654922009054</v>
      </c>
      <c r="S116">
        <f>IF(Data!O116=0.6,'Vehicle Data'!E$21,IF(Data!O116 = 0.9,'Vehicle Data'!E$20))+(P116*O116)</f>
        <v>1550.3723999999997</v>
      </c>
      <c r="T116">
        <f>IF(F116=3,'Vehicle Data'!H$16,IF(F116=2,'Vehicle Data'!H$15,IF(F116 = 1,'Vehicle Data'!G$14)))</f>
        <v>466.23005239380637</v>
      </c>
      <c r="U116" s="148">
        <f t="shared" si="48"/>
        <v>194.32806709677448</v>
      </c>
      <c r="V116" s="70" t="s">
        <v>77</v>
      </c>
      <c r="W116" s="99" t="s">
        <v>85</v>
      </c>
      <c r="X116">
        <f>IF(V116="S",'Vehicle Data'!C$14,IF(Data!V116 = "T1",'Vehicle Data'!P$2,IF(Data!V116="T2",'Vehicle Data'!P$3)))</f>
        <v>13.411199999999999</v>
      </c>
      <c r="Z116">
        <f t="shared" si="70"/>
        <v>10.196320758459203</v>
      </c>
      <c r="AB116" t="b">
        <f>IF(AA116=1,'Vehicle Data'!I$14,IF(AA116=2,'Vehicle Data'!I$15,IF(AA116=3,'Vehicle Data'!I$16)))</f>
        <v>0</v>
      </c>
      <c r="AC116">
        <f>IF(Z116&lt;'Vehicle Data'!C$16,'Vehicle Data'!I$15,IF(Z116&lt;'Vehicle Data'!C$15,'Vehicle Data'!I$15,IF(Z115&gt;'Vehicle Data'!C$15,'Vehicle Data'!I$16)))</f>
        <v>0.46202745420001456</v>
      </c>
      <c r="AD116">
        <f>IF(O116=0.6,'Vehicle Data'!F$21,IF(O116=0.9,'Vehicle Data'!F$20))</f>
        <v>3.5315999999999996</v>
      </c>
      <c r="AE116" s="100">
        <f t="shared" si="49"/>
        <v>-3.5315999999999996</v>
      </c>
      <c r="AF116" s="158">
        <f t="shared" si="71"/>
        <v>0.20536906741797573</v>
      </c>
      <c r="AG116" s="148">
        <f t="shared" si="53"/>
        <v>-3.4142072423525249</v>
      </c>
      <c r="AH116" s="148">
        <f t="shared" si="72"/>
        <v>28.106696119269035</v>
      </c>
      <c r="AI116" s="101"/>
      <c r="AJ116" s="101">
        <f>(Z116^2)*'Vehicle Data'!C$31</f>
        <v>38.207121700949386</v>
      </c>
      <c r="AK116" s="101">
        <f>IF(O116=0.6,'Vehicle Data'!C$6*'Vehicle Data'!D$21*9.81,IF(O116=0.9,'Vehicle Data'!C$6*9.81*'Vehicle Data'!D$20))</f>
        <v>86.131799999999998</v>
      </c>
      <c r="AL116" s="101">
        <f t="shared" si="50"/>
        <v>124.33892170094938</v>
      </c>
      <c r="AM116" s="101"/>
      <c r="AN116" s="101">
        <f>IF(AG116&lt;0,AG116*'Vehicle Data'!C$6)</f>
        <v>-1498.8369793927584</v>
      </c>
      <c r="AO116" s="101">
        <f t="shared" si="54"/>
        <v>-1374.498057691809</v>
      </c>
      <c r="AP116" s="101">
        <f>AO116*'Vehicle Data'!F$3</f>
        <v>-351.32170354602636</v>
      </c>
      <c r="AQ116" s="101">
        <v>4</v>
      </c>
      <c r="AR116" s="101">
        <f>IF(Z116&lt;'Vehicle Data'!C$16, Z116*'Vehicle Data'!F$7*'Vehicle Data'!G$14,IF(Z116&lt;'Vehicle Data'!C$15,Z116*'Vehicle Data'!F$7*'Vehicle Data'!G$15,IF(Z116&gt;'Vehicle Data'!C$15,Z116*'Vehicle Data'!F$7*'Vehicle Data'!G$16)))</f>
        <v>88.699799805653015</v>
      </c>
      <c r="AS116" s="101">
        <f t="shared" si="73"/>
        <v>5321.9879883391804</v>
      </c>
      <c r="AT116" s="101">
        <f t="shared" si="74"/>
        <v>4</v>
      </c>
      <c r="AU116" s="101">
        <f t="shared" si="75"/>
        <v>5500</v>
      </c>
      <c r="AV116" s="101"/>
      <c r="AW116" s="101">
        <f>VLOOKUP(AT116,BSFC!A$64:A$82,1,FALSE)</f>
        <v>4</v>
      </c>
      <c r="AX116" s="101" t="e" cm="1">
        <f t="array" ref="AX116">_xlfn.XLOOKUP(AT116,BSFC!A$64:A$82,,-1,_xlfn.XLOOKUP(Data!AU116,BSFC!C$63:Q$63,BSFC!B$64:Q$82,,-1))</f>
        <v>#VALUE!</v>
      </c>
      <c r="AY116" s="101">
        <f>HLOOKUP(AU116,BSFC!F$63:Q$63,1)</f>
        <v>5500</v>
      </c>
      <c r="AZ116">
        <f>IF(AT116&gt;0,MATCH(AT116,BSFC!A$64:A$83,0),IF(AT116&lt;=0,0))</f>
        <v>19</v>
      </c>
      <c r="BA116" s="101">
        <f>MATCH(AU116,BSFC!C$63:Q$63,0)</f>
        <v>11</v>
      </c>
      <c r="BB116" cm="1">
        <f t="array" ref="BB116">IF(AZ116&gt;0,INDEX(BSFC!C$64:Q$83,Data!AZ116,Data!BA116))</f>
        <v>670</v>
      </c>
      <c r="BC116" s="101">
        <f>0.5*'Vehicle Data'!C$6*Data!Z116^2</f>
        <v>22820.308063560238</v>
      </c>
      <c r="BD116" s="101">
        <f t="shared" si="55"/>
        <v>2.0554497412090664</v>
      </c>
      <c r="BE116" s="101">
        <f t="shared" si="76"/>
        <v>1377.1513266100744</v>
      </c>
      <c r="BF116" s="101">
        <f t="shared" si="77"/>
        <v>7.8562301010927524E-2</v>
      </c>
      <c r="BG116" s="101">
        <f t="shared" si="56"/>
        <v>30.901065830658762</v>
      </c>
      <c r="BH116">
        <f t="shared" si="79"/>
        <v>2220.2703330576473</v>
      </c>
      <c r="BI116" s="148">
        <f t="shared" si="57"/>
        <v>6871.6622130335309</v>
      </c>
      <c r="BO116">
        <f t="shared" si="58"/>
        <v>494.94376463741378</v>
      </c>
      <c r="BP116">
        <f t="shared" si="59"/>
        <v>79199.366563155374</v>
      </c>
      <c r="BQ116">
        <f t="shared" si="60"/>
        <v>139752.22496403367</v>
      </c>
      <c r="BR116" s="148">
        <f t="shared" si="61"/>
        <v>194671.55600715545</v>
      </c>
      <c r="BS116" s="156">
        <f t="shared" si="62"/>
        <v>494.94376463741378</v>
      </c>
      <c r="BT116" s="156">
        <f t="shared" si="63"/>
        <v>2220.2703330576473</v>
      </c>
      <c r="BU116">
        <f t="shared" si="64"/>
        <v>1531.8343511583423</v>
      </c>
      <c r="BV116">
        <f t="shared" si="65"/>
        <v>1531.8343511583423</v>
      </c>
      <c r="BW116" s="148">
        <f t="shared" si="66"/>
        <v>455.4</v>
      </c>
      <c r="BX116" s="148">
        <f t="shared" si="67"/>
        <v>3129354.9718154697</v>
      </c>
      <c r="BY116" s="148">
        <f t="shared" si="68"/>
        <v>0.19377704542153029</v>
      </c>
      <c r="BZ116">
        <f t="shared" si="51"/>
        <v>28.106696119269035</v>
      </c>
      <c r="CB116">
        <f t="shared" si="69"/>
        <v>1036.8905865209285</v>
      </c>
      <c r="CC116" s="162">
        <f t="shared" si="52"/>
        <v>5048.9131569682932</v>
      </c>
      <c r="CD116">
        <f t="shared" si="78"/>
        <v>54187.39056409592</v>
      </c>
    </row>
    <row r="117" spans="4:82" x14ac:dyDescent="0.2">
      <c r="D117" s="22">
        <f t="shared" si="42"/>
        <v>0</v>
      </c>
      <c r="E117" s="23">
        <v>9.2017056000000004</v>
      </c>
      <c r="F117" s="23">
        <f>IF(K117&lt;6,1,IF(Data!K117&lt;9,2,IF(K117&gt;9,3)))</f>
        <v>3</v>
      </c>
      <c r="G117" s="23">
        <v>914.68485321355729</v>
      </c>
      <c r="H117" s="23">
        <v>216.61666499999998</v>
      </c>
      <c r="I117" s="64">
        <v>42.071773065251158</v>
      </c>
      <c r="J117" s="65">
        <f t="shared" si="43"/>
        <v>2.0424405455282697</v>
      </c>
      <c r="K117" s="65">
        <f t="shared" si="44"/>
        <v>16.828709226100464</v>
      </c>
      <c r="L117" s="65">
        <f t="shared" si="45"/>
        <v>0.81697621821130795</v>
      </c>
      <c r="M117">
        <f t="shared" si="46"/>
        <v>18.403411200000001</v>
      </c>
      <c r="N117">
        <f t="shared" si="47"/>
        <v>0</v>
      </c>
      <c r="O117">
        <f>IF(L117&lt;'Vehicle Data'!F$21,'Vehicle Data'!C$21,IF(L117&gt;'Vehicle Data'!C$21,'Vehicle Data'!C$20))</f>
        <v>0.6</v>
      </c>
      <c r="P117">
        <f>('Vehicle Data'!C$6*9.81*'Vehicle Data'!C$5*SIN(D117))/'Vehicle Data'!C$9</f>
        <v>0</v>
      </c>
      <c r="Q117" s="107">
        <f>'Vehicle Data'!C$6*9.81*SIN(D117)</f>
        <v>0</v>
      </c>
      <c r="R117">
        <f t="shared" si="41"/>
        <v>912.57078546345576</v>
      </c>
      <c r="S117">
        <f>IF(Data!O117=0.6,'Vehicle Data'!E$21,IF(Data!O117 = 0.9,'Vehicle Data'!E$20))+(P117*O117)</f>
        <v>1550.3723999999997</v>
      </c>
      <c r="T117">
        <f>IF(F117=3,'Vehicle Data'!H$16,IF(F117=2,'Vehicle Data'!H$15,IF(F117 = 1,'Vehicle Data'!G$14)))</f>
        <v>466.23005239380637</v>
      </c>
      <c r="U117" s="148">
        <f t="shared" si="48"/>
        <v>196.4323033401397</v>
      </c>
      <c r="V117" s="70" t="s">
        <v>77</v>
      </c>
      <c r="W117" s="99" t="s">
        <v>85</v>
      </c>
      <c r="X117">
        <f>IF(V117="S",'Vehicle Data'!C$14,IF(Data!V117 = "T1",'Vehicle Data'!P$2,IF(Data!V117="T2",'Vehicle Data'!P$3)))</f>
        <v>13.411199999999999</v>
      </c>
      <c r="Z117">
        <f t="shared" si="70"/>
        <v>9.4394022890884788</v>
      </c>
      <c r="AB117" t="b">
        <f>IF(AA117=1,'Vehicle Data'!I$14,IF(AA117=2,'Vehicle Data'!I$15,IF(AA117=3,'Vehicle Data'!I$16)))</f>
        <v>0</v>
      </c>
      <c r="AC117">
        <f>IF(Z117&lt;'Vehicle Data'!C$16,'Vehicle Data'!I$15,IF(Z117&lt;'Vehicle Data'!C$15,'Vehicle Data'!I$15,IF(Z116&gt;'Vehicle Data'!C$15,'Vehicle Data'!I$16)))</f>
        <v>0.46202745420001456</v>
      </c>
      <c r="AD117">
        <f>IF(O117=0.6,'Vehicle Data'!F$21,IF(O117=0.9,'Vehicle Data'!F$20))</f>
        <v>3.5315999999999996</v>
      </c>
      <c r="AE117" s="100">
        <f t="shared" si="49"/>
        <v>-3.5315999999999996</v>
      </c>
      <c r="AF117" s="158">
        <f t="shared" si="71"/>
        <v>0.22292049633244504</v>
      </c>
      <c r="AG117" s="148">
        <f t="shared" si="53"/>
        <v>-3.3954637721688865</v>
      </c>
      <c r="AH117" s="148">
        <f t="shared" si="72"/>
        <v>28.329616615601481</v>
      </c>
      <c r="AI117" s="101"/>
      <c r="AJ117" s="101">
        <f>(Z117^2)*'Vehicle Data'!C$31</f>
        <v>32.745100973903945</v>
      </c>
      <c r="AK117" s="101">
        <f>IF(O117=0.6,'Vehicle Data'!C$6*'Vehicle Data'!D$21*9.81,IF(O117=0.9,'Vehicle Data'!C$6*9.81*'Vehicle Data'!D$20))</f>
        <v>86.131799999999998</v>
      </c>
      <c r="AL117" s="101">
        <f t="shared" si="50"/>
        <v>118.87690097390394</v>
      </c>
      <c r="AM117" s="101"/>
      <c r="AN117" s="101">
        <f>IF(AG117&lt;0,AG117*'Vehicle Data'!C$6)</f>
        <v>-1490.6085959821412</v>
      </c>
      <c r="AO117" s="101">
        <f t="shared" si="54"/>
        <v>-1371.7316950082372</v>
      </c>
      <c r="AP117" s="101">
        <f>AO117*'Vehicle Data'!F$3</f>
        <v>-350.61462124410542</v>
      </c>
      <c r="AQ117" s="101">
        <v>4</v>
      </c>
      <c r="AR117" s="101">
        <f>IF(Z117&lt;'Vehicle Data'!C$16, Z117*'Vehicle Data'!F$7*'Vehicle Data'!G$14,IF(Z117&lt;'Vehicle Data'!C$15,Z117*'Vehicle Data'!F$7*'Vehicle Data'!G$15,IF(Z117&gt;'Vehicle Data'!C$15,Z117*'Vehicle Data'!F$7*'Vehicle Data'!G$16)))</f>
        <v>82.115217161302184</v>
      </c>
      <c r="AS117" s="101">
        <f t="shared" si="73"/>
        <v>4926.9130296781314</v>
      </c>
      <c r="AT117" s="101">
        <f t="shared" si="74"/>
        <v>4</v>
      </c>
      <c r="AU117" s="101">
        <f t="shared" si="75"/>
        <v>5000</v>
      </c>
      <c r="AV117" s="101"/>
      <c r="AW117" s="101">
        <f>VLOOKUP(AT117,BSFC!A$64:A$82,1,FALSE)</f>
        <v>4</v>
      </c>
      <c r="AX117" s="101" t="e" cm="1">
        <f t="array" ref="AX117">_xlfn.XLOOKUP(AT117,BSFC!A$64:A$82,,-1,_xlfn.XLOOKUP(Data!AU117,BSFC!C$63:Q$63,BSFC!B$64:Q$82,,-1))</f>
        <v>#VALUE!</v>
      </c>
      <c r="AY117" s="101">
        <f>HLOOKUP(AU117,BSFC!F$63:Q$63,1)</f>
        <v>5000</v>
      </c>
      <c r="AZ117">
        <f>IF(AT117&gt;0,MATCH(AT117,BSFC!A$64:A$83,0),IF(AT117&lt;=0,0))</f>
        <v>19</v>
      </c>
      <c r="BA117" s="101">
        <f>MATCH(AU117,BSFC!C$63:Q$63,0)</f>
        <v>10</v>
      </c>
      <c r="BB117" cm="1">
        <f t="array" ref="BB117">IF(AZ117&gt;0,INDEX(BSFC!C$64:Q$83,Data!AZ117,Data!BA117))</f>
        <v>700</v>
      </c>
      <c r="BC117" s="101">
        <f>0.5*'Vehicle Data'!C$6*Data!Z117^2</f>
        <v>19557.958268767114</v>
      </c>
      <c r="BD117" s="101">
        <f t="shared" si="55"/>
        <v>2.7944884308553881</v>
      </c>
      <c r="BE117" s="101">
        <f t="shared" si="76"/>
        <v>1956.1419015987717</v>
      </c>
      <c r="BF117" s="101">
        <f t="shared" si="77"/>
        <v>0.1211289232225253</v>
      </c>
      <c r="BG117" s="101">
        <f t="shared" si="56"/>
        <v>31.022194753881287</v>
      </c>
      <c r="BH117">
        <f t="shared" si="79"/>
        <v>2055.4497412090664</v>
      </c>
      <c r="BI117" s="148">
        <f t="shared" si="57"/>
        <v>6871.6622130335309</v>
      </c>
      <c r="BO117">
        <f t="shared" si="58"/>
        <v>504.55782260109623</v>
      </c>
      <c r="BP117">
        <f t="shared" si="59"/>
        <v>79703.924385756472</v>
      </c>
      <c r="BQ117">
        <f t="shared" si="60"/>
        <v>140256.78278663475</v>
      </c>
      <c r="BR117" s="148">
        <f t="shared" si="61"/>
        <v>196358.36491050472</v>
      </c>
      <c r="BS117" s="156">
        <f t="shared" si="62"/>
        <v>504.55782260109623</v>
      </c>
      <c r="BT117" s="156">
        <f t="shared" si="63"/>
        <v>2055.4497412090664</v>
      </c>
      <c r="BU117">
        <f t="shared" si="64"/>
        <v>1686.8089033492809</v>
      </c>
      <c r="BV117">
        <f t="shared" si="65"/>
        <v>1686.8089033492809</v>
      </c>
      <c r="BW117" s="148">
        <f t="shared" si="66"/>
        <v>455.4</v>
      </c>
      <c r="BX117" s="148">
        <f t="shared" si="67"/>
        <v>3129354.9718154697</v>
      </c>
      <c r="BY117" s="148">
        <f t="shared" si="68"/>
        <v>0.213381326273684</v>
      </c>
      <c r="BZ117">
        <f t="shared" si="51"/>
        <v>28.329616615601481</v>
      </c>
      <c r="CB117">
        <f t="shared" si="69"/>
        <v>1182.2510807481847</v>
      </c>
      <c r="CC117" s="162">
        <f t="shared" si="52"/>
        <v>5303.4651375666735</v>
      </c>
      <c r="CD117">
        <f t="shared" si="78"/>
        <v>55369.641644844101</v>
      </c>
    </row>
    <row r="118" spans="4:82" x14ac:dyDescent="0.2">
      <c r="D118" s="22">
        <f t="shared" si="42"/>
        <v>0</v>
      </c>
      <c r="E118" s="23">
        <v>9.2017056000000004</v>
      </c>
      <c r="F118" s="23">
        <f>IF(K118&lt;6,1,IF(Data!K118&lt;9,2,IF(K118&gt;9,3)))</f>
        <v>3</v>
      </c>
      <c r="G118" s="23">
        <v>916.80791039608073</v>
      </c>
      <c r="H118" s="23">
        <v>216.66666499999999</v>
      </c>
      <c r="I118" s="64">
        <v>42.173895092527594</v>
      </c>
      <c r="J118" s="65">
        <f t="shared" si="43"/>
        <v>1.8984630984079667</v>
      </c>
      <c r="K118" s="65">
        <f t="shared" si="44"/>
        <v>16.869558037011039</v>
      </c>
      <c r="L118" s="65">
        <f t="shared" si="45"/>
        <v>0.75938523936312985</v>
      </c>
      <c r="M118">
        <f t="shared" si="46"/>
        <v>18.403411200000001</v>
      </c>
      <c r="N118">
        <f t="shared" si="47"/>
        <v>0</v>
      </c>
      <c r="O118">
        <f>IF(L118&lt;'Vehicle Data'!F$21,'Vehicle Data'!C$21,IF(L118&gt;'Vehicle Data'!C$21,'Vehicle Data'!C$20))</f>
        <v>0.6</v>
      </c>
      <c r="P118">
        <f>('Vehicle Data'!C$6*9.81*'Vehicle Data'!C$5*SIN(D118))/'Vehicle Data'!C$9</f>
        <v>0</v>
      </c>
      <c r="Q118" s="107">
        <f>'Vehicle Data'!C$6*9.81*SIN(D118)</f>
        <v>0</v>
      </c>
      <c r="R118">
        <f t="shared" si="41"/>
        <v>914.68485321355729</v>
      </c>
      <c r="S118">
        <f>IF(Data!O118=0.6,'Vehicle Data'!E$21,IF(Data!O118 = 0.9,'Vehicle Data'!E$20))+(P118*O118)</f>
        <v>1550.3723999999997</v>
      </c>
      <c r="T118">
        <f>IF(F118=3,'Vehicle Data'!H$16,IF(F118=2,'Vehicle Data'!H$15,IF(F118 = 1,'Vehicle Data'!G$14)))</f>
        <v>466.23005239380637</v>
      </c>
      <c r="U118" s="148">
        <f t="shared" si="48"/>
        <v>198.54637109024122</v>
      </c>
      <c r="V118" s="70" t="s">
        <v>80</v>
      </c>
      <c r="W118" s="103" t="s">
        <v>84</v>
      </c>
      <c r="X118">
        <f>IF(V118="S",'Vehicle Data'!C$14,IF(Data!V118 = "T1",'Vehicle Data'!P$2,IF(Data!V118="T2",'Vehicle Data'!P$3)))</f>
        <v>10.293104487956974</v>
      </c>
      <c r="Z118">
        <f t="shared" si="70"/>
        <v>8.6122141312633254</v>
      </c>
      <c r="AB118" t="b">
        <f>IF(AA118=1,'Vehicle Data'!I$14,IF(AA118=2,'Vehicle Data'!I$15,IF(AA118=3,'Vehicle Data'!I$16)))</f>
        <v>0</v>
      </c>
      <c r="AC118">
        <f>IF(Z118&lt;'Vehicle Data'!C$16,'Vehicle Data'!I$15,IF(Z118&lt;'Vehicle Data'!C$15,'Vehicle Data'!I$15,IF(Z117&gt;'Vehicle Data'!C$15,'Vehicle Data'!I$16)))</f>
        <v>0.98256251041858167</v>
      </c>
      <c r="AD118">
        <f>IF(O118=0.6,'Vehicle Data'!F$21,IF(O118=0.9,'Vehicle Data'!F$20))</f>
        <v>3.5315999999999996</v>
      </c>
      <c r="AE118" s="100">
        <f t="shared" si="49"/>
        <v>0.98256251041858167</v>
      </c>
      <c r="AF118" s="158">
        <f t="shared" si="71"/>
        <v>0.24547319863160597</v>
      </c>
      <c r="AG118" s="148">
        <f t="shared" si="53"/>
        <v>-3.3697697444622317</v>
      </c>
      <c r="AH118" s="148">
        <f t="shared" si="72"/>
        <v>28.575089814233088</v>
      </c>
      <c r="AI118" s="101"/>
      <c r="AJ118" s="101">
        <f>(Z118^2)*'Vehicle Data'!C$31</f>
        <v>27.257560349203914</v>
      </c>
      <c r="AK118" s="101">
        <f>IF(O118=0.6,'Vehicle Data'!C$6*'Vehicle Data'!D$21*9.81,IF(O118=0.9,'Vehicle Data'!C$6*9.81*'Vehicle Data'!D$20))</f>
        <v>86.131799999999998</v>
      </c>
      <c r="AL118" s="101">
        <f t="shared" si="50"/>
        <v>113.38936034920391</v>
      </c>
      <c r="AM118" s="101"/>
      <c r="AN118" s="101">
        <f>IF(AG118&lt;0,AG118*'Vehicle Data'!C$6)</f>
        <v>-1479.3289178189198</v>
      </c>
      <c r="AO118" s="101">
        <f t="shared" si="54"/>
        <v>-1365.939557469716</v>
      </c>
      <c r="AP118" s="101">
        <f>AO118*'Vehicle Data'!F$3</f>
        <v>-349.13415088925939</v>
      </c>
      <c r="AQ118" s="101">
        <v>4</v>
      </c>
      <c r="AR118" s="101">
        <f>IF(Z118&lt;'Vehicle Data'!C$16, Z118*'Vehicle Data'!F$7*'Vehicle Data'!G$14,IF(Z118&lt;'Vehicle Data'!C$15,Z118*'Vehicle Data'!F$7*'Vehicle Data'!G$15,IF(Z118&gt;'Vehicle Data'!C$15,Z118*'Vehicle Data'!F$7*'Vehicle Data'!G$16)))</f>
        <v>111.63981281267274</v>
      </c>
      <c r="AS118" s="101">
        <f t="shared" si="73"/>
        <v>6698.3887687603647</v>
      </c>
      <c r="AT118" s="101">
        <f t="shared" si="74"/>
        <v>4</v>
      </c>
      <c r="AU118" s="101">
        <f t="shared" si="75"/>
        <v>6500</v>
      </c>
      <c r="AV118" s="101"/>
      <c r="AW118" s="101">
        <f>VLOOKUP(AT118,BSFC!A$64:A$82,1,FALSE)</f>
        <v>4</v>
      </c>
      <c r="AX118" s="101" t="e" cm="1">
        <f t="array" ref="AX118">_xlfn.XLOOKUP(AT118,BSFC!A$64:A$82,,-1,_xlfn.XLOOKUP(Data!AU118,BSFC!C$63:Q$63,BSFC!B$64:Q$82,,-1))</f>
        <v>#VALUE!</v>
      </c>
      <c r="AY118" s="101">
        <f>HLOOKUP(AU118,BSFC!F$63:Q$63,1)</f>
        <v>6500</v>
      </c>
      <c r="AZ118">
        <f>IF(AT118&gt;0,MATCH(AT118,BSFC!A$64:A$83,0),IF(AT118&lt;=0,0))</f>
        <v>19</v>
      </c>
      <c r="BA118" s="101">
        <f>MATCH(AU118,BSFC!C$63:Q$63,0)</f>
        <v>13</v>
      </c>
      <c r="BB118" cm="1">
        <f t="array" ref="BB118">IF(AZ118&gt;0,INDEX(BSFC!C$64:Q$83,Data!AZ118,Data!BA118))</f>
        <v>650</v>
      </c>
      <c r="BC118" s="101">
        <f>0.5*'Vehicle Data'!C$6*Data!Z118^2</f>
        <v>16280.365977279611</v>
      </c>
      <c r="BD118" s="101">
        <f t="shared" si="55"/>
        <v>2.8720081585203379</v>
      </c>
      <c r="BE118" s="101">
        <f t="shared" si="76"/>
        <v>1866.8053030382196</v>
      </c>
      <c r="BF118" s="101">
        <f t="shared" si="77"/>
        <v>0.12729185248867675</v>
      </c>
      <c r="BG118" s="101">
        <f t="shared" si="56"/>
        <v>31.149486606369965</v>
      </c>
      <c r="BH118">
        <f t="shared" si="79"/>
        <v>2794.4884308553883</v>
      </c>
      <c r="BI118" s="148">
        <f t="shared" si="57"/>
        <v>6871.6622130335309</v>
      </c>
      <c r="BO118">
        <f t="shared" si="58"/>
        <v>670.29477628790357</v>
      </c>
      <c r="BP118">
        <f t="shared" si="59"/>
        <v>80374.219162044377</v>
      </c>
      <c r="BQ118">
        <f t="shared" si="60"/>
        <v>140927.07756292264</v>
      </c>
      <c r="BR118" s="148">
        <f t="shared" si="61"/>
        <v>198006.62340209613</v>
      </c>
      <c r="BS118" s="156">
        <f t="shared" si="62"/>
        <v>670.29477628790357</v>
      </c>
      <c r="BT118" s="156">
        <f t="shared" si="63"/>
        <v>2794.4884308553883</v>
      </c>
      <c r="BU118">
        <f t="shared" si="64"/>
        <v>1648.2584915914108</v>
      </c>
      <c r="BV118">
        <f t="shared" si="65"/>
        <v>1648.2584915914108</v>
      </c>
      <c r="BW118" s="148">
        <f t="shared" si="66"/>
        <v>455.4</v>
      </c>
      <c r="BX118" s="148">
        <f t="shared" si="67"/>
        <v>3129354.9718154697</v>
      </c>
      <c r="BY118" s="148">
        <f t="shared" si="68"/>
        <v>0.20850469918631345</v>
      </c>
      <c r="BZ118">
        <f t="shared" si="51"/>
        <v>28.575089814233088</v>
      </c>
      <c r="CB118">
        <f t="shared" si="69"/>
        <v>977.96371530350723</v>
      </c>
      <c r="CC118" s="162">
        <f t="shared" si="52"/>
        <v>3983.9938565805714</v>
      </c>
      <c r="CD118">
        <f t="shared" si="78"/>
        <v>56347.605360147609</v>
      </c>
    </row>
    <row r="119" spans="4:82" x14ac:dyDescent="0.2">
      <c r="D119" s="22">
        <f t="shared" si="42"/>
        <v>0</v>
      </c>
      <c r="E119" s="23">
        <v>9.2017056000000004</v>
      </c>
      <c r="F119" s="23">
        <f>IF(K119&lt;6,1,IF(Data!K119&lt;9,2,IF(K119&gt;9,3)))</f>
        <v>3</v>
      </c>
      <c r="G119" s="23">
        <v>918.93852965292024</v>
      </c>
      <c r="H119" s="23">
        <v>216.71666499999998</v>
      </c>
      <c r="I119" s="64">
        <v>42.26881824744796</v>
      </c>
      <c r="J119" s="65">
        <f t="shared" si="43"/>
        <v>2.2322321143321386</v>
      </c>
      <c r="K119" s="65">
        <f t="shared" si="44"/>
        <v>16.907527298979183</v>
      </c>
      <c r="L119" s="65">
        <f t="shared" si="45"/>
        <v>0.89289284573291228</v>
      </c>
      <c r="M119">
        <f t="shared" si="46"/>
        <v>18.403411200000001</v>
      </c>
      <c r="N119">
        <f t="shared" si="47"/>
        <v>0</v>
      </c>
      <c r="O119">
        <f>IF(L119&lt;'Vehicle Data'!F$21,'Vehicle Data'!C$21,IF(L119&gt;'Vehicle Data'!C$21,'Vehicle Data'!C$20))</f>
        <v>0.6</v>
      </c>
      <c r="P119">
        <f>('Vehicle Data'!C$6*9.81*'Vehicle Data'!C$5*SIN(D119))/'Vehicle Data'!C$9</f>
        <v>0</v>
      </c>
      <c r="Q119" s="107">
        <f>'Vehicle Data'!C$6*9.81*SIN(D119)</f>
        <v>0</v>
      </c>
      <c r="R119">
        <f t="shared" si="41"/>
        <v>916.80791039608073</v>
      </c>
      <c r="S119">
        <f>IF(Data!O119=0.6,'Vehicle Data'!E$21,IF(Data!O119 = 0.9,'Vehicle Data'!E$20))+(P119*O119)</f>
        <v>1550.3723999999997</v>
      </c>
      <c r="T119">
        <f>IF(F119=3,'Vehicle Data'!H$16,IF(F119=2,'Vehicle Data'!H$15,IF(F119 = 1,'Vehicle Data'!G$14)))</f>
        <v>466.23005239380637</v>
      </c>
      <c r="U119" s="148">
        <f t="shared" si="48"/>
        <v>200.66942827276466</v>
      </c>
      <c r="V119" s="70" t="s">
        <v>80</v>
      </c>
      <c r="W119" s="103" t="s">
        <v>84</v>
      </c>
      <c r="X119">
        <f>IF(V119="S",'Vehicle Data'!C$14,IF(Data!V119 = "T1",'Vehicle Data'!P$2,IF(Data!V119="T2",'Vehicle Data'!P$3)))</f>
        <v>10.293104487956974</v>
      </c>
      <c r="Z119">
        <f t="shared" si="70"/>
        <v>8.8511188576798911</v>
      </c>
      <c r="AB119" t="b">
        <f>IF(AA119=1,'Vehicle Data'!I$14,IF(AA119=2,'Vehicle Data'!I$15,IF(AA119=3,'Vehicle Data'!I$16)))</f>
        <v>0</v>
      </c>
      <c r="AC119">
        <f>IF(Z119&lt;'Vehicle Data'!C$16,'Vehicle Data'!I$15,IF(Z119&lt;'Vehicle Data'!C$15,'Vehicle Data'!I$15,IF(Z118&gt;'Vehicle Data'!C$15,'Vehicle Data'!I$16)))</f>
        <v>0.98256251041858167</v>
      </c>
      <c r="AD119">
        <f>IF(O119=0.6,'Vehicle Data'!F$21,IF(O119=0.9,'Vehicle Data'!F$20))</f>
        <v>3.5315999999999996</v>
      </c>
      <c r="AE119" s="100">
        <f t="shared" si="49"/>
        <v>0.98256251041858167</v>
      </c>
      <c r="AF119" s="158">
        <f t="shared" si="71"/>
        <v>0.23986314235079065</v>
      </c>
      <c r="AG119" s="148">
        <f t="shared" si="53"/>
        <v>0.99600432177769438</v>
      </c>
      <c r="AH119" s="148">
        <f t="shared" si="72"/>
        <v>28.81495295658388</v>
      </c>
      <c r="AI119" s="101"/>
      <c r="AJ119" s="101">
        <f>(Z119^2)*'Vehicle Data'!C$31</f>
        <v>28.790797099545401</v>
      </c>
      <c r="AK119" s="101">
        <f>IF(O119=0.6,'Vehicle Data'!C$6*'Vehicle Data'!D$21*9.81,IF(O119=0.9,'Vehicle Data'!C$6*9.81*'Vehicle Data'!D$20))</f>
        <v>86.131799999999998</v>
      </c>
      <c r="AL119" s="101">
        <f t="shared" si="50"/>
        <v>114.9225970995454</v>
      </c>
      <c r="AM119" s="101"/>
      <c r="AN119" s="101">
        <f>IF(AG119&gt;0,AG119*'Vehicle Data'!C$6)</f>
        <v>437.24589726040784</v>
      </c>
      <c r="AO119" s="101">
        <f t="shared" si="54"/>
        <v>552.16849435995323</v>
      </c>
      <c r="AP119" s="101">
        <f>AO119*'Vehicle Data'!F$3</f>
        <v>141.13426715840404</v>
      </c>
      <c r="AQ119" s="101">
        <v>4</v>
      </c>
      <c r="AR119" s="101">
        <f>IF(Z119&lt;'Vehicle Data'!C$16, Z119*'Vehicle Data'!F$7*'Vehicle Data'!G$14,IF(Z119&lt;'Vehicle Data'!C$15,Z119*'Vehicle Data'!F$7*'Vehicle Data'!G$15,IF(Z119&gt;'Vehicle Data'!C$15,Z119*'Vehicle Data'!F$7*'Vehicle Data'!G$16)))</f>
        <v>114.7367259328875</v>
      </c>
      <c r="AS119" s="101">
        <f t="shared" si="73"/>
        <v>6884.2035559732494</v>
      </c>
      <c r="AT119" s="101">
        <f t="shared" si="74"/>
        <v>4</v>
      </c>
      <c r="AU119" s="101">
        <f t="shared" si="75"/>
        <v>7000</v>
      </c>
      <c r="AV119" s="101"/>
      <c r="AW119" s="101">
        <f>VLOOKUP(AT119,BSFC!A$64:A$82,1,FALSE)</f>
        <v>4</v>
      </c>
      <c r="AX119" s="101" t="e" cm="1">
        <f t="array" ref="AX119">_xlfn.XLOOKUP(AT119,BSFC!A$64:A$82,,-1,_xlfn.XLOOKUP(Data!AU119,BSFC!C$63:Q$63,BSFC!B$64:Q$82,,-1))</f>
        <v>#VALUE!</v>
      </c>
      <c r="AY119" s="101">
        <f>HLOOKUP(AU119,BSFC!F$63:Q$63,1)</f>
        <v>7000</v>
      </c>
      <c r="AZ119">
        <f>IF(AT119&gt;0,MATCH(AT119,BSFC!A$64:A$83,0),IF(AT119&lt;=0,0))</f>
        <v>19</v>
      </c>
      <c r="BA119" s="101">
        <f>MATCH(AU119,BSFC!C$63:Q$63,0)</f>
        <v>14</v>
      </c>
      <c r="BB119" cm="1">
        <f t="array" ref="BB119">IF(AZ119&gt;0,INDEX(BSFC!C$64:Q$83,Data!AZ119,Data!BA119))</f>
        <v>650</v>
      </c>
      <c r="BC119" s="101">
        <f>0.5*'Vehicle Data'!C$6*Data!Z119^2</f>
        <v>17196.135954694459</v>
      </c>
      <c r="BD119" s="101">
        <f t="shared" si="55"/>
        <v>1.9781821790474561</v>
      </c>
      <c r="BE119" s="101">
        <f t="shared" si="76"/>
        <v>1285.8184163808464</v>
      </c>
      <c r="BF119" s="101">
        <f t="shared" si="77"/>
        <v>8.5672346068229766E-2</v>
      </c>
      <c r="BG119" s="101">
        <f t="shared" si="56"/>
        <v>31.235158952438194</v>
      </c>
      <c r="BH119">
        <f t="shared" si="79"/>
        <v>2872.0081585203379</v>
      </c>
      <c r="BI119" s="148">
        <f t="shared" si="57"/>
        <v>6871.6622130335309</v>
      </c>
      <c r="BO119">
        <f t="shared" si="58"/>
        <v>673.57754225834253</v>
      </c>
      <c r="BP119">
        <f t="shared" si="59"/>
        <v>81047.796704302717</v>
      </c>
      <c r="BQ119">
        <f t="shared" si="60"/>
        <v>141600.65510518098</v>
      </c>
      <c r="BR119" s="148">
        <f t="shared" si="61"/>
        <v>199618.24742584865</v>
      </c>
      <c r="BS119" s="156">
        <f t="shared" si="62"/>
        <v>673.57754225834253</v>
      </c>
      <c r="BT119" s="156">
        <f t="shared" si="63"/>
        <v>2872.0081585203379</v>
      </c>
      <c r="BU119">
        <f t="shared" si="64"/>
        <v>1611.6240237525326</v>
      </c>
      <c r="BV119">
        <f t="shared" si="65"/>
        <v>1611.6240237525326</v>
      </c>
      <c r="BW119" s="148">
        <f t="shared" si="66"/>
        <v>455.4</v>
      </c>
      <c r="BX119" s="148">
        <f t="shared" si="67"/>
        <v>3129354.9718154697</v>
      </c>
      <c r="BY119" s="148">
        <f t="shared" si="68"/>
        <v>0.20387043900469537</v>
      </c>
      <c r="BZ119">
        <f t="shared" si="51"/>
        <v>28.81495295658388</v>
      </c>
      <c r="CB119">
        <f t="shared" si="69"/>
        <v>938.04648149419006</v>
      </c>
      <c r="CC119" s="162">
        <f t="shared" si="52"/>
        <v>3910.7570771432943</v>
      </c>
      <c r="CD119">
        <f t="shared" si="78"/>
        <v>57285.651841641797</v>
      </c>
    </row>
    <row r="120" spans="4:82" x14ac:dyDescent="0.2">
      <c r="D120" s="22">
        <f t="shared" si="42"/>
        <v>0</v>
      </c>
      <c r="E120" s="23">
        <v>9.2017056000000004</v>
      </c>
      <c r="F120" s="23">
        <f>IF(K120&lt;6,1,IF(Data!K120&lt;9,2,IF(K120&gt;9,3)))</f>
        <v>3</v>
      </c>
      <c r="G120" s="23">
        <v>921.0759868354437</v>
      </c>
      <c r="H120" s="23">
        <v>216.76666499999999</v>
      </c>
      <c r="I120" s="64">
        <v>42.380429853164593</v>
      </c>
      <c r="J120" s="65">
        <f t="shared" si="43"/>
        <v>2.6076444328300608</v>
      </c>
      <c r="K120" s="65">
        <f t="shared" si="44"/>
        <v>16.952171941265838</v>
      </c>
      <c r="L120" s="65">
        <f t="shared" si="45"/>
        <v>1.0430577731319817</v>
      </c>
      <c r="M120">
        <f t="shared" si="46"/>
        <v>18.403411200000001</v>
      </c>
      <c r="N120">
        <f t="shared" si="47"/>
        <v>0</v>
      </c>
      <c r="O120">
        <f>IF(L120&lt;'Vehicle Data'!F$21,'Vehicle Data'!C$21,IF(L120&gt;'Vehicle Data'!C$21,'Vehicle Data'!C$20))</f>
        <v>0.6</v>
      </c>
      <c r="P120">
        <f>('Vehicle Data'!C$6*9.81*'Vehicle Data'!C$5*SIN(D120))/'Vehicle Data'!C$9</f>
        <v>0</v>
      </c>
      <c r="Q120" s="107">
        <f>'Vehicle Data'!C$6*9.81*SIN(D120)</f>
        <v>0</v>
      </c>
      <c r="R120">
        <f t="shared" si="41"/>
        <v>918.93852965292024</v>
      </c>
      <c r="S120">
        <f>IF(Data!O120=0.6,'Vehicle Data'!E$21,IF(Data!O120 = 0.9,'Vehicle Data'!E$20))+(P120*O120)</f>
        <v>1550.3723999999997</v>
      </c>
      <c r="T120">
        <f>IF(F120=3,'Vehicle Data'!H$16,IF(F120=2,'Vehicle Data'!H$15,IF(F120 = 1,'Vehicle Data'!G$14)))</f>
        <v>466.23005239380637</v>
      </c>
      <c r="U120" s="148">
        <f t="shared" si="48"/>
        <v>202.80004752960417</v>
      </c>
      <c r="V120" s="70" t="s">
        <v>80</v>
      </c>
      <c r="W120" s="103" t="s">
        <v>84</v>
      </c>
      <c r="X120">
        <f>IF(V120="S",'Vehicle Data'!C$14,IF(Data!V120 = "T1",'Vehicle Data'!P$2,IF(Data!V120="T2",'Vehicle Data'!P$3)))</f>
        <v>10.293104487956974</v>
      </c>
      <c r="Z120">
        <f t="shared" si="70"/>
        <v>9.0845604320885762</v>
      </c>
      <c r="AB120" t="b">
        <f>IF(AA120=1,'Vehicle Data'!I$14,IF(AA120=2,'Vehicle Data'!I$15,IF(AA120=3,'Vehicle Data'!I$16)))</f>
        <v>0</v>
      </c>
      <c r="AC120" t="b">
        <f>IF(Z120&lt;'Vehicle Data'!C$16,'Vehicle Data'!I$15,IF(Z120&lt;'Vehicle Data'!C$15,'Vehicle Data'!I$15,IF(Z119&gt;'Vehicle Data'!C$15,'Vehicle Data'!I$16)))</f>
        <v>0</v>
      </c>
      <c r="AD120">
        <f>IF(O120=0.6,'Vehicle Data'!F$21,IF(O120=0.9,'Vehicle Data'!F$20))</f>
        <v>3.5315999999999996</v>
      </c>
      <c r="AE120" s="100" t="b">
        <f t="shared" si="49"/>
        <v>0</v>
      </c>
      <c r="AF120" s="158">
        <f t="shared" si="71"/>
        <v>0.23453190418698897</v>
      </c>
      <c r="AG120" s="148">
        <f t="shared" si="53"/>
        <v>0.99535103856303242</v>
      </c>
      <c r="AH120" s="148">
        <f t="shared" si="72"/>
        <v>29.049484860770871</v>
      </c>
      <c r="AI120" s="101"/>
      <c r="AJ120" s="101">
        <f>(Z120^2)*'Vehicle Data'!C$31</f>
        <v>30.329495054769005</v>
      </c>
      <c r="AK120" s="101">
        <f>IF(O120=0.6,'Vehicle Data'!C$6*'Vehicle Data'!D$21*9.81,IF(O120=0.9,'Vehicle Data'!C$6*9.81*'Vehicle Data'!D$20))</f>
        <v>86.131799999999998</v>
      </c>
      <c r="AL120" s="101">
        <f t="shared" si="50"/>
        <v>116.46129505476901</v>
      </c>
      <c r="AM120" s="101"/>
      <c r="AN120" s="101">
        <f>IF(AG120&gt;0,AG120*'Vehicle Data'!C$6)</f>
        <v>436.95910592917124</v>
      </c>
      <c r="AO120" s="101">
        <f t="shared" si="54"/>
        <v>553.42040098394023</v>
      </c>
      <c r="AP120" s="101">
        <f>AO120*'Vehicle Data'!F$3</f>
        <v>141.45425449149511</v>
      </c>
      <c r="AQ120" s="101">
        <v>4</v>
      </c>
      <c r="AR120" s="101">
        <f>IF(Z120&lt;'Vehicle Data'!C$16, Z120*'Vehicle Data'!F$7*'Vehicle Data'!G$14,IF(Z120&lt;'Vehicle Data'!C$15,Z120*'Vehicle Data'!F$7*'Vehicle Data'!G$15,IF(Z120&gt;'Vehicle Data'!C$15,Z120*'Vehicle Data'!F$7*'Vehicle Data'!G$16)))</f>
        <v>79.028378052945854</v>
      </c>
      <c r="AS120" s="101">
        <f t="shared" si="73"/>
        <v>4741.7026831767516</v>
      </c>
      <c r="AT120" s="101">
        <f t="shared" si="74"/>
        <v>4</v>
      </c>
      <c r="AU120" s="101">
        <f t="shared" si="75"/>
        <v>4500</v>
      </c>
      <c r="AV120" s="101"/>
      <c r="AW120" s="101">
        <f>VLOOKUP(AT120,BSFC!A$64:A$82,1,FALSE)</f>
        <v>4</v>
      </c>
      <c r="AX120" s="101" t="e" cm="1">
        <f t="array" ref="AX120">_xlfn.XLOOKUP(AT120,BSFC!A$64:A$82,,-1,_xlfn.XLOOKUP(Data!AU120,BSFC!C$63:Q$63,BSFC!B$64:Q$82,,-1))</f>
        <v>#VALUE!</v>
      </c>
      <c r="AY120" s="101">
        <f>HLOOKUP(AU120,BSFC!F$63:Q$63,1)</f>
        <v>4500</v>
      </c>
      <c r="AZ120">
        <f>IF(AT120&gt;0,MATCH(AT120,BSFC!A$64:A$83,0),IF(AT120&lt;=0,0))</f>
        <v>19</v>
      </c>
      <c r="BA120" s="101">
        <f>MATCH(AU120,BSFC!C$63:Q$63,0)</f>
        <v>9</v>
      </c>
      <c r="BB120" cm="1">
        <f t="array" ref="BB120">IF(AZ120&gt;0,INDEX(BSFC!C$64:Q$83,Data!AZ120,Data!BA120))</f>
        <v>700</v>
      </c>
      <c r="BC120" s="101">
        <f>0.5*'Vehicle Data'!C$6*Data!Z120^2</f>
        <v>18115.167794617129</v>
      </c>
      <c r="BD120" s="101">
        <f t="shared" si="55"/>
        <v>1.9781821790474561</v>
      </c>
      <c r="BE120" s="101">
        <f t="shared" si="76"/>
        <v>1384.7275253332193</v>
      </c>
      <c r="BF120" s="101">
        <f t="shared" si="77"/>
        <v>9.0211884249038046E-2</v>
      </c>
      <c r="BG120" s="101">
        <f t="shared" si="56"/>
        <v>31.325370836687231</v>
      </c>
      <c r="BH120">
        <f t="shared" si="79"/>
        <v>1978.182179047456</v>
      </c>
      <c r="BI120" s="148">
        <f t="shared" si="57"/>
        <v>6871.6622130335309</v>
      </c>
      <c r="BO120">
        <f t="shared" si="58"/>
        <v>465.43580600881103</v>
      </c>
      <c r="BP120">
        <f t="shared" si="59"/>
        <v>81513.232510311529</v>
      </c>
      <c r="BQ120">
        <f t="shared" si="60"/>
        <v>142066.09091118979</v>
      </c>
      <c r="BR120" s="148">
        <f t="shared" si="61"/>
        <v>201235.04373238681</v>
      </c>
      <c r="BS120" s="156">
        <f t="shared" si="62"/>
        <v>465.43580600881103</v>
      </c>
      <c r="BT120" s="156">
        <f t="shared" si="63"/>
        <v>1978.182179047456</v>
      </c>
      <c r="BU120">
        <f t="shared" si="64"/>
        <v>1616.796306538168</v>
      </c>
      <c r="BV120">
        <f t="shared" si="65"/>
        <v>1616.796306538168</v>
      </c>
      <c r="BW120" s="148">
        <f t="shared" si="66"/>
        <v>455.4</v>
      </c>
      <c r="BX120" s="148">
        <f t="shared" si="67"/>
        <v>3129354.9718154697</v>
      </c>
      <c r="BY120" s="148">
        <f t="shared" si="68"/>
        <v>0.20452473277707822</v>
      </c>
      <c r="BZ120">
        <f t="shared" si="51"/>
        <v>29.049484860770871</v>
      </c>
      <c r="CB120">
        <f t="shared" si="69"/>
        <v>1151.3605005293571</v>
      </c>
      <c r="CC120" s="162">
        <f t="shared" si="52"/>
        <v>4909.1849764345297</v>
      </c>
      <c r="CD120">
        <f t="shared" si="78"/>
        <v>58437.012342171154</v>
      </c>
    </row>
    <row r="121" spans="4:82" x14ac:dyDescent="0.2">
      <c r="D121" s="22">
        <f t="shared" si="42"/>
        <v>0</v>
      </c>
      <c r="E121" s="23">
        <v>9.2017056000000004</v>
      </c>
      <c r="F121" s="23">
        <f>IF(K121&lt;6,1,IF(Data!K121&lt;9,2,IF(K121&gt;9,3)))</f>
        <v>3</v>
      </c>
      <c r="G121" s="23">
        <v>923.22110288281067</v>
      </c>
      <c r="H121" s="23">
        <v>216.816665</v>
      </c>
      <c r="I121" s="64">
        <v>42.510812074806125</v>
      </c>
      <c r="J121" s="65">
        <f t="shared" si="43"/>
        <v>3.1878275606370678</v>
      </c>
      <c r="K121" s="65">
        <f t="shared" si="44"/>
        <v>17.004324829922449</v>
      </c>
      <c r="L121" s="65">
        <f t="shared" si="45"/>
        <v>1.2751310242548273</v>
      </c>
      <c r="M121">
        <f t="shared" si="46"/>
        <v>18.403411200000001</v>
      </c>
      <c r="N121">
        <f t="shared" si="47"/>
        <v>0</v>
      </c>
      <c r="O121">
        <f>IF(L121&lt;'Vehicle Data'!F$21,'Vehicle Data'!C$21,IF(L121&gt;'Vehicle Data'!C$21,'Vehicle Data'!C$20))</f>
        <v>0.6</v>
      </c>
      <c r="P121">
        <f>('Vehicle Data'!C$6*9.81*'Vehicle Data'!C$5*SIN(D121))/'Vehicle Data'!C$9</f>
        <v>0</v>
      </c>
      <c r="Q121" s="107">
        <f>'Vehicle Data'!C$6*9.81*SIN(D121)</f>
        <v>0</v>
      </c>
      <c r="R121">
        <f t="shared" si="41"/>
        <v>921.0759868354437</v>
      </c>
      <c r="S121">
        <f>IF(Data!O121=0.6,'Vehicle Data'!E$21,IF(Data!O121 = 0.9,'Vehicle Data'!E$20))+(P121*O121)</f>
        <v>1550.3723999999997</v>
      </c>
      <c r="T121">
        <f>IF(F121=3,'Vehicle Data'!H$16,IF(F121=2,'Vehicle Data'!H$15,IF(F121 = 1,'Vehicle Data'!G$14)))</f>
        <v>466.23005239380637</v>
      </c>
      <c r="U121" s="148">
        <f t="shared" si="48"/>
        <v>204.93750471212763</v>
      </c>
      <c r="V121" s="70" t="s">
        <v>80</v>
      </c>
      <c r="W121" s="103" t="s">
        <v>84</v>
      </c>
      <c r="X121">
        <f>IF(V121="S",'Vehicle Data'!C$14,IF(Data!V121 = "T1",'Vehicle Data'!P$2,IF(Data!V121="T2",'Vehicle Data'!P$3)))</f>
        <v>10.293104487956974</v>
      </c>
      <c r="Z121">
        <f t="shared" si="70"/>
        <v>9.0845604320885762</v>
      </c>
      <c r="AB121" t="b">
        <f>IF(AA121=1,'Vehicle Data'!I$14,IF(AA121=2,'Vehicle Data'!I$15,IF(AA121=3,'Vehicle Data'!I$16)))</f>
        <v>0</v>
      </c>
      <c r="AC121">
        <f>IF(Z121&lt;'Vehicle Data'!C$16,'Vehicle Data'!I$15,IF(Z121&lt;'Vehicle Data'!C$15,'Vehicle Data'!I$15,IF(Z120&gt;'Vehicle Data'!C$15,'Vehicle Data'!I$16)))</f>
        <v>0.46202745420001456</v>
      </c>
      <c r="AD121">
        <f>IF(O121=0.6,'Vehicle Data'!F$21,IF(O121=0.9,'Vehicle Data'!F$20))</f>
        <v>3.5315999999999996</v>
      </c>
      <c r="AE121" s="100">
        <f t="shared" si="49"/>
        <v>0.46202745420001456</v>
      </c>
      <c r="AF121" s="158">
        <f t="shared" si="71"/>
        <v>0.23528460166036375</v>
      </c>
      <c r="AG121" s="148">
        <f t="shared" si="53"/>
        <v>0</v>
      </c>
      <c r="AH121" s="148">
        <f t="shared" si="72"/>
        <v>29.284769462431235</v>
      </c>
      <c r="AI121" s="101"/>
      <c r="AJ121" s="101">
        <f>(Z121^2)*'Vehicle Data'!C$31</f>
        <v>30.329495054769005</v>
      </c>
      <c r="AK121" s="101">
        <f>IF(O121=0.6,'Vehicle Data'!C$6*'Vehicle Data'!D$21*9.81,IF(O121=0.9,'Vehicle Data'!C$6*9.81*'Vehicle Data'!D$20))</f>
        <v>86.131799999999998</v>
      </c>
      <c r="AL121" s="101">
        <f t="shared" si="50"/>
        <v>116.46129505476901</v>
      </c>
      <c r="AM121" s="101"/>
      <c r="AN121" s="101" t="b">
        <f>IF(AG121&gt;0,AG121*'Vehicle Data'!C$6)</f>
        <v>0</v>
      </c>
      <c r="AO121" s="101">
        <f t="shared" si="54"/>
        <v>116.46129505476901</v>
      </c>
      <c r="AP121" s="101">
        <f>AO121*'Vehicle Data'!F$3</f>
        <v>29.767507015998959</v>
      </c>
      <c r="AQ121" s="101">
        <v>4</v>
      </c>
      <c r="AR121" s="101">
        <f>IF(Z121&lt;'Vehicle Data'!C$16, Z121*'Vehicle Data'!F$7*'Vehicle Data'!G$14,IF(Z121&lt;'Vehicle Data'!C$15,Z121*'Vehicle Data'!F$7*'Vehicle Data'!G$15,IF(Z121&gt;'Vehicle Data'!C$15,Z121*'Vehicle Data'!F$7*'Vehicle Data'!G$16)))</f>
        <v>79.028378052945854</v>
      </c>
      <c r="AS121" s="101">
        <f t="shared" si="73"/>
        <v>4741.7026831767516</v>
      </c>
      <c r="AT121" s="101">
        <f t="shared" si="74"/>
        <v>4</v>
      </c>
      <c r="AU121" s="101">
        <f t="shared" si="75"/>
        <v>4500</v>
      </c>
      <c r="AV121" s="101"/>
      <c r="AW121" s="101">
        <f>VLOOKUP(AT121,BSFC!A$64:A$82,1,FALSE)</f>
        <v>4</v>
      </c>
      <c r="AX121" s="101" t="e" cm="1">
        <f t="array" ref="AX121">_xlfn.XLOOKUP(AT121,BSFC!A$64:A$82,,-1,_xlfn.XLOOKUP(Data!AU121,BSFC!C$63:Q$63,BSFC!B$64:Q$82,,-1))</f>
        <v>#VALUE!</v>
      </c>
      <c r="AY121" s="101">
        <f>HLOOKUP(AU121,BSFC!F$63:Q$63,1)</f>
        <v>4500</v>
      </c>
      <c r="AZ121">
        <f>IF(AT121&gt;0,MATCH(AT121,BSFC!A$64:A$83,0),IF(AT121&lt;=0,0))</f>
        <v>19</v>
      </c>
      <c r="BA121" s="101">
        <f>MATCH(AU121,BSFC!C$63:Q$63,0)</f>
        <v>9</v>
      </c>
      <c r="BB121" cm="1">
        <f t="array" ref="BB121">IF(AZ121&gt;0,INDEX(BSFC!C$64:Q$83,Data!AZ121,Data!BA121))</f>
        <v>700</v>
      </c>
      <c r="BC121" s="101">
        <f>0.5*'Vehicle Data'!C$6*Data!Z121^2</f>
        <v>18115.167794617129</v>
      </c>
      <c r="BD121" s="101">
        <f t="shared" si="55"/>
        <v>2.0017974241419405</v>
      </c>
      <c r="BE121" s="101">
        <f t="shared" si="76"/>
        <v>1401.2581968993584</v>
      </c>
      <c r="BF121" s="101">
        <f t="shared" si="77"/>
        <v>9.1581799077995851E-2</v>
      </c>
      <c r="BG121" s="101">
        <f t="shared" si="56"/>
        <v>31.416952635765227</v>
      </c>
      <c r="BH121">
        <f t="shared" si="79"/>
        <v>1978.182179047456</v>
      </c>
      <c r="BI121" s="148">
        <f t="shared" si="57"/>
        <v>6871.6622130335309</v>
      </c>
      <c r="BO121">
        <f t="shared" si="58"/>
        <v>461.59310996843305</v>
      </c>
      <c r="BP121">
        <f t="shared" si="59"/>
        <v>81974.825620279968</v>
      </c>
      <c r="BQ121">
        <f t="shared" si="60"/>
        <v>142527.68402115823</v>
      </c>
      <c r="BR121" s="148">
        <f t="shared" si="61"/>
        <v>202838.49156705191</v>
      </c>
      <c r="BS121" s="156">
        <f t="shared" si="62"/>
        <v>461.59310996843305</v>
      </c>
      <c r="BT121" s="156">
        <f t="shared" si="63"/>
        <v>1978.182179047456</v>
      </c>
      <c r="BU121">
        <f t="shared" si="64"/>
        <v>1603.4478346650901</v>
      </c>
      <c r="BV121">
        <f t="shared" si="65"/>
        <v>1603.4478346650901</v>
      </c>
      <c r="BW121" s="148">
        <f t="shared" si="66"/>
        <v>455.4</v>
      </c>
      <c r="BX121" s="148">
        <f t="shared" si="67"/>
        <v>3129354.9718154697</v>
      </c>
      <c r="BY121" s="148">
        <f t="shared" si="68"/>
        <v>0.20283615108513386</v>
      </c>
      <c r="BZ121">
        <f t="shared" si="51"/>
        <v>29.284769462431235</v>
      </c>
      <c r="CB121">
        <f t="shared" si="69"/>
        <v>1141.8547246966571</v>
      </c>
      <c r="CC121" s="162">
        <f t="shared" si="52"/>
        <v>4853.0788527544028</v>
      </c>
      <c r="CD121">
        <f t="shared" si="78"/>
        <v>59578.86706686781</v>
      </c>
    </row>
    <row r="122" spans="4:82" x14ac:dyDescent="0.2">
      <c r="D122" s="22">
        <f t="shared" si="42"/>
        <v>0</v>
      </c>
      <c r="E122" s="23">
        <v>9.2017056000000004</v>
      </c>
      <c r="F122" s="23">
        <f>IF(K122&lt;6,1,IF(Data!K122&lt;9,2,IF(K122&gt;9,3)))</f>
        <v>3</v>
      </c>
      <c r="G122" s="23">
        <v>925.37242949775498</v>
      </c>
      <c r="H122" s="23">
        <v>216.86666499999998</v>
      </c>
      <c r="I122" s="64">
        <v>42.670203452837924</v>
      </c>
      <c r="J122" s="65">
        <f t="shared" si="43"/>
        <v>2.5541677942012928</v>
      </c>
      <c r="K122" s="65">
        <f t="shared" si="44"/>
        <v>17.068081381135169</v>
      </c>
      <c r="L122" s="65">
        <f t="shared" si="45"/>
        <v>1.0216671176805456</v>
      </c>
      <c r="M122">
        <f t="shared" si="46"/>
        <v>18.403411200000001</v>
      </c>
      <c r="N122">
        <v>0</v>
      </c>
      <c r="O122">
        <f>IF(L122&lt;'Vehicle Data'!F$21,'Vehicle Data'!C$21,IF(L122&gt;'Vehicle Data'!C$21,'Vehicle Data'!C$20))</f>
        <v>0.6</v>
      </c>
      <c r="P122">
        <f>('Vehicle Data'!C$6*9.81*'Vehicle Data'!C$5*SIN(D122))/'Vehicle Data'!C$9</f>
        <v>0</v>
      </c>
      <c r="Q122" s="107">
        <f>'Vehicle Data'!C$6*9.81*SIN(D122)</f>
        <v>0</v>
      </c>
      <c r="R122">
        <f t="shared" si="41"/>
        <v>923.22110288281067</v>
      </c>
      <c r="S122">
        <f>IF(Data!O122=0.6,'Vehicle Data'!E$21,IF(Data!O122 = 0.9,'Vehicle Data'!E$20))+(P122*O122)</f>
        <v>1550.3723999999997</v>
      </c>
      <c r="T122">
        <f>IF(F122=3,'Vehicle Data'!H$16,IF(F122=2,'Vehicle Data'!H$15,IF(F122 = 1,'Vehicle Data'!G$14)))</f>
        <v>466.23005239380637</v>
      </c>
      <c r="U122" s="148">
        <f t="shared" si="48"/>
        <v>207.0826207594946</v>
      </c>
      <c r="V122" s="70" t="s">
        <v>80</v>
      </c>
      <c r="W122" s="103" t="s">
        <v>84</v>
      </c>
      <c r="X122">
        <f>IF(V122="S",'Vehicle Data'!C$14,IF(Data!V122 = "T1",'Vehicle Data'!P$2,IF(Data!V122="T2",'Vehicle Data'!P$3)))</f>
        <v>10.293104487956974</v>
      </c>
      <c r="Z122">
        <f t="shared" si="70"/>
        <v>9.1930105654745393</v>
      </c>
      <c r="AB122" t="b">
        <f>IF(AA122=1,'Vehicle Data'!I$14,IF(AA122=2,'Vehicle Data'!I$15,IF(AA122=3,'Vehicle Data'!I$16)))</f>
        <v>0</v>
      </c>
      <c r="AC122">
        <f>IF(Z122&lt;'Vehicle Data'!C$16,'Vehicle Data'!I$15,IF(Z122&lt;'Vehicle Data'!C$15,'Vehicle Data'!I$15,IF(Z121&gt;'Vehicle Data'!C$15,'Vehicle Data'!I$16)))</f>
        <v>0.46202745420001456</v>
      </c>
      <c r="AD122">
        <f>IF(O122=0.6,'Vehicle Data'!F$21,IF(O122=0.9,'Vehicle Data'!F$20))</f>
        <v>3.5315999999999996</v>
      </c>
      <c r="AE122" s="100">
        <f t="shared" si="49"/>
        <v>0.46202745420001456</v>
      </c>
      <c r="AF122" s="158">
        <f t="shared" si="71"/>
        <v>0.23334206265608037</v>
      </c>
      <c r="AG122" s="148">
        <f t="shared" si="53"/>
        <v>0.46476889829248763</v>
      </c>
      <c r="AH122" s="148">
        <f t="shared" si="72"/>
        <v>29.518111525087317</v>
      </c>
      <c r="AI122" s="101"/>
      <c r="AJ122" s="101">
        <f>(Z122^2)*'Vehicle Data'!C$31</f>
        <v>31.057955396920502</v>
      </c>
      <c r="AK122" s="101">
        <f>IF(O122=0.6,'Vehicle Data'!C$6*'Vehicle Data'!D$21*9.81,IF(O122=0.9,'Vehicle Data'!C$6*9.81*'Vehicle Data'!D$20))</f>
        <v>86.131799999999998</v>
      </c>
      <c r="AL122" s="101">
        <f t="shared" si="50"/>
        <v>117.1897553969205</v>
      </c>
      <c r="AM122" s="101"/>
      <c r="AN122" s="101">
        <f>IF(AG122&gt;0,AG122*'Vehicle Data'!C$6)</f>
        <v>204.03354635040208</v>
      </c>
      <c r="AO122" s="101">
        <f t="shared" si="54"/>
        <v>321.22330174732258</v>
      </c>
      <c r="AP122" s="101">
        <f>AO122*'Vehicle Data'!F$3</f>
        <v>82.104675926615656</v>
      </c>
      <c r="AQ122" s="101">
        <v>4</v>
      </c>
      <c r="AR122" s="101">
        <f>IF(Z122&lt;'Vehicle Data'!C$16, Z122*'Vehicle Data'!F$7*'Vehicle Data'!G$14,IF(Z122&lt;'Vehicle Data'!C$15,Z122*'Vehicle Data'!F$7*'Vehicle Data'!G$15,IF(Z122&gt;'Vehicle Data'!C$15,Z122*'Vehicle Data'!F$7*'Vehicle Data'!G$16)))</f>
        <v>79.97180709447052</v>
      </c>
      <c r="AS122" s="101">
        <f t="shared" si="73"/>
        <v>4798.3084256682314</v>
      </c>
      <c r="AT122" s="101">
        <f t="shared" si="74"/>
        <v>4</v>
      </c>
      <c r="AU122" s="101">
        <f t="shared" si="75"/>
        <v>5000</v>
      </c>
      <c r="AV122" s="101"/>
      <c r="AW122" s="101">
        <f>VLOOKUP(AT122,BSFC!A$64:A$82,1,FALSE)</f>
        <v>4</v>
      </c>
      <c r="AX122" s="101" t="e" cm="1">
        <f t="array" ref="AX122">_xlfn.XLOOKUP(AT122,BSFC!A$64:A$82,,-1,_xlfn.XLOOKUP(Data!AU122,BSFC!C$63:Q$63,BSFC!B$64:Q$82,,-1))</f>
        <v>#VALUE!</v>
      </c>
      <c r="AY122" s="101">
        <f>HLOOKUP(AU122,BSFC!F$63:Q$63,1)</f>
        <v>5000</v>
      </c>
      <c r="AZ122">
        <f>IF(AT122&gt;0,MATCH(AT122,BSFC!A$64:A$83,0),IF(AT122&lt;=0,0))</f>
        <v>19</v>
      </c>
      <c r="BA122" s="101">
        <f>MATCH(AU122,BSFC!C$63:Q$63,0)</f>
        <v>10</v>
      </c>
      <c r="BB122" cm="1">
        <f t="array" ref="BB122">IF(AZ122&gt;0,INDEX(BSFC!C$64:Q$83,Data!AZ122,Data!BA122))</f>
        <v>700</v>
      </c>
      <c r="BC122" s="101">
        <f>0.5*'Vehicle Data'!C$6*Data!Z122^2</f>
        <v>18550.26179489537</v>
      </c>
      <c r="BD122" s="101">
        <f t="shared" si="55"/>
        <v>2.0252044926203205</v>
      </c>
      <c r="BE122" s="101">
        <f t="shared" si="76"/>
        <v>1417.6431448342244</v>
      </c>
      <c r="BF122" s="101">
        <f t="shared" si="77"/>
        <v>9.1887715423852892E-2</v>
      </c>
      <c r="BG122" s="101">
        <f t="shared" si="56"/>
        <v>31.508840351189079</v>
      </c>
      <c r="BH122">
        <f t="shared" si="79"/>
        <v>2001.7974241419406</v>
      </c>
      <c r="BI122" s="148">
        <f t="shared" si="57"/>
        <v>6871.6622130335309</v>
      </c>
      <c r="BO122">
        <f t="shared" si="58"/>
        <v>463.04154748960536</v>
      </c>
      <c r="BP122">
        <f t="shared" si="59"/>
        <v>82437.867167769567</v>
      </c>
      <c r="BQ122">
        <f t="shared" si="60"/>
        <v>142990.72556864785</v>
      </c>
      <c r="BR122" s="148">
        <f t="shared" si="61"/>
        <v>204427.99561305335</v>
      </c>
      <c r="BS122" s="156">
        <f t="shared" si="62"/>
        <v>463.04154748960536</v>
      </c>
      <c r="BT122" s="156">
        <f t="shared" si="63"/>
        <v>2001.7974241419406</v>
      </c>
      <c r="BU122">
        <f t="shared" si="64"/>
        <v>1589.5040460014484</v>
      </c>
      <c r="BV122">
        <f t="shared" si="65"/>
        <v>1589.5040460014484</v>
      </c>
      <c r="BW122" s="148">
        <f t="shared" si="66"/>
        <v>455.4</v>
      </c>
      <c r="BX122" s="148">
        <f t="shared" si="67"/>
        <v>3129354.9718154697</v>
      </c>
      <c r="BY122" s="148">
        <f t="shared" si="68"/>
        <v>0.20107226181918322</v>
      </c>
      <c r="BZ122">
        <f t="shared" si="51"/>
        <v>29.518111525087317</v>
      </c>
      <c r="CB122">
        <f t="shared" si="69"/>
        <v>1126.462498511843</v>
      </c>
      <c r="CC122" s="162">
        <f t="shared" si="52"/>
        <v>4827.5158181494035</v>
      </c>
      <c r="CD122">
        <f t="shared" si="78"/>
        <v>60705.329565379652</v>
      </c>
    </row>
    <row r="123" spans="4:82" x14ac:dyDescent="0.2">
      <c r="D123" s="22">
        <f t="shared" si="42"/>
        <v>0</v>
      </c>
      <c r="E123" s="23">
        <v>9.1017071999999999</v>
      </c>
      <c r="F123" s="23">
        <f>IF(K123&lt;6,1,IF(Data!K123&lt;9,2,IF(K123&gt;9,3)))</f>
        <v>3</v>
      </c>
      <c r="G123" s="23">
        <v>927.5287494977548</v>
      </c>
      <c r="H123" s="23">
        <v>216.91666499999999</v>
      </c>
      <c r="I123" s="64">
        <v>42.797911842548018</v>
      </c>
      <c r="J123" s="65">
        <f t="shared" si="43"/>
        <v>2.4720382066156694</v>
      </c>
      <c r="K123" s="65">
        <f t="shared" si="44"/>
        <v>17.119164737019208</v>
      </c>
      <c r="L123" s="65">
        <f t="shared" si="45"/>
        <v>0.98881528264625351</v>
      </c>
      <c r="M123">
        <f t="shared" si="46"/>
        <v>18.2034144</v>
      </c>
      <c r="N123">
        <f t="shared" si="47"/>
        <v>0</v>
      </c>
      <c r="O123">
        <f>IF(L123&lt;'Vehicle Data'!F$21,'Vehicle Data'!C$21,IF(L123&gt;'Vehicle Data'!C$21,'Vehicle Data'!C$20))</f>
        <v>0.6</v>
      </c>
      <c r="P123">
        <f>('Vehicle Data'!C$6*9.81*'Vehicle Data'!C$5*SIN(D123))/'Vehicle Data'!C$9</f>
        <v>0</v>
      </c>
      <c r="Q123" s="107">
        <f>'Vehicle Data'!C$6*9.81*SIN(D123)</f>
        <v>0</v>
      </c>
      <c r="R123">
        <f t="shared" si="41"/>
        <v>925.37242949775498</v>
      </c>
      <c r="S123">
        <f>IF(Data!O123=0.6,'Vehicle Data'!E$21,IF(Data!O123 = 0.9,'Vehicle Data'!E$20))+(P123*O123)</f>
        <v>1550.3723999999997</v>
      </c>
      <c r="T123">
        <f>IF(F123=3,'Vehicle Data'!H$16,IF(F123=2,'Vehicle Data'!H$15,IF(F123 = 1,'Vehicle Data'!G$14)))</f>
        <v>466.23005239380637</v>
      </c>
      <c r="U123" s="148">
        <f t="shared" si="48"/>
        <v>209.23394737443891</v>
      </c>
      <c r="V123" s="70" t="s">
        <v>80</v>
      </c>
      <c r="W123" s="103" t="s">
        <v>84</v>
      </c>
      <c r="X123">
        <f>IF(V123="S",'Vehicle Data'!C$14,IF(Data!V123 = "T1",'Vehicle Data'!P$2,IF(Data!V123="T2",'Vehicle Data'!P$3)))</f>
        <v>10.293104487956974</v>
      </c>
      <c r="Z123">
        <f t="shared" si="70"/>
        <v>9.3005046731366914</v>
      </c>
      <c r="AB123" t="b">
        <f>IF(AA123=1,'Vehicle Data'!I$14,IF(AA123=2,'Vehicle Data'!I$15,IF(AA123=3,'Vehicle Data'!I$16)))</f>
        <v>0</v>
      </c>
      <c r="AC123">
        <f>IF(Z123&lt;'Vehicle Data'!C$16,'Vehicle Data'!I$15,IF(Z123&lt;'Vehicle Data'!C$15,'Vehicle Data'!I$15,IF(Z122&gt;'Vehicle Data'!C$15,'Vehicle Data'!I$16)))</f>
        <v>0.46202745420001456</v>
      </c>
      <c r="AD123">
        <f>IF(O123=0.6,'Vehicle Data'!F$21,IF(O123=0.9,'Vehicle Data'!F$20))</f>
        <v>3.5315999999999996</v>
      </c>
      <c r="AE123" s="100">
        <f t="shared" si="49"/>
        <v>0.46202745420001456</v>
      </c>
      <c r="AF123" s="158">
        <f t="shared" si="71"/>
        <v>0.23131289005833622</v>
      </c>
      <c r="AG123" s="148">
        <f t="shared" si="53"/>
        <v>0.46471300252676129</v>
      </c>
      <c r="AH123" s="148">
        <f t="shared" si="72"/>
        <v>29.749424415145654</v>
      </c>
      <c r="AI123" s="101"/>
      <c r="AJ123" s="101">
        <f>(Z123^2)*'Vehicle Data'!C$31</f>
        <v>31.788524786826269</v>
      </c>
      <c r="AK123" s="101">
        <f>IF(O123=0.6,'Vehicle Data'!C$6*'Vehicle Data'!D$21*9.81,IF(O123=0.9,'Vehicle Data'!C$6*9.81*'Vehicle Data'!D$20))</f>
        <v>86.131799999999998</v>
      </c>
      <c r="AL123" s="101">
        <f t="shared" si="50"/>
        <v>117.92032478682627</v>
      </c>
      <c r="AM123" s="101"/>
      <c r="AN123" s="101">
        <f>IF(AG123&gt;0,AG123*'Vehicle Data'!C$6)</f>
        <v>204.00900810924821</v>
      </c>
      <c r="AO123" s="101">
        <f t="shared" si="54"/>
        <v>321.92933289607447</v>
      </c>
      <c r="AP123" s="101">
        <f>AO123*'Vehicle Data'!F$3</f>
        <v>82.285137488236629</v>
      </c>
      <c r="AQ123" s="101">
        <v>4</v>
      </c>
      <c r="AR123" s="101">
        <f>IF(Z123&lt;'Vehicle Data'!C$16, Z123*'Vehicle Data'!F$7*'Vehicle Data'!G$14,IF(Z123&lt;'Vehicle Data'!C$15,Z123*'Vehicle Data'!F$7*'Vehicle Data'!G$15,IF(Z123&gt;'Vehicle Data'!C$15,Z123*'Vehicle Data'!F$7*'Vehicle Data'!G$16)))</f>
        <v>80.906919480181799</v>
      </c>
      <c r="AS123" s="101">
        <f t="shared" si="73"/>
        <v>4854.4151688109077</v>
      </c>
      <c r="AT123" s="101">
        <f t="shared" si="74"/>
        <v>4</v>
      </c>
      <c r="AU123" s="101">
        <f t="shared" si="75"/>
        <v>5000</v>
      </c>
      <c r="AV123" s="101"/>
      <c r="AW123" s="101">
        <f>VLOOKUP(AT123,BSFC!A$64:A$82,1,FALSE)</f>
        <v>4</v>
      </c>
      <c r="AX123" s="101" t="e" cm="1">
        <f t="array" ref="AX123">_xlfn.XLOOKUP(AT123,BSFC!A$64:A$82,,-1,_xlfn.XLOOKUP(Data!AU123,BSFC!C$63:Q$63,BSFC!B$64:Q$82,,-1))</f>
        <v>#VALUE!</v>
      </c>
      <c r="AY123" s="101">
        <f>HLOOKUP(AU123,BSFC!F$63:Q$63,1)</f>
        <v>5000</v>
      </c>
      <c r="AZ123">
        <f>IF(AT123&gt;0,MATCH(AT123,BSFC!A$64:A$83,0),IF(AT123&lt;=0,0))</f>
        <v>19</v>
      </c>
      <c r="BA123" s="101">
        <f>MATCH(AU123,BSFC!C$63:Q$63,0)</f>
        <v>10</v>
      </c>
      <c r="BB123" cm="1">
        <f t="array" ref="BB123">IF(AZ123&gt;0,INDEX(BSFC!C$64:Q$83,Data!AZ123,Data!BA123))</f>
        <v>700</v>
      </c>
      <c r="BC123" s="101">
        <f>0.5*'Vehicle Data'!C$6*Data!Z123^2</f>
        <v>18986.61548492072</v>
      </c>
      <c r="BD123" s="101">
        <f t="shared" si="55"/>
        <v>2.0483975033110036</v>
      </c>
      <c r="BE123" s="101">
        <f t="shared" si="76"/>
        <v>1433.8782523177024</v>
      </c>
      <c r="BF123" s="101">
        <f t="shared" si="77"/>
        <v>9.213181181539E-2</v>
      </c>
      <c r="BG123" s="101">
        <f t="shared" si="56"/>
        <v>31.600972163004467</v>
      </c>
      <c r="BH123">
        <f t="shared" si="79"/>
        <v>2025.2044926203205</v>
      </c>
      <c r="BI123" s="148">
        <f t="shared" si="57"/>
        <v>6871.6622130335309</v>
      </c>
      <c r="BO123">
        <f t="shared" si="58"/>
        <v>464.22681424192041</v>
      </c>
      <c r="BP123">
        <f t="shared" si="59"/>
        <v>82902.093982011487</v>
      </c>
      <c r="BQ123">
        <f t="shared" si="60"/>
        <v>143454.95238288978</v>
      </c>
      <c r="BR123" s="148">
        <f t="shared" si="61"/>
        <v>206003.15005761798</v>
      </c>
      <c r="BS123" s="156">
        <f t="shared" si="62"/>
        <v>464.22681424192041</v>
      </c>
      <c r="BT123" s="156">
        <f t="shared" si="63"/>
        <v>2025.2044926203205</v>
      </c>
      <c r="BU123">
        <f t="shared" si="64"/>
        <v>1575.1544445646234</v>
      </c>
      <c r="BV123">
        <f t="shared" si="65"/>
        <v>1575.1544445646234</v>
      </c>
      <c r="BW123" s="148">
        <f t="shared" si="66"/>
        <v>455.4</v>
      </c>
      <c r="BX123" s="148">
        <f t="shared" si="67"/>
        <v>3129354.9718154697</v>
      </c>
      <c r="BY123" s="148">
        <f t="shared" si="68"/>
        <v>0.19925703723742483</v>
      </c>
      <c r="BZ123">
        <f t="shared" si="51"/>
        <v>29.749424415145654</v>
      </c>
      <c r="CB123">
        <f t="shared" si="69"/>
        <v>1110.927630322703</v>
      </c>
      <c r="CC123" s="162">
        <f t="shared" si="52"/>
        <v>4802.7052450147785</v>
      </c>
      <c r="CD123">
        <f t="shared" si="78"/>
        <v>61816.257195702354</v>
      </c>
    </row>
    <row r="124" spans="4:82" x14ac:dyDescent="0.2">
      <c r="D124" s="22">
        <f t="shared" si="42"/>
        <v>0</v>
      </c>
      <c r="E124" s="23">
        <v>9.1017071999999999</v>
      </c>
      <c r="F124" s="23">
        <f>IF(K124&lt;6,1,IF(Data!K124&lt;9,2,IF(K124&gt;9,3)))</f>
        <v>3</v>
      </c>
      <c r="G124" s="23">
        <v>929.68629912617473</v>
      </c>
      <c r="H124" s="23">
        <v>216.96666499999998</v>
      </c>
      <c r="I124" s="64">
        <v>42.921513752878759</v>
      </c>
      <c r="J124" s="65">
        <f t="shared" si="43"/>
        <v>2.7036406435274323</v>
      </c>
      <c r="K124" s="65">
        <f t="shared" si="44"/>
        <v>17.168605501151504</v>
      </c>
      <c r="L124" s="65">
        <f t="shared" si="45"/>
        <v>1.0814562574109872</v>
      </c>
      <c r="M124">
        <f t="shared" si="46"/>
        <v>18.2034144</v>
      </c>
      <c r="N124">
        <f t="shared" si="47"/>
        <v>0</v>
      </c>
      <c r="O124">
        <f>IF(L124&lt;'Vehicle Data'!F$21,'Vehicle Data'!C$21,IF(L124&gt;'Vehicle Data'!C$21,'Vehicle Data'!C$20))</f>
        <v>0.6</v>
      </c>
      <c r="P124">
        <f>('Vehicle Data'!C$6*9.81*'Vehicle Data'!C$5*SIN(D124))/'Vehicle Data'!C$9</f>
        <v>0</v>
      </c>
      <c r="Q124" s="107">
        <f>'Vehicle Data'!C$6*9.81*SIN(D124)</f>
        <v>0</v>
      </c>
      <c r="R124">
        <f t="shared" si="41"/>
        <v>927.5287494977548</v>
      </c>
      <c r="S124">
        <f>IF(Data!O124=0.6,'Vehicle Data'!E$21,IF(Data!O124 = 0.9,'Vehicle Data'!E$20))+(P124*O124)</f>
        <v>1550.3723999999997</v>
      </c>
      <c r="T124">
        <f>IF(F124=3,'Vehicle Data'!H$16,IF(F124=2,'Vehicle Data'!H$15,IF(F124 = 1,'Vehicle Data'!G$14)))</f>
        <v>466.23005239380637</v>
      </c>
      <c r="U124" s="148">
        <f t="shared" si="48"/>
        <v>211.39026737443874</v>
      </c>
      <c r="V124" s="70" t="s">
        <v>80</v>
      </c>
      <c r="W124" s="103" t="s">
        <v>84</v>
      </c>
      <c r="X124">
        <f>IF(V124="S",'Vehicle Data'!C$14,IF(Data!V124 = "T1",'Vehicle Data'!P$2,IF(Data!V124="T2",'Vehicle Data'!P$3)))</f>
        <v>10.293104487956974</v>
      </c>
      <c r="Z124">
        <f t="shared" si="70"/>
        <v>9.4070157465116662</v>
      </c>
      <c r="AB124" t="b">
        <f>IF(AA124=1,'Vehicle Data'!I$14,IF(AA124=2,'Vehicle Data'!I$15,IF(AA124=3,'Vehicle Data'!I$16)))</f>
        <v>0</v>
      </c>
      <c r="AC124">
        <f>IF(Z124&lt;'Vehicle Data'!C$16,'Vehicle Data'!I$15,IF(Z124&lt;'Vehicle Data'!C$15,'Vehicle Data'!I$15,IF(Z123&gt;'Vehicle Data'!C$15,'Vehicle Data'!I$16)))</f>
        <v>0.46202745420001456</v>
      </c>
      <c r="AD124">
        <f>IF(O124=0.6,'Vehicle Data'!F$21,IF(O124=0.9,'Vehicle Data'!F$20))</f>
        <v>3.5315999999999996</v>
      </c>
      <c r="AE124" s="100">
        <f t="shared" si="49"/>
        <v>0.46202745420001456</v>
      </c>
      <c r="AF124" s="158">
        <f t="shared" si="71"/>
        <v>0.22922466147666815</v>
      </c>
      <c r="AG124" s="148">
        <f t="shared" si="53"/>
        <v>0.46465800271589064</v>
      </c>
      <c r="AH124" s="148">
        <f t="shared" si="72"/>
        <v>29.978649076622322</v>
      </c>
      <c r="AI124" s="101"/>
      <c r="AJ124" s="101">
        <f>(Z124^2)*'Vehicle Data'!C$31</f>
        <v>32.520789881256036</v>
      </c>
      <c r="AK124" s="101">
        <f>IF(O124=0.6,'Vehicle Data'!C$6*'Vehicle Data'!D$21*9.81,IF(O124=0.9,'Vehicle Data'!C$6*9.81*'Vehicle Data'!D$20))</f>
        <v>86.131799999999998</v>
      </c>
      <c r="AL124" s="101">
        <f t="shared" si="50"/>
        <v>118.65258988125603</v>
      </c>
      <c r="AM124" s="101"/>
      <c r="AN124" s="101">
        <f>IF(AG124&gt;0,AG124*'Vehicle Data'!C$6)</f>
        <v>203.98486319227598</v>
      </c>
      <c r="AO124" s="101">
        <f t="shared" si="54"/>
        <v>322.63745307353201</v>
      </c>
      <c r="AP124" s="101">
        <f>AO124*'Vehicle Data'!F$3</f>
        <v>82.466133005594784</v>
      </c>
      <c r="AQ124" s="101">
        <v>4</v>
      </c>
      <c r="AR124" s="101">
        <f>IF(Z124&lt;'Vehicle Data'!C$16, Z124*'Vehicle Data'!F$7*'Vehicle Data'!G$14,IF(Z124&lt;'Vehicle Data'!C$15,Z124*'Vehicle Data'!F$7*'Vehicle Data'!G$15,IF(Z124&gt;'Vehicle Data'!C$15,Z124*'Vehicle Data'!F$7*'Vehicle Data'!G$16)))</f>
        <v>81.833480257274601</v>
      </c>
      <c r="AS124" s="101">
        <f t="shared" si="73"/>
        <v>4910.0088154364757</v>
      </c>
      <c r="AT124" s="101">
        <f t="shared" si="74"/>
        <v>4</v>
      </c>
      <c r="AU124" s="101">
        <f t="shared" si="75"/>
        <v>5000</v>
      </c>
      <c r="AV124" s="101"/>
      <c r="AW124" s="101">
        <f>VLOOKUP(AT124,BSFC!A$64:A$82,1,FALSE)</f>
        <v>4</v>
      </c>
      <c r="AX124" s="101" t="e" cm="1">
        <f t="array" ref="AX124">_xlfn.XLOOKUP(AT124,BSFC!A$64:A$82,,-1,_xlfn.XLOOKUP(Data!AU124,BSFC!C$63:Q$63,BSFC!B$64:Q$82,,-1))</f>
        <v>#VALUE!</v>
      </c>
      <c r="AY124" s="101">
        <f>HLOOKUP(AU124,BSFC!F$63:Q$63,1)</f>
        <v>5000</v>
      </c>
      <c r="AZ124">
        <f>IF(AT124&gt;0,MATCH(AT124,BSFC!A$64:A$83,0),IF(AT124&lt;=0,0))</f>
        <v>19</v>
      </c>
      <c r="BA124" s="101">
        <f>MATCH(AU124,BSFC!C$63:Q$63,0)</f>
        <v>10</v>
      </c>
      <c r="BB124" cm="1">
        <f t="array" ref="BB124">IF(AZ124&gt;0,INDEX(BSFC!C$64:Q$83,Data!AZ124,Data!BA124))</f>
        <v>700</v>
      </c>
      <c r="BC124" s="101">
        <f>0.5*'Vehicle Data'!C$6*Data!Z124^2</f>
        <v>19423.981983498496</v>
      </c>
      <c r="BD124" s="101">
        <f t="shared" si="55"/>
        <v>2.0713438397193933</v>
      </c>
      <c r="BE124" s="101">
        <f t="shared" si="76"/>
        <v>1449.9406878035752</v>
      </c>
      <c r="BF124" s="101">
        <f t="shared" si="77"/>
        <v>9.2322823145283853E-2</v>
      </c>
      <c r="BG124" s="101">
        <f t="shared" si="56"/>
        <v>31.693294986149752</v>
      </c>
      <c r="BH124">
        <f t="shared" si="79"/>
        <v>2048.3975033110037</v>
      </c>
      <c r="BI124" s="148">
        <f t="shared" si="57"/>
        <v>6871.6622130335309</v>
      </c>
      <c r="BO124">
        <f t="shared" si="58"/>
        <v>464.60641484183793</v>
      </c>
      <c r="BP124">
        <f t="shared" si="59"/>
        <v>83366.700396853324</v>
      </c>
      <c r="BQ124">
        <f t="shared" si="60"/>
        <v>143919.55879773162</v>
      </c>
      <c r="BR124" s="148">
        <f t="shared" si="61"/>
        <v>207561.74322112318</v>
      </c>
      <c r="BS124" s="156">
        <f t="shared" si="62"/>
        <v>464.60641484183793</v>
      </c>
      <c r="BT124" s="156">
        <f t="shared" si="63"/>
        <v>2048.3975033110037</v>
      </c>
      <c r="BU124">
        <f t="shared" si="64"/>
        <v>1558.5931635051941</v>
      </c>
      <c r="BV124">
        <f t="shared" si="65"/>
        <v>1558.5931635051941</v>
      </c>
      <c r="BW124" s="148">
        <f t="shared" si="66"/>
        <v>455.4</v>
      </c>
      <c r="BX124" s="148">
        <f t="shared" si="67"/>
        <v>3129354.9718154697</v>
      </c>
      <c r="BY124" s="148">
        <f t="shared" si="68"/>
        <v>0.19716203518340703</v>
      </c>
      <c r="BZ124">
        <f t="shared" si="51"/>
        <v>29.978649076622322</v>
      </c>
      <c r="CB124">
        <f t="shared" si="69"/>
        <v>1093.9867486633561</v>
      </c>
      <c r="CC124" s="162">
        <f t="shared" si="52"/>
        <v>4772.5525762188181</v>
      </c>
      <c r="CD124">
        <f t="shared" si="78"/>
        <v>62910.243944365713</v>
      </c>
    </row>
    <row r="125" spans="4:82" x14ac:dyDescent="0.2">
      <c r="D125" s="22">
        <f t="shared" si="42"/>
        <v>0</v>
      </c>
      <c r="E125" s="23">
        <v>9.1017071999999999</v>
      </c>
      <c r="F125" s="23">
        <f>IF(K125&lt;6,1,IF(Data!K125&lt;9,2,IF(K125&gt;9,3)))</f>
        <v>3</v>
      </c>
      <c r="G125" s="23">
        <v>931.84599611269982</v>
      </c>
      <c r="H125" s="23">
        <v>217.01666499999999</v>
      </c>
      <c r="I125" s="64">
        <v>43.056695785055162</v>
      </c>
      <c r="J125" s="65">
        <f t="shared" si="43"/>
        <v>2.1855252070232472</v>
      </c>
      <c r="K125" s="65">
        <f t="shared" si="44"/>
        <v>17.222678314022065</v>
      </c>
      <c r="L125" s="65">
        <f t="shared" si="45"/>
        <v>0.87421008280928469</v>
      </c>
      <c r="M125">
        <f t="shared" si="46"/>
        <v>18.2034144</v>
      </c>
      <c r="N125">
        <f t="shared" si="47"/>
        <v>0</v>
      </c>
      <c r="O125">
        <f>IF(L125&lt;'Vehicle Data'!F$21,'Vehicle Data'!C$21,IF(L125&gt;'Vehicle Data'!C$21,'Vehicle Data'!C$20))</f>
        <v>0.6</v>
      </c>
      <c r="P125">
        <f>('Vehicle Data'!C$6*9.81*'Vehicle Data'!C$5*SIN(D125))/'Vehicle Data'!C$9</f>
        <v>0</v>
      </c>
      <c r="Q125" s="107">
        <f>'Vehicle Data'!C$6*9.81*SIN(D125)</f>
        <v>0</v>
      </c>
      <c r="R125">
        <f t="shared" si="41"/>
        <v>929.68629912617473</v>
      </c>
      <c r="S125">
        <f>IF(Data!O125=0.6,'Vehicle Data'!E$21,IF(Data!O125 = 0.9,'Vehicle Data'!E$20))+(P125*O125)</f>
        <v>1550.3723999999997</v>
      </c>
      <c r="T125">
        <f>IF(F125=3,'Vehicle Data'!H$16,IF(F125=2,'Vehicle Data'!H$15,IF(F125 = 1,'Vehicle Data'!G$14)))</f>
        <v>466.23005239380637</v>
      </c>
      <c r="U125" s="148">
        <f t="shared" si="48"/>
        <v>213.54781700285866</v>
      </c>
      <c r="V125" s="70" t="s">
        <v>80</v>
      </c>
      <c r="W125" s="103" t="s">
        <v>84</v>
      </c>
      <c r="X125">
        <f>IF(V125="S",'Vehicle Data'!C$14,IF(Data!V125 = "T1",'Vehicle Data'!P$2,IF(Data!V125="T2",'Vehicle Data'!P$3)))</f>
        <v>10.293104487956974</v>
      </c>
      <c r="Z125">
        <f t="shared" si="70"/>
        <v>9.5123939983253702</v>
      </c>
      <c r="AB125" t="b">
        <f>IF(AA125=1,'Vehicle Data'!I$14,IF(AA125=2,'Vehicle Data'!I$15,IF(AA125=3,'Vehicle Data'!I$16)))</f>
        <v>0</v>
      </c>
      <c r="AC125">
        <f>IF(Z125&lt;'Vehicle Data'!C$16,'Vehicle Data'!I$15,IF(Z125&lt;'Vehicle Data'!C$15,'Vehicle Data'!I$15,IF(Z124&gt;'Vehicle Data'!C$15,'Vehicle Data'!I$16)))</f>
        <v>0.46202745420001456</v>
      </c>
      <c r="AD125">
        <f>IF(O125=0.6,'Vehicle Data'!F$21,IF(O125=0.9,'Vehicle Data'!F$20))</f>
        <v>3.5315999999999996</v>
      </c>
      <c r="AE125" s="100">
        <f t="shared" si="49"/>
        <v>0.46202745420001456</v>
      </c>
      <c r="AF125" s="158">
        <f t="shared" si="71"/>
        <v>0.22681457778134079</v>
      </c>
      <c r="AG125" s="148">
        <f t="shared" si="53"/>
        <v>0.46460087726501137</v>
      </c>
      <c r="AH125" s="148">
        <f t="shared" si="72"/>
        <v>30.205463654403662</v>
      </c>
      <c r="AI125" s="101"/>
      <c r="AJ125" s="101">
        <f>(Z125^2)*'Vehicle Data'!C$31</f>
        <v>33.253472545420884</v>
      </c>
      <c r="AK125" s="101">
        <f>IF(O125=0.6,'Vehicle Data'!C$6*'Vehicle Data'!D$21*9.81,IF(O125=0.9,'Vehicle Data'!C$6*9.81*'Vehicle Data'!D$20))</f>
        <v>86.131799999999998</v>
      </c>
      <c r="AL125" s="101">
        <f t="shared" si="50"/>
        <v>119.38527254542089</v>
      </c>
      <c r="AM125" s="101"/>
      <c r="AN125" s="101">
        <f>IF(AG125&gt;0,AG125*'Vehicle Data'!C$6)</f>
        <v>203.95978511933998</v>
      </c>
      <c r="AO125" s="101">
        <f t="shared" si="54"/>
        <v>323.34505766476087</v>
      </c>
      <c r="AP125" s="101">
        <f>AO125*'Vehicle Data'!F$3</f>
        <v>82.646996739112879</v>
      </c>
      <c r="AQ125" s="101">
        <v>4</v>
      </c>
      <c r="AR125" s="101">
        <f>IF(Z125&lt;'Vehicle Data'!C$16, Z125*'Vehicle Data'!F$7*'Vehicle Data'!G$14,IF(Z125&lt;'Vehicle Data'!C$15,Z125*'Vehicle Data'!F$7*'Vehicle Data'!G$15,IF(Z125&gt;'Vehicle Data'!C$15,Z125*'Vehicle Data'!F$7*'Vehicle Data'!G$16)))</f>
        <v>82.750186396789744</v>
      </c>
      <c r="AS125" s="101">
        <f t="shared" si="73"/>
        <v>4965.0111838073844</v>
      </c>
      <c r="AT125" s="101">
        <f t="shared" si="74"/>
        <v>4</v>
      </c>
      <c r="AU125" s="101">
        <f t="shared" si="75"/>
        <v>5000</v>
      </c>
      <c r="AV125" s="101"/>
      <c r="AW125" s="101">
        <f>VLOOKUP(AT125,BSFC!A$64:A$82,1,FALSE)</f>
        <v>4</v>
      </c>
      <c r="AX125" s="101" t="e" cm="1">
        <f t="array" ref="AX125">_xlfn.XLOOKUP(AT125,BSFC!A$64:A$82,,-1,_xlfn.XLOOKUP(Data!AU125,BSFC!C$63:Q$63,BSFC!B$64:Q$82,,-1))</f>
        <v>#VALUE!</v>
      </c>
      <c r="AY125" s="101">
        <f>HLOOKUP(AU125,BSFC!F$63:Q$63,1)</f>
        <v>5000</v>
      </c>
      <c r="AZ125">
        <f>IF(AT125&gt;0,MATCH(AT125,BSFC!A$64:A$83,0),IF(AT125&lt;=0,0))</f>
        <v>19</v>
      </c>
      <c r="BA125" s="101">
        <f>MATCH(AU125,BSFC!C$63:Q$63,0)</f>
        <v>10</v>
      </c>
      <c r="BB125" cm="1">
        <f t="array" ref="BB125">IF(AZ125&gt;0,INDEX(BSFC!C$64:Q$83,Data!AZ125,Data!BA125))</f>
        <v>700</v>
      </c>
      <c r="BC125" s="101">
        <f>0.5*'Vehicle Data'!C$6*Data!Z125^2</f>
        <v>19861.597887673146</v>
      </c>
      <c r="BD125" s="101">
        <f t="shared" si="55"/>
        <v>2.0940612119863395</v>
      </c>
      <c r="BE125" s="101">
        <f t="shared" si="76"/>
        <v>1465.8428483904377</v>
      </c>
      <c r="BF125" s="101">
        <f t="shared" si="77"/>
        <v>9.2354035208743065E-2</v>
      </c>
      <c r="BG125" s="101">
        <f t="shared" si="56"/>
        <v>31.785649021358495</v>
      </c>
      <c r="BH125">
        <f t="shared" si="79"/>
        <v>2071.3438397193931</v>
      </c>
      <c r="BI125" s="148">
        <f t="shared" si="57"/>
        <v>6871.6622130335309</v>
      </c>
      <c r="BO125">
        <f t="shared" si="58"/>
        <v>465.17676453648255</v>
      </c>
      <c r="BP125">
        <f t="shared" si="59"/>
        <v>83831.877161389813</v>
      </c>
      <c r="BQ125">
        <f t="shared" si="60"/>
        <v>144384.73556226809</v>
      </c>
      <c r="BR125" s="148">
        <f t="shared" si="61"/>
        <v>209104.96242691163</v>
      </c>
      <c r="BS125" s="156">
        <f t="shared" si="62"/>
        <v>465.17676453648255</v>
      </c>
      <c r="BT125" s="156">
        <f t="shared" si="63"/>
        <v>2071.3438397193931</v>
      </c>
      <c r="BU125">
        <f t="shared" si="64"/>
        <v>1543.2192057884417</v>
      </c>
      <c r="BV125">
        <f t="shared" si="65"/>
        <v>1543.2192057884417</v>
      </c>
      <c r="BW125" s="148">
        <f t="shared" si="66"/>
        <v>455.4</v>
      </c>
      <c r="BX125" s="148">
        <f t="shared" si="67"/>
        <v>3129354.9718154697</v>
      </c>
      <c r="BY125" s="148">
        <f t="shared" si="68"/>
        <v>0.19521722953223786</v>
      </c>
      <c r="BZ125">
        <f t="shared" si="51"/>
        <v>30.205463654403662</v>
      </c>
      <c r="CB125">
        <f t="shared" si="69"/>
        <v>1078.0424412519592</v>
      </c>
      <c r="CC125" s="162">
        <f t="shared" si="52"/>
        <v>4752.9680490433129</v>
      </c>
      <c r="CD125">
        <f t="shared" si="78"/>
        <v>63988.28638561767</v>
      </c>
    </row>
    <row r="126" spans="4:82" x14ac:dyDescent="0.2">
      <c r="D126" s="22">
        <f t="shared" si="42"/>
        <v>0</v>
      </c>
      <c r="E126" s="23">
        <v>9.1017071999999999</v>
      </c>
      <c r="F126" s="23">
        <f>IF(K126&lt;6,1,IF(Data!K126&lt;9,2,IF(K126&gt;9,3)))</f>
        <v>3</v>
      </c>
      <c r="G126" s="23">
        <v>934.008766680279</v>
      </c>
      <c r="H126" s="23">
        <v>217.066665</v>
      </c>
      <c r="I126" s="64">
        <v>43.165972045406349</v>
      </c>
      <c r="J126" s="65">
        <f t="shared" si="43"/>
        <v>2.0914105283789324</v>
      </c>
      <c r="K126" s="65">
        <f t="shared" si="44"/>
        <v>17.26638881816254</v>
      </c>
      <c r="L126" s="65">
        <f t="shared" si="45"/>
        <v>0.83656421135160142</v>
      </c>
      <c r="M126">
        <f t="shared" si="46"/>
        <v>18.2034144</v>
      </c>
      <c r="N126">
        <f t="shared" si="47"/>
        <v>0</v>
      </c>
      <c r="O126">
        <f>IF(L126&lt;'Vehicle Data'!F$21,'Vehicle Data'!C$21,IF(L126&gt;'Vehicle Data'!C$21,'Vehicle Data'!C$20))</f>
        <v>0.6</v>
      </c>
      <c r="P126">
        <f>('Vehicle Data'!C$6*9.81*'Vehicle Data'!C$5*SIN(D126))/'Vehicle Data'!C$9</f>
        <v>0</v>
      </c>
      <c r="Q126" s="107">
        <f>'Vehicle Data'!C$6*9.81*SIN(D126)</f>
        <v>0</v>
      </c>
      <c r="R126">
        <f t="shared" si="41"/>
        <v>931.84599611269982</v>
      </c>
      <c r="S126">
        <f>IF(Data!O126=0.6,'Vehicle Data'!E$21,IF(Data!O126 = 0.9,'Vehicle Data'!E$20))+(P126*O126)</f>
        <v>1550.3723999999997</v>
      </c>
      <c r="T126">
        <f>IF(F126=3,'Vehicle Data'!H$16,IF(F126=2,'Vehicle Data'!H$15,IF(F126 = 1,'Vehicle Data'!G$14)))</f>
        <v>466.23005239380637</v>
      </c>
      <c r="U126" s="148">
        <f t="shared" si="48"/>
        <v>215.70751398938376</v>
      </c>
      <c r="V126" s="70" t="s">
        <v>80</v>
      </c>
      <c r="W126" s="103" t="s">
        <v>84</v>
      </c>
      <c r="X126">
        <f>IF(V126="S",'Vehicle Data'!C$14,IF(Data!V126 = "T1",'Vehicle Data'!P$2,IF(Data!V126="T2",'Vehicle Data'!P$3)))</f>
        <v>10.293104487956974</v>
      </c>
      <c r="Z126">
        <f t="shared" si="70"/>
        <v>9.6167207602400406</v>
      </c>
      <c r="AB126" t="b">
        <f>IF(AA126=1,'Vehicle Data'!I$14,IF(AA126=2,'Vehicle Data'!I$15,IF(AA126=3,'Vehicle Data'!I$16)))</f>
        <v>0</v>
      </c>
      <c r="AC126">
        <f>IF(Z126&lt;'Vehicle Data'!C$16,'Vehicle Data'!I$15,IF(Z126&lt;'Vehicle Data'!C$15,'Vehicle Data'!I$15,IF(Z125&gt;'Vehicle Data'!C$15,'Vehicle Data'!I$16)))</f>
        <v>0.46202745420001456</v>
      </c>
      <c r="AD126">
        <f>IF(O126=0.6,'Vehicle Data'!F$21,IF(O126=0.9,'Vehicle Data'!F$20))</f>
        <v>3.5315999999999996</v>
      </c>
      <c r="AE126" s="100">
        <f t="shared" si="49"/>
        <v>0.46202745420001456</v>
      </c>
      <c r="AF126" s="158">
        <f t="shared" si="71"/>
        <v>0.22457727954983103</v>
      </c>
      <c r="AG126" s="148">
        <f t="shared" si="53"/>
        <v>0.46454726909060057</v>
      </c>
      <c r="AH126" s="148">
        <f t="shared" si="72"/>
        <v>30.430040933953492</v>
      </c>
      <c r="AI126" s="101"/>
      <c r="AJ126" s="101">
        <f>(Z126^2)*'Vehicle Data'!C$31</f>
        <v>33.986884431308688</v>
      </c>
      <c r="AK126" s="101">
        <f>IF(O126=0.6,'Vehicle Data'!C$6*'Vehicle Data'!D$21*9.81,IF(O126=0.9,'Vehicle Data'!C$6*9.81*'Vehicle Data'!D$20))</f>
        <v>86.131799999999998</v>
      </c>
      <c r="AL126" s="101">
        <f t="shared" si="50"/>
        <v>120.11868443130868</v>
      </c>
      <c r="AM126" s="101"/>
      <c r="AN126" s="101">
        <f>IF(AG126&gt;0,AG126*'Vehicle Data'!C$6)</f>
        <v>203.93625113077366</v>
      </c>
      <c r="AO126" s="101">
        <f t="shared" si="54"/>
        <v>324.05493556208233</v>
      </c>
      <c r="AP126" s="101">
        <f>AO126*'Vehicle Data'!F$3</f>
        <v>82.82844152966824</v>
      </c>
      <c r="AQ126" s="101">
        <v>4</v>
      </c>
      <c r="AR126" s="101">
        <f>IF(Z126&lt;'Vehicle Data'!C$16, Z126*'Vehicle Data'!F$7*'Vehicle Data'!G$14,IF(Z126&lt;'Vehicle Data'!C$15,Z126*'Vehicle Data'!F$7*'Vehicle Data'!G$15,IF(Z126&gt;'Vehicle Data'!C$15,Z126*'Vehicle Data'!F$7*'Vehicle Data'!G$16)))</f>
        <v>83.657745418854262</v>
      </c>
      <c r="AS126" s="101">
        <f t="shared" si="73"/>
        <v>5019.4647251312554</v>
      </c>
      <c r="AT126" s="101">
        <f t="shared" si="74"/>
        <v>4</v>
      </c>
      <c r="AU126" s="101">
        <f t="shared" si="75"/>
        <v>5000</v>
      </c>
      <c r="AV126" s="101"/>
      <c r="AW126" s="101">
        <f>VLOOKUP(AT126,BSFC!A$64:A$82,1,FALSE)</f>
        <v>4</v>
      </c>
      <c r="AX126" s="101" t="e" cm="1">
        <f t="array" ref="AX126">_xlfn.XLOOKUP(AT126,BSFC!A$64:A$82,,-1,_xlfn.XLOOKUP(Data!AU126,BSFC!C$63:Q$63,BSFC!B$64:Q$82,,-1))</f>
        <v>#VALUE!</v>
      </c>
      <c r="AY126" s="101">
        <f>HLOOKUP(AU126,BSFC!F$63:Q$63,1)</f>
        <v>5000</v>
      </c>
      <c r="AZ126">
        <f>IF(AT126&gt;0,MATCH(AT126,BSFC!A$64:A$83,0),IF(AT126&lt;=0,0))</f>
        <v>19</v>
      </c>
      <c r="BA126" s="101">
        <f>MATCH(AU126,BSFC!C$63:Q$63,0)</f>
        <v>10</v>
      </c>
      <c r="BB126" cm="1">
        <f t="array" ref="BB126">IF(AZ126&gt;0,INDEX(BSFC!C$64:Q$83,Data!AZ126,Data!BA126))</f>
        <v>700</v>
      </c>
      <c r="BC126" s="101">
        <f>0.5*'Vehicle Data'!C$6*Data!Z126^2</f>
        <v>20299.649340604778</v>
      </c>
      <c r="BD126" s="101">
        <f t="shared" si="55"/>
        <v>2.1165665795357103</v>
      </c>
      <c r="BE126" s="101">
        <f t="shared" si="76"/>
        <v>1481.5966056749971</v>
      </c>
      <c r="BF126" s="101">
        <f t="shared" si="77"/>
        <v>9.2425815303542949E-2</v>
      </c>
      <c r="BG126" s="101">
        <f t="shared" si="56"/>
        <v>31.878074836662037</v>
      </c>
      <c r="BH126">
        <f t="shared" si="79"/>
        <v>2094.0612119863395</v>
      </c>
      <c r="BI126" s="148">
        <f t="shared" si="57"/>
        <v>6871.6622130335309</v>
      </c>
      <c r="BO126">
        <f t="shared" si="58"/>
        <v>465.94027936135001</v>
      </c>
      <c r="BP126">
        <f t="shared" si="59"/>
        <v>84297.817440751169</v>
      </c>
      <c r="BQ126">
        <f t="shared" si="60"/>
        <v>144850.67584162945</v>
      </c>
      <c r="BR126" s="148">
        <f t="shared" si="61"/>
        <v>210633.94553060067</v>
      </c>
      <c r="BS126" s="156">
        <f t="shared" si="62"/>
        <v>465.94027936135001</v>
      </c>
      <c r="BT126" s="156">
        <f t="shared" si="63"/>
        <v>2094.0612119863395</v>
      </c>
      <c r="BU126">
        <f t="shared" si="64"/>
        <v>1528.9831036890257</v>
      </c>
      <c r="BV126">
        <f t="shared" si="65"/>
        <v>1528.9831036890257</v>
      </c>
      <c r="BW126" s="148">
        <f t="shared" si="66"/>
        <v>455.4</v>
      </c>
      <c r="BX126" s="148">
        <f t="shared" si="67"/>
        <v>3129354.9718154697</v>
      </c>
      <c r="BY126" s="148">
        <f t="shared" si="68"/>
        <v>0.19341636261666173</v>
      </c>
      <c r="BZ126">
        <f t="shared" si="51"/>
        <v>30.430040933953492</v>
      </c>
      <c r="CB126">
        <f t="shared" si="69"/>
        <v>1063.0428243276756</v>
      </c>
      <c r="CC126" s="162">
        <f t="shared" si="52"/>
        <v>4733.5279261489222</v>
      </c>
      <c r="CD126">
        <f t="shared" si="78"/>
        <v>65051.329209945347</v>
      </c>
    </row>
    <row r="127" spans="4:82" x14ac:dyDescent="0.2">
      <c r="D127" s="22">
        <f t="shared" si="42"/>
        <v>0</v>
      </c>
      <c r="E127" s="23">
        <v>9.1017071999999999</v>
      </c>
      <c r="F127" s="23">
        <f>IF(K127&lt;6,1,IF(Data!K127&lt;9,2,IF(K127&gt;9,3)))</f>
        <v>3</v>
      </c>
      <c r="G127" s="23">
        <v>936.17337724785693</v>
      </c>
      <c r="H127" s="23">
        <v>217.11666499999998</v>
      </c>
      <c r="I127" s="64">
        <v>43.27054257182526</v>
      </c>
      <c r="J127" s="65">
        <f t="shared" si="43"/>
        <v>2.4017162400976355</v>
      </c>
      <c r="K127" s="65">
        <f t="shared" si="44"/>
        <v>17.308217028730105</v>
      </c>
      <c r="L127" s="65">
        <f t="shared" si="45"/>
        <v>0.96068649603899747</v>
      </c>
      <c r="M127">
        <f t="shared" si="46"/>
        <v>18.2034144</v>
      </c>
      <c r="N127">
        <f t="shared" si="47"/>
        <v>0</v>
      </c>
      <c r="O127">
        <f>IF(L127&lt;'Vehicle Data'!F$21,'Vehicle Data'!C$21,IF(L127&gt;'Vehicle Data'!C$21,'Vehicle Data'!C$20))</f>
        <v>0.6</v>
      </c>
      <c r="P127">
        <f>('Vehicle Data'!C$6*9.81*'Vehicle Data'!C$5*SIN(D127))/'Vehicle Data'!C$9</f>
        <v>0</v>
      </c>
      <c r="Q127" s="107">
        <f>'Vehicle Data'!C$6*9.81*SIN(D127)</f>
        <v>0</v>
      </c>
      <c r="R127">
        <f t="shared" si="41"/>
        <v>934.008766680279</v>
      </c>
      <c r="S127">
        <f>IF(Data!O127=0.6,'Vehicle Data'!E$21,IF(Data!O127 = 0.9,'Vehicle Data'!E$20))+(P127*O127)</f>
        <v>1550.3723999999997</v>
      </c>
      <c r="T127">
        <f>IF(F127=3,'Vehicle Data'!H$16,IF(F127=2,'Vehicle Data'!H$15,IF(F127 = 1,'Vehicle Data'!G$14)))</f>
        <v>466.23005239380637</v>
      </c>
      <c r="U127" s="148">
        <f t="shared" si="48"/>
        <v>217.87028455696293</v>
      </c>
      <c r="V127" s="70" t="s">
        <v>80</v>
      </c>
      <c r="W127" s="103" t="s">
        <v>84</v>
      </c>
      <c r="X127">
        <f>IF(V127="S",'Vehicle Data'!C$14,IF(Data!V127 = "T1",'Vehicle Data'!P$2,IF(Data!V127="T2",'Vehicle Data'!P$3)))</f>
        <v>10.293104487956974</v>
      </c>
      <c r="Z127">
        <f t="shared" si="70"/>
        <v>9.7200739163417076</v>
      </c>
      <c r="AB127" t="b">
        <f>IF(AA127=1,'Vehicle Data'!I$14,IF(AA127=2,'Vehicle Data'!I$15,IF(AA127=3,'Vehicle Data'!I$16)))</f>
        <v>0</v>
      </c>
      <c r="AC127">
        <f>IF(Z127&lt;'Vehicle Data'!C$16,'Vehicle Data'!I$15,IF(Z127&lt;'Vehicle Data'!C$15,'Vehicle Data'!I$15,IF(Z126&gt;'Vehicle Data'!C$15,'Vehicle Data'!I$16)))</f>
        <v>0.46202745420001456</v>
      </c>
      <c r="AD127">
        <f>IF(O127=0.6,'Vehicle Data'!F$21,IF(O127=0.9,'Vehicle Data'!F$20))</f>
        <v>3.5315999999999996</v>
      </c>
      <c r="AE127" s="100">
        <f t="shared" si="49"/>
        <v>0.46202745420001456</v>
      </c>
      <c r="AF127" s="158">
        <f t="shared" si="71"/>
        <v>0.22250556798164386</v>
      </c>
      <c r="AG127" s="148">
        <f t="shared" si="53"/>
        <v>0.46449694288186677</v>
      </c>
      <c r="AH127" s="148">
        <f t="shared" si="72"/>
        <v>30.652546501935134</v>
      </c>
      <c r="AI127" s="101"/>
      <c r="AJ127" s="101">
        <f>(Z127^2)*'Vehicle Data'!C$31</f>
        <v>34.721340075136318</v>
      </c>
      <c r="AK127" s="101">
        <f>IF(O127=0.6,'Vehicle Data'!C$6*'Vehicle Data'!D$21*9.81,IF(O127=0.9,'Vehicle Data'!C$6*9.81*'Vehicle Data'!D$20))</f>
        <v>86.131799999999998</v>
      </c>
      <c r="AL127" s="101">
        <f t="shared" si="50"/>
        <v>120.85314007513631</v>
      </c>
      <c r="AM127" s="101"/>
      <c r="AN127" s="101">
        <f>IF(AG127&gt;0,AG127*'Vehicle Data'!C$6)</f>
        <v>203.91415792513951</v>
      </c>
      <c r="AO127" s="101">
        <f t="shared" si="54"/>
        <v>324.76729800027579</v>
      </c>
      <c r="AP127" s="101">
        <f>AO127*'Vehicle Data'!F$3</f>
        <v>83.010521368870485</v>
      </c>
      <c r="AQ127" s="101">
        <v>4</v>
      </c>
      <c r="AR127" s="101">
        <f>IF(Z127&lt;'Vehicle Data'!C$16, Z127*'Vehicle Data'!F$7*'Vehicle Data'!G$14,IF(Z127&lt;'Vehicle Data'!C$15,Z127*'Vehicle Data'!F$7*'Vehicle Data'!G$15,IF(Z127&gt;'Vehicle Data'!C$15,Z127*'Vehicle Data'!F$7*'Vehicle Data'!G$16)))</f>
        <v>84.55683485245163</v>
      </c>
      <c r="AS127" s="101">
        <f t="shared" si="73"/>
        <v>5073.4100911470978</v>
      </c>
      <c r="AT127" s="101">
        <f t="shared" si="74"/>
        <v>4</v>
      </c>
      <c r="AU127" s="101">
        <f t="shared" si="75"/>
        <v>5000</v>
      </c>
      <c r="AV127" s="101"/>
      <c r="AW127" s="101">
        <f>VLOOKUP(AT127,BSFC!A$64:A$82,1,FALSE)</f>
        <v>4</v>
      </c>
      <c r="AX127" s="101" t="e" cm="1">
        <f t="array" ref="AX127">_xlfn.XLOOKUP(AT127,BSFC!A$64:A$82,,-1,_xlfn.XLOOKUP(Data!AU127,BSFC!C$63:Q$63,BSFC!B$64:Q$82,,-1))</f>
        <v>#VALUE!</v>
      </c>
      <c r="AY127" s="101">
        <f>HLOOKUP(AU127,BSFC!F$63:Q$63,1)</f>
        <v>5000</v>
      </c>
      <c r="AZ127">
        <f>IF(AT127&gt;0,MATCH(AT127,BSFC!A$64:A$83,0),IF(AT127&lt;=0,0))</f>
        <v>19</v>
      </c>
      <c r="BA127" s="101">
        <f>MATCH(AU127,BSFC!C$63:Q$63,0)</f>
        <v>10</v>
      </c>
      <c r="BB127" cm="1">
        <f t="array" ref="BB127">IF(AZ127&gt;0,INDEX(BSFC!C$64:Q$83,Data!AZ127,Data!BA127))</f>
        <v>700</v>
      </c>
      <c r="BC127" s="101">
        <f>0.5*'Vehicle Data'!C$6*Data!Z127^2</f>
        <v>20738.32420814264</v>
      </c>
      <c r="BD127" s="101">
        <f t="shared" si="55"/>
        <v>2.1388539995083331</v>
      </c>
      <c r="BE127" s="101">
        <f t="shared" si="76"/>
        <v>1497.1977996558333</v>
      </c>
      <c r="BF127" s="101">
        <f t="shared" si="77"/>
        <v>9.253745744258017E-2</v>
      </c>
      <c r="BG127" s="101">
        <f t="shared" si="56"/>
        <v>31.970612294104619</v>
      </c>
      <c r="BH127">
        <f t="shared" si="79"/>
        <v>2116.5665795357104</v>
      </c>
      <c r="BI127" s="148">
        <f t="shared" si="57"/>
        <v>6871.6622130335309</v>
      </c>
      <c r="BO127">
        <f t="shared" si="58"/>
        <v>466.43693762865689</v>
      </c>
      <c r="BP127">
        <f t="shared" si="59"/>
        <v>84764.254378379832</v>
      </c>
      <c r="BQ127">
        <f t="shared" si="60"/>
        <v>145317.11277925811</v>
      </c>
      <c r="BR127" s="148">
        <f t="shared" si="61"/>
        <v>212148.28347302866</v>
      </c>
      <c r="BS127" s="156">
        <f t="shared" si="62"/>
        <v>466.43693762865689</v>
      </c>
      <c r="BT127" s="156">
        <f t="shared" si="63"/>
        <v>2116.5665795357104</v>
      </c>
      <c r="BU127">
        <f t="shared" si="64"/>
        <v>1514.3379424279726</v>
      </c>
      <c r="BV127">
        <f t="shared" si="65"/>
        <v>1514.3379424279726</v>
      </c>
      <c r="BW127" s="148">
        <f t="shared" si="66"/>
        <v>455.4</v>
      </c>
      <c r="BX127" s="148">
        <f t="shared" si="67"/>
        <v>3129354.9718154697</v>
      </c>
      <c r="BY127" s="148">
        <f t="shared" si="68"/>
        <v>0.19156374971713849</v>
      </c>
      <c r="BZ127">
        <f t="shared" si="51"/>
        <v>30.652546501935134</v>
      </c>
      <c r="CB127">
        <f t="shared" si="69"/>
        <v>1047.9010047993156</v>
      </c>
      <c r="CC127" s="162">
        <f t="shared" si="52"/>
        <v>4709.5495825334719</v>
      </c>
      <c r="CD127">
        <f t="shared" si="78"/>
        <v>66099.230214744661</v>
      </c>
    </row>
    <row r="128" spans="4:82" x14ac:dyDescent="0.2">
      <c r="D128" s="22">
        <f t="shared" si="42"/>
        <v>0</v>
      </c>
      <c r="E128" s="23">
        <v>9.1017071999999999</v>
      </c>
      <c r="F128" s="23">
        <f>IF(K128&lt;6,1,IF(Data!K128&lt;9,2,IF(K128&gt;9,3)))</f>
        <v>3</v>
      </c>
      <c r="G128" s="23">
        <v>938.33968480196063</v>
      </c>
      <c r="H128" s="23">
        <v>217.16666499999999</v>
      </c>
      <c r="I128" s="64">
        <v>43.390628383830169</v>
      </c>
      <c r="J128" s="65">
        <f t="shared" si="43"/>
        <v>2.4581623846476788</v>
      </c>
      <c r="K128" s="65">
        <f t="shared" si="44"/>
        <v>17.356251353532066</v>
      </c>
      <c r="L128" s="65">
        <f t="shared" si="45"/>
        <v>0.98326495385909995</v>
      </c>
      <c r="M128">
        <f t="shared" si="46"/>
        <v>18.2034144</v>
      </c>
      <c r="N128">
        <f t="shared" si="47"/>
        <v>0</v>
      </c>
      <c r="O128">
        <f>IF(L128&lt;'Vehicle Data'!F$21,'Vehicle Data'!C$21,IF(L128&gt;'Vehicle Data'!C$21,'Vehicle Data'!C$20))</f>
        <v>0.6</v>
      </c>
      <c r="P128">
        <f>('Vehicle Data'!C$6*9.81*'Vehicle Data'!C$5*SIN(D128))/'Vehicle Data'!C$9</f>
        <v>0</v>
      </c>
      <c r="Q128" s="107">
        <f>'Vehicle Data'!C$6*9.81*SIN(D128)</f>
        <v>0</v>
      </c>
      <c r="R128">
        <f t="shared" si="41"/>
        <v>936.17337724785693</v>
      </c>
      <c r="S128">
        <f>IF(Data!O128=0.6,'Vehicle Data'!E$21,IF(Data!O128 = 0.9,'Vehicle Data'!E$20))+(P128*O128)</f>
        <v>1550.3723999999997</v>
      </c>
      <c r="T128">
        <f>IF(F128=3,'Vehicle Data'!H$16,IF(F128=2,'Vehicle Data'!H$15,IF(F128 = 1,'Vehicle Data'!G$14)))</f>
        <v>466.23005239380637</v>
      </c>
      <c r="U128" s="148">
        <f t="shared" si="48"/>
        <v>220.03489512454087</v>
      </c>
      <c r="V128" s="70" t="s">
        <v>80</v>
      </c>
      <c r="W128" s="103" t="s">
        <v>84</v>
      </c>
      <c r="X128">
        <f>IF(V128="S",'Vehicle Data'!C$14,IF(Data!V128 = "T1",'Vehicle Data'!P$2,IF(Data!V128="T2",'Vehicle Data'!P$3)))</f>
        <v>10.293104487956974</v>
      </c>
      <c r="Z128">
        <f t="shared" si="70"/>
        <v>9.8224261747743054</v>
      </c>
      <c r="AB128" t="b">
        <f>IF(AA128=1,'Vehicle Data'!I$14,IF(AA128=2,'Vehicle Data'!I$15,IF(AA128=3,'Vehicle Data'!I$16)))</f>
        <v>0</v>
      </c>
      <c r="AC128">
        <f>IF(Z128&lt;'Vehicle Data'!C$16,'Vehicle Data'!I$15,IF(Z128&lt;'Vehicle Data'!C$15,'Vehicle Data'!I$15,IF(Z127&gt;'Vehicle Data'!C$15,'Vehicle Data'!I$16)))</f>
        <v>0.46202745420001456</v>
      </c>
      <c r="AD128">
        <f>IF(O128=0.6,'Vehicle Data'!F$21,IF(O128=0.9,'Vehicle Data'!F$20))</f>
        <v>3.5315999999999996</v>
      </c>
      <c r="AE128" s="100">
        <f t="shared" si="49"/>
        <v>0.46202745420001456</v>
      </c>
      <c r="AF128" s="158">
        <f t="shared" si="71"/>
        <v>0.22037432799821227</v>
      </c>
      <c r="AG128" s="148">
        <f t="shared" si="53"/>
        <v>0.46444728549973419</v>
      </c>
      <c r="AH128" s="148">
        <f t="shared" si="72"/>
        <v>30.872920829933346</v>
      </c>
      <c r="AI128" s="101"/>
      <c r="AJ128" s="101">
        <f>(Z128^2)*'Vehicle Data'!C$31</f>
        <v>35.456420564892596</v>
      </c>
      <c r="AK128" s="101">
        <f>IF(O128=0.6,'Vehicle Data'!C$6*'Vehicle Data'!D$21*9.81,IF(O128=0.9,'Vehicle Data'!C$6*9.81*'Vehicle Data'!D$20))</f>
        <v>86.131799999999998</v>
      </c>
      <c r="AL128" s="101">
        <f t="shared" si="50"/>
        <v>121.58822056489259</v>
      </c>
      <c r="AM128" s="101"/>
      <c r="AN128" s="101">
        <f>IF(AG128&gt;0,AG128*'Vehicle Data'!C$6)</f>
        <v>203.89235833438332</v>
      </c>
      <c r="AO128" s="101">
        <f t="shared" si="54"/>
        <v>325.48057889927588</v>
      </c>
      <c r="AP128" s="101">
        <f>AO128*'Vehicle Data'!F$3</f>
        <v>83.192835966654911</v>
      </c>
      <c r="AQ128" s="101">
        <v>4</v>
      </c>
      <c r="AR128" s="101">
        <f>IF(Z128&lt;'Vehicle Data'!C$16, Z128*'Vehicle Data'!F$7*'Vehicle Data'!G$14,IF(Z128&lt;'Vehicle Data'!C$15,Z128*'Vehicle Data'!F$7*'Vehicle Data'!G$15,IF(Z128&gt;'Vehicle Data'!C$15,Z128*'Vehicle Data'!F$7*'Vehicle Data'!G$16)))</f>
        <v>85.44721728035789</v>
      </c>
      <c r="AS128" s="101">
        <f t="shared" si="73"/>
        <v>5126.8330368214738</v>
      </c>
      <c r="AT128" s="101">
        <f t="shared" si="74"/>
        <v>4</v>
      </c>
      <c r="AU128" s="101">
        <f t="shared" si="75"/>
        <v>5000</v>
      </c>
      <c r="AV128" s="101"/>
      <c r="AW128" s="101">
        <f>VLOOKUP(AT128,BSFC!A$64:A$82,1,FALSE)</f>
        <v>4</v>
      </c>
      <c r="AX128" s="101" t="e" cm="1">
        <f t="array" ref="AX128">_xlfn.XLOOKUP(AT128,BSFC!A$64:A$82,,-1,_xlfn.XLOOKUP(Data!AU128,BSFC!C$63:Q$63,BSFC!B$64:Q$82,,-1))</f>
        <v>#VALUE!</v>
      </c>
      <c r="AY128" s="101">
        <f>HLOOKUP(AU128,BSFC!F$63:Q$63,1)</f>
        <v>5000</v>
      </c>
      <c r="AZ128">
        <f>IF(AT128&gt;0,MATCH(AT128,BSFC!A$64:A$83,0),IF(AT128&lt;=0,0))</f>
        <v>19</v>
      </c>
      <c r="BA128" s="101">
        <f>MATCH(AU128,BSFC!C$63:Q$63,0)</f>
        <v>10</v>
      </c>
      <c r="BB128" cm="1">
        <f t="array" ref="BB128">IF(AZ128&gt;0,INDEX(BSFC!C$64:Q$83,Data!AZ128,Data!BA128))</f>
        <v>700</v>
      </c>
      <c r="BC128" s="101">
        <f>0.5*'Vehicle Data'!C$6*Data!Z128^2</f>
        <v>21177.372282976663</v>
      </c>
      <c r="BD128" s="101">
        <f t="shared" si="55"/>
        <v>2.1609287656539364</v>
      </c>
      <c r="BE128" s="101">
        <f t="shared" si="76"/>
        <v>1512.6501359577555</v>
      </c>
      <c r="BF128" s="101">
        <f t="shared" si="77"/>
        <v>9.2597015891137446E-2</v>
      </c>
      <c r="BG128" s="101">
        <f t="shared" si="56"/>
        <v>32.063209309995756</v>
      </c>
      <c r="BH128">
        <f t="shared" si="79"/>
        <v>2138.8539995083329</v>
      </c>
      <c r="BI128" s="148">
        <f t="shared" si="57"/>
        <v>6871.6622130335309</v>
      </c>
      <c r="BO128">
        <f t="shared" si="58"/>
        <v>466.89924365256542</v>
      </c>
      <c r="BP128">
        <f t="shared" si="59"/>
        <v>85231.153622032391</v>
      </c>
      <c r="BQ128">
        <f t="shared" si="60"/>
        <v>145784.01202291067</v>
      </c>
      <c r="BR128" s="148">
        <f t="shared" si="61"/>
        <v>213648.32690312664</v>
      </c>
      <c r="BS128" s="156">
        <f t="shared" si="62"/>
        <v>466.89924365256542</v>
      </c>
      <c r="BT128" s="156">
        <f t="shared" si="63"/>
        <v>2138.8539995083329</v>
      </c>
      <c r="BU128">
        <f t="shared" si="64"/>
        <v>1500.043430097983</v>
      </c>
      <c r="BV128">
        <f t="shared" si="65"/>
        <v>1500.043430097983</v>
      </c>
      <c r="BW128" s="148">
        <f t="shared" si="66"/>
        <v>455.4</v>
      </c>
      <c r="BX128" s="148">
        <f t="shared" si="67"/>
        <v>3129354.9718154697</v>
      </c>
      <c r="BY128" s="148">
        <f t="shared" si="68"/>
        <v>0.18975549390739482</v>
      </c>
      <c r="BZ128">
        <f t="shared" si="51"/>
        <v>30.872920829933346</v>
      </c>
      <c r="CB128">
        <f t="shared" si="69"/>
        <v>1033.1441864454175</v>
      </c>
      <c r="CC128" s="162">
        <f t="shared" si="52"/>
        <v>4688.1331225377717</v>
      </c>
      <c r="CD128">
        <f t="shared" si="78"/>
        <v>67132.374401190085</v>
      </c>
    </row>
    <row r="129" spans="4:82" x14ac:dyDescent="0.2">
      <c r="D129" s="22">
        <f t="shared" si="42"/>
        <v>0</v>
      </c>
      <c r="E129" s="23">
        <v>9.1017071999999999</v>
      </c>
      <c r="F129" s="23">
        <f>IF(K129&lt;6,1,IF(Data!K129&lt;9,2,IF(K129&gt;9,3)))</f>
        <v>3</v>
      </c>
      <c r="G129" s="23">
        <v>940.50919650469655</v>
      </c>
      <c r="H129" s="23">
        <v>217.21666499999998</v>
      </c>
      <c r="I129" s="64">
        <v>43.513536503062511</v>
      </c>
      <c r="J129" s="65">
        <f t="shared" si="43"/>
        <v>2.4459937607180517</v>
      </c>
      <c r="K129" s="65">
        <f t="shared" si="44"/>
        <v>17.405414601225004</v>
      </c>
      <c r="L129" s="65">
        <f t="shared" si="45"/>
        <v>0.97839750428724903</v>
      </c>
      <c r="M129">
        <f t="shared" si="46"/>
        <v>18.2034144</v>
      </c>
      <c r="N129">
        <f t="shared" si="47"/>
        <v>0</v>
      </c>
      <c r="O129">
        <f>IF(L129&lt;'Vehicle Data'!F$21,'Vehicle Data'!C$21,IF(L129&gt;'Vehicle Data'!C$21,'Vehicle Data'!C$20))</f>
        <v>0.6</v>
      </c>
      <c r="P129">
        <f>('Vehicle Data'!C$6*9.81*'Vehicle Data'!C$5*SIN(D129))/'Vehicle Data'!C$9</f>
        <v>0</v>
      </c>
      <c r="Q129" s="107">
        <f>'Vehicle Data'!C$6*9.81*SIN(D129)</f>
        <v>0</v>
      </c>
      <c r="R129">
        <f t="shared" si="41"/>
        <v>938.33968480196063</v>
      </c>
      <c r="S129">
        <f>IF(Data!O129=0.6,'Vehicle Data'!E$21,IF(Data!O129 = 0.9,'Vehicle Data'!E$20))+(P129*O129)</f>
        <v>1550.3723999999997</v>
      </c>
      <c r="T129">
        <f>IF(F129=3,'Vehicle Data'!H$16,IF(F129=2,'Vehicle Data'!H$15,IF(F129 = 1,'Vehicle Data'!G$14)))</f>
        <v>466.23005239380637</v>
      </c>
      <c r="U129" s="148">
        <f t="shared" si="48"/>
        <v>222.20120267864456</v>
      </c>
      <c r="V129" s="70" t="s">
        <v>80</v>
      </c>
      <c r="W129" s="103" t="s">
        <v>84</v>
      </c>
      <c r="X129">
        <f>IF(V129="S",'Vehicle Data'!C$14,IF(Data!V129 = "T1",'Vehicle Data'!P$2,IF(Data!V129="T2",'Vehicle Data'!P$3)))</f>
        <v>10.293104487956974</v>
      </c>
      <c r="Z129">
        <f t="shared" si="70"/>
        <v>9.9238018464379358</v>
      </c>
      <c r="AB129" t="b">
        <f>IF(AA129=1,'Vehicle Data'!I$14,IF(AA129=2,'Vehicle Data'!I$15,IF(AA129=3,'Vehicle Data'!I$16)))</f>
        <v>0</v>
      </c>
      <c r="AC129">
        <f>IF(Z129&lt;'Vehicle Data'!C$16,'Vehicle Data'!I$15,IF(Z129&lt;'Vehicle Data'!C$15,'Vehicle Data'!I$15,IF(Z128&gt;'Vehicle Data'!C$15,'Vehicle Data'!I$16)))</f>
        <v>0.46202745420001456</v>
      </c>
      <c r="AD129">
        <f>IF(O129=0.6,'Vehicle Data'!F$21,IF(O129=0.9,'Vehicle Data'!F$20))</f>
        <v>3.5315999999999996</v>
      </c>
      <c r="AE129" s="100">
        <f t="shared" si="49"/>
        <v>0.46202745420001456</v>
      </c>
      <c r="AF129" s="158">
        <f t="shared" si="71"/>
        <v>0.21829411626969089</v>
      </c>
      <c r="AG129" s="148">
        <f t="shared" si="53"/>
        <v>0.46439946891828354</v>
      </c>
      <c r="AH129" s="148">
        <f t="shared" si="72"/>
        <v>31.091214946203035</v>
      </c>
      <c r="AI129" s="101"/>
      <c r="AJ129" s="101">
        <f>(Z129^2)*'Vehicle Data'!C$31</f>
        <v>36.192077334606637</v>
      </c>
      <c r="AK129" s="101">
        <f>IF(O129=0.6,'Vehicle Data'!C$6*'Vehicle Data'!D$21*9.81,IF(O129=0.9,'Vehicle Data'!C$6*9.81*'Vehicle Data'!D$20))</f>
        <v>86.131799999999998</v>
      </c>
      <c r="AL129" s="101">
        <f t="shared" si="50"/>
        <v>122.32387733460664</v>
      </c>
      <c r="AM129" s="101"/>
      <c r="AN129" s="101">
        <f>IF(AG129&gt;0,AG129*'Vehicle Data'!C$6)</f>
        <v>203.87136685512647</v>
      </c>
      <c r="AO129" s="101">
        <f t="shared" si="54"/>
        <v>326.1952441897331</v>
      </c>
      <c r="AP129" s="101">
        <f>AO129*'Vehicle Data'!F$3</f>
        <v>83.375504414895772</v>
      </c>
      <c r="AQ129" s="101">
        <v>4</v>
      </c>
      <c r="AR129" s="101">
        <f>IF(Z129&lt;'Vehicle Data'!C$16, Z129*'Vehicle Data'!F$7*'Vehicle Data'!G$14,IF(Z129&lt;'Vehicle Data'!C$15,Z129*'Vehicle Data'!F$7*'Vehicle Data'!G$15,IF(Z129&gt;'Vehicle Data'!C$15,Z129*'Vehicle Data'!F$7*'Vehicle Data'!G$16)))</f>
        <v>86.329104187874748</v>
      </c>
      <c r="AS129" s="101">
        <f t="shared" si="73"/>
        <v>5179.7462512724851</v>
      </c>
      <c r="AT129" s="101">
        <f t="shared" si="74"/>
        <v>4</v>
      </c>
      <c r="AU129" s="101">
        <f t="shared" si="75"/>
        <v>5000</v>
      </c>
      <c r="AV129" s="101"/>
      <c r="AW129" s="101">
        <f>VLOOKUP(AT129,BSFC!A$64:A$82,1,FALSE)</f>
        <v>4</v>
      </c>
      <c r="AX129" s="101" t="e" cm="1">
        <f t="array" ref="AX129">_xlfn.XLOOKUP(AT129,BSFC!A$64:A$82,,-1,_xlfn.XLOOKUP(Data!AU129,BSFC!C$63:Q$63,BSFC!B$64:Q$82,,-1))</f>
        <v>#VALUE!</v>
      </c>
      <c r="AY129" s="101">
        <f>HLOOKUP(AU129,BSFC!F$63:Q$63,1)</f>
        <v>5000</v>
      </c>
      <c r="AZ129">
        <f>IF(AT129&gt;0,MATCH(AT129,BSFC!A$64:A$83,0),IF(AT129&lt;=0,0))</f>
        <v>19</v>
      </c>
      <c r="BA129" s="101">
        <f>MATCH(AU129,BSFC!C$63:Q$63,0)</f>
        <v>10</v>
      </c>
      <c r="BB129" cm="1">
        <f t="array" ref="BB129">IF(AZ129&gt;0,INDEX(BSFC!C$64:Q$83,Data!AZ129,Data!BA129))</f>
        <v>700</v>
      </c>
      <c r="BC129" s="101">
        <f>0.5*'Vehicle Data'!C$6*Data!Z129^2</f>
        <v>21616.764557676612</v>
      </c>
      <c r="BD129" s="101">
        <f t="shared" si="55"/>
        <v>2.1828124561955642</v>
      </c>
      <c r="BE129" s="101">
        <f t="shared" si="76"/>
        <v>1527.968719336895</v>
      </c>
      <c r="BF129" s="101">
        <f t="shared" si="77"/>
        <v>9.2651828132049682E-2</v>
      </c>
      <c r="BG129" s="101">
        <f t="shared" si="56"/>
        <v>32.155861138127804</v>
      </c>
      <c r="BH129">
        <f t="shared" si="79"/>
        <v>2160.9287656539364</v>
      </c>
      <c r="BI129" s="148">
        <f t="shared" si="57"/>
        <v>6871.6622130335309</v>
      </c>
      <c r="BO129">
        <f t="shared" si="58"/>
        <v>467.67956200255799</v>
      </c>
      <c r="BP129">
        <f t="shared" si="59"/>
        <v>85698.833184034942</v>
      </c>
      <c r="BQ129">
        <f t="shared" si="60"/>
        <v>146251.69158491323</v>
      </c>
      <c r="BR129" s="148">
        <f t="shared" si="61"/>
        <v>215135.528158948</v>
      </c>
      <c r="BS129" s="156">
        <f t="shared" si="62"/>
        <v>467.67956200255799</v>
      </c>
      <c r="BT129" s="156">
        <f t="shared" si="63"/>
        <v>2160.9287656539364</v>
      </c>
      <c r="BU129">
        <f t="shared" si="64"/>
        <v>1487.2012558213667</v>
      </c>
      <c r="BV129">
        <f t="shared" si="65"/>
        <v>1487.2012558213667</v>
      </c>
      <c r="BW129" s="148">
        <f t="shared" si="66"/>
        <v>455.4</v>
      </c>
      <c r="BX129" s="148">
        <f t="shared" si="67"/>
        <v>3129354.9718154697</v>
      </c>
      <c r="BY129" s="148">
        <f t="shared" si="68"/>
        <v>0.18813095886140285</v>
      </c>
      <c r="BZ129">
        <f t="shared" si="51"/>
        <v>31.091214946203035</v>
      </c>
      <c r="CB129">
        <f t="shared" si="69"/>
        <v>1019.5216938188087</v>
      </c>
      <c r="CC129" s="162">
        <f t="shared" si="52"/>
        <v>4670.4039084555588</v>
      </c>
      <c r="CD129">
        <f t="shared" si="78"/>
        <v>68151.896095008895</v>
      </c>
    </row>
    <row r="130" spans="4:82" x14ac:dyDescent="0.2">
      <c r="D130" s="22">
        <f t="shared" si="42"/>
        <v>0</v>
      </c>
      <c r="E130" s="23">
        <v>9.1017071999999999</v>
      </c>
      <c r="F130" s="23">
        <f>IF(K130&lt;6,1,IF(Data!K130&lt;9,2,IF(K130&gt;9,3)))</f>
        <v>3</v>
      </c>
      <c r="G130" s="23">
        <v>942.682598775011</v>
      </c>
      <c r="H130" s="23">
        <v>217.26666499999999</v>
      </c>
      <c r="I130" s="64">
        <v>43.635836191098441</v>
      </c>
      <c r="J130" s="65">
        <f t="shared" si="43"/>
        <v>2.3341078317682595</v>
      </c>
      <c r="K130" s="65">
        <f t="shared" si="44"/>
        <v>17.454334476439378</v>
      </c>
      <c r="L130" s="65">
        <f t="shared" si="45"/>
        <v>0.93364313270726118</v>
      </c>
      <c r="M130">
        <f t="shared" si="46"/>
        <v>18.2034144</v>
      </c>
      <c r="N130">
        <f t="shared" si="47"/>
        <v>0</v>
      </c>
      <c r="O130">
        <f>IF(L130&lt;'Vehicle Data'!F$21,'Vehicle Data'!C$21,IF(L130&gt;'Vehicle Data'!C$21,'Vehicle Data'!C$20))</f>
        <v>0.6</v>
      </c>
      <c r="P130">
        <f>('Vehicle Data'!C$6*9.81*'Vehicle Data'!C$5*SIN(D130))/'Vehicle Data'!C$9</f>
        <v>0</v>
      </c>
      <c r="Q130" s="107">
        <f>'Vehicle Data'!C$6*9.81*SIN(D130)</f>
        <v>0</v>
      </c>
      <c r="R130">
        <f t="shared" ref="R130:R193" si="80">G129</f>
        <v>940.50919650469655</v>
      </c>
      <c r="S130">
        <f>IF(Data!O130=0.6,'Vehicle Data'!E$21,IF(Data!O130 = 0.9,'Vehicle Data'!E$20))+(P130*O130)</f>
        <v>1550.3723999999997</v>
      </c>
      <c r="T130">
        <f>IF(F130=3,'Vehicle Data'!H$16,IF(F130=2,'Vehicle Data'!H$15,IF(F130 = 1,'Vehicle Data'!G$14)))</f>
        <v>466.23005239380637</v>
      </c>
      <c r="U130" s="148">
        <f t="shared" si="48"/>
        <v>224.37071438138048</v>
      </c>
      <c r="V130" s="70" t="s">
        <v>80</v>
      </c>
      <c r="W130" s="103" t="s">
        <v>84</v>
      </c>
      <c r="X130">
        <f>IF(V130="S",'Vehicle Data'!C$14,IF(Data!V130 = "T1",'Vehicle Data'!P$2,IF(Data!V130="T2",'Vehicle Data'!P$3)))</f>
        <v>10.293104487956974</v>
      </c>
      <c r="Z130">
        <f t="shared" si="70"/>
        <v>10.024300026690613</v>
      </c>
      <c r="AB130" t="b">
        <f>IF(AA130=1,'Vehicle Data'!I$14,IF(AA130=2,'Vehicle Data'!I$15,IF(AA130=3,'Vehicle Data'!I$16)))</f>
        <v>0</v>
      </c>
      <c r="AC130">
        <f>IF(Z130&lt;'Vehicle Data'!C$16,'Vehicle Data'!I$15,IF(Z130&lt;'Vehicle Data'!C$15,'Vehicle Data'!I$15,IF(Z129&gt;'Vehicle Data'!C$15,'Vehicle Data'!I$16)))</f>
        <v>0.46202745420001456</v>
      </c>
      <c r="AD130">
        <f>IF(O130=0.6,'Vehicle Data'!F$21,IF(O130=0.9,'Vehicle Data'!F$20))</f>
        <v>3.5315999999999996</v>
      </c>
      <c r="AE130" s="100">
        <f t="shared" si="49"/>
        <v>0.46202745420001456</v>
      </c>
      <c r="AF130" s="158">
        <f t="shared" si="71"/>
        <v>0.21642525632307441</v>
      </c>
      <c r="AG130" s="148">
        <f t="shared" si="53"/>
        <v>0.46435514024599561</v>
      </c>
      <c r="AH130" s="148">
        <f t="shared" si="72"/>
        <v>31.307640202526109</v>
      </c>
      <c r="AI130" s="101"/>
      <c r="AJ130" s="101">
        <f>(Z130^2)*'Vehicle Data'!C$31</f>
        <v>36.928822201727719</v>
      </c>
      <c r="AK130" s="101">
        <f>IF(O130=0.6,'Vehicle Data'!C$6*'Vehicle Data'!D$21*9.81,IF(O130=0.9,'Vehicle Data'!C$6*9.81*'Vehicle Data'!D$20))</f>
        <v>86.131799999999998</v>
      </c>
      <c r="AL130" s="101">
        <f t="shared" si="50"/>
        <v>123.06062220172771</v>
      </c>
      <c r="AM130" s="101"/>
      <c r="AN130" s="101">
        <f>IF(AG130&gt;0,AG130*'Vehicle Data'!C$6)</f>
        <v>203.85190656799207</v>
      </c>
      <c r="AO130" s="101">
        <f t="shared" si="54"/>
        <v>326.91252876971976</v>
      </c>
      <c r="AP130" s="101">
        <f>AO130*'Vehicle Data'!F$3</f>
        <v>83.558842353540371</v>
      </c>
      <c r="AQ130" s="101">
        <v>4</v>
      </c>
      <c r="AR130" s="101">
        <f>IF(Z130&lt;'Vehicle Data'!C$16, Z130*'Vehicle Data'!F$7*'Vehicle Data'!G$14,IF(Z130&lt;'Vehicle Data'!C$15,Z130*'Vehicle Data'!F$7*'Vehicle Data'!G$15,IF(Z130&gt;'Vehicle Data'!C$15,Z130*'Vehicle Data'!F$7*'Vehicle Data'!G$16)))</f>
        <v>87.203357625012785</v>
      </c>
      <c r="AS130" s="101">
        <f t="shared" si="73"/>
        <v>5232.201457500767</v>
      </c>
      <c r="AT130" s="101">
        <f t="shared" si="74"/>
        <v>4</v>
      </c>
      <c r="AU130" s="101">
        <f t="shared" si="75"/>
        <v>5000</v>
      </c>
      <c r="AV130" s="101"/>
      <c r="AW130" s="101">
        <f>VLOOKUP(AT130,BSFC!A$64:A$82,1,FALSE)</f>
        <v>4</v>
      </c>
      <c r="AX130" s="101" t="e" cm="1">
        <f t="array" ref="AX130">_xlfn.XLOOKUP(AT130,BSFC!A$64:A$82,,-1,_xlfn.XLOOKUP(Data!AU130,BSFC!C$63:Q$63,BSFC!B$64:Q$82,,-1))</f>
        <v>#VALUE!</v>
      </c>
      <c r="AY130" s="101">
        <f>HLOOKUP(AU130,BSFC!F$63:Q$63,1)</f>
        <v>5000</v>
      </c>
      <c r="AZ130">
        <f>IF(AT130&gt;0,MATCH(AT130,BSFC!A$64:A$83,0),IF(AT130&lt;=0,0))</f>
        <v>19</v>
      </c>
      <c r="BA130" s="101">
        <f>MATCH(AU130,BSFC!C$63:Q$63,0)</f>
        <v>10</v>
      </c>
      <c r="BB130" cm="1">
        <f t="array" ref="BB130">IF(AZ130&gt;0,INDEX(BSFC!C$64:Q$83,Data!AZ130,Data!BA130))</f>
        <v>700</v>
      </c>
      <c r="BC130" s="101">
        <f>0.5*'Vehicle Data'!C$6*Data!Z130^2</f>
        <v>22056.806730011518</v>
      </c>
      <c r="BD130" s="101">
        <f t="shared" si="55"/>
        <v>2.2045175827635095</v>
      </c>
      <c r="BE130" s="101">
        <f t="shared" si="76"/>
        <v>1543.1623079344567</v>
      </c>
      <c r="BF130" s="101">
        <f t="shared" si="77"/>
        <v>9.2772027234117191E-2</v>
      </c>
      <c r="BG130" s="101">
        <f t="shared" si="56"/>
        <v>32.248633165361923</v>
      </c>
      <c r="BH130">
        <f t="shared" si="79"/>
        <v>2182.8124561955642</v>
      </c>
      <c r="BI130" s="148">
        <f t="shared" si="57"/>
        <v>6871.6622130335309</v>
      </c>
      <c r="BO130">
        <f t="shared" si="58"/>
        <v>468.60329670652789</v>
      </c>
      <c r="BP130">
        <f t="shared" si="59"/>
        <v>86167.436480741468</v>
      </c>
      <c r="BQ130">
        <f t="shared" si="60"/>
        <v>146720.29488161977</v>
      </c>
      <c r="BR130" s="148">
        <f t="shared" si="61"/>
        <v>216610.72753200523</v>
      </c>
      <c r="BS130" s="156">
        <f t="shared" si="62"/>
        <v>468.60329670652789</v>
      </c>
      <c r="BT130" s="156">
        <f t="shared" si="63"/>
        <v>2182.8124561955642</v>
      </c>
      <c r="BU130">
        <f t="shared" si="64"/>
        <v>1475.1993730572206</v>
      </c>
      <c r="BV130">
        <f t="shared" si="65"/>
        <v>1475.1993730572206</v>
      </c>
      <c r="BW130" s="148">
        <f t="shared" si="66"/>
        <v>455.4</v>
      </c>
      <c r="BX130" s="148">
        <f t="shared" si="67"/>
        <v>3129354.9718154697</v>
      </c>
      <c r="BY130" s="148">
        <f t="shared" si="68"/>
        <v>0.18661272069173837</v>
      </c>
      <c r="BZ130">
        <f t="shared" si="51"/>
        <v>31.307640202526109</v>
      </c>
      <c r="CB130">
        <f t="shared" si="69"/>
        <v>1006.5960763506927</v>
      </c>
      <c r="CC130" s="162">
        <f t="shared" si="52"/>
        <v>4651.0102076444919</v>
      </c>
      <c r="CD130">
        <f t="shared" si="78"/>
        <v>69158.492171359583</v>
      </c>
    </row>
    <row r="131" spans="4:82" x14ac:dyDescent="0.2">
      <c r="D131" s="22">
        <f t="shared" ref="D131:D194" si="81">ASIN((N131)/(G132-G131))</f>
        <v>0</v>
      </c>
      <c r="E131" s="23">
        <v>9.1017071999999999</v>
      </c>
      <c r="F131" s="23">
        <f>IF(K131&lt;6,1,IF(Data!K131&lt;9,2,IF(K131&gt;9,3)))</f>
        <v>3</v>
      </c>
      <c r="G131" s="23">
        <v>944.86029161290458</v>
      </c>
      <c r="H131" s="23">
        <v>217.316665</v>
      </c>
      <c r="I131" s="64">
        <v>43.752541582686881</v>
      </c>
      <c r="J131" s="65">
        <f t="shared" ref="J131:J194" si="82">(I132-I131)/(H132-H131)</f>
        <v>2.2891523397304772</v>
      </c>
      <c r="K131" s="65">
        <f t="shared" ref="K131:K194" si="83">I131/2.5</f>
        <v>17.501016633074752</v>
      </c>
      <c r="L131" s="65">
        <f t="shared" ref="L131:L194" si="84">(K132-K131)/(H132-H131)</f>
        <v>0.91566093589217668</v>
      </c>
      <c r="M131">
        <f t="shared" ref="M131:M194" si="85">2*E131</f>
        <v>18.2034144</v>
      </c>
      <c r="N131">
        <f t="shared" ref="N131:N194" si="86">E132-E131</f>
        <v>0</v>
      </c>
      <c r="O131">
        <f>IF(L131&lt;'Vehicle Data'!F$21,'Vehicle Data'!C$21,IF(L131&gt;'Vehicle Data'!C$21,'Vehicle Data'!C$20))</f>
        <v>0.6</v>
      </c>
      <c r="P131">
        <f>('Vehicle Data'!C$6*9.81*'Vehicle Data'!C$5*SIN(D131))/'Vehicle Data'!C$9</f>
        <v>0</v>
      </c>
      <c r="Q131" s="107">
        <f>'Vehicle Data'!C$6*9.81*SIN(D131)</f>
        <v>0</v>
      </c>
      <c r="R131">
        <f t="shared" si="80"/>
        <v>942.682598775011</v>
      </c>
      <c r="S131">
        <f>IF(Data!O131=0.6,'Vehicle Data'!E$21,IF(Data!O131 = 0.9,'Vehicle Data'!E$20))+(P131*O131)</f>
        <v>1550.3723999999997</v>
      </c>
      <c r="T131">
        <f>IF(F131=3,'Vehicle Data'!H$16,IF(F131=2,'Vehicle Data'!H$15,IF(F131 = 1,'Vehicle Data'!G$14)))</f>
        <v>466.23005239380637</v>
      </c>
      <c r="U131" s="148">
        <f t="shared" ref="U131:U194" si="87">R131-R$2</f>
        <v>226.54411665169494</v>
      </c>
      <c r="V131" s="70" t="s">
        <v>80</v>
      </c>
      <c r="W131" s="103" t="s">
        <v>84</v>
      </c>
      <c r="X131">
        <f>IF(V131="S",'Vehicle Data'!C$14,IF(Data!V131 = "T1",'Vehicle Data'!P$2,IF(Data!V131="T2",'Vehicle Data'!P$3)))</f>
        <v>10.293104487956974</v>
      </c>
      <c r="Z131">
        <f t="shared" si="70"/>
        <v>10.123978173668752</v>
      </c>
      <c r="AB131" t="b">
        <f>IF(AA131=1,'Vehicle Data'!I$14,IF(AA131=2,'Vehicle Data'!I$15,IF(AA131=3,'Vehicle Data'!I$16)))</f>
        <v>0</v>
      </c>
      <c r="AC131">
        <f>IF(Z131&lt;'Vehicle Data'!C$16,'Vehicle Data'!I$15,IF(Z131&lt;'Vehicle Data'!C$15,'Vehicle Data'!I$15,IF(Z130&gt;'Vehicle Data'!C$15,'Vehicle Data'!I$16)))</f>
        <v>0.46202745420001456</v>
      </c>
      <c r="AD131">
        <f>IF(O131=0.6,'Vehicle Data'!F$21,IF(O131=0.9,'Vehicle Data'!F$20))</f>
        <v>3.5315999999999996</v>
      </c>
      <c r="AE131" s="100">
        <f t="shared" ref="AE131:AE194" si="88">IF(W131="a",AC131,IF(W131="b",AD131*-1))</f>
        <v>0.46202745420001456</v>
      </c>
      <c r="AF131" s="158">
        <f t="shared" si="71"/>
        <v>0.21467867996468151</v>
      </c>
      <c r="AG131" s="148">
        <f t="shared" si="53"/>
        <v>0.46431320983778068</v>
      </c>
      <c r="AH131" s="148">
        <f t="shared" si="72"/>
        <v>31.52231888249079</v>
      </c>
      <c r="AI131" s="101"/>
      <c r="AJ131" s="101">
        <f>(Z131^2)*'Vehicle Data'!C$31</f>
        <v>37.666888267388579</v>
      </c>
      <c r="AK131" s="101">
        <f>IF(O131=0.6,'Vehicle Data'!C$6*'Vehicle Data'!D$21*9.81,IF(O131=0.9,'Vehicle Data'!C$6*9.81*'Vehicle Data'!D$20))</f>
        <v>86.131799999999998</v>
      </c>
      <c r="AL131" s="101">
        <f t="shared" ref="AL131:AL194" si="89">AJ131+AK131+Q131</f>
        <v>123.79868826738857</v>
      </c>
      <c r="AM131" s="101"/>
      <c r="AN131" s="101">
        <f>IF(AG131&gt;0,AG131*'Vehicle Data'!C$6)</f>
        <v>203.83349911878571</v>
      </c>
      <c r="AO131" s="101">
        <f t="shared" si="54"/>
        <v>327.63218738617428</v>
      </c>
      <c r="AP131" s="101">
        <f>AO131*'Vehicle Data'!F$3</f>
        <v>83.742787095906138</v>
      </c>
      <c r="AQ131" s="101">
        <v>4</v>
      </c>
      <c r="AR131" s="101">
        <f>IF(Z131&lt;'Vehicle Data'!C$16, Z131*'Vehicle Data'!F$7*'Vehicle Data'!G$14,IF(Z131&lt;'Vehicle Data'!C$15,Z131*'Vehicle Data'!F$7*'Vehicle Data'!G$15,IF(Z131&gt;'Vehicle Data'!C$15,Z131*'Vehicle Data'!F$7*'Vehicle Data'!G$16)))</f>
        <v>88.070477431402196</v>
      </c>
      <c r="AS131" s="101">
        <f t="shared" si="73"/>
        <v>5284.2286458841318</v>
      </c>
      <c r="AT131" s="101">
        <f t="shared" si="74"/>
        <v>4</v>
      </c>
      <c r="AU131" s="101">
        <f t="shared" si="75"/>
        <v>5500</v>
      </c>
      <c r="AV131" s="101"/>
      <c r="AW131" s="101">
        <f>VLOOKUP(AT131,BSFC!A$64:A$82,1,FALSE)</f>
        <v>4</v>
      </c>
      <c r="AX131" s="101" t="e" cm="1">
        <f t="array" ref="AX131">_xlfn.XLOOKUP(AT131,BSFC!A$64:A$82,,-1,_xlfn.XLOOKUP(Data!AU131,BSFC!C$63:Q$63,BSFC!B$64:Q$82,,-1))</f>
        <v>#VALUE!</v>
      </c>
      <c r="AY131" s="101">
        <f>HLOOKUP(AU131,BSFC!F$63:Q$63,1)</f>
        <v>5500</v>
      </c>
      <c r="AZ131">
        <f>IF(AT131&gt;0,MATCH(AT131,BSFC!A$64:A$83,0),IF(AT131&lt;=0,0))</f>
        <v>19</v>
      </c>
      <c r="BA131" s="101">
        <f>MATCH(AU131,BSFC!C$63:Q$63,0)</f>
        <v>11</v>
      </c>
      <c r="BB131" cm="1">
        <f t="array" ref="BB131">IF(AZ131&gt;0,INDEX(BSFC!C$64:Q$83,Data!AZ131,Data!BA131))</f>
        <v>670</v>
      </c>
      <c r="BC131" s="101">
        <f>0.5*'Vehicle Data'!C$6*Data!Z131^2</f>
        <v>22497.638026372217</v>
      </c>
      <c r="BD131" s="101">
        <f t="shared" si="55"/>
        <v>2.2260533051998688</v>
      </c>
      <c r="BE131" s="101">
        <f t="shared" si="76"/>
        <v>1491.4557144839121</v>
      </c>
      <c r="BF131" s="101">
        <f t="shared" si="77"/>
        <v>8.8939928891996436E-2</v>
      </c>
      <c r="BG131" s="101">
        <f t="shared" si="56"/>
        <v>32.337573094253919</v>
      </c>
      <c r="BH131">
        <f t="shared" si="79"/>
        <v>2204.5175827635094</v>
      </c>
      <c r="BI131" s="148">
        <f t="shared" si="57"/>
        <v>6871.6622130335309</v>
      </c>
      <c r="BO131">
        <f t="shared" si="58"/>
        <v>469.60963295288121</v>
      </c>
      <c r="BP131">
        <f t="shared" si="59"/>
        <v>86637.046113694349</v>
      </c>
      <c r="BQ131">
        <f t="shared" si="60"/>
        <v>147189.90451457267</v>
      </c>
      <c r="BR131" s="148">
        <f t="shared" si="61"/>
        <v>218074.53929511833</v>
      </c>
      <c r="BS131" s="156">
        <f t="shared" si="62"/>
        <v>469.60963295288121</v>
      </c>
      <c r="BT131" s="156">
        <f t="shared" si="63"/>
        <v>2204.5175827635094</v>
      </c>
      <c r="BU131">
        <f t="shared" si="64"/>
        <v>1463.8117631130899</v>
      </c>
      <c r="BV131">
        <f t="shared" si="65"/>
        <v>1463.8117631130899</v>
      </c>
      <c r="BW131" s="148">
        <f t="shared" si="66"/>
        <v>455.4</v>
      </c>
      <c r="BX131" s="148">
        <f t="shared" si="67"/>
        <v>3129354.9718154697</v>
      </c>
      <c r="BY131" s="148">
        <f t="shared" si="68"/>
        <v>0.18517218803380583</v>
      </c>
      <c r="BZ131">
        <f t="shared" ref="BZ131:BZ194" si="90">AH131</f>
        <v>31.52231888249079</v>
      </c>
      <c r="CB131">
        <f t="shared" si="69"/>
        <v>994.20213016020875</v>
      </c>
      <c r="CC131" s="162">
        <f t="shared" ref="CC131:CC194" si="91">CB131/(BZ131-BZ130)</f>
        <v>4631.1172135201059</v>
      </c>
      <c r="CD131">
        <f t="shared" si="78"/>
        <v>70152.69430151979</v>
      </c>
    </row>
    <row r="132" spans="4:82" x14ac:dyDescent="0.2">
      <c r="D132" s="22">
        <f t="shared" si="81"/>
        <v>0</v>
      </c>
      <c r="E132" s="23">
        <v>9.1017071999999999</v>
      </c>
      <c r="F132" s="23">
        <f>IF(K132&lt;6,1,IF(Data!K132&lt;9,2,IF(K132&gt;9,3)))</f>
        <v>3</v>
      </c>
      <c r="G132" s="23">
        <v>947.04266237648096</v>
      </c>
      <c r="H132" s="23">
        <v>217.36666499999998</v>
      </c>
      <c r="I132" s="64">
        <v>43.866999199673366</v>
      </c>
      <c r="J132" s="65">
        <f t="shared" si="82"/>
        <v>2.2418825773779947</v>
      </c>
      <c r="K132" s="65">
        <f t="shared" si="83"/>
        <v>17.546799679869345</v>
      </c>
      <c r="L132" s="65">
        <f t="shared" si="84"/>
        <v>0.89675303095121206</v>
      </c>
      <c r="M132">
        <f t="shared" si="85"/>
        <v>18.2034144</v>
      </c>
      <c r="N132">
        <f t="shared" si="86"/>
        <v>0</v>
      </c>
      <c r="O132">
        <f>IF(L132&lt;'Vehicle Data'!F$21,'Vehicle Data'!C$21,IF(L132&gt;'Vehicle Data'!C$21,'Vehicle Data'!C$20))</f>
        <v>0.6</v>
      </c>
      <c r="P132">
        <f>('Vehicle Data'!C$6*9.81*'Vehicle Data'!C$5*SIN(D132))/'Vehicle Data'!C$9</f>
        <v>0</v>
      </c>
      <c r="Q132" s="107">
        <f>'Vehicle Data'!C$6*9.81*SIN(D132)</f>
        <v>0</v>
      </c>
      <c r="R132">
        <f t="shared" si="80"/>
        <v>944.86029161290458</v>
      </c>
      <c r="S132">
        <f>IF(Data!O132=0.6,'Vehicle Data'!E$21,IF(Data!O132 = 0.9,'Vehicle Data'!E$20))+(P132*O132)</f>
        <v>1550.3723999999997</v>
      </c>
      <c r="T132">
        <f>IF(F132=3,'Vehicle Data'!H$16,IF(F132=2,'Vehicle Data'!H$15,IF(F132 = 1,'Vehicle Data'!G$14)))</f>
        <v>466.23005239380637</v>
      </c>
      <c r="U132" s="148">
        <f t="shared" si="87"/>
        <v>228.72180948958851</v>
      </c>
      <c r="V132" s="70" t="s">
        <v>80</v>
      </c>
      <c r="W132" s="103" t="s">
        <v>84</v>
      </c>
      <c r="X132">
        <f>IF(V132="S",'Vehicle Data'!C$14,IF(Data!V132 = "T1",'Vehicle Data'!P$2,IF(Data!V132="T2",'Vehicle Data'!P$3)))</f>
        <v>10.293104487956974</v>
      </c>
      <c r="Z132">
        <f t="shared" si="70"/>
        <v>10.222878352830206</v>
      </c>
      <c r="AB132" t="b">
        <f>IF(AA132=1,'Vehicle Data'!I$14,IF(AA132=2,'Vehicle Data'!I$15,IF(AA132=3,'Vehicle Data'!I$16)))</f>
        <v>0</v>
      </c>
      <c r="AC132">
        <f>IF(Z132&lt;'Vehicle Data'!C$16,'Vehicle Data'!I$15,IF(Z132&lt;'Vehicle Data'!C$15,'Vehicle Data'!I$15,IF(Z131&gt;'Vehicle Data'!C$15,'Vehicle Data'!I$16)))</f>
        <v>0.46202745420001456</v>
      </c>
      <c r="AD132">
        <f>IF(O132=0.6,'Vehicle Data'!F$21,IF(O132=0.9,'Vehicle Data'!F$20))</f>
        <v>3.5315999999999996</v>
      </c>
      <c r="AE132" s="100">
        <f t="shared" si="88"/>
        <v>0.46202745420001456</v>
      </c>
      <c r="AF132" s="158">
        <f t="shared" si="71"/>
        <v>0.21302149577967724</v>
      </c>
      <c r="AG132" s="148">
        <f t="shared" ref="AG132:AG195" si="92">(Z132-Z131)/AF132</f>
        <v>0.46427323589795871</v>
      </c>
      <c r="AH132" s="148">
        <f t="shared" si="72"/>
        <v>31.735340378270468</v>
      </c>
      <c r="AI132" s="101"/>
      <c r="AJ132" s="101">
        <f>(Z132^2)*'Vehicle Data'!C$31</f>
        <v>38.406411367660937</v>
      </c>
      <c r="AK132" s="101">
        <f>IF(O132=0.6,'Vehicle Data'!C$6*'Vehicle Data'!D$21*9.81,IF(O132=0.9,'Vehicle Data'!C$6*9.81*'Vehicle Data'!D$20))</f>
        <v>86.131799999999998</v>
      </c>
      <c r="AL132" s="101">
        <f t="shared" si="89"/>
        <v>124.53821136766094</v>
      </c>
      <c r="AM132" s="101"/>
      <c r="AN132" s="101">
        <f>IF(AG132&gt;0,AG132*'Vehicle Data'!C$6)</f>
        <v>203.81595055920388</v>
      </c>
      <c r="AO132" s="101">
        <f t="shared" ref="AO132:AO195" si="93">AN132+AL132</f>
        <v>328.35416192686483</v>
      </c>
      <c r="AP132" s="101">
        <f>AO132*'Vehicle Data'!F$3</f>
        <v>83.927323788506655</v>
      </c>
      <c r="AQ132" s="101">
        <v>4</v>
      </c>
      <c r="AR132" s="101">
        <f>IF(Z132&lt;'Vehicle Data'!C$16, Z132*'Vehicle Data'!F$7*'Vehicle Data'!G$14,IF(Z132&lt;'Vehicle Data'!C$15,Z132*'Vehicle Data'!F$7*'Vehicle Data'!G$15,IF(Z132&gt;'Vehicle Data'!C$15,Z132*'Vehicle Data'!F$7*'Vehicle Data'!G$16)))</f>
        <v>88.930829542734742</v>
      </c>
      <c r="AS132" s="101">
        <f t="shared" si="73"/>
        <v>5335.8497725640846</v>
      </c>
      <c r="AT132" s="101">
        <f t="shared" si="74"/>
        <v>4</v>
      </c>
      <c r="AU132" s="101">
        <f t="shared" si="75"/>
        <v>5500</v>
      </c>
      <c r="AV132" s="101"/>
      <c r="AW132" s="101">
        <f>VLOOKUP(AT132,BSFC!A$64:A$82,1,FALSE)</f>
        <v>4</v>
      </c>
      <c r="AX132" s="101" t="e" cm="1">
        <f t="array" ref="AX132">_xlfn.XLOOKUP(AT132,BSFC!A$64:A$82,,-1,_xlfn.XLOOKUP(Data!AU132,BSFC!C$63:Q$63,BSFC!B$64:Q$82,,-1))</f>
        <v>#VALUE!</v>
      </c>
      <c r="AY132" s="101">
        <f>HLOOKUP(AU132,BSFC!F$63:Q$63,1)</f>
        <v>5500</v>
      </c>
      <c r="AZ132">
        <f>IF(AT132&gt;0,MATCH(AT132,BSFC!A$64:A$83,0),IF(AT132&lt;=0,0))</f>
        <v>19</v>
      </c>
      <c r="BA132" s="101">
        <f>MATCH(AU132,BSFC!C$63:Q$63,0)</f>
        <v>11</v>
      </c>
      <c r="BB132" cm="1">
        <f t="array" ref="BB132">IF(AZ132&gt;0,INDEX(BSFC!C$64:Q$83,Data!AZ132,Data!BA132))</f>
        <v>670</v>
      </c>
      <c r="BC132" s="101">
        <f>0.5*'Vehicle Data'!C$6*Data!Z132^2</f>
        <v>22939.339578779789</v>
      </c>
      <c r="BD132" s="101">
        <f t="shared" ref="BD132:BD195" si="94">ABS(AQ133*(AS133/9.588))/1000</f>
        <v>8.7246459184876954</v>
      </c>
      <c r="BE132" s="101">
        <f t="shared" si="76"/>
        <v>5845.5127653867557</v>
      </c>
      <c r="BF132" s="101">
        <f t="shared" si="77"/>
        <v>0.34589440913385672</v>
      </c>
      <c r="BG132" s="101">
        <f t="shared" ref="BG132:BG195" si="95">BG131+BF132</f>
        <v>32.683467503387774</v>
      </c>
      <c r="BH132">
        <f t="shared" si="79"/>
        <v>2226.0533051998686</v>
      </c>
      <c r="BI132" s="148">
        <f t="shared" ref="BI132:BI195" si="96">BM$9</f>
        <v>6871.6622130335309</v>
      </c>
      <c r="BO132">
        <f t="shared" ref="BO132:BO195" si="97">BH132*AF133</f>
        <v>470.69612411619988</v>
      </c>
      <c r="BP132">
        <f t="shared" ref="BP132:BP195" si="98">BP131+BO132</f>
        <v>87107.742237810555</v>
      </c>
      <c r="BQ132">
        <f t="shared" ref="BQ132:BQ195" si="99">IF(BO132&gt;0,BQ131+BO132,IF(BO132&lt;=0,BQ131))</f>
        <v>147660.60063868886</v>
      </c>
      <c r="BR132" s="148">
        <f t="shared" ref="BR132:BR195" si="100">(BM$9*AF133)+BR131</f>
        <v>219527.54348075719</v>
      </c>
      <c r="BS132" s="156">
        <f t="shared" ref="BS132:BS195" si="101">IF(BO132&gt;0,BO132)</f>
        <v>470.69612411619988</v>
      </c>
      <c r="BT132" s="156">
        <f t="shared" ref="BT132:BT195" si="102">IF(BH132&gt;=0,BH132, IF(BH132&lt;0,0))</f>
        <v>2226.0533051998686</v>
      </c>
      <c r="BU132">
        <f t="shared" ref="BU132:BU195" si="103">BI132*AF133</f>
        <v>1453.0041856388618</v>
      </c>
      <c r="BV132">
        <f t="shared" ref="BV132:BV195" si="104">BM$9*AF133</f>
        <v>1453.0041856388618</v>
      </c>
      <c r="BW132" s="148">
        <f t="shared" ref="BW132:BW195" si="105">BN$9</f>
        <v>455.4</v>
      </c>
      <c r="BX132" s="148">
        <f t="shared" ref="BX132:BX195" si="106">BW132*BI132</f>
        <v>3129354.9718154697</v>
      </c>
      <c r="BY132" s="148">
        <f t="shared" ref="BY132:BY195" si="107">((BX132/3600)*AF133)/1000</f>
        <v>0.18380502948331598</v>
      </c>
      <c r="BZ132">
        <f t="shared" si="90"/>
        <v>31.735340378270468</v>
      </c>
      <c r="CB132">
        <f t="shared" ref="CB132:CB195" si="108">BU132-BS132</f>
        <v>982.308061522662</v>
      </c>
      <c r="CC132" s="162">
        <f t="shared" si="91"/>
        <v>4611.309567268434</v>
      </c>
      <c r="CD132">
        <f t="shared" si="78"/>
        <v>71135.002363042455</v>
      </c>
    </row>
    <row r="133" spans="4:82" x14ac:dyDescent="0.2">
      <c r="D133" s="22">
        <f t="shared" si="81"/>
        <v>0</v>
      </c>
      <c r="E133" s="23">
        <v>9.1017071999999999</v>
      </c>
      <c r="F133" s="23">
        <f>IF(K133&lt;6,1,IF(Data!K133&lt;9,2,IF(K133&gt;9,3)))</f>
        <v>3</v>
      </c>
      <c r="G133" s="23">
        <v>949.23081842384727</v>
      </c>
      <c r="H133" s="23">
        <v>217.41666499999999</v>
      </c>
      <c r="I133" s="64">
        <v>43.979093328542291</v>
      </c>
      <c r="J133" s="65">
        <f t="shared" si="82"/>
        <v>2.1528016594536106</v>
      </c>
      <c r="K133" s="65">
        <f t="shared" si="83"/>
        <v>17.591637331416916</v>
      </c>
      <c r="L133" s="65">
        <f t="shared" si="84"/>
        <v>0.86112066378143004</v>
      </c>
      <c r="M133">
        <f t="shared" si="85"/>
        <v>18.2034144</v>
      </c>
      <c r="N133">
        <f t="shared" si="86"/>
        <v>0</v>
      </c>
      <c r="O133">
        <f>IF(L133&lt;'Vehicle Data'!F$21,'Vehicle Data'!C$21,IF(L133&gt;'Vehicle Data'!C$21,'Vehicle Data'!C$20))</f>
        <v>0.6</v>
      </c>
      <c r="P133">
        <f>('Vehicle Data'!C$6*9.81*'Vehicle Data'!C$5*SIN(D133))/'Vehicle Data'!C$9</f>
        <v>0</v>
      </c>
      <c r="Q133" s="107">
        <f>'Vehicle Data'!C$6*9.81*SIN(D133)</f>
        <v>0</v>
      </c>
      <c r="R133">
        <f t="shared" si="80"/>
        <v>947.04266237648096</v>
      </c>
      <c r="S133">
        <f>IF(Data!O133=0.6,'Vehicle Data'!E$21,IF(Data!O133 = 0.9,'Vehicle Data'!E$20))+(P133*O133)</f>
        <v>1550.3723999999997</v>
      </c>
      <c r="T133">
        <f>IF(F133=3,'Vehicle Data'!H$16,IF(F133=2,'Vehicle Data'!H$15,IF(F133 = 1,'Vehicle Data'!G$14)))</f>
        <v>466.23005239380637</v>
      </c>
      <c r="U133" s="148">
        <f t="shared" si="87"/>
        <v>230.9041802531649</v>
      </c>
      <c r="V133" s="70" t="s">
        <v>77</v>
      </c>
      <c r="W133" s="99" t="s">
        <v>84</v>
      </c>
      <c r="X133">
        <f>IF(V133="S",'Vehicle Data'!C$14,IF(Data!V133 = "T1",'Vehicle Data'!P$2,IF(Data!V133="T2",'Vehicle Data'!P$3)))</f>
        <v>13.411199999999999</v>
      </c>
      <c r="Z133">
        <f t="shared" ref="Z133:Z160" si="109">SQRT(Z132^2+2*AE132*(U133-U132))</f>
        <v>10.321040268926184</v>
      </c>
      <c r="AB133" t="b">
        <f>IF(AA133=1,'Vehicle Data'!I$14,IF(AA133=2,'Vehicle Data'!I$15,IF(AA133=3,'Vehicle Data'!I$16)))</f>
        <v>0</v>
      </c>
      <c r="AC133">
        <f>IF(Z133&lt;'Vehicle Data'!C$16,'Vehicle Data'!I$15,IF(Z133&lt;'Vehicle Data'!C$15,'Vehicle Data'!I$15,IF(Z132&gt;'Vehicle Data'!C$15,'Vehicle Data'!I$16)))</f>
        <v>0.46202745420001456</v>
      </c>
      <c r="AD133">
        <f>IF(O133=0.6,'Vehicle Data'!F$21,IF(O133=0.9,'Vehicle Data'!F$20))</f>
        <v>3.5315999999999996</v>
      </c>
      <c r="AE133" s="100">
        <f t="shared" si="88"/>
        <v>0.46202745420001456</v>
      </c>
      <c r="AF133" s="158">
        <f t="shared" ref="AF133:AF196" si="110">(U133-U132)/Z133</f>
        <v>0.21144872093435244</v>
      </c>
      <c r="AG133" s="148">
        <f t="shared" si="92"/>
        <v>0.46423509048538864</v>
      </c>
      <c r="AH133" s="148">
        <f t="shared" ref="AH133:AH196" si="111">AH132+AF133</f>
        <v>31.946789099204821</v>
      </c>
      <c r="AI133" s="101"/>
      <c r="AJ133" s="101">
        <f>(Z133^2)*'Vehicle Data'!C$31</f>
        <v>39.147523045552497</v>
      </c>
      <c r="AK133" s="101">
        <f>IF(O133=0.6,'Vehicle Data'!C$6*'Vehicle Data'!D$21*9.81,IF(O133=0.9,'Vehicle Data'!C$6*9.81*'Vehicle Data'!D$20))</f>
        <v>86.131799999999998</v>
      </c>
      <c r="AL133" s="101">
        <f t="shared" si="89"/>
        <v>125.2793230455525</v>
      </c>
      <c r="AM133" s="101"/>
      <c r="AN133" s="101">
        <f>IF(AG133&gt;0,AG133*'Vehicle Data'!C$6)</f>
        <v>203.79920472308561</v>
      </c>
      <c r="AO133" s="101">
        <f t="shared" si="93"/>
        <v>329.07852776863808</v>
      </c>
      <c r="AP133" s="101">
        <f>AO133*'Vehicle Data'!F$3</f>
        <v>84.112471697663892</v>
      </c>
      <c r="AQ133" s="101">
        <f>IF(AE133='Vehicle Data'!I$15,AP133/'Vehicle Data'!G$15,IF(AE133='Vehicle Data'!I$16,AP133/'Vehicle Data'!G$16,IF(AE133='Vehicle Data'!I$14,Data!AP133/'Vehicle Data'!G144)))</f>
        <v>15.528230266878897</v>
      </c>
      <c r="AR133" s="101">
        <f>IF(Z133&lt;'Vehicle Data'!C$16, Z133*'Vehicle Data'!F$7*'Vehicle Data'!G$14,IF(Z133&lt;'Vehicle Data'!C$15,Z133*'Vehicle Data'!F$7*'Vehicle Data'!G$15,IF(Z133&gt;'Vehicle Data'!C$15,Z133*'Vehicle Data'!F$7*'Vehicle Data'!G$16)))</f>
        <v>89.784759358450771</v>
      </c>
      <c r="AS133" s="101">
        <f t="shared" ref="AS133:AS196" si="112">AR133*60</f>
        <v>5387.0855615070459</v>
      </c>
      <c r="AT133" s="101">
        <v>4</v>
      </c>
      <c r="AU133" s="101">
        <f t="shared" ref="AU133:AU196" si="113">MROUND(AS133,500)</f>
        <v>5500</v>
      </c>
      <c r="AV133" s="101"/>
      <c r="AW133" s="101">
        <f>VLOOKUP(AT133,BSFC!A$64:A$82,1,FALSE)</f>
        <v>4</v>
      </c>
      <c r="AX133" s="101" t="e" cm="1">
        <f t="array" ref="AX133">_xlfn.XLOOKUP(AT133,BSFC!A$64:A$82,,-1,_xlfn.XLOOKUP(Data!AU133,BSFC!C$63:Q$63,BSFC!B$64:Q$82,,-1))</f>
        <v>#VALUE!</v>
      </c>
      <c r="AY133" s="101">
        <f>HLOOKUP(AU133,BSFC!F$63:Q$63,1)</f>
        <v>5500</v>
      </c>
      <c r="AZ133">
        <f>IF(AT133&gt;0,MATCH(AT133,BSFC!A$64:A$83,0),IF(AT133&lt;=0,0))</f>
        <v>19</v>
      </c>
      <c r="BA133" s="101">
        <f>MATCH(AU133,BSFC!C$63:Q$63,0)</f>
        <v>11</v>
      </c>
      <c r="BB133" cm="1">
        <f t="array" ref="BB133">IF(AZ133&gt;0,INDEX(BSFC!C$64:Q$83,Data!AZ133,Data!BA133))</f>
        <v>670</v>
      </c>
      <c r="BC133" s="101">
        <f>0.5*'Vehicle Data'!C$6*Data!Z133^2</f>
        <v>23381.989955098696</v>
      </c>
      <c r="BD133" s="101">
        <f t="shared" si="94"/>
        <v>8.8265270293351783</v>
      </c>
      <c r="BE133" s="101">
        <f t="shared" ref="BE133:BE196" si="114">BB133*BD133</f>
        <v>5913.7731096545695</v>
      </c>
      <c r="BF133" s="101">
        <f t="shared" ref="BF133:BF196" si="115">(BE133/3600)*AF133</f>
        <v>0.34734993331456299</v>
      </c>
      <c r="BG133" s="101">
        <f t="shared" si="95"/>
        <v>33.030817436702335</v>
      </c>
      <c r="BH133">
        <f t="shared" si="79"/>
        <v>8724.6459184876949</v>
      </c>
      <c r="BI133" s="148">
        <f t="shared" si="96"/>
        <v>6871.6622130335309</v>
      </c>
      <c r="BO133">
        <f t="shared" si="97"/>
        <v>1832.3966611711285</v>
      </c>
      <c r="BP133">
        <f t="shared" si="98"/>
        <v>88940.138898981677</v>
      </c>
      <c r="BQ133">
        <f t="shared" si="99"/>
        <v>149492.99729986</v>
      </c>
      <c r="BR133" s="148">
        <f t="shared" si="100"/>
        <v>220970.76662281921</v>
      </c>
      <c r="BS133" s="156">
        <f t="shared" si="101"/>
        <v>1832.3966611711285</v>
      </c>
      <c r="BT133" s="156">
        <f t="shared" si="102"/>
        <v>8724.6459184876949</v>
      </c>
      <c r="BU133">
        <f t="shared" si="103"/>
        <v>1443.2231420620269</v>
      </c>
      <c r="BV133">
        <f t="shared" si="104"/>
        <v>1443.2231420620269</v>
      </c>
      <c r="BW133" s="148">
        <f t="shared" si="105"/>
        <v>455.4</v>
      </c>
      <c r="BX133" s="148">
        <f t="shared" si="106"/>
        <v>3129354.9718154697</v>
      </c>
      <c r="BY133" s="148">
        <f t="shared" si="107"/>
        <v>0.1825677274708464</v>
      </c>
      <c r="BZ133">
        <f t="shared" si="90"/>
        <v>31.946789099204821</v>
      </c>
      <c r="CB133">
        <f t="shared" si="108"/>
        <v>-389.17351910910156</v>
      </c>
      <c r="CC133" s="162">
        <f t="shared" si="91"/>
        <v>-1840.5101595763524</v>
      </c>
      <c r="CD133">
        <f t="shared" ref="CD133:CD196" si="116">CB133+CD132</f>
        <v>70745.828843933356</v>
      </c>
    </row>
    <row r="134" spans="4:82" x14ac:dyDescent="0.2">
      <c r="D134" s="22">
        <f t="shared" si="81"/>
        <v>0</v>
      </c>
      <c r="E134" s="23">
        <v>9.1017071999999999</v>
      </c>
      <c r="F134" s="23">
        <f>IF(K134&lt;6,1,IF(Data!K134&lt;9,2,IF(K134&gt;9,3)))</f>
        <v>3</v>
      </c>
      <c r="G134" s="23">
        <v>951.42518503879205</v>
      </c>
      <c r="H134" s="23">
        <v>217.46666499999998</v>
      </c>
      <c r="I134" s="64">
        <v>44.086733411514935</v>
      </c>
      <c r="J134" s="65">
        <f t="shared" si="82"/>
        <v>2.1597626329109039</v>
      </c>
      <c r="K134" s="65">
        <f t="shared" si="83"/>
        <v>17.634693364605972</v>
      </c>
      <c r="L134" s="65">
        <f t="shared" si="84"/>
        <v>0.86390505316439004</v>
      </c>
      <c r="M134">
        <f t="shared" si="85"/>
        <v>18.2034144</v>
      </c>
      <c r="N134">
        <v>0</v>
      </c>
      <c r="O134">
        <f>IF(L134&lt;'Vehicle Data'!F$21,'Vehicle Data'!C$21,IF(L134&gt;'Vehicle Data'!C$21,'Vehicle Data'!C$20))</f>
        <v>0.6</v>
      </c>
      <c r="P134">
        <f>('Vehicle Data'!C$6*9.81*'Vehicle Data'!C$5*SIN(D134))/'Vehicle Data'!C$9</f>
        <v>0</v>
      </c>
      <c r="Q134" s="107">
        <f>'Vehicle Data'!C$6*9.81*SIN(D134)</f>
        <v>0</v>
      </c>
      <c r="R134">
        <f t="shared" si="80"/>
        <v>949.23081842384727</v>
      </c>
      <c r="S134">
        <f>IF(Data!O134=0.6,'Vehicle Data'!E$21,IF(Data!O134 = 0.9,'Vehicle Data'!E$20))+(P134*O134)</f>
        <v>1550.3723999999997</v>
      </c>
      <c r="T134">
        <f>IF(F134=3,'Vehicle Data'!H$16,IF(F134=2,'Vehicle Data'!H$15,IF(F134 = 1,'Vehicle Data'!G$14)))</f>
        <v>466.23005239380637</v>
      </c>
      <c r="U134" s="148">
        <f t="shared" si="87"/>
        <v>233.0923363005312</v>
      </c>
      <c r="V134" s="70" t="s">
        <v>77</v>
      </c>
      <c r="W134" s="99" t="s">
        <v>84</v>
      </c>
      <c r="X134">
        <f>IF(V134="S",'Vehicle Data'!C$14,IF(Data!V134 = "T1",'Vehicle Data'!P$2,IF(Data!V134="T2",'Vehicle Data'!P$3)))</f>
        <v>13.411199999999999</v>
      </c>
      <c r="Z134">
        <f t="shared" si="109"/>
        <v>10.418533897277003</v>
      </c>
      <c r="AB134" t="b">
        <f>IF(AA134=1,'Vehicle Data'!I$14,IF(AA134=2,'Vehicle Data'!I$15,IF(AA134=3,'Vehicle Data'!I$16)))</f>
        <v>0</v>
      </c>
      <c r="AC134">
        <f>IF(Z134&lt;'Vehicle Data'!C$16,'Vehicle Data'!I$15,IF(Z134&lt;'Vehicle Data'!C$15,'Vehicle Data'!I$15,IF(Z133&gt;'Vehicle Data'!C$15,'Vehicle Data'!I$16)))</f>
        <v>0.46202745420001456</v>
      </c>
      <c r="AD134">
        <f>IF(O134=0.6,'Vehicle Data'!F$21,IF(O134=0.9,'Vehicle Data'!F$20))</f>
        <v>3.5315999999999996</v>
      </c>
      <c r="AE134" s="100">
        <f t="shared" si="88"/>
        <v>0.46202745420001456</v>
      </c>
      <c r="AF134" s="158">
        <f t="shared" si="110"/>
        <v>0.21002533263708092</v>
      </c>
      <c r="AG134" s="148">
        <f t="shared" si="92"/>
        <v>0.46419937598330269</v>
      </c>
      <c r="AH134" s="148">
        <f t="shared" si="111"/>
        <v>32.156814431841902</v>
      </c>
      <c r="AJ134">
        <f>(Z134^2)*'Vehicle Data'!C$31</f>
        <v>39.890599349000915</v>
      </c>
      <c r="AK134">
        <f>IF(O134=0.6,'Vehicle Data'!C$6*'Vehicle Data'!D$21*9.81,IF(O134=0.9,'Vehicle Data'!C$6*9.81*'Vehicle Data'!D$20))</f>
        <v>86.131799999999998</v>
      </c>
      <c r="AL134">
        <f t="shared" si="89"/>
        <v>126.02239934900092</v>
      </c>
      <c r="AN134">
        <f>IF(AG134&gt;0,AG134*'Vehicle Data'!C$6)</f>
        <v>203.78352605666987</v>
      </c>
      <c r="AO134">
        <f t="shared" si="93"/>
        <v>329.80592540567079</v>
      </c>
      <c r="AP134">
        <f>AO134*'Vehicle Data'!F$3</f>
        <v>84.298394533689446</v>
      </c>
      <c r="AQ134">
        <f>IF(AE134='Vehicle Data'!I$15,AP134/'Vehicle Data'!G$15,IF(AE134='Vehicle Data'!I$16,AP134/'Vehicle Data'!G$16,IF(AE134='Vehicle Data'!I$14,Data!AP134/'Vehicle Data'!G145)))</f>
        <v>15.562553983105584</v>
      </c>
      <c r="AR134">
        <f>IF(Z134&lt;'Vehicle Data'!C$16, Z134*'Vehicle Data'!F$7*'Vehicle Data'!G$14,IF(Z134&lt;'Vehicle Data'!C$15,Z134*'Vehicle Data'!F$7*'Vehicle Data'!G$15,IF(Z134&gt;'Vehicle Data'!C$15,Z134*'Vehicle Data'!F$7*'Vehicle Data'!G$16)))</f>
        <v>90.632875607625252</v>
      </c>
      <c r="AS134">
        <f t="shared" si="112"/>
        <v>5437.9725364575152</v>
      </c>
      <c r="AT134">
        <f t="shared" ref="AT134:AT196" si="117">ROUND(AQ134,0)</f>
        <v>16</v>
      </c>
      <c r="AU134">
        <f t="shared" si="113"/>
        <v>5500</v>
      </c>
      <c r="AW134">
        <f>VLOOKUP(AT134,BSFC!A$64:A$82,1,FALSE)</f>
        <v>16</v>
      </c>
      <c r="AX134" t="e" cm="1">
        <f t="array" ref="AX134">_xlfn.XLOOKUP(AT134,BSFC!A$64:A$82,,-1,_xlfn.XLOOKUP(Data!AU134,BSFC!C$63:Q$63,BSFC!B$64:Q$82,,-1))</f>
        <v>#VALUE!</v>
      </c>
      <c r="AY134">
        <f>HLOOKUP(AU134,BSFC!F$63:Q$63,1)</f>
        <v>5500</v>
      </c>
      <c r="AZ134">
        <f>IF(AT134&gt;0,MATCH(AT134,BSFC!A$64:A$83,0),IF(AT134&lt;=0,0))</f>
        <v>7</v>
      </c>
      <c r="BA134">
        <f>MATCH(AU134,BSFC!C$63:Q$63,0)</f>
        <v>11</v>
      </c>
      <c r="BB134" cm="1">
        <f t="array" ref="BB134">IF(AZ134&gt;0,INDEX(BSFC!C$64:Q$83,Data!AZ134,Data!BA134))</f>
        <v>632.5</v>
      </c>
      <c r="BC134">
        <f>0.5*'Vehicle Data'!C$6*Data!Z134^2</f>
        <v>23825.813760831832</v>
      </c>
      <c r="BD134">
        <f t="shared" si="94"/>
        <v>8.9283129194188717</v>
      </c>
      <c r="BE134">
        <f t="shared" si="114"/>
        <v>5647.1579215324364</v>
      </c>
      <c r="BF134">
        <f t="shared" si="115"/>
        <v>0.32945728358999343</v>
      </c>
      <c r="BG134">
        <f t="shared" si="95"/>
        <v>33.360274720292331</v>
      </c>
      <c r="BH134">
        <f t="shared" si="79"/>
        <v>8826.5270293351787</v>
      </c>
      <c r="BI134" s="148">
        <f t="shared" si="96"/>
        <v>6871.6622130335309</v>
      </c>
      <c r="BO134">
        <f t="shared" si="97"/>
        <v>1841.9311355968605</v>
      </c>
      <c r="BP134">
        <f t="shared" si="98"/>
        <v>90782.070034578544</v>
      </c>
      <c r="BQ134">
        <f t="shared" si="99"/>
        <v>151334.92843545685</v>
      </c>
      <c r="BR134" s="148">
        <f t="shared" si="100"/>
        <v>222404.75402708643</v>
      </c>
      <c r="BS134" s="156">
        <f t="shared" si="101"/>
        <v>1841.9311355968605</v>
      </c>
      <c r="BT134" s="156">
        <f t="shared" si="102"/>
        <v>8826.5270293351787</v>
      </c>
      <c r="BU134">
        <f t="shared" si="103"/>
        <v>1433.9874042672288</v>
      </c>
      <c r="BV134">
        <f t="shared" si="104"/>
        <v>1433.9874042672288</v>
      </c>
      <c r="BW134" s="148">
        <f t="shared" si="105"/>
        <v>455.4</v>
      </c>
      <c r="BX134" s="148">
        <f t="shared" si="106"/>
        <v>3129354.9718154697</v>
      </c>
      <c r="BY134" s="148">
        <f t="shared" si="107"/>
        <v>0.18139940663980442</v>
      </c>
      <c r="BZ134">
        <f t="shared" si="90"/>
        <v>32.156814431841902</v>
      </c>
      <c r="CB134">
        <f t="shared" si="108"/>
        <v>-407.94373132963165</v>
      </c>
      <c r="CC134" s="162">
        <f t="shared" si="91"/>
        <v>-1942.3548874199389</v>
      </c>
      <c r="CD134">
        <f t="shared" si="116"/>
        <v>70337.885112603719</v>
      </c>
    </row>
    <row r="135" spans="4:82" x14ac:dyDescent="0.2">
      <c r="D135" s="22">
        <f t="shared" si="81"/>
        <v>0</v>
      </c>
      <c r="E135" s="23">
        <v>9.2017056000000004</v>
      </c>
      <c r="F135" s="23">
        <f>IF(K135&lt;6,1,IF(Data!K135&lt;9,2,IF(K135&gt;9,3)))</f>
        <v>3</v>
      </c>
      <c r="G135" s="23">
        <v>953.62649901184238</v>
      </c>
      <c r="H135" s="23">
        <v>217.51666499999999</v>
      </c>
      <c r="I135" s="64">
        <v>44.194721543160504</v>
      </c>
      <c r="J135" s="65">
        <f t="shared" si="82"/>
        <v>2.1770366745611391</v>
      </c>
      <c r="K135" s="65">
        <f t="shared" si="83"/>
        <v>17.677888617264202</v>
      </c>
      <c r="L135" s="65">
        <f t="shared" si="84"/>
        <v>0.87081466982448419</v>
      </c>
      <c r="M135">
        <f t="shared" si="85"/>
        <v>18.403411200000001</v>
      </c>
      <c r="N135">
        <f t="shared" si="86"/>
        <v>0</v>
      </c>
      <c r="O135">
        <f>IF(L135&lt;'Vehicle Data'!F$21,'Vehicle Data'!C$21,IF(L135&gt;'Vehicle Data'!C$21,'Vehicle Data'!C$20))</f>
        <v>0.6</v>
      </c>
      <c r="P135">
        <f>('Vehicle Data'!C$6*9.81*'Vehicle Data'!C$5*SIN(D135))/'Vehicle Data'!C$9</f>
        <v>0</v>
      </c>
      <c r="Q135" s="107">
        <f>'Vehicle Data'!C$6*9.81*SIN(D135)</f>
        <v>0</v>
      </c>
      <c r="R135">
        <f t="shared" si="80"/>
        <v>951.42518503879205</v>
      </c>
      <c r="S135">
        <f>IF(Data!O135=0.6,'Vehicle Data'!E$21,IF(Data!O135 = 0.9,'Vehicle Data'!E$20))+(P135*O135)</f>
        <v>1550.3723999999997</v>
      </c>
      <c r="T135">
        <f>IF(F135=3,'Vehicle Data'!H$16,IF(F135=2,'Vehicle Data'!H$15,IF(F135 = 1,'Vehicle Data'!G$14)))</f>
        <v>466.23005239380637</v>
      </c>
      <c r="U135" s="148">
        <f t="shared" si="87"/>
        <v>235.28670291547598</v>
      </c>
      <c r="V135" s="70" t="s">
        <v>77</v>
      </c>
      <c r="W135" s="99" t="s">
        <v>84</v>
      </c>
      <c r="X135">
        <f>IF(V135="S",'Vehicle Data'!C$14,IF(Data!V135 = "T1",'Vehicle Data'!P$2,IF(Data!V135="T2",'Vehicle Data'!P$3)))</f>
        <v>13.411199999999999</v>
      </c>
      <c r="Z135">
        <f t="shared" si="109"/>
        <v>10.515396512261381</v>
      </c>
      <c r="AB135" t="b">
        <f>IF(AA135=1,'Vehicle Data'!I$14,IF(AA135=2,'Vehicle Data'!I$15,IF(AA135=3,'Vehicle Data'!I$16)))</f>
        <v>0</v>
      </c>
      <c r="AC135">
        <f>IF(Z135&lt;'Vehicle Data'!C$16,'Vehicle Data'!I$15,IF(Z135&lt;'Vehicle Data'!C$15,'Vehicle Data'!I$15,IF(Z134&gt;'Vehicle Data'!C$15,'Vehicle Data'!I$16)))</f>
        <v>0.46202745420001456</v>
      </c>
      <c r="AD135">
        <f>IF(O135=0.6,'Vehicle Data'!F$21,IF(O135=0.9,'Vehicle Data'!F$20))</f>
        <v>3.5315999999999996</v>
      </c>
      <c r="AE135" s="100">
        <f t="shared" si="88"/>
        <v>0.46202745420001456</v>
      </c>
      <c r="AF135" s="158">
        <f t="shared" si="110"/>
        <v>0.20868130007138225</v>
      </c>
      <c r="AG135" s="148">
        <f t="shared" si="92"/>
        <v>0.46416528434145615</v>
      </c>
      <c r="AH135" s="148">
        <f t="shared" si="111"/>
        <v>32.365495731913285</v>
      </c>
      <c r="AJ135">
        <f>(Z135^2)*'Vehicle Data'!C$31</f>
        <v>40.63578470020397</v>
      </c>
      <c r="AK135">
        <f>IF(O135=0.6,'Vehicle Data'!C$6*'Vehicle Data'!D$21*9.81,IF(O135=0.9,'Vehicle Data'!C$6*9.81*'Vehicle Data'!D$20))</f>
        <v>86.131799999999998</v>
      </c>
      <c r="AL135">
        <f t="shared" si="89"/>
        <v>126.76758470020397</v>
      </c>
      <c r="AN135">
        <f>IF(AG135&gt;0,AG135*'Vehicle Data'!C$6)</f>
        <v>203.76855982589925</v>
      </c>
      <c r="AO135">
        <f t="shared" si="93"/>
        <v>330.53614452610321</v>
      </c>
      <c r="AP135">
        <f>AO135*'Vehicle Data'!F$3</f>
        <v>84.485038540871983</v>
      </c>
      <c r="AQ135">
        <f>IF(AE135='Vehicle Data'!I$15,AP135/'Vehicle Data'!G$15,IF(AE135='Vehicle Data'!I$16,AP135/'Vehicle Data'!G$16,IF(AE135='Vehicle Data'!I$14,Data!AP135/'Vehicle Data'!G146)))</f>
        <v>15.597010836684694</v>
      </c>
      <c r="AR135">
        <f>IF(Z135&lt;'Vehicle Data'!C$16, Z135*'Vehicle Data'!F$7*'Vehicle Data'!G$14,IF(Z135&lt;'Vehicle Data'!C$15,Z135*'Vehicle Data'!F$7*'Vehicle Data'!G$15,IF(Z135&gt;'Vehicle Data'!C$15,Z135*'Vehicle Data'!F$7*'Vehicle Data'!G$16)))</f>
        <v>91.475502547410215</v>
      </c>
      <c r="AS135">
        <f t="shared" si="112"/>
        <v>5488.5301528446125</v>
      </c>
      <c r="AT135">
        <f t="shared" si="117"/>
        <v>16</v>
      </c>
      <c r="AU135">
        <f t="shared" si="113"/>
        <v>5500</v>
      </c>
      <c r="AW135">
        <f>VLOOKUP(AT135,BSFC!A$64:A$82,1,FALSE)</f>
        <v>16</v>
      </c>
      <c r="AX135" t="e" cm="1">
        <f t="array" ref="AX135">_xlfn.XLOOKUP(AT135,BSFC!A$64:A$82,,-1,_xlfn.XLOOKUP(Data!AU135,BSFC!C$63:Q$63,BSFC!B$64:Q$82,,-1))</f>
        <v>#VALUE!</v>
      </c>
      <c r="AY135">
        <f>HLOOKUP(AU135,BSFC!F$63:Q$63,1)</f>
        <v>5500</v>
      </c>
      <c r="AZ135">
        <f>IF(AT135&gt;0,MATCH(AT135,BSFC!A$64:A$83,0),IF(AT135&lt;=0,0))</f>
        <v>7</v>
      </c>
      <c r="BA135">
        <f>MATCH(AU135,BSFC!C$63:Q$63,0)</f>
        <v>11</v>
      </c>
      <c r="BB135" cm="1">
        <f t="array" ref="BB135">IF(AZ135&gt;0,INDEX(BSFC!C$64:Q$83,Data!AZ135,Data!BA135))</f>
        <v>632.5</v>
      </c>
      <c r="BC135">
        <f>0.5*'Vehicle Data'!C$6*Data!Z135^2</f>
        <v>24270.897256312299</v>
      </c>
      <c r="BD135">
        <f t="shared" si="94"/>
        <v>9.0300534146991591</v>
      </c>
      <c r="BE135">
        <f t="shared" si="114"/>
        <v>5711.5087847972181</v>
      </c>
      <c r="BF135">
        <f t="shared" si="115"/>
        <v>0.33107918849461226</v>
      </c>
      <c r="BG135">
        <f t="shared" si="95"/>
        <v>33.691353908786944</v>
      </c>
      <c r="BH135">
        <f t="shared" si="79"/>
        <v>8928.3129194188714</v>
      </c>
      <c r="BI135" s="148">
        <f t="shared" si="96"/>
        <v>6871.6622130335309</v>
      </c>
      <c r="BO135">
        <f t="shared" si="97"/>
        <v>1852.1124520809442</v>
      </c>
      <c r="BP135">
        <f t="shared" si="98"/>
        <v>92634.182486659483</v>
      </c>
      <c r="BQ135">
        <f t="shared" si="99"/>
        <v>153187.04088753779</v>
      </c>
      <c r="BR135" s="148">
        <f t="shared" si="100"/>
        <v>223830.22950785418</v>
      </c>
      <c r="BS135" s="156">
        <f t="shared" si="101"/>
        <v>1852.1124520809442</v>
      </c>
      <c r="BT135" s="156">
        <f t="shared" si="102"/>
        <v>8928.3129194188714</v>
      </c>
      <c r="BU135">
        <f t="shared" si="103"/>
        <v>1425.4754807677468</v>
      </c>
      <c r="BV135">
        <f t="shared" si="104"/>
        <v>1425.4754807677468</v>
      </c>
      <c r="BW135" s="148">
        <f t="shared" si="105"/>
        <v>455.4</v>
      </c>
      <c r="BX135" s="148">
        <f t="shared" si="106"/>
        <v>3129354.9718154697</v>
      </c>
      <c r="BY135" s="148">
        <f t="shared" si="107"/>
        <v>0.18032264831711994</v>
      </c>
      <c r="BZ135">
        <f t="shared" si="90"/>
        <v>32.365495731913285</v>
      </c>
      <c r="CB135">
        <f t="shared" si="108"/>
        <v>-426.63697131319736</v>
      </c>
      <c r="CC135" s="162">
        <f t="shared" si="91"/>
        <v>-2044.4427515415061</v>
      </c>
      <c r="CD135">
        <f t="shared" si="116"/>
        <v>69911.248141290518</v>
      </c>
    </row>
    <row r="136" spans="4:82" x14ac:dyDescent="0.2">
      <c r="D136" s="22">
        <f t="shared" si="81"/>
        <v>0</v>
      </c>
      <c r="E136" s="23">
        <v>9.2017056000000004</v>
      </c>
      <c r="F136" s="23">
        <f>IF(K136&lt;6,1,IF(Data!K136&lt;9,2,IF(K136&gt;9,3)))</f>
        <v>3</v>
      </c>
      <c r="G136" s="23">
        <v>955.83530355247183</v>
      </c>
      <c r="H136" s="23">
        <v>217.566665</v>
      </c>
      <c r="I136" s="64">
        <v>44.303573376888586</v>
      </c>
      <c r="J136" s="65">
        <f t="shared" si="82"/>
        <v>1.9280854291546672</v>
      </c>
      <c r="K136" s="65">
        <f t="shared" si="83"/>
        <v>17.721429350755436</v>
      </c>
      <c r="L136" s="65">
        <f t="shared" si="84"/>
        <v>0.77123417166182417</v>
      </c>
      <c r="M136">
        <f t="shared" si="85"/>
        <v>18.403411200000001</v>
      </c>
      <c r="N136">
        <f t="shared" si="86"/>
        <v>0</v>
      </c>
      <c r="O136">
        <f>IF(L136&lt;'Vehicle Data'!F$21,'Vehicle Data'!C$21,IF(L136&gt;'Vehicle Data'!C$21,'Vehicle Data'!C$20))</f>
        <v>0.6</v>
      </c>
      <c r="P136">
        <f>('Vehicle Data'!C$6*9.81*'Vehicle Data'!C$5*SIN(D136))/'Vehicle Data'!C$9</f>
        <v>0</v>
      </c>
      <c r="Q136" s="107">
        <f>'Vehicle Data'!C$6*9.81*SIN(D136)</f>
        <v>0</v>
      </c>
      <c r="R136">
        <f t="shared" si="80"/>
        <v>953.62649901184238</v>
      </c>
      <c r="S136">
        <f>IF(Data!O136=0.6,'Vehicle Data'!E$21,IF(Data!O136 = 0.9,'Vehicle Data'!E$20))+(P136*O136)</f>
        <v>1550.3723999999997</v>
      </c>
      <c r="T136">
        <f>IF(F136=3,'Vehicle Data'!H$16,IF(F136=2,'Vehicle Data'!H$15,IF(F136 = 1,'Vehicle Data'!G$14)))</f>
        <v>466.23005239380637</v>
      </c>
      <c r="U136" s="148">
        <f t="shared" si="87"/>
        <v>237.48801688852632</v>
      </c>
      <c r="V136" s="70" t="s">
        <v>77</v>
      </c>
      <c r="W136" s="99" t="s">
        <v>84</v>
      </c>
      <c r="X136">
        <f>IF(V136="S",'Vehicle Data'!C$14,IF(Data!V136 = "T1",'Vehicle Data'!P$2,IF(Data!V136="T2",'Vehicle Data'!P$3)))</f>
        <v>13.411199999999999</v>
      </c>
      <c r="Z136">
        <f t="shared" si="109"/>
        <v>10.611677473039101</v>
      </c>
      <c r="AB136" t="b">
        <f>IF(AA136=1,'Vehicle Data'!I$14,IF(AA136=2,'Vehicle Data'!I$15,IF(AA136=3,'Vehicle Data'!I$16)))</f>
        <v>0</v>
      </c>
      <c r="AC136">
        <f>IF(Z136&lt;'Vehicle Data'!C$16,'Vehicle Data'!I$15,IF(Z136&lt;'Vehicle Data'!C$15,'Vehicle Data'!I$15,IF(Z135&gt;'Vehicle Data'!C$15,'Vehicle Data'!I$16)))</f>
        <v>0.46202745420001456</v>
      </c>
      <c r="AD136">
        <f>IF(O136=0.6,'Vehicle Data'!F$21,IF(O136=0.9,'Vehicle Data'!F$20))</f>
        <v>3.5315999999999996</v>
      </c>
      <c r="AE136" s="100">
        <f t="shared" si="88"/>
        <v>0.46202745420001456</v>
      </c>
      <c r="AF136" s="158">
        <f t="shared" si="110"/>
        <v>0.20744260072388851</v>
      </c>
      <c r="AG136" s="148">
        <f t="shared" si="92"/>
        <v>0.46413302013058105</v>
      </c>
      <c r="AH136" s="148">
        <f t="shared" si="111"/>
        <v>32.572938332637172</v>
      </c>
      <c r="AJ136">
        <f>(Z136^2)*'Vehicle Data'!C$31</f>
        <v>41.383329305988546</v>
      </c>
      <c r="AK136">
        <f>IF(O136=0.6,'Vehicle Data'!C$6*'Vehicle Data'!D$21*9.81,IF(O136=0.9,'Vehicle Data'!C$6*9.81*'Vehicle Data'!D$20))</f>
        <v>86.131799999999998</v>
      </c>
      <c r="AL136">
        <f t="shared" si="89"/>
        <v>127.51512930598855</v>
      </c>
      <c r="AN136">
        <f>IF(AG136&gt;0,AG136*'Vehicle Data'!C$6)</f>
        <v>203.75439583732509</v>
      </c>
      <c r="AO136">
        <f t="shared" si="93"/>
        <v>331.26952514331367</v>
      </c>
      <c r="AP136">
        <f>AO136*'Vehicle Data'!F$3</f>
        <v>84.672490626630974</v>
      </c>
      <c r="AQ136">
        <f>IF(AE136='Vehicle Data'!I$15,AP136/'Vehicle Data'!G$15,IF(AE136='Vehicle Data'!I$16,AP136/'Vehicle Data'!G$16,IF(AE136='Vehicle Data'!I$14,Data!AP136/'Vehicle Data'!G147)))</f>
        <v>15.63161687182934</v>
      </c>
      <c r="AR136">
        <f>IF(Z136&lt;'Vehicle Data'!C$16, Z136*'Vehicle Data'!F$7*'Vehicle Data'!G$14,IF(Z136&lt;'Vehicle Data'!C$15,Z136*'Vehicle Data'!F$7*'Vehicle Data'!G$15,IF(Z136&gt;'Vehicle Data'!C$15,Z136*'Vehicle Data'!F$7*'Vehicle Data'!G$16)))</f>
        <v>92.313069562845129</v>
      </c>
      <c r="AS136">
        <f t="shared" si="112"/>
        <v>5538.7841737707076</v>
      </c>
      <c r="AT136">
        <f t="shared" si="117"/>
        <v>16</v>
      </c>
      <c r="AU136">
        <f t="shared" si="113"/>
        <v>5500</v>
      </c>
      <c r="AW136">
        <f>VLOOKUP(AT136,BSFC!A$64:A$82,1,FALSE)</f>
        <v>16</v>
      </c>
      <c r="AX136" t="e" cm="1">
        <f t="array" ref="AX136">_xlfn.XLOOKUP(AT136,BSFC!A$64:A$82,,-1,_xlfn.XLOOKUP(Data!AU136,BSFC!C$63:Q$63,BSFC!B$64:Q$82,,-1))</f>
        <v>#VALUE!</v>
      </c>
      <c r="AY136">
        <f>HLOOKUP(AU136,BSFC!F$63:Q$63,1)</f>
        <v>5500</v>
      </c>
      <c r="AZ136">
        <f>IF(AT136&gt;0,MATCH(AT136,BSFC!A$64:A$83,0),IF(AT136&lt;=0,0))</f>
        <v>7</v>
      </c>
      <c r="BA136">
        <f>MATCH(AU136,BSFC!C$63:Q$63,0)</f>
        <v>11</v>
      </c>
      <c r="BB136" cm="1">
        <f t="array" ref="BB136">IF(AZ136&gt;0,INDEX(BSFC!C$64:Q$83,Data!AZ136,Data!BA136))</f>
        <v>632.5</v>
      </c>
      <c r="BC136">
        <f>0.5*'Vehicle Data'!C$6*Data!Z136^2</f>
        <v>24717.389884801316</v>
      </c>
      <c r="BD136">
        <f t="shared" si="94"/>
        <v>9.1317825726954212</v>
      </c>
      <c r="BE136">
        <f t="shared" si="114"/>
        <v>5775.8524772298542</v>
      </c>
      <c r="BF136">
        <f t="shared" si="115"/>
        <v>0.33282162757613193</v>
      </c>
      <c r="BG136">
        <f t="shared" si="95"/>
        <v>34.024175536363074</v>
      </c>
      <c r="BH136">
        <f t="shared" si="79"/>
        <v>9030.0534146991595</v>
      </c>
      <c r="BI136" s="148">
        <f t="shared" si="96"/>
        <v>6871.6622130335309</v>
      </c>
      <c r="BO136">
        <f t="shared" si="97"/>
        <v>1862.7858628266476</v>
      </c>
      <c r="BP136">
        <f t="shared" si="98"/>
        <v>94496.968349486124</v>
      </c>
      <c r="BQ136">
        <f t="shared" si="99"/>
        <v>155049.82675036445</v>
      </c>
      <c r="BR136" s="148">
        <f t="shared" si="100"/>
        <v>225247.76655184579</v>
      </c>
      <c r="BS136" s="156">
        <f t="shared" si="101"/>
        <v>1862.7858628266476</v>
      </c>
      <c r="BT136" s="156">
        <f t="shared" si="102"/>
        <v>9030.0534146991595</v>
      </c>
      <c r="BU136">
        <f t="shared" si="103"/>
        <v>1417.5370439916042</v>
      </c>
      <c r="BV136">
        <f t="shared" si="104"/>
        <v>1417.5370439916042</v>
      </c>
      <c r="BW136" s="148">
        <f t="shared" si="105"/>
        <v>455.4</v>
      </c>
      <c r="BX136" s="148">
        <f t="shared" si="106"/>
        <v>3129354.9718154697</v>
      </c>
      <c r="BY136" s="148">
        <f t="shared" si="107"/>
        <v>0.17931843606493789</v>
      </c>
      <c r="BZ136">
        <f t="shared" si="90"/>
        <v>32.572938332637172</v>
      </c>
      <c r="CB136">
        <f t="shared" si="108"/>
        <v>-445.24881883504349</v>
      </c>
      <c r="CC136" s="162">
        <f t="shared" si="91"/>
        <v>-2146.3711758400318</v>
      </c>
      <c r="CD136">
        <f t="shared" si="116"/>
        <v>69465.999322455478</v>
      </c>
    </row>
    <row r="137" spans="4:82" x14ac:dyDescent="0.2">
      <c r="D137" s="22">
        <f t="shared" si="81"/>
        <v>0</v>
      </c>
      <c r="E137" s="23">
        <v>9.2017056000000004</v>
      </c>
      <c r="F137" s="23">
        <f>IF(K137&lt;6,1,IF(Data!K137&lt;9,2,IF(K137&gt;9,3)))</f>
        <v>3</v>
      </c>
      <c r="G137" s="23">
        <v>958.05180073499469</v>
      </c>
      <c r="H137" s="23">
        <v>217.61666499999998</v>
      </c>
      <c r="I137" s="64">
        <v>44.399977648346287</v>
      </c>
      <c r="J137" s="65">
        <f t="shared" si="82"/>
        <v>1.7822548305426478</v>
      </c>
      <c r="K137" s="65">
        <f t="shared" si="83"/>
        <v>17.759991059338514</v>
      </c>
      <c r="L137" s="65">
        <f t="shared" si="84"/>
        <v>0.7129019322170449</v>
      </c>
      <c r="M137">
        <f t="shared" si="85"/>
        <v>18.403411200000001</v>
      </c>
      <c r="N137">
        <f t="shared" si="86"/>
        <v>0</v>
      </c>
      <c r="O137">
        <f>IF(L137&lt;'Vehicle Data'!F$21,'Vehicle Data'!C$21,IF(L137&gt;'Vehicle Data'!C$21,'Vehicle Data'!C$20))</f>
        <v>0.6</v>
      </c>
      <c r="P137">
        <f>('Vehicle Data'!C$6*9.81*'Vehicle Data'!C$5*SIN(D137))/'Vehicle Data'!C$9</f>
        <v>0</v>
      </c>
      <c r="Q137" s="107">
        <f>'Vehicle Data'!C$6*9.81*SIN(D137)</f>
        <v>0</v>
      </c>
      <c r="R137">
        <f t="shared" si="80"/>
        <v>955.83530355247183</v>
      </c>
      <c r="S137">
        <f>IF(Data!O137=0.6,'Vehicle Data'!E$21,IF(Data!O137 = 0.9,'Vehicle Data'!E$20))+(P137*O137)</f>
        <v>1550.3723999999997</v>
      </c>
      <c r="T137">
        <f>IF(F137=3,'Vehicle Data'!H$16,IF(F137=2,'Vehicle Data'!H$15,IF(F137 = 1,'Vehicle Data'!G$14)))</f>
        <v>466.23005239380637</v>
      </c>
      <c r="U137" s="148">
        <f t="shared" si="87"/>
        <v>239.69682142915576</v>
      </c>
      <c r="V137" s="70" t="s">
        <v>77</v>
      </c>
      <c r="W137" s="99" t="s">
        <v>84</v>
      </c>
      <c r="X137">
        <f>IF(V137="S",'Vehicle Data'!C$14,IF(Data!V137 = "T1",'Vehicle Data'!P$2,IF(Data!V137="T2",'Vehicle Data'!P$3)))</f>
        <v>13.411199999999999</v>
      </c>
      <c r="Z137">
        <f t="shared" si="109"/>
        <v>10.707415909978954</v>
      </c>
      <c r="AB137" t="b">
        <f>IF(AA137=1,'Vehicle Data'!I$14,IF(AA137=2,'Vehicle Data'!I$15,IF(AA137=3,'Vehicle Data'!I$16)))</f>
        <v>0</v>
      </c>
      <c r="AC137">
        <f>IF(Z137&lt;'Vehicle Data'!C$16,'Vehicle Data'!I$15,IF(Z137&lt;'Vehicle Data'!C$15,'Vehicle Data'!I$15,IF(Z136&gt;'Vehicle Data'!C$15,'Vehicle Data'!I$16)))</f>
        <v>0.46202745420001456</v>
      </c>
      <c r="AD137">
        <f>IF(O137=0.6,'Vehicle Data'!F$21,IF(O137=0.9,'Vehicle Data'!F$20))</f>
        <v>3.5315999999999996</v>
      </c>
      <c r="AE137" s="100">
        <f t="shared" si="88"/>
        <v>0.46202745420001456</v>
      </c>
      <c r="AF137" s="158">
        <f t="shared" si="110"/>
        <v>0.20628735814501351</v>
      </c>
      <c r="AG137" s="148">
        <f t="shared" si="92"/>
        <v>0.46410229788560808</v>
      </c>
      <c r="AH137" s="148">
        <f t="shared" si="111"/>
        <v>32.779225690782184</v>
      </c>
      <c r="AJ137">
        <f>(Z137^2)*'Vehicle Data'!C$31</f>
        <v>42.133417634956892</v>
      </c>
      <c r="AK137">
        <f>IF(O137=0.6,'Vehicle Data'!C$6*'Vehicle Data'!D$21*9.81,IF(O137=0.9,'Vehicle Data'!C$6*9.81*'Vehicle Data'!D$20))</f>
        <v>86.131799999999998</v>
      </c>
      <c r="AL137">
        <f t="shared" si="89"/>
        <v>128.26521763495688</v>
      </c>
      <c r="AN137">
        <f>IF(AG137&gt;0,AG137*'Vehicle Data'!C$6)</f>
        <v>203.74090877178196</v>
      </c>
      <c r="AO137">
        <f t="shared" si="93"/>
        <v>332.00612640673887</v>
      </c>
      <c r="AP137">
        <f>AO137*'Vehicle Data'!F$3</f>
        <v>84.86076590956246</v>
      </c>
      <c r="AQ137">
        <f>IF(AE137='Vehicle Data'!I$15,AP137/'Vehicle Data'!G$15,IF(AE137='Vehicle Data'!I$16,AP137/'Vehicle Data'!G$16,IF(AE137='Vehicle Data'!I$14,Data!AP137/'Vehicle Data'!G148)))</f>
        <v>15.666374879624312</v>
      </c>
      <c r="AR137">
        <f>IF(Z137&lt;'Vehicle Data'!C$16, Z137*'Vehicle Data'!F$7*'Vehicle Data'!G$14,IF(Z137&lt;'Vehicle Data'!C$15,Z137*'Vehicle Data'!F$7*'Vehicle Data'!G$15,IF(Z137&gt;'Vehicle Data'!C$15,Z137*'Vehicle Data'!F$7*'Vehicle Data'!G$16)))</f>
        <v>93.145917056704704</v>
      </c>
      <c r="AS137">
        <f t="shared" si="112"/>
        <v>5588.7550234022819</v>
      </c>
      <c r="AT137">
        <f t="shared" si="117"/>
        <v>16</v>
      </c>
      <c r="AU137">
        <f t="shared" si="113"/>
        <v>5500</v>
      </c>
      <c r="AW137">
        <f>VLOOKUP(AT137,BSFC!A$64:A$82,1,FALSE)</f>
        <v>16</v>
      </c>
      <c r="AX137" t="e" cm="1">
        <f t="array" ref="AX137">_xlfn.XLOOKUP(AT137,BSFC!A$64:A$82,,-1,_xlfn.XLOOKUP(Data!AU137,BSFC!C$63:Q$63,BSFC!B$64:Q$82,,-1))</f>
        <v>#VALUE!</v>
      </c>
      <c r="AY137">
        <f>HLOOKUP(AU137,BSFC!F$63:Q$63,1)</f>
        <v>5500</v>
      </c>
      <c r="AZ137">
        <f>IF(AT137&gt;0,MATCH(AT137,BSFC!A$64:A$83,0),IF(AT137&lt;=0,0))</f>
        <v>7</v>
      </c>
      <c r="BA137">
        <f>MATCH(AU137,BSFC!C$63:Q$63,0)</f>
        <v>11</v>
      </c>
      <c r="BB137" cm="1">
        <f t="array" ref="BB137">IF(AZ137&gt;0,INDEX(BSFC!C$64:Q$83,Data!AZ137,Data!BA137))</f>
        <v>632.5</v>
      </c>
      <c r="BC137">
        <f>0.5*'Vehicle Data'!C$6*Data!Z137^2</f>
        <v>25165.401825504858</v>
      </c>
      <c r="BD137">
        <f t="shared" si="94"/>
        <v>9.2335164737085869</v>
      </c>
      <c r="BE137">
        <f t="shared" si="114"/>
        <v>5840.1991696206815</v>
      </c>
      <c r="BF137">
        <f t="shared" si="115"/>
        <v>0.33465534937270891</v>
      </c>
      <c r="BG137">
        <f t="shared" si="95"/>
        <v>34.358830885735784</v>
      </c>
      <c r="BH137">
        <f t="shared" si="79"/>
        <v>9131.7825726954215</v>
      </c>
      <c r="BI137" s="148">
        <f t="shared" si="96"/>
        <v>6871.6622130335309</v>
      </c>
      <c r="BO137">
        <f t="shared" si="97"/>
        <v>1873.6697620148286</v>
      </c>
      <c r="BP137">
        <f t="shared" si="98"/>
        <v>96370.638111500957</v>
      </c>
      <c r="BQ137">
        <f t="shared" si="99"/>
        <v>156923.49651237926</v>
      </c>
      <c r="BR137" s="148">
        <f t="shared" si="100"/>
        <v>226657.70219155742</v>
      </c>
      <c r="BS137" s="156">
        <f t="shared" si="101"/>
        <v>1873.6697620148286</v>
      </c>
      <c r="BT137" s="156">
        <f t="shared" si="102"/>
        <v>9131.7825726954215</v>
      </c>
      <c r="BU137">
        <f t="shared" si="103"/>
        <v>1409.9356397116292</v>
      </c>
      <c r="BV137">
        <f t="shared" si="104"/>
        <v>1409.9356397116292</v>
      </c>
      <c r="BW137" s="148">
        <f t="shared" si="105"/>
        <v>455.4</v>
      </c>
      <c r="BX137" s="148">
        <f t="shared" si="106"/>
        <v>3129354.9718154697</v>
      </c>
      <c r="BY137" s="148">
        <f t="shared" si="107"/>
        <v>0.17835685842352109</v>
      </c>
      <c r="BZ137">
        <f t="shared" si="90"/>
        <v>32.779225690782184</v>
      </c>
      <c r="CB137">
        <f t="shared" si="108"/>
        <v>-463.73412230319946</v>
      </c>
      <c r="CC137" s="162">
        <f t="shared" si="91"/>
        <v>-2248.0006844491772</v>
      </c>
      <c r="CD137">
        <f t="shared" si="116"/>
        <v>69002.26520015228</v>
      </c>
    </row>
    <row r="138" spans="4:82" x14ac:dyDescent="0.2">
      <c r="D138" s="22">
        <f t="shared" si="81"/>
        <v>0</v>
      </c>
      <c r="E138" s="23">
        <v>9.2017056000000004</v>
      </c>
      <c r="F138" s="23">
        <f>IF(K138&lt;6,1,IF(Data!K138&lt;9,2,IF(K138&gt;9,3)))</f>
        <v>3</v>
      </c>
      <c r="G138" s="23">
        <v>960.27567055941279</v>
      </c>
      <c r="H138" s="23">
        <v>217.66666499999999</v>
      </c>
      <c r="I138" s="64">
        <v>44.489090389873439</v>
      </c>
      <c r="J138" s="65">
        <f t="shared" si="82"/>
        <v>1.8776166075958409</v>
      </c>
      <c r="K138" s="65">
        <f t="shared" si="83"/>
        <v>17.795636155949374</v>
      </c>
      <c r="L138" s="65">
        <f t="shared" si="84"/>
        <v>0.75104664303833635</v>
      </c>
      <c r="M138">
        <f t="shared" si="85"/>
        <v>18.403411200000001</v>
      </c>
      <c r="N138">
        <f t="shared" si="86"/>
        <v>0</v>
      </c>
      <c r="O138">
        <f>IF(L138&lt;'Vehicle Data'!F$21,'Vehicle Data'!C$21,IF(L138&gt;'Vehicle Data'!C$21,'Vehicle Data'!C$20))</f>
        <v>0.6</v>
      </c>
      <c r="P138">
        <f>('Vehicle Data'!C$6*9.81*'Vehicle Data'!C$5*SIN(D138))/'Vehicle Data'!C$9</f>
        <v>0</v>
      </c>
      <c r="Q138" s="107">
        <f>'Vehicle Data'!C$6*9.81*SIN(D138)</f>
        <v>0</v>
      </c>
      <c r="R138">
        <f t="shared" si="80"/>
        <v>958.05180073499469</v>
      </c>
      <c r="S138">
        <f>IF(Data!O138=0.6,'Vehicle Data'!E$21,IF(Data!O138 = 0.9,'Vehicle Data'!E$20))+(P138*O138)</f>
        <v>1550.3723999999997</v>
      </c>
      <c r="T138">
        <f>IF(F138=3,'Vehicle Data'!H$16,IF(F138=2,'Vehicle Data'!H$15,IF(F138 = 1,'Vehicle Data'!G$14)))</f>
        <v>466.23005239380637</v>
      </c>
      <c r="U138" s="148">
        <f t="shared" si="87"/>
        <v>241.91331861167862</v>
      </c>
      <c r="V138" s="70" t="s">
        <v>77</v>
      </c>
      <c r="W138" s="99" t="s">
        <v>84</v>
      </c>
      <c r="X138">
        <f>IF(V138="S",'Vehicle Data'!C$14,IF(Data!V138 = "T1",'Vehicle Data'!P$2,IF(Data!V138="T2",'Vehicle Data'!P$3)))</f>
        <v>13.411199999999999</v>
      </c>
      <c r="Z138">
        <f t="shared" si="109"/>
        <v>10.802634890166171</v>
      </c>
      <c r="AB138" t="b">
        <f>IF(AA138=1,'Vehicle Data'!I$14,IF(AA138=2,'Vehicle Data'!I$15,IF(AA138=3,'Vehicle Data'!I$16)))</f>
        <v>0</v>
      </c>
      <c r="AC138">
        <f>IF(Z138&lt;'Vehicle Data'!C$16,'Vehicle Data'!I$15,IF(Z138&lt;'Vehicle Data'!C$15,'Vehicle Data'!I$15,IF(Z137&gt;'Vehicle Data'!C$15,'Vehicle Data'!I$16)))</f>
        <v>0.46202745420001456</v>
      </c>
      <c r="AD138">
        <f>IF(O138=0.6,'Vehicle Data'!F$21,IF(O138=0.9,'Vehicle Data'!F$20))</f>
        <v>3.5315999999999996</v>
      </c>
      <c r="AE138" s="100">
        <f t="shared" si="88"/>
        <v>0.46202745420001456</v>
      </c>
      <c r="AF138" s="158">
        <f t="shared" si="110"/>
        <v>0.20518116228667269</v>
      </c>
      <c r="AG138" s="148">
        <f t="shared" si="92"/>
        <v>0.4640727205462491</v>
      </c>
      <c r="AH138" s="148">
        <f t="shared" si="111"/>
        <v>32.984406853068855</v>
      </c>
      <c r="AJ138">
        <f>(Z138^2)*'Vehicle Data'!C$31</f>
        <v>42.886118309561553</v>
      </c>
      <c r="AK138">
        <f>IF(O138=0.6,'Vehicle Data'!C$6*'Vehicle Data'!D$21*9.81,IF(O138=0.9,'Vehicle Data'!C$6*9.81*'Vehicle Data'!D$20))</f>
        <v>86.131799999999998</v>
      </c>
      <c r="AL138">
        <f t="shared" si="89"/>
        <v>129.01791830956154</v>
      </c>
      <c r="AN138">
        <f>IF(AG138&gt;=0,AG138*'Vehicle Data'!C$6)</f>
        <v>203.72792431980335</v>
      </c>
      <c r="AO138">
        <f t="shared" si="93"/>
        <v>332.74584262936492</v>
      </c>
      <c r="AP138">
        <f>AO138*'Vehicle Data'!F$3</f>
        <v>85.049837376065668</v>
      </c>
      <c r="AQ138">
        <f>IF(AE138='Vehicle Data'!I$15,AP138/'Vehicle Data'!G$15,IF(AE138='Vehicle Data'!I$16,AP138/'Vehicle Data'!G$16,IF(AE138='Vehicle Data'!I$14,Data!AP138/'Vehicle Data'!G149)))</f>
        <v>15.701279873015915</v>
      </c>
      <c r="AR138">
        <f>IF(Z138&lt;'Vehicle Data'!C$16, Z138*'Vehicle Data'!F$7*'Vehicle Data'!G$14,IF(Z138&lt;'Vehicle Data'!C$15,Z138*'Vehicle Data'!F$7*'Vehicle Data'!G$15,IF(Z138&gt;'Vehicle Data'!C$15,Z138*'Vehicle Data'!F$7*'Vehicle Data'!G$16)))</f>
        <v>93.97424569410046</v>
      </c>
      <c r="AS138">
        <f t="shared" si="112"/>
        <v>5638.4547416460273</v>
      </c>
      <c r="AT138">
        <f t="shared" si="117"/>
        <v>16</v>
      </c>
      <c r="AU138">
        <f t="shared" si="113"/>
        <v>5500</v>
      </c>
      <c r="AW138">
        <f>VLOOKUP(AT138,BSFC!A$64:A$82,1,FALSE)</f>
        <v>16</v>
      </c>
      <c r="AX138" t="e" cm="1">
        <f t="array" ref="AX138">_xlfn.XLOOKUP(AT138,BSFC!A$64:A$82,,-1,_xlfn.XLOOKUP(Data!AU138,BSFC!C$63:Q$63,BSFC!B$64:Q$82,,-1))</f>
        <v>#VALUE!</v>
      </c>
      <c r="AY138">
        <f>HLOOKUP(AU138,BSFC!F$63:Q$63,1)</f>
        <v>5500</v>
      </c>
      <c r="AZ138">
        <f>IF(AT138&gt;0,MATCH(AT138,BSFC!A$64:A$83,0),IF(AT138&lt;=0,0))</f>
        <v>7</v>
      </c>
      <c r="BA138">
        <f>MATCH(AU138,BSFC!C$63:Q$63,0)</f>
        <v>11</v>
      </c>
      <c r="BB138" cm="1">
        <f t="array" ref="BB138">IF(AZ138&gt;0,INDEX(BSFC!C$64:Q$83,Data!AZ138,Data!BA138))</f>
        <v>632.5</v>
      </c>
      <c r="BC138">
        <f>0.5*'Vehicle Data'!C$6*Data!Z138^2</f>
        <v>25614.974065166691</v>
      </c>
      <c r="BD138">
        <f t="shared" si="94"/>
        <v>2.3729175445362967</v>
      </c>
      <c r="BE138">
        <f t="shared" si="114"/>
        <v>1500.8703469192076</v>
      </c>
      <c r="BF138">
        <f t="shared" si="115"/>
        <v>8.5541756172912403E-2</v>
      </c>
      <c r="BG138">
        <f t="shared" si="95"/>
        <v>34.4443726419087</v>
      </c>
      <c r="BH138">
        <f t="shared" si="79"/>
        <v>9233.516473708587</v>
      </c>
      <c r="BI138" s="148">
        <f t="shared" si="96"/>
        <v>6871.6622130335309</v>
      </c>
      <c r="BO138">
        <f t="shared" si="97"/>
        <v>1884.3267341188134</v>
      </c>
      <c r="BP138">
        <f t="shared" si="98"/>
        <v>98254.964845619776</v>
      </c>
      <c r="BQ138">
        <f t="shared" si="99"/>
        <v>158807.82324649807</v>
      </c>
      <c r="BR138" s="148">
        <f t="shared" si="100"/>
        <v>228060.03432067879</v>
      </c>
      <c r="BS138" s="156">
        <f t="shared" si="101"/>
        <v>1884.3267341188134</v>
      </c>
      <c r="BT138" s="156">
        <f t="shared" si="102"/>
        <v>9233.516473708587</v>
      </c>
      <c r="BU138">
        <f t="shared" si="103"/>
        <v>1402.3321291213836</v>
      </c>
      <c r="BV138">
        <f t="shared" si="104"/>
        <v>1402.3321291213836</v>
      </c>
      <c r="BW138" s="148">
        <f t="shared" si="105"/>
        <v>455.4</v>
      </c>
      <c r="BX138" s="148">
        <f t="shared" si="106"/>
        <v>3129354.9718154697</v>
      </c>
      <c r="BY138" s="148">
        <f t="shared" si="107"/>
        <v>0.17739501433385499</v>
      </c>
      <c r="BZ138">
        <f t="shared" si="90"/>
        <v>32.984406853068855</v>
      </c>
      <c r="CB138">
        <f t="shared" si="108"/>
        <v>-481.99460499742986</v>
      </c>
      <c r="CC138" s="162">
        <f t="shared" si="91"/>
        <v>-2349.1172368153684</v>
      </c>
      <c r="CD138">
        <f t="shared" si="116"/>
        <v>68520.270595154856</v>
      </c>
    </row>
    <row r="139" spans="4:82" x14ac:dyDescent="0.2">
      <c r="D139" s="22">
        <f t="shared" si="81"/>
        <v>0</v>
      </c>
      <c r="E139" s="23">
        <v>9.2017056000000004</v>
      </c>
      <c r="F139" s="23">
        <f>IF(K139&lt;6,1,IF(Data!K139&lt;9,2,IF(K139&gt;9,3)))</f>
        <v>3</v>
      </c>
      <c r="G139" s="23">
        <v>962.50739717435772</v>
      </c>
      <c r="H139" s="23">
        <v>217.71666499999998</v>
      </c>
      <c r="I139" s="64">
        <v>44.582971220253199</v>
      </c>
      <c r="J139" s="65">
        <f t="shared" si="82"/>
        <v>2.5874887709264072</v>
      </c>
      <c r="K139" s="65">
        <f t="shared" si="83"/>
        <v>17.833188488101278</v>
      </c>
      <c r="L139" s="65">
        <f t="shared" si="84"/>
        <v>1.0349955083706197</v>
      </c>
      <c r="M139">
        <f t="shared" si="85"/>
        <v>18.403411200000001</v>
      </c>
      <c r="N139">
        <v>0</v>
      </c>
      <c r="O139">
        <f>IF(L139&lt;'Vehicle Data'!F$21,'Vehicle Data'!C$21,IF(L139&gt;'Vehicle Data'!C$21,'Vehicle Data'!C$20))</f>
        <v>0.6</v>
      </c>
      <c r="P139">
        <f>('Vehicle Data'!C$6*9.81*'Vehicle Data'!C$5*SIN(D139))/'Vehicle Data'!C$9</f>
        <v>0</v>
      </c>
      <c r="Q139" s="107">
        <f>'Vehicle Data'!C$6*9.81*SIN(D139)</f>
        <v>0</v>
      </c>
      <c r="R139">
        <f t="shared" si="80"/>
        <v>960.27567055941279</v>
      </c>
      <c r="S139">
        <f>IF(Data!O139=0.6,'Vehicle Data'!E$21,IF(Data!O139 = 0.9,'Vehicle Data'!E$20))+(P139*O139)</f>
        <v>1550.3723999999997</v>
      </c>
      <c r="T139">
        <f>IF(F139=3,'Vehicle Data'!H$16,IF(F139=2,'Vehicle Data'!H$15,IF(F139 = 1,'Vehicle Data'!G$14)))</f>
        <v>466.23005239380637</v>
      </c>
      <c r="U139" s="148">
        <f t="shared" si="87"/>
        <v>244.13718843609672</v>
      </c>
      <c r="V139" s="70" t="s">
        <v>77</v>
      </c>
      <c r="W139" s="99" t="s">
        <v>85</v>
      </c>
      <c r="X139">
        <f>IF(V139="S",'Vehicle Data'!C$14,IF(Data!V139 = "T1",'Vehicle Data'!P$2,IF(Data!V139="T2",'Vehicle Data'!P$3)))</f>
        <v>13.411199999999999</v>
      </c>
      <c r="Z139">
        <f t="shared" si="109"/>
        <v>10.897334462937796</v>
      </c>
      <c r="AB139" t="b">
        <f>IF(AA139=1,'Vehicle Data'!I$14,IF(AA139=2,'Vehicle Data'!I$15,IF(AA139=3,'Vehicle Data'!I$16)))</f>
        <v>0</v>
      </c>
      <c r="AC139">
        <f>IF(Z139&lt;'Vehicle Data'!C$16,'Vehicle Data'!I$15,IF(Z139&lt;'Vehicle Data'!C$15,'Vehicle Data'!I$15,IF(Z138&gt;'Vehicle Data'!C$15,'Vehicle Data'!I$16)))</f>
        <v>0.46202745420001456</v>
      </c>
      <c r="AD139">
        <f>IF(O139=0.6,'Vehicle Data'!F$21,IF(O139=0.9,'Vehicle Data'!F$20))</f>
        <v>3.5315999999999996</v>
      </c>
      <c r="AE139" s="100">
        <f t="shared" si="88"/>
        <v>-3.5315999999999996</v>
      </c>
      <c r="AF139" s="158">
        <f t="shared" si="110"/>
        <v>0.2040746599071139</v>
      </c>
      <c r="AG139" s="148">
        <f t="shared" si="92"/>
        <v>0.46404376131131336</v>
      </c>
      <c r="AH139" s="148">
        <f t="shared" si="111"/>
        <v>33.188481512975969</v>
      </c>
      <c r="AJ139">
        <f>(Z139^2)*'Vehicle Data'!C$31</f>
        <v>43.641322660945939</v>
      </c>
      <c r="AK139">
        <f>IF(O139=0.6,'Vehicle Data'!C$6*'Vehicle Data'!D$21*9.81,IF(O139=0.9,'Vehicle Data'!C$6*9.81*'Vehicle Data'!D$20))</f>
        <v>86.131799999999998</v>
      </c>
      <c r="AL139">
        <f t="shared" si="89"/>
        <v>129.77312266094594</v>
      </c>
      <c r="AN139">
        <f>IF(AG139&gt;0,AG139*'Vehicle Data'!C$6)</f>
        <v>203.71521121566656</v>
      </c>
      <c r="AO139">
        <f t="shared" si="93"/>
        <v>333.4883338766125</v>
      </c>
      <c r="AP139">
        <f>AO139*'Vehicle Data'!F$3</f>
        <v>85.239618138862156</v>
      </c>
      <c r="AQ139">
        <v>4</v>
      </c>
      <c r="AR139">
        <f>IF(Z139&lt;'Vehicle Data'!C$16, Z139*'Vehicle Data'!F$7*'Vehicle Data'!G$14,IF(Z139&lt;'Vehicle Data'!C$15,Z139*'Vehicle Data'!F$7*'Vehicle Data'!G$15,IF(Z139&gt;'Vehicle Data'!C$15,Z139*'Vehicle Data'!F$7*'Vehicle Data'!G$16)))</f>
        <v>94.798055904225052</v>
      </c>
      <c r="AS139">
        <f t="shared" si="112"/>
        <v>5687.8833542535031</v>
      </c>
      <c r="AT139">
        <f t="shared" si="117"/>
        <v>4</v>
      </c>
      <c r="AU139">
        <f t="shared" si="113"/>
        <v>5500</v>
      </c>
      <c r="AW139">
        <f>VLOOKUP(AT139,BSFC!A$64:A$82,1,FALSE)</f>
        <v>4</v>
      </c>
      <c r="AX139" t="e" cm="1">
        <f t="array" ref="AX139">_xlfn.XLOOKUP(AT139,BSFC!A$64:A$82,,-1,_xlfn.XLOOKUP(Data!AU139,BSFC!C$63:Q$63,BSFC!B$64:Q$82,,-1))</f>
        <v>#VALUE!</v>
      </c>
      <c r="AY139">
        <f>HLOOKUP(AU139,BSFC!F$63:Q$63,1)</f>
        <v>5500</v>
      </c>
      <c r="AZ139">
        <f>IF(AT139&gt;0,MATCH(AT139,BSFC!A$64:A$83,0),IF(AT139&lt;=0,0))</f>
        <v>19</v>
      </c>
      <c r="BA139">
        <f>MATCH(AU139,BSFC!C$63:Q$63,0)</f>
        <v>11</v>
      </c>
      <c r="BB139" cm="1">
        <f t="array" ref="BB139">IF(AZ139&gt;0,INDEX(BSFC!C$64:Q$83,Data!AZ139,Data!BA139))</f>
        <v>670</v>
      </c>
      <c r="BC139">
        <f>0.5*'Vehicle Data'!C$6*Data!Z139^2</f>
        <v>26066.041698170422</v>
      </c>
      <c r="BD139">
        <f t="shared" si="94"/>
        <v>2.2098220164112181</v>
      </c>
      <c r="BE139">
        <f t="shared" si="114"/>
        <v>1480.5807509955162</v>
      </c>
      <c r="BF139">
        <f t="shared" si="115"/>
        <v>8.393028145123034E-2</v>
      </c>
      <c r="BG139">
        <f t="shared" si="95"/>
        <v>34.528302923359931</v>
      </c>
      <c r="BH139">
        <f t="shared" si="79"/>
        <v>2372.9175445362966</v>
      </c>
      <c r="BI139" s="148">
        <f t="shared" si="96"/>
        <v>6871.6622130335309</v>
      </c>
      <c r="BO139">
        <f t="shared" si="97"/>
        <v>521.82960076931795</v>
      </c>
      <c r="BP139">
        <f t="shared" si="98"/>
        <v>98776.794446389089</v>
      </c>
      <c r="BQ139">
        <f t="shared" si="99"/>
        <v>159329.6528472674</v>
      </c>
      <c r="BR139" s="148">
        <f t="shared" si="100"/>
        <v>229571.18533286013</v>
      </c>
      <c r="BS139" s="156">
        <f t="shared" si="101"/>
        <v>521.82960076931795</v>
      </c>
      <c r="BT139" s="156">
        <f t="shared" si="102"/>
        <v>2372.9175445362966</v>
      </c>
      <c r="BU139">
        <f t="shared" si="103"/>
        <v>1511.1510121813446</v>
      </c>
      <c r="BV139">
        <f t="shared" si="104"/>
        <v>1511.1510121813446</v>
      </c>
      <c r="BW139" s="148">
        <f t="shared" si="105"/>
        <v>455.4</v>
      </c>
      <c r="BX139" s="148">
        <f t="shared" si="106"/>
        <v>3129354.9718154697</v>
      </c>
      <c r="BY139" s="148">
        <f t="shared" si="107"/>
        <v>0.19116060304094007</v>
      </c>
      <c r="BZ139">
        <f t="shared" si="90"/>
        <v>33.188481512975969</v>
      </c>
      <c r="CB139">
        <f t="shared" si="108"/>
        <v>989.32141141202669</v>
      </c>
      <c r="CC139" s="162">
        <f t="shared" si="91"/>
        <v>4847.8405494455928</v>
      </c>
      <c r="CD139">
        <f t="shared" si="116"/>
        <v>69509.592006566876</v>
      </c>
    </row>
    <row r="140" spans="4:82" x14ac:dyDescent="0.2">
      <c r="D140" s="22">
        <f t="shared" si="81"/>
        <v>0</v>
      </c>
      <c r="E140" s="23">
        <v>9.1859034845242036</v>
      </c>
      <c r="F140" s="23">
        <f>IF(K140&lt;6,1,IF(Data!K140&lt;9,2,IF(K140&gt;9,3)))</f>
        <v>3</v>
      </c>
      <c r="G140" s="23">
        <v>964.74791549203837</v>
      </c>
      <c r="H140" s="23">
        <v>217.76666499999999</v>
      </c>
      <c r="I140" s="64">
        <v>44.712345658799549</v>
      </c>
      <c r="J140" s="65">
        <f t="shared" si="82"/>
        <v>3.1307473221725943</v>
      </c>
      <c r="K140" s="65">
        <f t="shared" si="83"/>
        <v>17.884938263519821</v>
      </c>
      <c r="L140" s="65">
        <f t="shared" si="84"/>
        <v>1.2522989288689952</v>
      </c>
      <c r="M140">
        <f t="shared" si="85"/>
        <v>18.371806969048407</v>
      </c>
      <c r="N140">
        <v>0</v>
      </c>
      <c r="O140">
        <f>IF(L140&lt;'Vehicle Data'!F$21,'Vehicle Data'!C$21,IF(L140&gt;'Vehicle Data'!C$21,'Vehicle Data'!C$20))</f>
        <v>0.6</v>
      </c>
      <c r="P140">
        <f>('Vehicle Data'!C$6*9.81*'Vehicle Data'!C$5*SIN(D140))/'Vehicle Data'!C$9</f>
        <v>0</v>
      </c>
      <c r="Q140" s="107">
        <f>'Vehicle Data'!C$6*9.81*SIN(D140)</f>
        <v>0</v>
      </c>
      <c r="R140">
        <f t="shared" si="80"/>
        <v>962.50739717435772</v>
      </c>
      <c r="S140">
        <f>IF(Data!O140=0.6,'Vehicle Data'!E$21,IF(Data!O140 = 0.9,'Vehicle Data'!E$20))+(P140*O140)</f>
        <v>1550.3723999999997</v>
      </c>
      <c r="T140">
        <f>IF(F140=3,'Vehicle Data'!H$16,IF(F140=2,'Vehicle Data'!H$15,IF(F140 = 1,'Vehicle Data'!G$14)))</f>
        <v>466.23005239380637</v>
      </c>
      <c r="U140" s="148">
        <f t="shared" si="87"/>
        <v>246.36891505104165</v>
      </c>
      <c r="V140" s="70" t="s">
        <v>77</v>
      </c>
      <c r="W140" s="99" t="s">
        <v>85</v>
      </c>
      <c r="X140">
        <f>IF(V140="S",'Vehicle Data'!C$14,IF(Data!V140 = "T1",'Vehicle Data'!P$2,IF(Data!V140="T2",'Vehicle Data'!P$3)))</f>
        <v>13.411199999999999</v>
      </c>
      <c r="Z140">
        <f t="shared" si="109"/>
        <v>10.14833813835806</v>
      </c>
      <c r="AB140" t="b">
        <f>IF(AA140=1,'Vehicle Data'!I$14,IF(AA140=2,'Vehicle Data'!I$15,IF(AA140=3,'Vehicle Data'!I$16)))</f>
        <v>0</v>
      </c>
      <c r="AC140">
        <f>IF(Z140&lt;'Vehicle Data'!C$16,'Vehicle Data'!I$15,IF(Z140&lt;'Vehicle Data'!C$15,'Vehicle Data'!I$15,IF(Z139&gt;'Vehicle Data'!C$15,'Vehicle Data'!I$16)))</f>
        <v>0.46202745420001456</v>
      </c>
      <c r="AD140">
        <f>IF(O140=0.6,'Vehicle Data'!F$21,IF(O140=0.9,'Vehicle Data'!F$20))</f>
        <v>3.5315999999999996</v>
      </c>
      <c r="AE140" s="100">
        <f t="shared" si="88"/>
        <v>-3.5315999999999996</v>
      </c>
      <c r="AF140" s="158">
        <f t="shared" si="110"/>
        <v>0.21991054934497997</v>
      </c>
      <c r="AG140" s="148">
        <f t="shared" si="92"/>
        <v>-3.4059135717257636</v>
      </c>
      <c r="AH140" s="148">
        <f t="shared" si="111"/>
        <v>33.408392062320949</v>
      </c>
      <c r="AJ140">
        <f>(Z140^2)*'Vehicle Data'!C$31</f>
        <v>37.84837186164139</v>
      </c>
      <c r="AK140">
        <f>IF(O140=0.6,'Vehicle Data'!C$6*'Vehicle Data'!D$21*9.81,IF(O140=0.9,'Vehicle Data'!C$6*9.81*'Vehicle Data'!D$20))</f>
        <v>86.131799999999998</v>
      </c>
      <c r="AL140">
        <f t="shared" si="89"/>
        <v>123.9801718616414</v>
      </c>
      <c r="AN140">
        <f>IF(AG140&lt;0,AG140*'Vehicle Data'!C$6)</f>
        <v>-1495.1960579876102</v>
      </c>
      <c r="AO140">
        <f t="shared" si="93"/>
        <v>-1371.2158861259688</v>
      </c>
      <c r="AP140">
        <f>AO140*'Vehicle Data'!F$3</f>
        <v>-350.48278049379763</v>
      </c>
      <c r="AQ140">
        <v>4</v>
      </c>
      <c r="AR140">
        <f>IF(Z140&lt;'Vehicle Data'!C$16, Z140*'Vehicle Data'!F$7*'Vehicle Data'!G$14,IF(Z140&lt;'Vehicle Data'!C$15,Z140*'Vehicle Data'!F$7*'Vehicle Data'!G$15,IF(Z140&gt;'Vehicle Data'!C$15,Z140*'Vehicle Data'!F$7*'Vehicle Data'!G$16)))</f>
        <v>88.282389555628157</v>
      </c>
      <c r="AS140">
        <f t="shared" si="112"/>
        <v>5296.9433733376891</v>
      </c>
      <c r="AT140">
        <f t="shared" si="117"/>
        <v>4</v>
      </c>
      <c r="AU140">
        <f t="shared" si="113"/>
        <v>5500</v>
      </c>
      <c r="AW140">
        <f>VLOOKUP(AT140,BSFC!A$64:A$82,1,FALSE)</f>
        <v>4</v>
      </c>
      <c r="AX140" t="e" cm="1">
        <f t="array" ref="AX140">_xlfn.XLOOKUP(AT140,BSFC!A$64:A$82,,-1,_xlfn.XLOOKUP(Data!AU140,BSFC!C$63:Q$63,BSFC!B$64:Q$82,,-1))</f>
        <v>#VALUE!</v>
      </c>
      <c r="AY140">
        <f>HLOOKUP(AU140,BSFC!F$63:Q$63,1)</f>
        <v>5500</v>
      </c>
      <c r="AZ140">
        <f>IF(AT140&gt;0,MATCH(AT140,BSFC!A$64:A$83,0),IF(AT140&lt;=0,0))</f>
        <v>19</v>
      </c>
      <c r="BA140">
        <f>MATCH(AU140,BSFC!C$63:Q$63,0)</f>
        <v>11</v>
      </c>
      <c r="BB140" cm="1">
        <f t="array" ref="BB140">IF(AZ140&gt;0,INDEX(BSFC!C$64:Q$83,Data!AZ140,Data!BA140))</f>
        <v>670</v>
      </c>
      <c r="BC140">
        <f>0.5*'Vehicle Data'!C$6*Data!Z140^2</f>
        <v>22606.034350014375</v>
      </c>
      <c r="BD140">
        <f t="shared" si="94"/>
        <v>2.032964485383586</v>
      </c>
      <c r="BE140">
        <f t="shared" si="114"/>
        <v>1362.0862052070026</v>
      </c>
      <c r="BF140">
        <f t="shared" si="115"/>
        <v>8.320475712285863E-2</v>
      </c>
      <c r="BG140">
        <f t="shared" si="95"/>
        <v>34.611507680482788</v>
      </c>
      <c r="BH140">
        <f t="shared" si="79"/>
        <v>2209.8220164112181</v>
      </c>
      <c r="BI140" s="148">
        <f t="shared" si="96"/>
        <v>6871.6622130335309</v>
      </c>
      <c r="BO140">
        <f t="shared" si="97"/>
        <v>530.32044447520786</v>
      </c>
      <c r="BP140">
        <f t="shared" si="98"/>
        <v>99307.114890864294</v>
      </c>
      <c r="BQ140">
        <f t="shared" si="99"/>
        <v>159859.97329174262</v>
      </c>
      <c r="BR140" s="148">
        <f t="shared" si="100"/>
        <v>231220.269707998</v>
      </c>
      <c r="BS140" s="156">
        <f t="shared" si="101"/>
        <v>530.32044447520786</v>
      </c>
      <c r="BT140" s="156">
        <f t="shared" si="102"/>
        <v>2209.8220164112181</v>
      </c>
      <c r="BU140">
        <f t="shared" si="103"/>
        <v>1649.0843751378843</v>
      </c>
      <c r="BV140">
        <f t="shared" si="104"/>
        <v>1649.0843751378843</v>
      </c>
      <c r="BW140" s="148">
        <f t="shared" si="105"/>
        <v>455.4</v>
      </c>
      <c r="BX140" s="148">
        <f t="shared" si="106"/>
        <v>3129354.9718154697</v>
      </c>
      <c r="BY140" s="148">
        <f t="shared" si="107"/>
        <v>0.20860917345494231</v>
      </c>
      <c r="BZ140">
        <f t="shared" si="90"/>
        <v>33.408392062320949</v>
      </c>
      <c r="CB140">
        <f t="shared" si="108"/>
        <v>1118.7639306626766</v>
      </c>
      <c r="CC140" s="162">
        <f t="shared" si="91"/>
        <v>5087.3590830225976</v>
      </c>
      <c r="CD140">
        <f t="shared" si="116"/>
        <v>70628.355937229557</v>
      </c>
    </row>
    <row r="141" spans="4:82" x14ac:dyDescent="0.2">
      <c r="D141" s="22">
        <f t="shared" si="81"/>
        <v>0</v>
      </c>
      <c r="E141" s="23">
        <v>9.1017071999999999</v>
      </c>
      <c r="F141" s="23">
        <f>IF(K141&lt;6,1,IF(Data!K141&lt;9,2,IF(K141&gt;9,3)))</f>
        <v>3</v>
      </c>
      <c r="G141" s="23">
        <v>966.99850966108761</v>
      </c>
      <c r="H141" s="23">
        <v>217.816665</v>
      </c>
      <c r="I141" s="64">
        <v>44.868883024908214</v>
      </c>
      <c r="J141" s="65">
        <f t="shared" si="82"/>
        <v>2.6341957827682907</v>
      </c>
      <c r="K141" s="65">
        <f t="shared" si="83"/>
        <v>17.947553209963285</v>
      </c>
      <c r="L141" s="65">
        <f t="shared" si="84"/>
        <v>1.053678313107302</v>
      </c>
      <c r="M141">
        <f t="shared" si="85"/>
        <v>18.2034144</v>
      </c>
      <c r="N141">
        <f t="shared" si="86"/>
        <v>0</v>
      </c>
      <c r="O141">
        <f>IF(L141&lt;'Vehicle Data'!F$21,'Vehicle Data'!C$21,IF(L141&gt;'Vehicle Data'!C$21,'Vehicle Data'!C$20))</f>
        <v>0.6</v>
      </c>
      <c r="P141">
        <f>('Vehicle Data'!C$6*9.81*'Vehicle Data'!C$5*SIN(D141))/'Vehicle Data'!C$9</f>
        <v>0</v>
      </c>
      <c r="Q141" s="107">
        <f>'Vehicle Data'!C$6*9.81*SIN(D141)</f>
        <v>0</v>
      </c>
      <c r="R141">
        <f t="shared" si="80"/>
        <v>964.74791549203837</v>
      </c>
      <c r="S141">
        <f>IF(Data!O141=0.6,'Vehicle Data'!E$21,IF(Data!O141 = 0.9,'Vehicle Data'!E$20))+(P141*O141)</f>
        <v>1550.3723999999997</v>
      </c>
      <c r="T141">
        <f>IF(F141=3,'Vehicle Data'!H$16,IF(F141=2,'Vehicle Data'!H$15,IF(F141 = 1,'Vehicle Data'!G$14)))</f>
        <v>466.23005239380637</v>
      </c>
      <c r="U141" s="148">
        <f t="shared" si="87"/>
        <v>248.60943336872231</v>
      </c>
      <c r="V141" s="70" t="s">
        <v>80</v>
      </c>
      <c r="W141" s="103" t="s">
        <v>85</v>
      </c>
      <c r="X141">
        <f>IF(V141="S",'Vehicle Data'!C$14,IF(Data!V141 = "T1",'Vehicle Data'!P$2,IF(Data!V141="T2",'Vehicle Data'!P$3)))</f>
        <v>10.293104487956974</v>
      </c>
      <c r="Z141">
        <f t="shared" si="109"/>
        <v>9.3361414936263003</v>
      </c>
      <c r="AB141" t="b">
        <f>IF(AA141=1,'Vehicle Data'!I$14,IF(AA141=2,'Vehicle Data'!I$15,IF(AA141=3,'Vehicle Data'!I$16)))</f>
        <v>0</v>
      </c>
      <c r="AC141">
        <f>IF(Z141&lt;'Vehicle Data'!C$16,'Vehicle Data'!I$15,IF(Z141&lt;'Vehicle Data'!C$15,'Vehicle Data'!I$15,IF(Z140&gt;'Vehicle Data'!C$15,'Vehicle Data'!I$16)))</f>
        <v>0.46202745420001456</v>
      </c>
      <c r="AD141">
        <f>IF(O141=0.6,'Vehicle Data'!F$21,IF(O141=0.9,'Vehicle Data'!F$20))</f>
        <v>3.5315999999999996</v>
      </c>
      <c r="AE141" s="100">
        <f t="shared" si="88"/>
        <v>-3.5315999999999996</v>
      </c>
      <c r="AF141" s="158">
        <f t="shared" si="110"/>
        <v>0.23998332921691845</v>
      </c>
      <c r="AG141" s="148">
        <f t="shared" si="92"/>
        <v>-3.3843877713589996</v>
      </c>
      <c r="AH141" s="148">
        <f t="shared" si="111"/>
        <v>33.648375391537868</v>
      </c>
      <c r="AJ141">
        <f>(Z141^2)*'Vehicle Data'!C$31</f>
        <v>32.032600210961448</v>
      </c>
      <c r="AK141">
        <f>IF(O141=0.6,'Vehicle Data'!C$6*'Vehicle Data'!D$21*9.81,IF(O141=0.9,'Vehicle Data'!C$6*9.81*'Vehicle Data'!D$20))</f>
        <v>86.131799999999998</v>
      </c>
      <c r="AL141">
        <f t="shared" si="89"/>
        <v>118.16440021096145</v>
      </c>
      <c r="AN141">
        <f>IF(AG141&lt;0,AG141*'Vehicle Data'!C$6)</f>
        <v>-1485.7462316266008</v>
      </c>
      <c r="AO141">
        <f t="shared" si="93"/>
        <v>-1367.5818314156393</v>
      </c>
      <c r="AP141">
        <f>AO141*'Vehicle Data'!F$3</f>
        <v>-349.55391610983742</v>
      </c>
      <c r="AQ141">
        <v>4</v>
      </c>
      <c r="AR141">
        <f>IF(Z141&lt;'Vehicle Data'!C$16, Z141*'Vehicle Data'!F$7*'Vehicle Data'!G$14,IF(Z141&lt;'Vehicle Data'!C$15,Z141*'Vehicle Data'!F$7*'Vehicle Data'!G$15,IF(Z141&gt;'Vehicle Data'!C$15,Z141*'Vehicle Data'!F$7*'Vehicle Data'!G$16)))</f>
        <v>81.216931191074266</v>
      </c>
      <c r="AS141">
        <f t="shared" si="112"/>
        <v>4873.0158714644558</v>
      </c>
      <c r="AT141">
        <f t="shared" si="117"/>
        <v>4</v>
      </c>
      <c r="AU141">
        <f t="shared" si="113"/>
        <v>5000</v>
      </c>
      <c r="AW141">
        <f>VLOOKUP(AT141,BSFC!A$64:A$82,1,FALSE)</f>
        <v>4</v>
      </c>
      <c r="AX141" t="e" cm="1">
        <f t="array" ref="AX141">_xlfn.XLOOKUP(AT141,BSFC!A$64:A$82,,-1,_xlfn.XLOOKUP(Data!AU141,BSFC!C$63:Q$63,BSFC!B$64:Q$82,,-1))</f>
        <v>#VALUE!</v>
      </c>
      <c r="AY141">
        <f>HLOOKUP(AU141,BSFC!F$63:Q$63,1)</f>
        <v>5000</v>
      </c>
      <c r="AZ141">
        <f>IF(AT141&gt;0,MATCH(AT141,BSFC!A$64:A$83,0),IF(AT141&lt;=0,0))</f>
        <v>19</v>
      </c>
      <c r="BA141">
        <f>MATCH(AU141,BSFC!C$63:Q$63,0)</f>
        <v>10</v>
      </c>
      <c r="BB141" cm="1">
        <f t="array" ref="BB141">IF(AZ141&gt;0,INDEX(BSFC!C$64:Q$83,Data!AZ141,Data!BA141))</f>
        <v>700</v>
      </c>
      <c r="BC141">
        <f>0.5*'Vehicle Data'!C$6*Data!Z141^2</f>
        <v>19132.396588587853</v>
      </c>
      <c r="BD141">
        <f t="shared" si="94"/>
        <v>2.739253124318151</v>
      </c>
      <c r="BE141">
        <f t="shared" si="114"/>
        <v>1917.4771870227057</v>
      </c>
      <c r="BF141">
        <f t="shared" si="115"/>
        <v>0.12782293306644463</v>
      </c>
      <c r="BG141">
        <f t="shared" si="95"/>
        <v>34.739330613549235</v>
      </c>
      <c r="BH141">
        <f t="shared" si="79"/>
        <v>2032.9644853835862</v>
      </c>
      <c r="BI141" s="148">
        <f t="shared" si="96"/>
        <v>6871.6622130335309</v>
      </c>
      <c r="BO141">
        <f t="shared" si="97"/>
        <v>541.97881625997366</v>
      </c>
      <c r="BP141">
        <f t="shared" si="98"/>
        <v>99849.093707124266</v>
      </c>
      <c r="BQ141">
        <f t="shared" si="99"/>
        <v>160401.95210800259</v>
      </c>
      <c r="BR141" s="148">
        <f t="shared" si="100"/>
        <v>233052.22269032252</v>
      </c>
      <c r="BS141" s="156">
        <f t="shared" si="101"/>
        <v>541.97881625997366</v>
      </c>
      <c r="BT141" s="156">
        <f t="shared" si="102"/>
        <v>2032.9644853835862</v>
      </c>
      <c r="BU141">
        <f t="shared" si="103"/>
        <v>1831.952982324525</v>
      </c>
      <c r="BV141">
        <f t="shared" si="104"/>
        <v>1831.952982324525</v>
      </c>
      <c r="BW141" s="148">
        <f t="shared" si="105"/>
        <v>455.4</v>
      </c>
      <c r="BX141" s="148">
        <f t="shared" si="106"/>
        <v>3129354.9718154697</v>
      </c>
      <c r="BY141" s="148">
        <f t="shared" si="107"/>
        <v>0.23174205226405237</v>
      </c>
      <c r="BZ141">
        <f t="shared" si="90"/>
        <v>33.648375391537868</v>
      </c>
      <c r="CB141">
        <f t="shared" si="108"/>
        <v>1289.9741660645514</v>
      </c>
      <c r="CC141" s="162">
        <f t="shared" si="91"/>
        <v>5375.2657331399614</v>
      </c>
      <c r="CD141">
        <f t="shared" si="116"/>
        <v>71918.330103294109</v>
      </c>
    </row>
    <row r="142" spans="4:82" x14ac:dyDescent="0.2">
      <c r="D142" s="22">
        <f t="shared" si="81"/>
        <v>0</v>
      </c>
      <c r="E142" s="23">
        <v>9.1017071999999999</v>
      </c>
      <c r="F142" s="23">
        <f>IF(K142&lt;6,1,IF(Data!K142&lt;9,2,IF(K142&gt;9,3)))</f>
        <v>3</v>
      </c>
      <c r="G142" s="23">
        <v>969.25905741118902</v>
      </c>
      <c r="H142" s="23">
        <v>217.86666499999998</v>
      </c>
      <c r="I142" s="64">
        <v>45.000592814046584</v>
      </c>
      <c r="J142" s="65">
        <f t="shared" si="82"/>
        <v>2.2967915982028337</v>
      </c>
      <c r="K142" s="65">
        <f t="shared" si="83"/>
        <v>18.000237125618632</v>
      </c>
      <c r="L142" s="65">
        <f t="shared" si="84"/>
        <v>0.91871663928117608</v>
      </c>
      <c r="M142">
        <f t="shared" si="85"/>
        <v>18.2034144</v>
      </c>
      <c r="N142">
        <v>0</v>
      </c>
      <c r="O142">
        <f>IF(L142&lt;'Vehicle Data'!F$21,'Vehicle Data'!C$21,IF(L142&gt;'Vehicle Data'!C$21,'Vehicle Data'!C$20))</f>
        <v>0.6</v>
      </c>
      <c r="P142">
        <f>('Vehicle Data'!C$6*9.81*'Vehicle Data'!C$5*SIN(D142))/'Vehicle Data'!C$9</f>
        <v>0</v>
      </c>
      <c r="Q142" s="107">
        <f>'Vehicle Data'!C$6*9.81*SIN(D142)</f>
        <v>0</v>
      </c>
      <c r="R142">
        <f t="shared" si="80"/>
        <v>966.99850966108761</v>
      </c>
      <c r="S142">
        <f>IF(Data!O142=0.6,'Vehicle Data'!E$21,IF(Data!O142 = 0.9,'Vehicle Data'!E$20))+(P142*O142)</f>
        <v>1550.3723999999997</v>
      </c>
      <c r="T142">
        <f>IF(F142=3,'Vehicle Data'!H$16,IF(F142=2,'Vehicle Data'!H$15,IF(F142 = 1,'Vehicle Data'!G$14)))</f>
        <v>466.23005239380637</v>
      </c>
      <c r="U142" s="148">
        <f t="shared" si="87"/>
        <v>250.86002753777154</v>
      </c>
      <c r="V142" s="70" t="s">
        <v>80</v>
      </c>
      <c r="W142" s="103" t="s">
        <v>85</v>
      </c>
      <c r="X142">
        <f>IF(V142="S",'Vehicle Data'!C$14,IF(Data!V142 = "T1",'Vehicle Data'!P$2,IF(Data!V142="T2",'Vehicle Data'!P$3)))</f>
        <v>10.293104487956974</v>
      </c>
      <c r="Z142">
        <f t="shared" si="109"/>
        <v>8.4419868072736381</v>
      </c>
      <c r="AB142" t="b">
        <f>IF(AA142=1,'Vehicle Data'!I$14,IF(AA142=2,'Vehicle Data'!I$15,IF(AA142=3,'Vehicle Data'!I$16)))</f>
        <v>0</v>
      </c>
      <c r="AC142">
        <f>IF(Z142&lt;'Vehicle Data'!C$16,'Vehicle Data'!I$15,IF(Z142&lt;'Vehicle Data'!C$15,'Vehicle Data'!I$15,IF(Z141&gt;'Vehicle Data'!C$15,'Vehicle Data'!I$16)))</f>
        <v>0.98256251041858167</v>
      </c>
      <c r="AD142">
        <f>IF(O142=0.6,'Vehicle Data'!F$21,IF(O142=0.9,'Vehicle Data'!F$20))</f>
        <v>3.5315999999999996</v>
      </c>
      <c r="AE142" s="100">
        <f t="shared" si="88"/>
        <v>-3.5315999999999996</v>
      </c>
      <c r="AF142" s="158">
        <f t="shared" si="110"/>
        <v>0.26659531937554304</v>
      </c>
      <c r="AG142" s="148">
        <f t="shared" si="92"/>
        <v>-3.3539774383401655</v>
      </c>
      <c r="AH142" s="148">
        <f t="shared" si="111"/>
        <v>33.914970710913408</v>
      </c>
      <c r="AJ142">
        <f>(Z142^2)*'Vehicle Data'!C$31</f>
        <v>26.190674410911946</v>
      </c>
      <c r="AK142">
        <f>IF(O142=0.6,'Vehicle Data'!C$6*'Vehicle Data'!D$21*9.81,IF(O142=0.9,'Vehicle Data'!C$6*9.81*'Vehicle Data'!D$20))</f>
        <v>86.131799999999998</v>
      </c>
      <c r="AL142">
        <f t="shared" si="89"/>
        <v>112.32247441091195</v>
      </c>
      <c r="AN142" t="b">
        <f>IF(AG142&gt;0,AG142*'Vehicle Data'!C$6)</f>
        <v>0</v>
      </c>
      <c r="AO142">
        <f t="shared" si="93"/>
        <v>112.32247441091195</v>
      </c>
      <c r="AP142">
        <f>AO142*'Vehicle Data'!F$3</f>
        <v>28.709624459429094</v>
      </c>
      <c r="AQ142">
        <v>4</v>
      </c>
      <c r="AR142">
        <f>IF(Z142&lt;'Vehicle Data'!C$16, Z142*'Vehicle Data'!F$7*'Vehicle Data'!G$14,IF(Z142&lt;'Vehicle Data'!C$15,Z142*'Vehicle Data'!F$7*'Vehicle Data'!G$15,IF(Z142&gt;'Vehicle Data'!C$15,Z142*'Vehicle Data'!F$7*'Vehicle Data'!G$16)))</f>
        <v>109.43316231651012</v>
      </c>
      <c r="AS142">
        <f t="shared" si="112"/>
        <v>6565.9897389906073</v>
      </c>
      <c r="AT142">
        <f t="shared" si="117"/>
        <v>4</v>
      </c>
      <c r="AU142">
        <f t="shared" si="113"/>
        <v>6500</v>
      </c>
      <c r="AW142">
        <f>VLOOKUP(AT142,BSFC!A$64:A$82,1,FALSE)</f>
        <v>4</v>
      </c>
      <c r="AX142" t="e" cm="1">
        <f t="array" ref="AX142">_xlfn.XLOOKUP(AT142,BSFC!A$64:A$82,,-1,_xlfn.XLOOKUP(Data!AU142,BSFC!C$63:Q$63,BSFC!B$64:Q$82,,-1))</f>
        <v>#VALUE!</v>
      </c>
      <c r="AY142">
        <f>HLOOKUP(AU142,BSFC!F$63:Q$63,1)</f>
        <v>6500</v>
      </c>
      <c r="AZ142">
        <f>IF(AT142&gt;0,MATCH(AT142,BSFC!A$64:A$83,0),IF(AT142&lt;=0,0))</f>
        <v>19</v>
      </c>
      <c r="BA142">
        <f>MATCH(AU142,BSFC!C$63:Q$63,0)</f>
        <v>13</v>
      </c>
      <c r="BB142" cm="1">
        <f t="array" ref="BB142">IF(AZ142&gt;0,INDEX(BSFC!C$64:Q$83,Data!AZ142,Data!BA142))</f>
        <v>650</v>
      </c>
      <c r="BC142">
        <f>0.5*'Vehicle Data'!C$6*Data!Z142^2</f>
        <v>15643.137505292982</v>
      </c>
      <c r="BD142">
        <f t="shared" si="94"/>
        <v>2.4129692722319169</v>
      </c>
      <c r="BE142">
        <f t="shared" si="114"/>
        <v>1568.430026950746</v>
      </c>
      <c r="BF142">
        <f t="shared" si="115"/>
        <v>0.11614891776475714</v>
      </c>
      <c r="BG142">
        <f t="shared" si="95"/>
        <v>34.855479531313989</v>
      </c>
      <c r="BH142">
        <f t="shared" si="79"/>
        <v>2739.2531243181511</v>
      </c>
      <c r="BI142" s="148">
        <f t="shared" si="96"/>
        <v>6871.6622130335309</v>
      </c>
      <c r="BO142">
        <f t="shared" si="97"/>
        <v>832.68656183043322</v>
      </c>
      <c r="BP142">
        <f t="shared" si="98"/>
        <v>100681.7802689547</v>
      </c>
      <c r="BQ142">
        <f t="shared" si="99"/>
        <v>161234.63866983302</v>
      </c>
      <c r="BR142" s="148">
        <f t="shared" si="100"/>
        <v>235141.09163471966</v>
      </c>
      <c r="BS142" s="156">
        <f t="shared" si="101"/>
        <v>832.68656183043322</v>
      </c>
      <c r="BT142" s="156">
        <f t="shared" si="102"/>
        <v>2739.2531243181511</v>
      </c>
      <c r="BU142">
        <f t="shared" si="103"/>
        <v>2088.8689443971302</v>
      </c>
      <c r="BV142">
        <f t="shared" si="104"/>
        <v>2088.8689443971302</v>
      </c>
      <c r="BW142" s="148">
        <f t="shared" si="105"/>
        <v>455.4</v>
      </c>
      <c r="BX142" s="148">
        <f t="shared" si="106"/>
        <v>3129354.9718154697</v>
      </c>
      <c r="BY142" s="148">
        <f t="shared" si="107"/>
        <v>0.26424192146623693</v>
      </c>
      <c r="BZ142">
        <f t="shared" si="90"/>
        <v>33.914970710913408</v>
      </c>
      <c r="CB142">
        <f t="shared" si="108"/>
        <v>1256.182382566697</v>
      </c>
      <c r="CC142" s="162">
        <f t="shared" si="91"/>
        <v>4711.9446264439985</v>
      </c>
      <c r="CD142">
        <f t="shared" si="116"/>
        <v>73174.512485860803</v>
      </c>
    </row>
    <row r="143" spans="4:82" x14ac:dyDescent="0.2">
      <c r="D143" s="22">
        <f t="shared" si="81"/>
        <v>0</v>
      </c>
      <c r="E143" s="23">
        <v>9.0859039467536853</v>
      </c>
      <c r="F143" s="23">
        <f>IF(K143&lt;6,1,IF(Data!K143&lt;9,2,IF(K143&gt;9,3)))</f>
        <v>3</v>
      </c>
      <c r="G143" s="23">
        <v>971.52797138423932</v>
      </c>
      <c r="H143" s="23">
        <v>217.91666499999999</v>
      </c>
      <c r="I143" s="64">
        <v>45.115432393956752</v>
      </c>
      <c r="J143" s="65">
        <f t="shared" si="82"/>
        <v>2.1434808917932662</v>
      </c>
      <c r="K143" s="65">
        <f t="shared" si="83"/>
        <v>18.046172957582701</v>
      </c>
      <c r="L143" s="65">
        <f t="shared" si="84"/>
        <v>0.85739235671732072</v>
      </c>
      <c r="M143">
        <f t="shared" si="85"/>
        <v>18.171807893507371</v>
      </c>
      <c r="N143">
        <v>0</v>
      </c>
      <c r="O143">
        <f>IF(L143&lt;'Vehicle Data'!F$21,'Vehicle Data'!C$21,IF(L143&gt;'Vehicle Data'!C$21,'Vehicle Data'!C$20))</f>
        <v>0.6</v>
      </c>
      <c r="P143">
        <f>('Vehicle Data'!C$6*9.81*'Vehicle Data'!C$5*SIN(D143))/'Vehicle Data'!C$9</f>
        <v>0</v>
      </c>
      <c r="Q143" s="107">
        <f>'Vehicle Data'!C$6*9.81*SIN(D143)</f>
        <v>0</v>
      </c>
      <c r="R143">
        <f t="shared" si="80"/>
        <v>969.25905741118902</v>
      </c>
      <c r="S143">
        <f>IF(Data!O143=0.6,'Vehicle Data'!E$21,IF(Data!O143 = 0.9,'Vehicle Data'!E$20))+(P143*O143)</f>
        <v>1550.3723999999997</v>
      </c>
      <c r="T143">
        <f>IF(F143=3,'Vehicle Data'!H$16,IF(F143=2,'Vehicle Data'!H$15,IF(F143 = 1,'Vehicle Data'!G$14)))</f>
        <v>466.23005239380637</v>
      </c>
      <c r="U143" s="148">
        <f t="shared" si="87"/>
        <v>253.12057528787295</v>
      </c>
      <c r="V143" s="70" t="s">
        <v>80</v>
      </c>
      <c r="W143" s="103" t="s">
        <v>85</v>
      </c>
      <c r="X143">
        <f>IF(V143="S",'Vehicle Data'!C$14,IF(Data!V143 = "T1",'Vehicle Data'!P$2,IF(Data!V143="T2",'Vehicle Data'!P$3)))</f>
        <v>10.293104487956974</v>
      </c>
      <c r="Z143">
        <f t="shared" si="109"/>
        <v>7.4364265871227344</v>
      </c>
      <c r="AB143" t="b">
        <f>IF(AA143=1,'Vehicle Data'!I$14,IF(AA143=2,'Vehicle Data'!I$15,IF(AA143=3,'Vehicle Data'!I$16)))</f>
        <v>0</v>
      </c>
      <c r="AC143">
        <f>IF(Z143&lt;'Vehicle Data'!C$16,'Vehicle Data'!I$15,IF(Z143&lt;'Vehicle Data'!C$15,'Vehicle Data'!I$15,IF(Z142&gt;'Vehicle Data'!C$15,'Vehicle Data'!I$16)))</f>
        <v>0.98256251041858167</v>
      </c>
      <c r="AD143">
        <f>IF(O143=0.6,'Vehicle Data'!F$21,IF(O143=0.9,'Vehicle Data'!F$20))</f>
        <v>3.5315999999999996</v>
      </c>
      <c r="AE143" s="100">
        <f t="shared" si="88"/>
        <v>-3.5315999999999996</v>
      </c>
      <c r="AF143" s="158">
        <f t="shared" si="110"/>
        <v>0.30398306547070336</v>
      </c>
      <c r="AG143" s="148">
        <f t="shared" si="92"/>
        <v>-3.3079481536046802</v>
      </c>
      <c r="AH143" s="148">
        <f t="shared" si="111"/>
        <v>34.218953776384112</v>
      </c>
      <c r="AJ143">
        <f>(Z143^2)*'Vehicle Data'!C$31</f>
        <v>20.322911841732218</v>
      </c>
      <c r="AK143">
        <f>IF(O143=0.6,'Vehicle Data'!C$6*'Vehicle Data'!D$21*9.81,IF(O143=0.9,'Vehicle Data'!C$6*9.81*'Vehicle Data'!D$20))</f>
        <v>86.131799999999998</v>
      </c>
      <c r="AL143">
        <f t="shared" si="89"/>
        <v>106.45471184173222</v>
      </c>
      <c r="AN143" t="b">
        <f>IF(AG143&gt;0,AG143*'Vehicle Data'!C$6)</f>
        <v>0</v>
      </c>
      <c r="AO143">
        <f t="shared" si="93"/>
        <v>106.45471184173222</v>
      </c>
      <c r="AP143">
        <f>AO143*'Vehicle Data'!F$3</f>
        <v>27.209824346746753</v>
      </c>
      <c r="AQ143">
        <v>4</v>
      </c>
      <c r="AR143">
        <f>IF(Z143&lt;'Vehicle Data'!C$16, Z143*'Vehicle Data'!F$7*'Vehicle Data'!G$14,IF(Z143&lt;'Vehicle Data'!C$15,Z143*'Vehicle Data'!F$7*'Vehicle Data'!G$15,IF(Z143&gt;'Vehicle Data'!C$15,Z143*'Vehicle Data'!F$7*'Vehicle Data'!G$16)))</f>
        <v>96.398122425665079</v>
      </c>
      <c r="AS143">
        <f t="shared" si="112"/>
        <v>5783.8873455399043</v>
      </c>
      <c r="AT143">
        <f t="shared" si="117"/>
        <v>4</v>
      </c>
      <c r="AU143">
        <f t="shared" si="113"/>
        <v>6000</v>
      </c>
      <c r="AW143">
        <f>VLOOKUP(AT143,BSFC!A$64:A$82,1,FALSE)</f>
        <v>4</v>
      </c>
      <c r="AX143" t="e" cm="1">
        <f t="array" ref="AX143">_xlfn.XLOOKUP(AT143,BSFC!A$64:A$82,,-1,_xlfn.XLOOKUP(Data!AU143,BSFC!C$63:Q$63,BSFC!B$64:Q$82,,-1))</f>
        <v>#VALUE!</v>
      </c>
      <c r="AY143">
        <f>HLOOKUP(AU143,BSFC!F$63:Q$63,1)</f>
        <v>6000</v>
      </c>
      <c r="AZ143">
        <f>IF(AT143&gt;0,MATCH(AT143,BSFC!A$64:A$83,0),IF(AT143&lt;=0,0))</f>
        <v>19</v>
      </c>
      <c r="BA143">
        <f>MATCH(AU143,BSFC!C$63:Q$63,0)</f>
        <v>12</v>
      </c>
      <c r="BB143" cm="1">
        <f t="array" ref="BB143">IF(AZ143&gt;0,INDEX(BSFC!C$64:Q$83,Data!AZ143,Data!BA143))</f>
        <v>650</v>
      </c>
      <c r="BC143">
        <f>0.5*'Vehicle Data'!C$6*Data!Z143^2</f>
        <v>12138.44666465366</v>
      </c>
      <c r="BD143">
        <f t="shared" si="94"/>
        <v>2.0334975001964564</v>
      </c>
      <c r="BE143">
        <f t="shared" si="114"/>
        <v>1321.7733751276967</v>
      </c>
      <c r="BF143">
        <f t="shared" si="115"/>
        <v>0.11161020067468755</v>
      </c>
      <c r="BG143">
        <f t="shared" si="95"/>
        <v>34.967089731988679</v>
      </c>
      <c r="BH143">
        <f t="shared" si="79"/>
        <v>2412.9692722319169</v>
      </c>
      <c r="BI143" s="148">
        <f t="shared" si="96"/>
        <v>6871.6622130335309</v>
      </c>
      <c r="BO143">
        <f t="shared" si="97"/>
        <v>873.60211109991906</v>
      </c>
      <c r="BP143">
        <f t="shared" si="98"/>
        <v>101555.38238005461</v>
      </c>
      <c r="BQ143">
        <f t="shared" si="99"/>
        <v>162108.24078093295</v>
      </c>
      <c r="BR143" s="148">
        <f t="shared" si="100"/>
        <v>237628.93873876461</v>
      </c>
      <c r="BS143" s="156">
        <f t="shared" si="101"/>
        <v>873.60211109991906</v>
      </c>
      <c r="BT143" s="156">
        <f t="shared" si="102"/>
        <v>2412.9692722319169</v>
      </c>
      <c r="BU143">
        <f t="shared" si="103"/>
        <v>2487.847104044954</v>
      </c>
      <c r="BV143">
        <f t="shared" si="104"/>
        <v>2487.847104044954</v>
      </c>
      <c r="BW143" s="148">
        <f t="shared" si="105"/>
        <v>455.4</v>
      </c>
      <c r="BX143" s="148">
        <f t="shared" si="106"/>
        <v>3129354.9718154697</v>
      </c>
      <c r="BY143" s="148">
        <f t="shared" si="107"/>
        <v>0.31471265866168663</v>
      </c>
      <c r="BZ143">
        <f t="shared" si="90"/>
        <v>34.218953776384112</v>
      </c>
      <c r="CB143">
        <f t="shared" si="108"/>
        <v>1614.2449929450349</v>
      </c>
      <c r="CC143" s="162">
        <f t="shared" si="91"/>
        <v>5310.3122387605836</v>
      </c>
      <c r="CD143">
        <f t="shared" si="116"/>
        <v>74788.757478805841</v>
      </c>
    </row>
    <row r="144" spans="4:82" x14ac:dyDescent="0.2">
      <c r="D144" s="22">
        <f t="shared" si="81"/>
        <v>0</v>
      </c>
      <c r="E144" s="23">
        <v>9.0017015999999987</v>
      </c>
      <c r="F144" s="23">
        <f>IF(K144&lt;6,1,IF(Data!K144&lt;9,2,IF(K144&gt;9,3)))</f>
        <v>3</v>
      </c>
      <c r="G144" s="23">
        <v>973.80347478971089</v>
      </c>
      <c r="H144" s="23">
        <v>217.96666499999998</v>
      </c>
      <c r="I144" s="64">
        <v>45.222606438546379</v>
      </c>
      <c r="J144" s="65">
        <f t="shared" si="82"/>
        <v>2.1215292576555962</v>
      </c>
      <c r="K144" s="65">
        <f t="shared" si="83"/>
        <v>18.089042575418553</v>
      </c>
      <c r="L144" s="65">
        <f t="shared" si="84"/>
        <v>0.84861170306221001</v>
      </c>
      <c r="M144">
        <f t="shared" si="85"/>
        <v>18.003403199999997</v>
      </c>
      <c r="N144">
        <f t="shared" si="86"/>
        <v>0</v>
      </c>
      <c r="O144">
        <f>IF(L144&lt;'Vehicle Data'!F$21,'Vehicle Data'!C$21,IF(L144&gt;'Vehicle Data'!C$21,'Vehicle Data'!C$20))</f>
        <v>0.6</v>
      </c>
      <c r="P144">
        <f>('Vehicle Data'!C$6*9.81*'Vehicle Data'!C$5*SIN(D144))/'Vehicle Data'!C$9</f>
        <v>0</v>
      </c>
      <c r="Q144" s="107">
        <f>'Vehicle Data'!C$6*9.81*SIN(D144)</f>
        <v>0</v>
      </c>
      <c r="R144">
        <f t="shared" si="80"/>
        <v>971.52797138423932</v>
      </c>
      <c r="S144">
        <f>IF(Data!O144=0.6,'Vehicle Data'!E$21,IF(Data!O144 = 0.9,'Vehicle Data'!E$20))+(P144*O144)</f>
        <v>1550.3723999999997</v>
      </c>
      <c r="T144">
        <f>IF(F144=3,'Vehicle Data'!H$16,IF(F144=2,'Vehicle Data'!H$15,IF(F144 = 1,'Vehicle Data'!G$14)))</f>
        <v>466.23005239380637</v>
      </c>
      <c r="U144" s="148">
        <f t="shared" si="87"/>
        <v>255.38948926092326</v>
      </c>
      <c r="V144" s="70" t="s">
        <v>80</v>
      </c>
      <c r="W144" s="103" t="s">
        <v>84</v>
      </c>
      <c r="X144">
        <f>IF(V144="S",'Vehicle Data'!C$14,IF(Data!V144 = "T1",'Vehicle Data'!P$2,IF(Data!V144="T2",'Vehicle Data'!P$3)))</f>
        <v>10.293104487956974</v>
      </c>
      <c r="Z144">
        <f t="shared" si="109"/>
        <v>6.266948795962592</v>
      </c>
      <c r="AB144" t="b">
        <f>IF(AA144=1,'Vehicle Data'!I$14,IF(AA144=2,'Vehicle Data'!I$15,IF(AA144=3,'Vehicle Data'!I$16)))</f>
        <v>0</v>
      </c>
      <c r="AC144">
        <f>IF(Z144&lt;'Vehicle Data'!C$16,'Vehicle Data'!I$15,IF(Z144&lt;'Vehicle Data'!C$15,'Vehicle Data'!I$15,IF(Z143&gt;'Vehicle Data'!C$15,'Vehicle Data'!I$16)))</f>
        <v>0.98256251041858167</v>
      </c>
      <c r="AD144">
        <f>IF(O144=0.6,'Vehicle Data'!F$21,IF(O144=0.9,'Vehicle Data'!F$20))</f>
        <v>3.5315999999999996</v>
      </c>
      <c r="AE144" s="100">
        <f t="shared" si="88"/>
        <v>0.98256251041858167</v>
      </c>
      <c r="AF144" s="158">
        <f t="shared" si="110"/>
        <v>0.36204444091070664</v>
      </c>
      <c r="AG144" s="148">
        <f t="shared" si="92"/>
        <v>-3.2302050770849378</v>
      </c>
      <c r="AH144" s="148">
        <f t="shared" si="111"/>
        <v>34.58099821729482</v>
      </c>
      <c r="AJ144">
        <f>(Z144^2)*'Vehicle Data'!C$31</f>
        <v>14.433432850122244</v>
      </c>
      <c r="AK144">
        <f>IF(O144=0.6,'Vehicle Data'!C$6*'Vehicle Data'!D$21*9.81,IF(O144=0.9,'Vehicle Data'!C$6*9.81*'Vehicle Data'!D$20))</f>
        <v>86.131799999999998</v>
      </c>
      <c r="AL144">
        <f t="shared" si="89"/>
        <v>100.56523285012224</v>
      </c>
      <c r="AN144" t="b">
        <f>IF(AG144&gt;0,AG144*'Vehicle Data'!C$6)</f>
        <v>0</v>
      </c>
      <c r="AO144">
        <f t="shared" si="93"/>
        <v>100.56523285012224</v>
      </c>
      <c r="AP144">
        <f>AO144*'Vehicle Data'!F$3</f>
        <v>25.704473516491245</v>
      </c>
      <c r="AQ144">
        <v>4</v>
      </c>
      <c r="AR144">
        <f>IF(Z144&lt;'Vehicle Data'!C$16, Z144*'Vehicle Data'!F$7*'Vehicle Data'!G$14,IF(Z144&lt;'Vehicle Data'!C$15,Z144*'Vehicle Data'!F$7*'Vehicle Data'!G$15,IF(Z144&gt;'Vehicle Data'!C$15,Z144*'Vehicle Data'!F$7*'Vehicle Data'!G$16)))</f>
        <v>81.238225132848427</v>
      </c>
      <c r="AS144">
        <f t="shared" si="112"/>
        <v>4874.2935079709059</v>
      </c>
      <c r="AT144">
        <f t="shared" si="117"/>
        <v>4</v>
      </c>
      <c r="AU144">
        <f t="shared" si="113"/>
        <v>5000</v>
      </c>
      <c r="AW144">
        <f>VLOOKUP(AT144,BSFC!A$64:A$82,1,FALSE)</f>
        <v>4</v>
      </c>
      <c r="AX144" t="e" cm="1">
        <f t="array" ref="AX144">_xlfn.XLOOKUP(AT144,BSFC!A$64:A$82,,-1,_xlfn.XLOOKUP(Data!AU144,BSFC!C$63:Q$63,BSFC!B$64:Q$82,,-1))</f>
        <v>#VALUE!</v>
      </c>
      <c r="AY144">
        <f>HLOOKUP(AU144,BSFC!F$63:Q$63,1)</f>
        <v>5000</v>
      </c>
      <c r="AZ144">
        <f>IF(AT144&gt;0,MATCH(AT144,BSFC!A$64:A$83,0),IF(AT144&lt;=0,0))</f>
        <v>19</v>
      </c>
      <c r="BA144">
        <f>MATCH(AU144,BSFC!C$63:Q$63,0)</f>
        <v>10</v>
      </c>
      <c r="BB144" cm="1">
        <f t="array" ref="BB144">IF(AZ144&gt;0,INDEX(BSFC!C$64:Q$83,Data!AZ144,Data!BA144))</f>
        <v>700</v>
      </c>
      <c r="BC144">
        <f>0.5*'Vehicle Data'!C$6*Data!Z144^2</f>
        <v>8620.7850628621272</v>
      </c>
      <c r="BD144">
        <f t="shared" si="94"/>
        <v>2.1461404473401697</v>
      </c>
      <c r="BE144">
        <f t="shared" si="114"/>
        <v>1502.2983131381188</v>
      </c>
      <c r="BF144">
        <f t="shared" si="115"/>
        <v>0.15108298690588554</v>
      </c>
      <c r="BG144">
        <f t="shared" si="95"/>
        <v>35.118172718894563</v>
      </c>
      <c r="BH144">
        <f t="shared" si="79"/>
        <v>2033.4975001964565</v>
      </c>
      <c r="BI144" s="148">
        <f t="shared" si="96"/>
        <v>6871.6622130335309</v>
      </c>
      <c r="BO144">
        <f t="shared" si="97"/>
        <v>699.60110959568453</v>
      </c>
      <c r="BP144">
        <f t="shared" si="98"/>
        <v>102254.98348965029</v>
      </c>
      <c r="BQ144">
        <f t="shared" si="99"/>
        <v>162807.84189052862</v>
      </c>
      <c r="BR144" s="148">
        <f t="shared" si="100"/>
        <v>239993.0540172641</v>
      </c>
      <c r="BS144" s="156">
        <f t="shared" si="101"/>
        <v>699.60110959568453</v>
      </c>
      <c r="BT144" s="156">
        <f t="shared" si="102"/>
        <v>2033.4975001964565</v>
      </c>
      <c r="BU144">
        <f t="shared" si="103"/>
        <v>2364.1152784995061</v>
      </c>
      <c r="BV144">
        <f t="shared" si="104"/>
        <v>2364.1152784995061</v>
      </c>
      <c r="BW144" s="148">
        <f t="shared" si="105"/>
        <v>455.4</v>
      </c>
      <c r="BX144" s="148">
        <f t="shared" si="106"/>
        <v>3129354.9718154697</v>
      </c>
      <c r="BY144" s="148">
        <f t="shared" si="107"/>
        <v>0.29906058273018749</v>
      </c>
      <c r="BZ144">
        <f t="shared" si="90"/>
        <v>34.58099821729482</v>
      </c>
      <c r="CB144">
        <f t="shared" si="108"/>
        <v>1664.5141689038214</v>
      </c>
      <c r="CC144" s="162">
        <f t="shared" si="91"/>
        <v>4597.5410220822732</v>
      </c>
      <c r="CD144">
        <f t="shared" si="116"/>
        <v>76453.271647709669</v>
      </c>
    </row>
    <row r="145" spans="4:82" x14ac:dyDescent="0.2">
      <c r="D145" s="22">
        <f t="shared" si="81"/>
        <v>0</v>
      </c>
      <c r="E145" s="23">
        <v>9.0017015999999987</v>
      </c>
      <c r="F145" s="23">
        <f>IF(K145&lt;6,1,IF(Data!K145&lt;9,2,IF(K145&gt;9,3)))</f>
        <v>3</v>
      </c>
      <c r="G145" s="23">
        <v>976.08446026949855</v>
      </c>
      <c r="H145" s="23">
        <v>218.01666499999999</v>
      </c>
      <c r="I145" s="64">
        <v>45.328682901429183</v>
      </c>
      <c r="J145" s="65">
        <f t="shared" si="82"/>
        <v>1.9233068844427128</v>
      </c>
      <c r="K145" s="65">
        <f t="shared" si="83"/>
        <v>18.131473160571673</v>
      </c>
      <c r="L145" s="65">
        <f t="shared" si="84"/>
        <v>0.76932275377711345</v>
      </c>
      <c r="M145">
        <f t="shared" si="85"/>
        <v>18.003403199999997</v>
      </c>
      <c r="N145">
        <v>0</v>
      </c>
      <c r="O145">
        <f>IF(L145&lt;'Vehicle Data'!F$21,'Vehicle Data'!C$21,IF(L145&gt;'Vehicle Data'!C$21,'Vehicle Data'!C$20))</f>
        <v>0.6</v>
      </c>
      <c r="P145">
        <f>('Vehicle Data'!C$6*9.81*'Vehicle Data'!C$5*SIN(D145))/'Vehicle Data'!C$9</f>
        <v>0</v>
      </c>
      <c r="Q145" s="107">
        <f>'Vehicle Data'!C$6*9.81*SIN(D145)</f>
        <v>0</v>
      </c>
      <c r="R145">
        <f t="shared" si="80"/>
        <v>973.80347478971089</v>
      </c>
      <c r="S145">
        <f>IF(Data!O145=0.6,'Vehicle Data'!E$21,IF(Data!O145 = 0.9,'Vehicle Data'!E$20))+(P145*O145)</f>
        <v>1550.3723999999997</v>
      </c>
      <c r="T145">
        <f>IF(F145=3,'Vehicle Data'!H$16,IF(F145=2,'Vehicle Data'!H$15,IF(F145 = 1,'Vehicle Data'!G$14)))</f>
        <v>466.23005239380637</v>
      </c>
      <c r="U145" s="148">
        <f t="shared" si="87"/>
        <v>257.66499266639482</v>
      </c>
      <c r="V145" s="70" t="s">
        <v>80</v>
      </c>
      <c r="W145" s="103" t="s">
        <v>84</v>
      </c>
      <c r="X145">
        <f>IF(V145="S",'Vehicle Data'!C$14,IF(Data!V145 = "T1",'Vehicle Data'!P$2,IF(Data!V145="T2",'Vehicle Data'!P$3)))</f>
        <v>10.293104487956974</v>
      </c>
      <c r="Z145">
        <f t="shared" si="109"/>
        <v>6.6140982672099247</v>
      </c>
      <c r="AB145" t="b">
        <f>IF(AA145=1,'Vehicle Data'!I$14,IF(AA145=2,'Vehicle Data'!I$15,IF(AA145=3,'Vehicle Data'!I$16)))</f>
        <v>0</v>
      </c>
      <c r="AC145">
        <f>IF(Z145&lt;'Vehicle Data'!C$16,'Vehicle Data'!I$15,IF(Z145&lt;'Vehicle Data'!C$15,'Vehicle Data'!I$15,IF(Z144&gt;'Vehicle Data'!C$15,'Vehicle Data'!I$16)))</f>
        <v>0.98256251041858167</v>
      </c>
      <c r="AD145">
        <f>IF(O145=0.6,'Vehicle Data'!F$21,IF(O145=0.9,'Vehicle Data'!F$20))</f>
        <v>3.5315999999999996</v>
      </c>
      <c r="AE145" s="100">
        <f t="shared" si="88"/>
        <v>0.98256251041858167</v>
      </c>
      <c r="AF145" s="158">
        <f t="shared" si="110"/>
        <v>0.34403834257386395</v>
      </c>
      <c r="AG145" s="148">
        <f t="shared" si="92"/>
        <v>1.0090429707636461</v>
      </c>
      <c r="AH145" s="148">
        <f t="shared" si="111"/>
        <v>34.925036559868687</v>
      </c>
      <c r="AJ145">
        <f>(Z145^2)*'Vehicle Data'!C$31</f>
        <v>16.076763738953684</v>
      </c>
      <c r="AK145">
        <f>IF(O145=0.6,'Vehicle Data'!C$6*'Vehicle Data'!D$21*9.81,IF(O145=0.9,'Vehicle Data'!C$6*9.81*'Vehicle Data'!D$20))</f>
        <v>86.131799999999998</v>
      </c>
      <c r="AL145">
        <f t="shared" si="89"/>
        <v>102.20856373895369</v>
      </c>
      <c r="AN145">
        <f>IF(AG145&gt;0,AG145*'Vehicle Data'!C$6)</f>
        <v>442.96986416524066</v>
      </c>
      <c r="AO145">
        <f t="shared" si="93"/>
        <v>545.17842790419434</v>
      </c>
      <c r="AP145">
        <f>AO145*'Vehicle Data'!F$3</f>
        <v>139.34760617231206</v>
      </c>
      <c r="AQ145">
        <v>4</v>
      </c>
      <c r="AR145">
        <f>IF(Z145&lt;'Vehicle Data'!C$16, Z145*'Vehicle Data'!F$7*'Vehicle Data'!G$14,IF(Z145&lt;'Vehicle Data'!C$15,Z145*'Vehicle Data'!F$7*'Vehicle Data'!G$15,IF(Z145&gt;'Vehicle Data'!C$15,Z145*'Vehicle Data'!F$7*'Vehicle Data'!G$16)))</f>
        <v>85.738310871239776</v>
      </c>
      <c r="AS145">
        <f t="shared" si="112"/>
        <v>5144.2986522743868</v>
      </c>
      <c r="AT145">
        <f t="shared" si="117"/>
        <v>4</v>
      </c>
      <c r="AU145">
        <f t="shared" si="113"/>
        <v>5000</v>
      </c>
      <c r="AW145">
        <f>VLOOKUP(AT145,BSFC!A$64:A$82,1,FALSE)</f>
        <v>4</v>
      </c>
      <c r="AX145" t="e" cm="1">
        <f t="array" ref="AX145">_xlfn.XLOOKUP(AT145,BSFC!A$64:A$82,,-1,_xlfn.XLOOKUP(Data!AU145,BSFC!C$63:Q$63,BSFC!B$64:Q$82,,-1))</f>
        <v>#VALUE!</v>
      </c>
      <c r="AY145">
        <f>HLOOKUP(AU145,BSFC!F$63:Q$63,1)</f>
        <v>5000</v>
      </c>
      <c r="AZ145">
        <f>IF(AT145&gt;0,MATCH(AT145,BSFC!A$64:A$83,0),IF(AT145&lt;=0,0))</f>
        <v>19</v>
      </c>
      <c r="BA145">
        <f>MATCH(AU145,BSFC!C$63:Q$63,0)</f>
        <v>10</v>
      </c>
      <c r="BB145" cm="1">
        <f t="array" ref="BB145">IF(AZ145&gt;0,INDEX(BSFC!C$64:Q$83,Data!AZ145,Data!BA145))</f>
        <v>700</v>
      </c>
      <c r="BC145">
        <f>0.5*'Vehicle Data'!C$6*Data!Z145^2</f>
        <v>9602.3119474838968</v>
      </c>
      <c r="BD145">
        <f t="shared" si="94"/>
        <v>2.2534107059150665</v>
      </c>
      <c r="BE145">
        <f t="shared" si="114"/>
        <v>1577.3874941405466</v>
      </c>
      <c r="BF145">
        <f t="shared" si="115"/>
        <v>0.15074493863357061</v>
      </c>
      <c r="BG145">
        <f t="shared" si="95"/>
        <v>35.268917657528135</v>
      </c>
      <c r="BH145">
        <f t="shared" si="79"/>
        <v>2146.1404473401699</v>
      </c>
      <c r="BI145" s="148">
        <f t="shared" si="96"/>
        <v>6871.6622130335309</v>
      </c>
      <c r="BO145">
        <f t="shared" si="97"/>
        <v>704.90047542601769</v>
      </c>
      <c r="BP145">
        <f t="shared" si="98"/>
        <v>102959.88396507631</v>
      </c>
      <c r="BQ145">
        <f t="shared" si="99"/>
        <v>163512.74236595465</v>
      </c>
      <c r="BR145" s="148">
        <f t="shared" si="100"/>
        <v>242250.05353793275</v>
      </c>
      <c r="BS145" s="156">
        <f t="shared" si="101"/>
        <v>704.90047542601769</v>
      </c>
      <c r="BT145" s="156">
        <f t="shared" si="102"/>
        <v>2146.1404473401699</v>
      </c>
      <c r="BU145">
        <f t="shared" si="103"/>
        <v>2256.9995206686367</v>
      </c>
      <c r="BV145">
        <f t="shared" si="104"/>
        <v>2256.9995206686367</v>
      </c>
      <c r="BW145" s="148">
        <f t="shared" si="105"/>
        <v>455.4</v>
      </c>
      <c r="BX145" s="148">
        <f t="shared" si="106"/>
        <v>3129354.9718154697</v>
      </c>
      <c r="BY145" s="148">
        <f t="shared" si="107"/>
        <v>0.28551043936458254</v>
      </c>
      <c r="BZ145">
        <f t="shared" si="90"/>
        <v>34.925036559868687</v>
      </c>
      <c r="CB145">
        <f t="shared" si="108"/>
        <v>1552.099045242619</v>
      </c>
      <c r="CC145" s="162">
        <f t="shared" si="91"/>
        <v>4511.4129827240777</v>
      </c>
      <c r="CD145">
        <f t="shared" si="116"/>
        <v>78005.370692952289</v>
      </c>
    </row>
    <row r="146" spans="4:82" x14ac:dyDescent="0.2">
      <c r="D146" s="22">
        <f t="shared" si="81"/>
        <v>0</v>
      </c>
      <c r="E146" s="23">
        <v>8.9858994845241131</v>
      </c>
      <c r="F146" s="23">
        <f>IF(K146&lt;6,1,IF(Data!K146&lt;9,2,IF(K146&gt;9,3)))</f>
        <v>3</v>
      </c>
      <c r="G146" s="23">
        <v>978.36998461412963</v>
      </c>
      <c r="H146" s="23">
        <v>218.066665</v>
      </c>
      <c r="I146" s="64">
        <v>45.42484824565134</v>
      </c>
      <c r="J146" s="65">
        <f t="shared" si="82"/>
        <v>1.6716156341362893</v>
      </c>
      <c r="K146" s="65">
        <f t="shared" si="83"/>
        <v>18.169939298260537</v>
      </c>
      <c r="L146" s="65">
        <f t="shared" si="84"/>
        <v>0.66864625365448727</v>
      </c>
      <c r="M146">
        <f t="shared" si="85"/>
        <v>17.971798969048226</v>
      </c>
      <c r="N146">
        <v>0</v>
      </c>
      <c r="O146">
        <f>IF(L146&lt;'Vehicle Data'!F$21,'Vehicle Data'!C$21,IF(L146&gt;'Vehicle Data'!C$21,'Vehicle Data'!C$20))</f>
        <v>0.6</v>
      </c>
      <c r="P146">
        <f>('Vehicle Data'!C$6*9.81*'Vehicle Data'!C$5*SIN(D146))/'Vehicle Data'!C$9</f>
        <v>0</v>
      </c>
      <c r="Q146" s="107">
        <f>'Vehicle Data'!C$6*9.81*SIN(D146)</f>
        <v>0</v>
      </c>
      <c r="R146">
        <f t="shared" si="80"/>
        <v>976.08446026949855</v>
      </c>
      <c r="S146">
        <f>IF(Data!O146=0.6,'Vehicle Data'!E$21,IF(Data!O146 = 0.9,'Vehicle Data'!E$20))+(P146*O146)</f>
        <v>1550.3723999999997</v>
      </c>
      <c r="T146">
        <f>IF(F146=3,'Vehicle Data'!H$16,IF(F146=2,'Vehicle Data'!H$15,IF(F146 = 1,'Vehicle Data'!G$14)))</f>
        <v>466.23005239380637</v>
      </c>
      <c r="U146" s="148">
        <f t="shared" si="87"/>
        <v>259.94597814618248</v>
      </c>
      <c r="V146" s="70" t="s">
        <v>80</v>
      </c>
      <c r="W146" s="103" t="s">
        <v>84</v>
      </c>
      <c r="X146">
        <f>IF(V146="S",'Vehicle Data'!C$14,IF(Data!V146 = "T1",'Vehicle Data'!P$2,IF(Data!V146="T2",'Vehicle Data'!P$3)))</f>
        <v>10.293104487956974</v>
      </c>
      <c r="Z146">
        <f t="shared" si="109"/>
        <v>6.9446898798151038</v>
      </c>
      <c r="AB146" t="b">
        <f>IF(AA146=1,'Vehicle Data'!I$14,IF(AA146=2,'Vehicle Data'!I$15,IF(AA146=3,'Vehicle Data'!I$16)))</f>
        <v>0</v>
      </c>
      <c r="AC146">
        <f>IF(Z146&lt;'Vehicle Data'!C$16,'Vehicle Data'!I$15,IF(Z146&lt;'Vehicle Data'!C$15,'Vehicle Data'!I$15,IF(Z145&gt;'Vehicle Data'!C$15,'Vehicle Data'!I$16)))</f>
        <v>0.98256251041858167</v>
      </c>
      <c r="AD146">
        <f>IF(O146=0.6,'Vehicle Data'!F$21,IF(O146=0.9,'Vehicle Data'!F$20))</f>
        <v>3.5315999999999996</v>
      </c>
      <c r="AE146" s="100">
        <f t="shared" si="88"/>
        <v>0.98256251041858167</v>
      </c>
      <c r="AF146" s="158">
        <f t="shared" si="110"/>
        <v>0.32845030077115395</v>
      </c>
      <c r="AG146" s="148">
        <f t="shared" si="92"/>
        <v>1.0065194394068073</v>
      </c>
      <c r="AH146" s="148">
        <f t="shared" si="111"/>
        <v>35.253486860639839</v>
      </c>
      <c r="AJ146">
        <f>(Z146^2)*'Vehicle Data'!C$31</f>
        <v>17.724053691101329</v>
      </c>
      <c r="AK146">
        <f>IF(O146=0.6,'Vehicle Data'!C$6*'Vehicle Data'!D$21*9.81,IF(O146=0.9,'Vehicle Data'!C$6*9.81*'Vehicle Data'!D$20))</f>
        <v>86.131799999999998</v>
      </c>
      <c r="AL146">
        <f t="shared" si="89"/>
        <v>103.85585369110133</v>
      </c>
      <c r="AN146">
        <f>IF(AG146&gt;0,AG146*'Vehicle Data'!C$6)</f>
        <v>441.86203389958843</v>
      </c>
      <c r="AO146">
        <f t="shared" si="93"/>
        <v>545.71788759068977</v>
      </c>
      <c r="AP146">
        <f>AO146*'Vehicle Data'!F$3</f>
        <v>139.48549206818029</v>
      </c>
      <c r="AQ146">
        <v>4</v>
      </c>
      <c r="AR146">
        <f>IF(Z146&lt;'Vehicle Data'!C$16, Z146*'Vehicle Data'!F$7*'Vehicle Data'!G$14,IF(Z146&lt;'Vehicle Data'!C$15,Z146*'Vehicle Data'!F$7*'Vehicle Data'!G$15,IF(Z146&gt;'Vehicle Data'!C$15,Z146*'Vehicle Data'!F$7*'Vehicle Data'!G$16)))</f>
        <v>90.023757701306906</v>
      </c>
      <c r="AS146">
        <f t="shared" si="112"/>
        <v>5401.4254620784141</v>
      </c>
      <c r="AT146">
        <f t="shared" si="117"/>
        <v>4</v>
      </c>
      <c r="AU146">
        <f t="shared" si="113"/>
        <v>5500</v>
      </c>
      <c r="AW146">
        <f>VLOOKUP(AT146,BSFC!A$64:A$82,1,FALSE)</f>
        <v>4</v>
      </c>
      <c r="AX146" t="e" cm="1">
        <f t="array" ref="AX146">_xlfn.XLOOKUP(AT146,BSFC!A$64:A$82,,-1,_xlfn.XLOOKUP(Data!AU146,BSFC!C$63:Q$63,BSFC!B$64:Q$82,,-1))</f>
        <v>#VALUE!</v>
      </c>
      <c r="AY146">
        <f>HLOOKUP(AU146,BSFC!F$63:Q$63,1)</f>
        <v>5500</v>
      </c>
      <c r="AZ146">
        <f>IF(AT146&gt;0,MATCH(AT146,BSFC!A$64:A$83,0),IF(AT146&lt;=0,0))</f>
        <v>19</v>
      </c>
      <c r="BA146">
        <f>MATCH(AU146,BSFC!C$63:Q$63,0)</f>
        <v>11</v>
      </c>
      <c r="BB146" cm="1">
        <f t="array" ref="BB146">IF(AZ146&gt;0,INDEX(BSFC!C$64:Q$83,Data!AZ146,Data!BA146))</f>
        <v>670</v>
      </c>
      <c r="BC146">
        <f>0.5*'Vehicle Data'!C$6*Data!Z146^2</f>
        <v>10586.203497133987</v>
      </c>
      <c r="BD146">
        <f t="shared" si="94"/>
        <v>2.3560008278072457</v>
      </c>
      <c r="BE146">
        <f t="shared" si="114"/>
        <v>1578.5205546308546</v>
      </c>
      <c r="BF146">
        <f t="shared" si="115"/>
        <v>0.14401820859498693</v>
      </c>
      <c r="BG146">
        <f t="shared" si="95"/>
        <v>35.412935866123121</v>
      </c>
      <c r="BH146">
        <f t="shared" si="79"/>
        <v>2253.4107059150665</v>
      </c>
      <c r="BI146" s="148">
        <f t="shared" si="96"/>
        <v>6871.6622130335309</v>
      </c>
      <c r="BO146">
        <f t="shared" si="97"/>
        <v>709.31356062619398</v>
      </c>
      <c r="BP146">
        <f t="shared" si="98"/>
        <v>103669.1975257025</v>
      </c>
      <c r="BQ146">
        <f t="shared" si="99"/>
        <v>164222.05592658086</v>
      </c>
      <c r="BR146" s="148">
        <f t="shared" si="100"/>
        <v>244413.06944042796</v>
      </c>
      <c r="BS146" s="156">
        <f t="shared" si="101"/>
        <v>709.31356062619398</v>
      </c>
      <c r="BT146" s="156">
        <f t="shared" si="102"/>
        <v>2253.4107059150665</v>
      </c>
      <c r="BU146">
        <f t="shared" si="103"/>
        <v>2163.0159024952277</v>
      </c>
      <c r="BV146">
        <f t="shared" si="104"/>
        <v>2163.0159024952277</v>
      </c>
      <c r="BW146" s="148">
        <f t="shared" si="105"/>
        <v>455.4</v>
      </c>
      <c r="BX146" s="148">
        <f t="shared" si="106"/>
        <v>3129354.9718154697</v>
      </c>
      <c r="BY146" s="148">
        <f t="shared" si="107"/>
        <v>0.27362151166564624</v>
      </c>
      <c r="BZ146">
        <f t="shared" si="90"/>
        <v>35.253486860639839</v>
      </c>
      <c r="CB146">
        <f t="shared" si="108"/>
        <v>1453.7023418690337</v>
      </c>
      <c r="CC146" s="162">
        <f t="shared" si="91"/>
        <v>4425.9430984108049</v>
      </c>
      <c r="CD146">
        <f t="shared" si="116"/>
        <v>79459.073034821326</v>
      </c>
    </row>
    <row r="147" spans="4:82" x14ac:dyDescent="0.2">
      <c r="D147" s="22">
        <f t="shared" si="81"/>
        <v>0</v>
      </c>
      <c r="E147" s="23">
        <v>8.9017032</v>
      </c>
      <c r="F147" s="23">
        <f>IF(K147&lt;6,1,IF(Data!K147&lt;9,2,IF(K147&gt;9,3)))</f>
        <v>3</v>
      </c>
      <c r="G147" s="23">
        <v>980.65862895875955</v>
      </c>
      <c r="H147" s="23">
        <v>218.11666499999998</v>
      </c>
      <c r="I147" s="64">
        <v>45.508429027358126</v>
      </c>
      <c r="J147" s="65">
        <f t="shared" si="82"/>
        <v>1.4832161502649834</v>
      </c>
      <c r="K147" s="65">
        <f t="shared" si="83"/>
        <v>18.20337161094325</v>
      </c>
      <c r="L147" s="65">
        <f t="shared" si="84"/>
        <v>0.5932864601059934</v>
      </c>
      <c r="M147">
        <f t="shared" si="85"/>
        <v>17.8034064</v>
      </c>
      <c r="N147">
        <f t="shared" si="86"/>
        <v>0</v>
      </c>
      <c r="O147">
        <f>IF(L147&lt;'Vehicle Data'!F$21,'Vehicle Data'!C$21,IF(L147&gt;'Vehicle Data'!C$21,'Vehicle Data'!C$20))</f>
        <v>0.6</v>
      </c>
      <c r="P147">
        <f>('Vehicle Data'!C$6*9.81*'Vehicle Data'!C$5*SIN(D147))/'Vehicle Data'!C$9</f>
        <v>0</v>
      </c>
      <c r="Q147" s="107">
        <f>'Vehicle Data'!C$6*9.81*SIN(D147)</f>
        <v>0</v>
      </c>
      <c r="R147">
        <f t="shared" si="80"/>
        <v>978.36998461412963</v>
      </c>
      <c r="S147">
        <f>IF(Data!O147=0.6,'Vehicle Data'!E$21,IF(Data!O147 = 0.9,'Vehicle Data'!E$20))+(P147*O147)</f>
        <v>1550.3723999999997</v>
      </c>
      <c r="T147">
        <f>IF(F147=3,'Vehicle Data'!H$16,IF(F147=2,'Vehicle Data'!H$15,IF(F147 = 1,'Vehicle Data'!G$14)))</f>
        <v>466.23005239380637</v>
      </c>
      <c r="U147" s="148">
        <f t="shared" si="87"/>
        <v>262.23150249081357</v>
      </c>
      <c r="V147" s="70" t="s">
        <v>80</v>
      </c>
      <c r="W147" s="103" t="s">
        <v>84</v>
      </c>
      <c r="X147">
        <f>IF(V147="S",'Vehicle Data'!C$14,IF(Data!V147 = "T1",'Vehicle Data'!P$2,IF(Data!V147="T2",'Vehicle Data'!P$3)))</f>
        <v>10.293104487956974</v>
      </c>
      <c r="Z147">
        <f t="shared" si="109"/>
        <v>7.2608579797551007</v>
      </c>
      <c r="AB147" t="b">
        <f>IF(AA147=1,'Vehicle Data'!I$14,IF(AA147=2,'Vehicle Data'!I$15,IF(AA147=3,'Vehicle Data'!I$16)))</f>
        <v>0</v>
      </c>
      <c r="AC147">
        <f>IF(Z147&lt;'Vehicle Data'!C$16,'Vehicle Data'!I$15,IF(Z147&lt;'Vehicle Data'!C$15,'Vehicle Data'!I$15,IF(Z146&gt;'Vehicle Data'!C$15,'Vehicle Data'!I$16)))</f>
        <v>0.98256251041858167</v>
      </c>
      <c r="AD147">
        <f>IF(O147=0.6,'Vehicle Data'!F$21,IF(O147=0.9,'Vehicle Data'!F$20))</f>
        <v>3.5315999999999996</v>
      </c>
      <c r="AE147" s="100">
        <f t="shared" si="88"/>
        <v>0.98256251041858167</v>
      </c>
      <c r="AF147" s="158">
        <f t="shared" si="110"/>
        <v>0.31477331618434617</v>
      </c>
      <c r="AG147" s="148">
        <f t="shared" si="92"/>
        <v>1.0044310736772679</v>
      </c>
      <c r="AH147" s="148">
        <f t="shared" si="111"/>
        <v>35.568260176824182</v>
      </c>
      <c r="AJ147">
        <f>(Z147^2)*'Vehicle Data'!C$31</f>
        <v>19.374621536298701</v>
      </c>
      <c r="AK147">
        <f>IF(O147=0.6,'Vehicle Data'!C$6*'Vehicle Data'!D$21*9.81,IF(O147=0.9,'Vehicle Data'!C$6*9.81*'Vehicle Data'!D$20))</f>
        <v>86.131799999999998</v>
      </c>
      <c r="AL147">
        <f t="shared" si="89"/>
        <v>105.5064215362987</v>
      </c>
      <c r="AN147">
        <f>IF(AG147&gt;0,AG147*'Vehicle Data'!C$6)</f>
        <v>440.94524134432061</v>
      </c>
      <c r="AO147">
        <f t="shared" si="93"/>
        <v>546.45166288061932</v>
      </c>
      <c r="AP147">
        <f>AO147*'Vehicle Data'!F$3</f>
        <v>139.6730450322863</v>
      </c>
      <c r="AQ147">
        <v>4</v>
      </c>
      <c r="AR147">
        <f>IF(Z147&lt;'Vehicle Data'!C$16, Z147*'Vehicle Data'!F$7*'Vehicle Data'!G$14,IF(Z147&lt;'Vehicle Data'!C$15,Z147*'Vehicle Data'!F$7*'Vehicle Data'!G$15,IF(Z147&gt;'Vehicle Data'!C$15,Z147*'Vehicle Data'!F$7*'Vehicle Data'!G$16)))</f>
        <v>94.122233070899455</v>
      </c>
      <c r="AS147">
        <f t="shared" si="112"/>
        <v>5647.3339842539672</v>
      </c>
      <c r="AT147">
        <f t="shared" si="117"/>
        <v>4</v>
      </c>
      <c r="AU147">
        <f t="shared" si="113"/>
        <v>5500</v>
      </c>
      <c r="AW147">
        <f>VLOOKUP(AT147,BSFC!A$64:A$82,1,FALSE)</f>
        <v>4</v>
      </c>
      <c r="AX147" t="e" cm="1">
        <f t="array" ref="AX147">_xlfn.XLOOKUP(AT147,BSFC!A$64:A$82,,-1,_xlfn.XLOOKUP(Data!AU147,BSFC!C$63:Q$63,BSFC!B$64:Q$82,,-1))</f>
        <v>#VALUE!</v>
      </c>
      <c r="AY147">
        <f>HLOOKUP(AU147,BSFC!F$63:Q$63,1)</f>
        <v>5500</v>
      </c>
      <c r="AZ147">
        <f>IF(AT147&gt;0,MATCH(AT147,BSFC!A$64:A$83,0),IF(AT147&lt;=0,0))</f>
        <v>19</v>
      </c>
      <c r="BA147">
        <f>MATCH(AU147,BSFC!C$63:Q$63,0)</f>
        <v>11</v>
      </c>
      <c r="BB147" cm="1">
        <f t="array" ref="BB147">IF(AZ147&gt;0,INDEX(BSFC!C$64:Q$83,Data!AZ147,Data!BA147))</f>
        <v>670</v>
      </c>
      <c r="BC147">
        <f>0.5*'Vehicle Data'!C$6*Data!Z147^2</f>
        <v>11572.052863177045</v>
      </c>
      <c r="BD147">
        <f t="shared" si="94"/>
        <v>2.4544379247990311</v>
      </c>
      <c r="BE147">
        <f t="shared" si="114"/>
        <v>1644.4734096153509</v>
      </c>
      <c r="BF147">
        <f t="shared" si="115"/>
        <v>0.14378787458933409</v>
      </c>
      <c r="BG147">
        <f t="shared" si="95"/>
        <v>35.556723740712457</v>
      </c>
      <c r="BH147">
        <f t="shared" si="79"/>
        <v>2356.0008278072455</v>
      </c>
      <c r="BI147" s="148">
        <f t="shared" si="96"/>
        <v>6871.6622130335309</v>
      </c>
      <c r="BO147">
        <f t="shared" si="97"/>
        <v>712.83528835010384</v>
      </c>
      <c r="BP147">
        <f t="shared" si="98"/>
        <v>104382.03281405261</v>
      </c>
      <c r="BQ147">
        <f t="shared" si="99"/>
        <v>164934.89121493095</v>
      </c>
      <c r="BR147" s="148">
        <f t="shared" si="100"/>
        <v>246492.17028676817</v>
      </c>
      <c r="BS147" s="156">
        <f t="shared" si="101"/>
        <v>712.83528835010384</v>
      </c>
      <c r="BT147" s="156">
        <f t="shared" si="102"/>
        <v>2356.0008278072455</v>
      </c>
      <c r="BU147">
        <f t="shared" si="103"/>
        <v>2079.1008463402059</v>
      </c>
      <c r="BV147">
        <f t="shared" si="104"/>
        <v>2079.1008463402059</v>
      </c>
      <c r="BW147" s="148">
        <f t="shared" si="105"/>
        <v>455.4</v>
      </c>
      <c r="BX147" s="148">
        <f t="shared" si="106"/>
        <v>3129354.9718154697</v>
      </c>
      <c r="BY147" s="148">
        <f t="shared" si="107"/>
        <v>0.26300625706203601</v>
      </c>
      <c r="BZ147">
        <f t="shared" si="90"/>
        <v>35.568260176824182</v>
      </c>
      <c r="CB147">
        <f t="shared" si="108"/>
        <v>1366.265557990102</v>
      </c>
      <c r="CC147" s="162">
        <f t="shared" si="91"/>
        <v>4340.4745184625635</v>
      </c>
      <c r="CD147">
        <f t="shared" si="116"/>
        <v>80825.338592811429</v>
      </c>
    </row>
    <row r="148" spans="4:82" x14ac:dyDescent="0.2">
      <c r="D148" s="22">
        <f t="shared" si="81"/>
        <v>0</v>
      </c>
      <c r="E148" s="23">
        <v>8.9017032</v>
      </c>
      <c r="F148" s="23">
        <f>IF(K148&lt;6,1,IF(Data!K148&lt;9,2,IF(K148&gt;9,3)))</f>
        <v>3</v>
      </c>
      <c r="G148" s="23">
        <v>982.94967330338989</v>
      </c>
      <c r="H148" s="23">
        <v>218.16666499999999</v>
      </c>
      <c r="I148" s="64">
        <v>45.582589834871392</v>
      </c>
      <c r="J148" s="65">
        <f t="shared" si="82"/>
        <v>1.4739910820750222</v>
      </c>
      <c r="K148" s="65">
        <f t="shared" si="83"/>
        <v>18.233035933948557</v>
      </c>
      <c r="L148" s="65">
        <f t="shared" si="84"/>
        <v>0.58959643283002305</v>
      </c>
      <c r="M148">
        <f t="shared" si="85"/>
        <v>17.8034064</v>
      </c>
      <c r="N148">
        <f t="shared" si="86"/>
        <v>0</v>
      </c>
      <c r="O148">
        <f>IF(L148&lt;'Vehicle Data'!F$21,'Vehicle Data'!C$21,IF(L148&gt;'Vehicle Data'!C$21,'Vehicle Data'!C$20))</f>
        <v>0.6</v>
      </c>
      <c r="P148">
        <f>('Vehicle Data'!C$6*9.81*'Vehicle Data'!C$5*SIN(D148))/'Vehicle Data'!C$9</f>
        <v>0</v>
      </c>
      <c r="Q148" s="107">
        <f>'Vehicle Data'!C$6*9.81*SIN(D148)</f>
        <v>0</v>
      </c>
      <c r="R148">
        <f t="shared" si="80"/>
        <v>980.65862895875955</v>
      </c>
      <c r="S148">
        <f>IF(Data!O148=0.6,'Vehicle Data'!E$21,IF(Data!O148 = 0.9,'Vehicle Data'!E$20))+(P148*O148)</f>
        <v>1550.3723999999997</v>
      </c>
      <c r="T148">
        <f>IF(F148=3,'Vehicle Data'!H$16,IF(F148=2,'Vehicle Data'!H$15,IF(F148 = 1,'Vehicle Data'!G$14)))</f>
        <v>466.23005239380637</v>
      </c>
      <c r="U148" s="148">
        <f t="shared" si="87"/>
        <v>264.52014683544348</v>
      </c>
      <c r="V148" s="70" t="s">
        <v>80</v>
      </c>
      <c r="W148" s="103" t="s">
        <v>84</v>
      </c>
      <c r="X148">
        <f>IF(V148="S",'Vehicle Data'!C$14,IF(Data!V148 = "T1",'Vehicle Data'!P$2,IF(Data!V148="T2",'Vehicle Data'!P$3)))</f>
        <v>10.293104487956974</v>
      </c>
      <c r="Z148">
        <f t="shared" si="109"/>
        <v>7.5642270502413558</v>
      </c>
      <c r="AB148" t="b">
        <f>IF(AA148=1,'Vehicle Data'!I$14,IF(AA148=2,'Vehicle Data'!I$15,IF(AA148=3,'Vehicle Data'!I$16)))</f>
        <v>0</v>
      </c>
      <c r="AC148">
        <f>IF(Z148&lt;'Vehicle Data'!C$16,'Vehicle Data'!I$15,IF(Z148&lt;'Vehicle Data'!C$15,'Vehicle Data'!I$15,IF(Z147&gt;'Vehicle Data'!C$15,'Vehicle Data'!I$16)))</f>
        <v>0.98256251041858167</v>
      </c>
      <c r="AD148">
        <f>IF(O148=0.6,'Vehicle Data'!F$21,IF(O148=0.9,'Vehicle Data'!F$20))</f>
        <v>3.5315999999999996</v>
      </c>
      <c r="AE148" s="100">
        <f t="shared" si="88"/>
        <v>0.98256251041858167</v>
      </c>
      <c r="AF148" s="158">
        <f t="shared" si="110"/>
        <v>0.30256156107277221</v>
      </c>
      <c r="AG148" s="148">
        <f t="shared" si="92"/>
        <v>1.0026689094629857</v>
      </c>
      <c r="AH148" s="148">
        <f t="shared" si="111"/>
        <v>35.870821737896954</v>
      </c>
      <c r="AJ148">
        <f>(Z148^2)*'Vehicle Data'!C$31</f>
        <v>21.027442593844125</v>
      </c>
      <c r="AK148">
        <f>IF(O148=0.6,'Vehicle Data'!C$6*'Vehicle Data'!D$21*9.81,IF(O148=0.9,'Vehicle Data'!C$6*9.81*'Vehicle Data'!D$20))</f>
        <v>86.131799999999998</v>
      </c>
      <c r="AL148">
        <f t="shared" si="89"/>
        <v>107.15924259384413</v>
      </c>
      <c r="AN148">
        <f>IF(AG148&gt;0,AG148*'Vehicle Data'!C$6)</f>
        <v>440.17165125425072</v>
      </c>
      <c r="AO148">
        <f t="shared" si="93"/>
        <v>547.33089384809489</v>
      </c>
      <c r="AP148">
        <f>AO148*'Vehicle Data'!F$3</f>
        <v>139.89777646757304</v>
      </c>
      <c r="AQ148">
        <v>4</v>
      </c>
      <c r="AR148">
        <f>IF(Z148&lt;'Vehicle Data'!C$16, Z148*'Vehicle Data'!F$7*'Vehicle Data'!G$14,IF(Z148&lt;'Vehicle Data'!C$15,Z148*'Vehicle Data'!F$7*'Vehicle Data'!G$15,IF(Z148&gt;'Vehicle Data'!C$15,Z148*'Vehicle Data'!F$7*'Vehicle Data'!G$16)))</f>
        <v>98.054795095721289</v>
      </c>
      <c r="AS148">
        <f t="shared" si="112"/>
        <v>5883.287705743277</v>
      </c>
      <c r="AT148">
        <f t="shared" si="117"/>
        <v>4</v>
      </c>
      <c r="AU148">
        <f t="shared" si="113"/>
        <v>6000</v>
      </c>
      <c r="AW148">
        <f>VLOOKUP(AT148,BSFC!A$64:A$82,1,FALSE)</f>
        <v>4</v>
      </c>
      <c r="AX148" t="e" cm="1">
        <f t="array" ref="AX148">_xlfn.XLOOKUP(AT148,BSFC!A$64:A$82,,-1,_xlfn.XLOOKUP(Data!AU148,BSFC!C$63:Q$63,BSFC!B$64:Q$82,,-1))</f>
        <v>#VALUE!</v>
      </c>
      <c r="AY148">
        <f>HLOOKUP(AU148,BSFC!F$63:Q$63,1)</f>
        <v>6000</v>
      </c>
      <c r="AZ148">
        <f>IF(AT148&gt;0,MATCH(AT148,BSFC!A$64:A$83,0),IF(AT148&lt;=0,0))</f>
        <v>19</v>
      </c>
      <c r="BA148">
        <f>MATCH(AU148,BSFC!C$63:Q$63,0)</f>
        <v>12</v>
      </c>
      <c r="BB148" cm="1">
        <f t="array" ref="BB148">IF(AZ148&gt;0,INDEX(BSFC!C$64:Q$83,Data!AZ148,Data!BA148))</f>
        <v>650</v>
      </c>
      <c r="BC148">
        <f>0.5*'Vehicle Data'!C$6*Data!Z148^2</f>
        <v>12559.248025438868</v>
      </c>
      <c r="BD148">
        <f t="shared" si="94"/>
        <v>2.5491739285727553</v>
      </c>
      <c r="BE148">
        <f t="shared" si="114"/>
        <v>1656.9630535722908</v>
      </c>
      <c r="BF148">
        <f t="shared" si="115"/>
        <v>0.13925925781353884</v>
      </c>
      <c r="BG148">
        <f t="shared" si="95"/>
        <v>35.695982998525999</v>
      </c>
      <c r="BH148">
        <f t="shared" si="79"/>
        <v>2454.437924799031</v>
      </c>
      <c r="BI148" s="148">
        <f t="shared" si="96"/>
        <v>6871.6622130335309</v>
      </c>
      <c r="BO148">
        <f t="shared" si="97"/>
        <v>715.77013955072016</v>
      </c>
      <c r="BP148">
        <f t="shared" si="98"/>
        <v>105097.80295360333</v>
      </c>
      <c r="BQ148">
        <f t="shared" si="99"/>
        <v>165650.66135448168</v>
      </c>
      <c r="BR148" s="148">
        <f t="shared" si="100"/>
        <v>248496.10388454745</v>
      </c>
      <c r="BS148" s="156">
        <f t="shared" si="101"/>
        <v>715.77013955072016</v>
      </c>
      <c r="BT148" s="156">
        <f t="shared" si="102"/>
        <v>2454.437924799031</v>
      </c>
      <c r="BU148">
        <f t="shared" si="103"/>
        <v>2003.9335977792755</v>
      </c>
      <c r="BV148">
        <f t="shared" si="104"/>
        <v>2003.9335977792755</v>
      </c>
      <c r="BW148" s="148">
        <f t="shared" si="105"/>
        <v>455.4</v>
      </c>
      <c r="BX148" s="148">
        <f t="shared" si="106"/>
        <v>3129354.9718154697</v>
      </c>
      <c r="BY148" s="148">
        <f t="shared" si="107"/>
        <v>0.25349760011907835</v>
      </c>
      <c r="BZ148">
        <f t="shared" si="90"/>
        <v>35.870821737896954</v>
      </c>
      <c r="CB148">
        <f t="shared" si="108"/>
        <v>1288.1634582285553</v>
      </c>
      <c r="CC148" s="162">
        <f t="shared" si="91"/>
        <v>4257.5251583882791</v>
      </c>
      <c r="CD148">
        <f t="shared" si="116"/>
        <v>82113.502051039992</v>
      </c>
    </row>
    <row r="149" spans="4:82" x14ac:dyDescent="0.2">
      <c r="D149" s="22">
        <f t="shared" si="81"/>
        <v>0</v>
      </c>
      <c r="E149" s="23">
        <v>8.9017032</v>
      </c>
      <c r="F149" s="23">
        <f>IF(K149&lt;6,1,IF(Data!K149&lt;9,2,IF(K149&gt;9,3)))</f>
        <v>3</v>
      </c>
      <c r="G149" s="23">
        <v>985.24318915475783</v>
      </c>
      <c r="H149" s="23">
        <v>218.21666499999998</v>
      </c>
      <c r="I149" s="64">
        <v>45.656289388975118</v>
      </c>
      <c r="J149" s="65">
        <f t="shared" si="82"/>
        <v>1.596148057165784</v>
      </c>
      <c r="K149" s="65">
        <f t="shared" si="83"/>
        <v>18.262515755590048</v>
      </c>
      <c r="L149" s="65">
        <f t="shared" si="84"/>
        <v>0.63845922286631351</v>
      </c>
      <c r="M149">
        <f t="shared" si="85"/>
        <v>17.8034064</v>
      </c>
      <c r="N149">
        <f t="shared" si="86"/>
        <v>0</v>
      </c>
      <c r="O149">
        <f>IF(L149&lt;'Vehicle Data'!F$21,'Vehicle Data'!C$21,IF(L149&gt;'Vehicle Data'!C$21,'Vehicle Data'!C$20))</f>
        <v>0.6</v>
      </c>
      <c r="P149">
        <f>('Vehicle Data'!C$6*9.81*'Vehicle Data'!C$5*SIN(D149))/'Vehicle Data'!C$9</f>
        <v>0</v>
      </c>
      <c r="Q149" s="107">
        <f>'Vehicle Data'!C$6*9.81*SIN(D149)</f>
        <v>0</v>
      </c>
      <c r="R149">
        <f t="shared" si="80"/>
        <v>982.94967330338989</v>
      </c>
      <c r="S149">
        <f>IF(Data!O149=0.6,'Vehicle Data'!E$21,IF(Data!O149 = 0.9,'Vehicle Data'!E$20))+(P149*O149)</f>
        <v>1550.3723999999997</v>
      </c>
      <c r="T149">
        <f>IF(F149=3,'Vehicle Data'!H$16,IF(F149=2,'Vehicle Data'!H$15,IF(F149 = 1,'Vehicle Data'!G$14)))</f>
        <v>466.23005239380637</v>
      </c>
      <c r="U149" s="148">
        <f t="shared" si="87"/>
        <v>266.81119118007382</v>
      </c>
      <c r="V149" s="70" t="s">
        <v>80</v>
      </c>
      <c r="W149" s="103" t="s">
        <v>84</v>
      </c>
      <c r="X149">
        <f>IF(V149="S",'Vehicle Data'!C$14,IF(Data!V149 = "T1",'Vehicle Data'!P$2,IF(Data!V149="T2",'Vehicle Data'!P$3)))</f>
        <v>10.293104487956974</v>
      </c>
      <c r="Z149">
        <f t="shared" si="109"/>
        <v>7.8561898801571486</v>
      </c>
      <c r="AB149" t="b">
        <f>IF(AA149=1,'Vehicle Data'!I$14,IF(AA149=2,'Vehicle Data'!I$15,IF(AA149=3,'Vehicle Data'!I$16)))</f>
        <v>0</v>
      </c>
      <c r="AC149">
        <f>IF(Z149&lt;'Vehicle Data'!C$16,'Vehicle Data'!I$15,IF(Z149&lt;'Vehicle Data'!C$15,'Vehicle Data'!I$15,IF(Z148&gt;'Vehicle Data'!C$15,'Vehicle Data'!I$16)))</f>
        <v>0.98256251041858167</v>
      </c>
      <c r="AD149">
        <f>IF(O149=0.6,'Vehicle Data'!F$21,IF(O149=0.9,'Vehicle Data'!F$20))</f>
        <v>3.5315999999999996</v>
      </c>
      <c r="AE149" s="100">
        <f t="shared" si="88"/>
        <v>0.98256251041858167</v>
      </c>
      <c r="AF149" s="158">
        <f t="shared" si="110"/>
        <v>0.29162283238812298</v>
      </c>
      <c r="AG149" s="148">
        <f t="shared" si="92"/>
        <v>1.0011658810281951</v>
      </c>
      <c r="AH149" s="148">
        <f t="shared" si="111"/>
        <v>36.162444570285075</v>
      </c>
      <c r="AJ149">
        <f>(Z149^2)*'Vehicle Data'!C$31</f>
        <v>22.681996891658226</v>
      </c>
      <c r="AK149">
        <f>IF(O149=0.6,'Vehicle Data'!C$6*'Vehicle Data'!D$21*9.81,IF(O149=0.9,'Vehicle Data'!C$6*9.81*'Vehicle Data'!D$20))</f>
        <v>86.131799999999998</v>
      </c>
      <c r="AL149">
        <f t="shared" si="89"/>
        <v>108.81379689165823</v>
      </c>
      <c r="AN149">
        <f>IF(AG149&gt;0,AG149*'Vehicle Data'!C$6)</f>
        <v>439.5118217713777</v>
      </c>
      <c r="AO149">
        <f t="shared" si="93"/>
        <v>548.32561866303593</v>
      </c>
      <c r="AP149">
        <f>AO149*'Vehicle Data'!F$3</f>
        <v>140.15202813027199</v>
      </c>
      <c r="AQ149">
        <v>4</v>
      </c>
      <c r="AR149">
        <f>IF(Z149&lt;'Vehicle Data'!C$16, Z149*'Vehicle Data'!F$7*'Vehicle Data'!G$14,IF(Z149&lt;'Vehicle Data'!C$15,Z149*'Vehicle Data'!F$7*'Vehicle Data'!G$15,IF(Z149&gt;'Vehicle Data'!C$15,Z149*'Vehicle Data'!F$7*'Vehicle Data'!G$16)))</f>
        <v>101.83949844648156</v>
      </c>
      <c r="AS149">
        <f t="shared" si="112"/>
        <v>6110.3699067888938</v>
      </c>
      <c r="AT149">
        <f t="shared" si="117"/>
        <v>4</v>
      </c>
      <c r="AU149">
        <f t="shared" si="113"/>
        <v>6000</v>
      </c>
      <c r="AW149">
        <f>VLOOKUP(AT149,BSFC!A$64:A$82,1,FALSE)</f>
        <v>4</v>
      </c>
      <c r="AX149" t="e" cm="1">
        <f t="array" ref="AX149">_xlfn.XLOOKUP(AT149,BSFC!A$64:A$82,,-1,_xlfn.XLOOKUP(Data!AU149,BSFC!C$63:Q$63,BSFC!B$64:Q$82,,-1))</f>
        <v>#VALUE!</v>
      </c>
      <c r="AY149">
        <f>HLOOKUP(AU149,BSFC!F$63:Q$63,1)</f>
        <v>6000</v>
      </c>
      <c r="AZ149">
        <f>IF(AT149&gt;0,MATCH(AT149,BSFC!A$64:A$83,0),IF(AT149&lt;=0,0))</f>
        <v>19</v>
      </c>
      <c r="BA149">
        <f>MATCH(AU149,BSFC!C$63:Q$63,0)</f>
        <v>12</v>
      </c>
      <c r="BB149" cm="1">
        <f t="array" ref="BB149">IF(AZ149&gt;0,INDEX(BSFC!C$64:Q$83,Data!AZ149,Data!BA149))</f>
        <v>650</v>
      </c>
      <c r="BC149">
        <f>0.5*'Vehicle Data'!C$6*Data!Z149^2</f>
        <v>13547.478415561847</v>
      </c>
      <c r="BD149">
        <f t="shared" si="94"/>
        <v>2.6406100184998702</v>
      </c>
      <c r="BE149">
        <f t="shared" si="114"/>
        <v>1716.3965120249156</v>
      </c>
      <c r="BF149">
        <f t="shared" si="115"/>
        <v>0.13903900342716691</v>
      </c>
      <c r="BG149">
        <f t="shared" si="95"/>
        <v>35.835022001953163</v>
      </c>
      <c r="BH149">
        <f t="shared" si="79"/>
        <v>2549.1739285727554</v>
      </c>
      <c r="BI149" s="148">
        <f t="shared" si="96"/>
        <v>6871.6622130335309</v>
      </c>
      <c r="BO149">
        <f t="shared" si="97"/>
        <v>718.42997496864575</v>
      </c>
      <c r="BP149">
        <f t="shared" si="98"/>
        <v>105816.23292857198</v>
      </c>
      <c r="BQ149">
        <f t="shared" si="99"/>
        <v>166369.09132945031</v>
      </c>
      <c r="BR149" s="148">
        <f t="shared" si="100"/>
        <v>250432.73443625984</v>
      </c>
      <c r="BS149" s="156">
        <f t="shared" si="101"/>
        <v>718.42997496864575</v>
      </c>
      <c r="BT149" s="156">
        <f t="shared" si="102"/>
        <v>2549.1739285727554</v>
      </c>
      <c r="BU149">
        <f t="shared" si="103"/>
        <v>1936.6305517123794</v>
      </c>
      <c r="BV149">
        <f t="shared" si="104"/>
        <v>1936.6305517123794</v>
      </c>
      <c r="BW149" s="148">
        <f t="shared" si="105"/>
        <v>455.4</v>
      </c>
      <c r="BX149" s="148">
        <f t="shared" si="106"/>
        <v>3129354.9718154697</v>
      </c>
      <c r="BY149" s="148">
        <f t="shared" si="107"/>
        <v>0.24498376479161596</v>
      </c>
      <c r="BZ149">
        <f t="shared" si="90"/>
        <v>36.162444570285075</v>
      </c>
      <c r="CB149">
        <f t="shared" si="108"/>
        <v>1218.2005767437336</v>
      </c>
      <c r="CC149" s="162">
        <f t="shared" si="91"/>
        <v>4177.3154960734628</v>
      </c>
      <c r="CD149">
        <f t="shared" si="116"/>
        <v>83331.702627783729</v>
      </c>
    </row>
    <row r="150" spans="4:82" x14ac:dyDescent="0.2">
      <c r="D150" s="22">
        <f t="shared" si="81"/>
        <v>0</v>
      </c>
      <c r="E150" s="23">
        <v>8.9017032</v>
      </c>
      <c r="F150" s="23">
        <f>IF(K150&lt;6,1,IF(Data!K150&lt;9,2,IF(K150&gt;9,3)))</f>
        <v>3</v>
      </c>
      <c r="G150" s="23">
        <v>987.53908821559901</v>
      </c>
      <c r="H150" s="23">
        <v>218.26666499999999</v>
      </c>
      <c r="I150" s="64">
        <v>45.736096791833425</v>
      </c>
      <c r="J150" s="65">
        <f t="shared" si="82"/>
        <v>1.7323319036343645</v>
      </c>
      <c r="K150" s="65">
        <f t="shared" si="83"/>
        <v>18.294438716733371</v>
      </c>
      <c r="L150" s="65">
        <f t="shared" si="84"/>
        <v>0.69293276145371741</v>
      </c>
      <c r="M150">
        <f t="shared" si="85"/>
        <v>17.8034064</v>
      </c>
      <c r="N150">
        <v>0</v>
      </c>
      <c r="O150">
        <f>IF(L150&lt;'Vehicle Data'!F$21,'Vehicle Data'!C$21,IF(L150&gt;'Vehicle Data'!C$21,'Vehicle Data'!C$20))</f>
        <v>0.6</v>
      </c>
      <c r="P150">
        <f>('Vehicle Data'!C$6*9.81*'Vehicle Data'!C$5*SIN(D150))/'Vehicle Data'!C$9</f>
        <v>0</v>
      </c>
      <c r="Q150" s="107">
        <f>'Vehicle Data'!C$6*9.81*SIN(D150)</f>
        <v>0</v>
      </c>
      <c r="R150">
        <f t="shared" si="80"/>
        <v>985.24318915475783</v>
      </c>
      <c r="S150">
        <f>IF(Data!O150=0.6,'Vehicle Data'!E$21,IF(Data!O150 = 0.9,'Vehicle Data'!E$20))+(P150*O150)</f>
        <v>1550.3723999999997</v>
      </c>
      <c r="T150">
        <f>IF(F150=3,'Vehicle Data'!H$16,IF(F150=2,'Vehicle Data'!H$15,IF(F150 = 1,'Vehicle Data'!G$14)))</f>
        <v>466.23005239380637</v>
      </c>
      <c r="U150" s="148">
        <f t="shared" si="87"/>
        <v>269.10470703144176</v>
      </c>
      <c r="V150" s="70" t="s">
        <v>80</v>
      </c>
      <c r="W150" s="103" t="s">
        <v>84</v>
      </c>
      <c r="X150">
        <f>IF(V150="S",'Vehicle Data'!C$14,IF(Data!V150 = "T1",'Vehicle Data'!P$2,IF(Data!V150="T2",'Vehicle Data'!P$3)))</f>
        <v>10.293104487956974</v>
      </c>
      <c r="Z150">
        <f t="shared" si="109"/>
        <v>8.1379828470139568</v>
      </c>
      <c r="AB150" t="b">
        <f>IF(AA150=1,'Vehicle Data'!I$14,IF(AA150=2,'Vehicle Data'!I$15,IF(AA150=3,'Vehicle Data'!I$16)))</f>
        <v>0</v>
      </c>
      <c r="AC150">
        <f>IF(Z150&lt;'Vehicle Data'!C$16,'Vehicle Data'!I$15,IF(Z150&lt;'Vehicle Data'!C$15,'Vehicle Data'!I$15,IF(Z149&gt;'Vehicle Data'!C$15,'Vehicle Data'!I$16)))</f>
        <v>0.98256251041858167</v>
      </c>
      <c r="AD150">
        <f>IF(O150=0.6,'Vehicle Data'!F$21,IF(O150=0.9,'Vehicle Data'!F$20))</f>
        <v>3.5315999999999996</v>
      </c>
      <c r="AE150" s="100">
        <f t="shared" si="88"/>
        <v>0.98256251041858167</v>
      </c>
      <c r="AF150" s="158">
        <f t="shared" si="110"/>
        <v>0.2818285433237912</v>
      </c>
      <c r="AG150" s="148">
        <f t="shared" si="92"/>
        <v>0.99987376556482388</v>
      </c>
      <c r="AH150" s="148">
        <f t="shared" si="111"/>
        <v>36.444273113608865</v>
      </c>
      <c r="AJ150">
        <f>(Z150^2)*'Vehicle Data'!C$31</f>
        <v>24.338336070722828</v>
      </c>
      <c r="AK150">
        <f>IF(O150=0.6,'Vehicle Data'!C$6*'Vehicle Data'!D$21*9.81,IF(O150=0.9,'Vehicle Data'!C$6*9.81*'Vehicle Data'!D$20))</f>
        <v>86.131799999999998</v>
      </c>
      <c r="AL150">
        <f t="shared" si="89"/>
        <v>110.47013607072283</v>
      </c>
      <c r="AN150">
        <f>IF(AG150&gt;0,AG150*'Vehicle Data'!C$6)</f>
        <v>438.94458308295771</v>
      </c>
      <c r="AO150">
        <f t="shared" si="93"/>
        <v>549.41471915368049</v>
      </c>
      <c r="AP150">
        <f>AO150*'Vehicle Data'!F$3</f>
        <v>140.43040221568074</v>
      </c>
      <c r="AQ150">
        <v>4</v>
      </c>
      <c r="AR150">
        <f>IF(Z150&lt;'Vehicle Data'!C$16, Z150*'Vehicle Data'!F$7*'Vehicle Data'!G$14,IF(Z150&lt;'Vehicle Data'!C$15,Z150*'Vehicle Data'!F$7*'Vehicle Data'!G$15,IF(Z150&gt;'Vehicle Data'!C$15,Z150*'Vehicle Data'!F$7*'Vehicle Data'!G$16)))</f>
        <v>105.49237023906981</v>
      </c>
      <c r="AS150">
        <f t="shared" si="112"/>
        <v>6329.5422143441892</v>
      </c>
      <c r="AT150">
        <f t="shared" si="117"/>
        <v>4</v>
      </c>
      <c r="AU150">
        <f t="shared" si="113"/>
        <v>6500</v>
      </c>
      <c r="AW150">
        <f>VLOOKUP(AT150,BSFC!A$64:A$82,1,FALSE)</f>
        <v>4</v>
      </c>
      <c r="AX150" t="e" cm="1">
        <f t="array" ref="AX150">_xlfn.XLOOKUP(AT150,BSFC!A$64:A$82,,-1,_xlfn.XLOOKUP(Data!AU150,BSFC!C$63:Q$63,BSFC!B$64:Q$82,,-1))</f>
        <v>#VALUE!</v>
      </c>
      <c r="AY150">
        <f>HLOOKUP(AU150,BSFC!F$63:Q$63,1)</f>
        <v>6500</v>
      </c>
      <c r="AZ150">
        <f>IF(AT150&gt;0,MATCH(AT150,BSFC!A$64:A$83,0),IF(AT150&lt;=0,0))</f>
        <v>19</v>
      </c>
      <c r="BA150">
        <f>MATCH(AU150,BSFC!C$63:Q$63,0)</f>
        <v>13</v>
      </c>
      <c r="BB150" cm="1">
        <f t="array" ref="BB150">IF(AZ150&gt;0,INDEX(BSFC!C$64:Q$83,Data!AZ150,Data!BA150))</f>
        <v>650</v>
      </c>
      <c r="BC150">
        <f>0.5*'Vehicle Data'!C$6*Data!Z150^2</f>
        <v>14536.774877615399</v>
      </c>
      <c r="BD150">
        <f t="shared" si="94"/>
        <v>2.7290745524538318</v>
      </c>
      <c r="BE150">
        <f t="shared" si="114"/>
        <v>1773.8984590949906</v>
      </c>
      <c r="BF150">
        <f t="shared" si="115"/>
        <v>0.13887089409196082</v>
      </c>
      <c r="BG150">
        <f t="shared" si="95"/>
        <v>35.973892896045122</v>
      </c>
      <c r="BH150">
        <f t="shared" si="79"/>
        <v>2640.6100184998704</v>
      </c>
      <c r="BI150" s="148">
        <f t="shared" si="96"/>
        <v>6871.6622130335309</v>
      </c>
      <c r="BO150">
        <f t="shared" si="97"/>
        <v>720.82385997505105</v>
      </c>
      <c r="BP150">
        <f t="shared" si="98"/>
        <v>106537.05678854702</v>
      </c>
      <c r="BQ150">
        <f t="shared" si="99"/>
        <v>167089.91518942537</v>
      </c>
      <c r="BR150" s="148">
        <f t="shared" si="100"/>
        <v>252308.53512100369</v>
      </c>
      <c r="BS150" s="156">
        <f t="shared" si="101"/>
        <v>720.82385997505105</v>
      </c>
      <c r="BT150" s="156">
        <f t="shared" si="102"/>
        <v>2640.6100184998704</v>
      </c>
      <c r="BU150">
        <f t="shared" si="103"/>
        <v>1875.8006847438514</v>
      </c>
      <c r="BV150">
        <f t="shared" si="104"/>
        <v>1875.8006847438514</v>
      </c>
      <c r="BW150" s="148">
        <f t="shared" si="105"/>
        <v>455.4</v>
      </c>
      <c r="BX150" s="148">
        <f t="shared" si="106"/>
        <v>3129354.9718154697</v>
      </c>
      <c r="BY150" s="148">
        <f t="shared" si="107"/>
        <v>0.23728878662009717</v>
      </c>
      <c r="BZ150">
        <f t="shared" si="90"/>
        <v>36.444273113608865</v>
      </c>
      <c r="CB150">
        <f t="shared" si="108"/>
        <v>1154.9768247688003</v>
      </c>
      <c r="CC150" s="162">
        <f t="shared" si="91"/>
        <v>4098.1541867526794</v>
      </c>
      <c r="CD150">
        <f t="shared" si="116"/>
        <v>84486.679452552533</v>
      </c>
    </row>
    <row r="151" spans="4:82" x14ac:dyDescent="0.2">
      <c r="D151" s="22">
        <f t="shared" si="81"/>
        <v>0</v>
      </c>
      <c r="E151" s="23">
        <v>8.8859010845241126</v>
      </c>
      <c r="F151" s="23">
        <f>IF(K151&lt;6,1,IF(Data!K151&lt;9,2,IF(K151&gt;9,3)))</f>
        <v>3</v>
      </c>
      <c r="G151" s="23">
        <v>989.8378252021248</v>
      </c>
      <c r="H151" s="23">
        <v>218.316665</v>
      </c>
      <c r="I151" s="64">
        <v>45.822713387015163</v>
      </c>
      <c r="J151" s="65">
        <f t="shared" si="82"/>
        <v>1.8219960342996975</v>
      </c>
      <c r="K151" s="65">
        <f t="shared" si="83"/>
        <v>18.329085354806065</v>
      </c>
      <c r="L151" s="65">
        <f t="shared" si="84"/>
        <v>0.72879841371989318</v>
      </c>
      <c r="M151">
        <f t="shared" si="85"/>
        <v>17.771802169048225</v>
      </c>
      <c r="N151">
        <v>0</v>
      </c>
      <c r="O151">
        <f>IF(L151&lt;'Vehicle Data'!F$21,'Vehicle Data'!C$21,IF(L151&gt;'Vehicle Data'!C$21,'Vehicle Data'!C$20))</f>
        <v>0.6</v>
      </c>
      <c r="P151">
        <f>('Vehicle Data'!C$6*9.81*'Vehicle Data'!C$5*SIN(D151))/'Vehicle Data'!C$9</f>
        <v>0</v>
      </c>
      <c r="Q151" s="107">
        <f>'Vehicle Data'!C$6*9.81*SIN(D151)</f>
        <v>0</v>
      </c>
      <c r="R151">
        <f t="shared" si="80"/>
        <v>987.53908821559901</v>
      </c>
      <c r="S151">
        <f>IF(Data!O151=0.6,'Vehicle Data'!E$21,IF(Data!O151 = 0.9,'Vehicle Data'!E$20))+(P151*O151)</f>
        <v>1550.3723999999997</v>
      </c>
      <c r="T151">
        <f>IF(F151=3,'Vehicle Data'!H$16,IF(F151=2,'Vehicle Data'!H$15,IF(F151 = 1,'Vehicle Data'!G$14)))</f>
        <v>466.23005239380637</v>
      </c>
      <c r="U151" s="148">
        <f t="shared" si="87"/>
        <v>271.40060609228294</v>
      </c>
      <c r="V151" s="70" t="s">
        <v>80</v>
      </c>
      <c r="W151" s="103" t="s">
        <v>84</v>
      </c>
      <c r="X151">
        <f>IF(V151="S",'Vehicle Data'!C$14,IF(Data!V151 = "T1",'Vehicle Data'!P$2,IF(Data!V151="T2",'Vehicle Data'!P$3)))</f>
        <v>10.293104487956974</v>
      </c>
      <c r="Z151">
        <f>SQRT(Z150^2+2*AE150*(U151-U150))</f>
        <v>8.4106179028695003</v>
      </c>
      <c r="AB151" t="b">
        <f>IF(AA151=1,'Vehicle Data'!I$14,IF(AA151=2,'Vehicle Data'!I$15,IF(AA151=3,'Vehicle Data'!I$16)))</f>
        <v>0</v>
      </c>
      <c r="AC151">
        <f>IF(Z151&lt;'Vehicle Data'!C$16,'Vehicle Data'!I$15,IF(Z151&lt;'Vehicle Data'!C$15,'Vehicle Data'!I$15,IF(Z150&gt;'Vehicle Data'!C$15,'Vehicle Data'!I$16)))</f>
        <v>0.98256251041858167</v>
      </c>
      <c r="AD151">
        <f>IF(O151=0.6,'Vehicle Data'!F$21,IF(O151=0.9,'Vehicle Data'!F$20))</f>
        <v>3.5315999999999996</v>
      </c>
      <c r="AE151" s="100">
        <f t="shared" si="88"/>
        <v>0.98256251041858167</v>
      </c>
      <c r="AF151" s="158">
        <f t="shared" si="110"/>
        <v>0.27297626492553823</v>
      </c>
      <c r="AG151" s="148">
        <f t="shared" si="92"/>
        <v>0.99875004125326494</v>
      </c>
      <c r="AH151" s="148">
        <f t="shared" si="111"/>
        <v>36.717249378534405</v>
      </c>
      <c r="AJ151">
        <f>(Z151^2)*'Vehicle Data'!C$31</f>
        <v>25.99639636421535</v>
      </c>
      <c r="AK151">
        <f>IF(O151=0.6,'Vehicle Data'!C$6*'Vehicle Data'!D$21*9.81,IF(O151=0.9,'Vehicle Data'!C$6*9.81*'Vehicle Data'!D$20))</f>
        <v>86.131799999999998</v>
      </c>
      <c r="AL151">
        <f t="shared" si="89"/>
        <v>112.12819636421534</v>
      </c>
      <c r="AN151">
        <f>IF(AG151&gt;0,AG151*'Vehicle Data'!C$6)</f>
        <v>438.45126811018332</v>
      </c>
      <c r="AO151">
        <f t="shared" si="93"/>
        <v>550.57946447439872</v>
      </c>
      <c r="AP151">
        <f>AO151*'Vehicle Data'!F$3</f>
        <v>140.72811111965632</v>
      </c>
      <c r="AQ151">
        <v>4</v>
      </c>
      <c r="AR151">
        <f>IF(Z151&lt;'Vehicle Data'!C$16, Z151*'Vehicle Data'!F$7*'Vehicle Data'!G$14,IF(Z151&lt;'Vehicle Data'!C$15,Z151*'Vehicle Data'!F$7*'Vehicle Data'!G$15,IF(Z151&gt;'Vehicle Data'!C$15,Z151*'Vehicle Data'!F$7*'Vehicle Data'!G$16)))</f>
        <v>109.02652837053057</v>
      </c>
      <c r="AS151">
        <f t="shared" si="112"/>
        <v>6541.5917022318345</v>
      </c>
      <c r="AT151">
        <f t="shared" si="117"/>
        <v>4</v>
      </c>
      <c r="AU151">
        <f t="shared" si="113"/>
        <v>6500</v>
      </c>
      <c r="AW151">
        <f>VLOOKUP(AT151,BSFC!A$64:A$82,1,FALSE)</f>
        <v>4</v>
      </c>
      <c r="AX151" t="e" cm="1">
        <f t="array" ref="AX151">_xlfn.XLOOKUP(AT151,BSFC!A$64:A$82,,-1,_xlfn.XLOOKUP(Data!AU151,BSFC!C$63:Q$63,BSFC!B$64:Q$82,,-1))</f>
        <v>#VALUE!</v>
      </c>
      <c r="AY151">
        <f>HLOOKUP(AU151,BSFC!F$63:Q$63,1)</f>
        <v>6500</v>
      </c>
      <c r="AZ151">
        <f>IF(AT151&gt;0,MATCH(AT151,BSFC!A$64:A$83,0),IF(AT151&lt;=0,0))</f>
        <v>19</v>
      </c>
      <c r="BA151">
        <f>MATCH(AU151,BSFC!C$63:Q$63,0)</f>
        <v>13</v>
      </c>
      <c r="BB151" cm="1">
        <f t="array" ref="BB151">IF(AZ151&gt;0,INDEX(BSFC!C$64:Q$83,Data!AZ151,Data!BA151))</f>
        <v>650</v>
      </c>
      <c r="BC151">
        <f>0.5*'Vehicle Data'!C$6*Data!Z151^2</f>
        <v>15527.099325021136</v>
      </c>
      <c r="BD151">
        <f t="shared" si="94"/>
        <v>2.8148644246326104</v>
      </c>
      <c r="BE151">
        <f t="shared" si="114"/>
        <v>1829.6618760111967</v>
      </c>
      <c r="BF151">
        <f t="shared" si="115"/>
        <v>0.13873729583060826</v>
      </c>
      <c r="BG151">
        <f t="shared" si="95"/>
        <v>36.112630191875731</v>
      </c>
      <c r="BH151">
        <f t="shared" si="79"/>
        <v>2729.074552453832</v>
      </c>
      <c r="BI151" s="148">
        <f t="shared" si="96"/>
        <v>6871.6622130335309</v>
      </c>
      <c r="BO151">
        <f t="shared" si="97"/>
        <v>723.1605022567627</v>
      </c>
      <c r="BP151">
        <f t="shared" si="98"/>
        <v>107260.21729080379</v>
      </c>
      <c r="BQ151">
        <f t="shared" si="99"/>
        <v>167813.07569168214</v>
      </c>
      <c r="BR151" s="148">
        <f t="shared" si="100"/>
        <v>254129.41417791622</v>
      </c>
      <c r="BS151" s="156">
        <f t="shared" si="101"/>
        <v>723.1605022567627</v>
      </c>
      <c r="BT151" s="156">
        <f t="shared" si="102"/>
        <v>2729.074552453832</v>
      </c>
      <c r="BU151">
        <f t="shared" si="103"/>
        <v>1820.8790569125399</v>
      </c>
      <c r="BV151">
        <f t="shared" si="104"/>
        <v>1820.8790569125399</v>
      </c>
      <c r="BW151" s="148">
        <f t="shared" si="105"/>
        <v>455.4</v>
      </c>
      <c r="BX151" s="148">
        <f t="shared" si="106"/>
        <v>3129354.9718154697</v>
      </c>
      <c r="BY151" s="148">
        <f t="shared" si="107"/>
        <v>0.23034120069943628</v>
      </c>
      <c r="BZ151">
        <f t="shared" si="90"/>
        <v>36.717249378534405</v>
      </c>
      <c r="CB151">
        <f t="shared" si="108"/>
        <v>1097.7185546557771</v>
      </c>
      <c r="CC151" s="162">
        <f t="shared" si="91"/>
        <v>4021.2967048809396</v>
      </c>
      <c r="CD151">
        <f t="shared" si="116"/>
        <v>85584.398007208307</v>
      </c>
    </row>
    <row r="152" spans="4:82" x14ac:dyDescent="0.2">
      <c r="D152" s="22">
        <f t="shared" si="81"/>
        <v>0</v>
      </c>
      <c r="E152" s="23">
        <v>8.8017047999999996</v>
      </c>
      <c r="F152" s="23">
        <f>IF(K152&lt;6,1,IF(Data!K152&lt;9,2,IF(K152&gt;9,3)))</f>
        <v>3</v>
      </c>
      <c r="G152" s="23">
        <v>992.13969483054393</v>
      </c>
      <c r="H152" s="23">
        <v>218.36666499999998</v>
      </c>
      <c r="I152" s="64">
        <v>45.913813188730117</v>
      </c>
      <c r="J152" s="65">
        <f t="shared" si="82"/>
        <v>1.6297326908936884</v>
      </c>
      <c r="K152" s="65">
        <f t="shared" si="83"/>
        <v>18.365525275492047</v>
      </c>
      <c r="L152" s="65">
        <f t="shared" si="84"/>
        <v>0.6518930763574754</v>
      </c>
      <c r="M152">
        <f t="shared" si="85"/>
        <v>17.603409599999999</v>
      </c>
      <c r="N152">
        <f t="shared" si="86"/>
        <v>0</v>
      </c>
      <c r="O152">
        <f>IF(L152&lt;'Vehicle Data'!F$21,'Vehicle Data'!C$21,IF(L152&gt;'Vehicle Data'!C$21,'Vehicle Data'!C$20))</f>
        <v>0.6</v>
      </c>
      <c r="P152">
        <f>('Vehicle Data'!C$6*9.81*'Vehicle Data'!C$5*SIN(D152))/'Vehicle Data'!C$9</f>
        <v>0</v>
      </c>
      <c r="Q152" s="107">
        <f>'Vehicle Data'!C$6*9.81*SIN(D152)</f>
        <v>0</v>
      </c>
      <c r="R152">
        <f t="shared" si="80"/>
        <v>989.8378252021248</v>
      </c>
      <c r="S152">
        <f>IF(Data!O152=0.6,'Vehicle Data'!E$21,IF(Data!O152 = 0.9,'Vehicle Data'!E$20))+(P152*O152)</f>
        <v>1550.3723999999997</v>
      </c>
      <c r="T152">
        <f>IF(F152=3,'Vehicle Data'!H$16,IF(F152=2,'Vehicle Data'!H$15,IF(F152 = 1,'Vehicle Data'!G$14)))</f>
        <v>466.23005239380637</v>
      </c>
      <c r="U152" s="148">
        <f t="shared" si="87"/>
        <v>273.69934307880874</v>
      </c>
      <c r="V152" s="70" t="s">
        <v>80</v>
      </c>
      <c r="W152" s="103" t="s">
        <v>84</v>
      </c>
      <c r="X152">
        <f>IF(V152="S",'Vehicle Data'!C$14,IF(Data!V152 = "T1",'Vehicle Data'!P$2,IF(Data!V152="T2",'Vehicle Data'!P$3)))</f>
        <v>10.293104487956974</v>
      </c>
      <c r="Z152">
        <f t="shared" si="109"/>
        <v>8.675010033228471</v>
      </c>
      <c r="AB152" t="b">
        <f>IF(AA152=1,'Vehicle Data'!I$14,IF(AA152=2,'Vehicle Data'!I$15,IF(AA152=3,'Vehicle Data'!I$16)))</f>
        <v>0</v>
      </c>
      <c r="AC152">
        <f>IF(Z152&lt;'Vehicle Data'!C$16,'Vehicle Data'!I$15,IF(Z152&lt;'Vehicle Data'!C$15,'Vehicle Data'!I$15,IF(Z151&gt;'Vehicle Data'!C$15,'Vehicle Data'!I$16)))</f>
        <v>0.98256251041858167</v>
      </c>
      <c r="AD152">
        <f>IF(O152=0.6,'Vehicle Data'!F$21,IF(O152=0.9,'Vehicle Data'!F$20))</f>
        <v>3.5315999999999996</v>
      </c>
      <c r="AE152" s="100">
        <f t="shared" si="88"/>
        <v>0.98256251041858167</v>
      </c>
      <c r="AF152" s="158">
        <f t="shared" si="110"/>
        <v>0.26498378419399976</v>
      </c>
      <c r="AG152" s="148">
        <f t="shared" si="92"/>
        <v>0.99776720739033631</v>
      </c>
      <c r="AH152" s="148">
        <f t="shared" si="111"/>
        <v>36.982233162728406</v>
      </c>
      <c r="AJ152">
        <f>(Z152^2)*'Vehicle Data'!C$31</f>
        <v>27.656506160655887</v>
      </c>
      <c r="AK152">
        <f>IF(O152=0.6,'Vehicle Data'!C$6*'Vehicle Data'!D$21*9.81,IF(O152=0.9,'Vehicle Data'!C$6*9.81*'Vehicle Data'!D$20))</f>
        <v>86.131799999999998</v>
      </c>
      <c r="AL152">
        <f t="shared" si="89"/>
        <v>113.78830616065588</v>
      </c>
      <c r="AN152">
        <f>IF(AG152&gt;0,AG152*'Vehicle Data'!C$6)</f>
        <v>438.01980404435761</v>
      </c>
      <c r="AO152">
        <f t="shared" si="93"/>
        <v>551.80811020501346</v>
      </c>
      <c r="AP152">
        <f>AO152*'Vehicle Data'!F$3</f>
        <v>141.04215296840144</v>
      </c>
      <c r="AQ152">
        <v>4</v>
      </c>
      <c r="AR152">
        <f>IF(Z152&lt;'Vehicle Data'!C$16, Z152*'Vehicle Data'!F$7*'Vehicle Data'!G$14,IF(Z152&lt;'Vehicle Data'!C$15,Z152*'Vehicle Data'!F$7*'Vehicle Data'!G$15,IF(Z152&gt;'Vehicle Data'!C$15,Z152*'Vehicle Data'!F$7*'Vehicle Data'!G$16)))</f>
        <v>112.45383376407278</v>
      </c>
      <c r="AS152">
        <f t="shared" si="112"/>
        <v>6747.2300258443665</v>
      </c>
      <c r="AT152">
        <f t="shared" si="117"/>
        <v>4</v>
      </c>
      <c r="AU152">
        <f t="shared" si="113"/>
        <v>6500</v>
      </c>
      <c r="AW152">
        <f>VLOOKUP(AT152,BSFC!A$64:A$82,1,FALSE)</f>
        <v>4</v>
      </c>
      <c r="AX152" t="e" cm="1">
        <f t="array" ref="AX152">_xlfn.XLOOKUP(AT152,BSFC!A$64:A$82,,-1,_xlfn.XLOOKUP(Data!AU152,BSFC!C$63:Q$63,BSFC!B$64:Q$82,,-1))</f>
        <v>#VALUE!</v>
      </c>
      <c r="AY152">
        <f>HLOOKUP(AU152,BSFC!F$63:Q$63,1)</f>
        <v>6500</v>
      </c>
      <c r="AZ152">
        <f>IF(AT152&gt;0,MATCH(AT152,BSFC!A$64:A$83,0),IF(AT152&lt;=0,0))</f>
        <v>19</v>
      </c>
      <c r="BA152">
        <f>MATCH(AU152,BSFC!C$63:Q$63,0)</f>
        <v>13</v>
      </c>
      <c r="BB152" cm="1">
        <f t="array" ref="BB152">IF(AZ152&gt;0,INDEX(BSFC!C$64:Q$83,Data!AZ152,Data!BA152))</f>
        <v>650</v>
      </c>
      <c r="BC152">
        <f>0.5*'Vehicle Data'!C$6*Data!Z152^2</f>
        <v>16518.647897316914</v>
      </c>
      <c r="BD152">
        <f t="shared" si="94"/>
        <v>2.898227681856143</v>
      </c>
      <c r="BE152">
        <f t="shared" si="114"/>
        <v>1883.8479932064929</v>
      </c>
      <c r="BF152">
        <f t="shared" si="115"/>
        <v>0.138663658357258</v>
      </c>
      <c r="BG152">
        <f t="shared" si="95"/>
        <v>36.25129385023299</v>
      </c>
      <c r="BH152">
        <f t="shared" ref="BH152:BH215" si="118">AQ152*(AS152/9.588)</f>
        <v>2814.8644246326103</v>
      </c>
      <c r="BI152" s="148">
        <f t="shared" si="96"/>
        <v>6871.6622130335309</v>
      </c>
      <c r="BO152">
        <f t="shared" si="97"/>
        <v>725.4261407925402</v>
      </c>
      <c r="BP152">
        <f t="shared" si="98"/>
        <v>107985.64343159633</v>
      </c>
      <c r="BQ152">
        <f t="shared" si="99"/>
        <v>168538.50183247469</v>
      </c>
      <c r="BR152" s="148">
        <f t="shared" si="100"/>
        <v>255900.32838479901</v>
      </c>
      <c r="BS152" s="156">
        <f t="shared" si="101"/>
        <v>725.4261407925402</v>
      </c>
      <c r="BT152" s="156">
        <f t="shared" si="102"/>
        <v>2814.8644246326103</v>
      </c>
      <c r="BU152">
        <f t="shared" si="103"/>
        <v>1770.91420688279</v>
      </c>
      <c r="BV152">
        <f t="shared" si="104"/>
        <v>1770.91420688279</v>
      </c>
      <c r="BW152" s="148">
        <f t="shared" si="105"/>
        <v>455.4</v>
      </c>
      <c r="BX152" s="148">
        <f t="shared" si="106"/>
        <v>3129354.9718154697</v>
      </c>
      <c r="BY152" s="148">
        <f t="shared" si="107"/>
        <v>0.22402064717067291</v>
      </c>
      <c r="BZ152">
        <f t="shared" si="90"/>
        <v>36.982233162728406</v>
      </c>
      <c r="CB152">
        <f t="shared" si="108"/>
        <v>1045.48806609025</v>
      </c>
      <c r="CC152" s="162">
        <f t="shared" si="91"/>
        <v>3945.47941592087</v>
      </c>
      <c r="CD152">
        <f t="shared" si="116"/>
        <v>86629.886073298563</v>
      </c>
    </row>
    <row r="153" spans="4:82" x14ac:dyDescent="0.2">
      <c r="D153" s="22">
        <f t="shared" si="81"/>
        <v>0</v>
      </c>
      <c r="E153" s="23">
        <v>8.8017047999999996</v>
      </c>
      <c r="F153" s="23">
        <f>IF(K153&lt;6,1,IF(Data!K153&lt;9,2,IF(K153&gt;9,3)))</f>
        <v>3</v>
      </c>
      <c r="G153" s="23">
        <v>994.44472653327966</v>
      </c>
      <c r="H153" s="23">
        <v>218.41666499999999</v>
      </c>
      <c r="I153" s="64">
        <v>45.99529982327482</v>
      </c>
      <c r="J153" s="65">
        <f t="shared" si="82"/>
        <v>1.5734053997556112</v>
      </c>
      <c r="K153" s="65">
        <f t="shared" si="83"/>
        <v>18.398119929309928</v>
      </c>
      <c r="L153" s="65">
        <f t="shared" si="84"/>
        <v>0.62936215990227284</v>
      </c>
      <c r="M153">
        <f t="shared" si="85"/>
        <v>17.603409599999999</v>
      </c>
      <c r="N153">
        <f t="shared" si="86"/>
        <v>0</v>
      </c>
      <c r="O153">
        <f>IF(L153&lt;'Vehicle Data'!F$21,'Vehicle Data'!C$21,IF(L153&gt;'Vehicle Data'!C$21,'Vehicle Data'!C$20))</f>
        <v>0.6</v>
      </c>
      <c r="P153">
        <f>('Vehicle Data'!C$6*9.81*'Vehicle Data'!C$5*SIN(D153))/'Vehicle Data'!C$9</f>
        <v>0</v>
      </c>
      <c r="Q153" s="107">
        <f>'Vehicle Data'!C$6*9.81*SIN(D153)</f>
        <v>0</v>
      </c>
      <c r="R153">
        <f t="shared" si="80"/>
        <v>992.13969483054393</v>
      </c>
      <c r="S153">
        <f>IF(Data!O153=0.6,'Vehicle Data'!E$21,IF(Data!O153 = 0.9,'Vehicle Data'!E$20))+(P153*O153)</f>
        <v>1550.3723999999997</v>
      </c>
      <c r="T153">
        <f>IF(F153=3,'Vehicle Data'!H$16,IF(F153=2,'Vehicle Data'!H$15,IF(F153 = 1,'Vehicle Data'!G$14)))</f>
        <v>466.23005239380637</v>
      </c>
      <c r="U153" s="148">
        <f t="shared" si="87"/>
        <v>276.00121270722786</v>
      </c>
      <c r="V153" s="70" t="s">
        <v>80</v>
      </c>
      <c r="W153" s="103" t="s">
        <v>84</v>
      </c>
      <c r="X153">
        <f>IF(V153="S",'Vehicle Data'!C$14,IF(Data!V153 = "T1",'Vehicle Data'!P$2,IF(Data!V153="T2",'Vehicle Data'!P$3)))</f>
        <v>10.293104487956974</v>
      </c>
      <c r="Z153">
        <f t="shared" si="109"/>
        <v>8.9319236829546522</v>
      </c>
      <c r="AB153" t="b">
        <f>IF(AA153=1,'Vehicle Data'!I$14,IF(AA153=2,'Vehicle Data'!I$15,IF(AA153=3,'Vehicle Data'!I$16)))</f>
        <v>0</v>
      </c>
      <c r="AC153">
        <f>IF(Z153&lt;'Vehicle Data'!C$16,'Vehicle Data'!I$15,IF(Z153&lt;'Vehicle Data'!C$15,'Vehicle Data'!I$15,IF(Z152&gt;'Vehicle Data'!C$15,'Vehicle Data'!I$16)))</f>
        <v>0.98256251041858167</v>
      </c>
      <c r="AD153">
        <f>IF(O153=0.6,'Vehicle Data'!F$21,IF(O153=0.9,'Vehicle Data'!F$20))</f>
        <v>3.5315999999999996</v>
      </c>
      <c r="AE153" s="100">
        <f t="shared" si="88"/>
        <v>0.98256251041858167</v>
      </c>
      <c r="AF153" s="158">
        <f t="shared" si="110"/>
        <v>0.25771263953048862</v>
      </c>
      <c r="AG153" s="148">
        <f t="shared" si="92"/>
        <v>0.99689968716411037</v>
      </c>
      <c r="AH153" s="148">
        <f t="shared" si="111"/>
        <v>37.239945802258895</v>
      </c>
      <c r="AJ153">
        <f>(Z153^2)*'Vehicle Data'!C$31</f>
        <v>29.318878299211384</v>
      </c>
      <c r="AK153">
        <f>IF(O153=0.6,'Vehicle Data'!C$6*'Vehicle Data'!D$21*9.81,IF(O153=0.9,'Vehicle Data'!C$6*9.81*'Vehicle Data'!D$20))</f>
        <v>86.131799999999998</v>
      </c>
      <c r="AL153">
        <f t="shared" si="89"/>
        <v>115.45067829921138</v>
      </c>
      <c r="AN153">
        <f>IF(AG153&gt;0,AG153*'Vehicle Data'!C$6)</f>
        <v>437.63896266504446</v>
      </c>
      <c r="AO153">
        <f t="shared" si="93"/>
        <v>553.08964096425586</v>
      </c>
      <c r="AP153">
        <f>AO153*'Vehicle Data'!F$3</f>
        <v>141.36971223046379</v>
      </c>
      <c r="AQ153">
        <v>4</v>
      </c>
      <c r="AR153">
        <f>IF(Z153&lt;'Vehicle Data'!C$16, Z153*'Vehicle Data'!F$7*'Vehicle Data'!G$14,IF(Z153&lt;'Vehicle Data'!C$15,Z153*'Vehicle Data'!F$7*'Vehicle Data'!G$15,IF(Z153&gt;'Vehicle Data'!C$15,Z153*'Vehicle Data'!F$7*'Vehicle Data'!G$16)))</f>
        <v>115.7841958901529</v>
      </c>
      <c r="AS153">
        <f t="shared" si="112"/>
        <v>6947.0517534091741</v>
      </c>
      <c r="AT153">
        <f t="shared" si="117"/>
        <v>4</v>
      </c>
      <c r="AU153">
        <f t="shared" si="113"/>
        <v>7000</v>
      </c>
      <c r="AW153">
        <f>VLOOKUP(AT153,BSFC!A$64:A$82,1,FALSE)</f>
        <v>4</v>
      </c>
      <c r="AX153" t="e" cm="1">
        <f t="array" ref="AX153">_xlfn.XLOOKUP(AT153,BSFC!A$64:A$82,,-1,_xlfn.XLOOKUP(Data!AU153,BSFC!C$63:Q$63,BSFC!B$64:Q$82,,-1))</f>
        <v>#VALUE!</v>
      </c>
      <c r="AY153">
        <f>HLOOKUP(AU153,BSFC!F$63:Q$63,1)</f>
        <v>7000</v>
      </c>
      <c r="AZ153">
        <f>IF(AT153&gt;0,MATCH(AT153,BSFC!A$64:A$83,0),IF(AT153&lt;=0,0))</f>
        <v>19</v>
      </c>
      <c r="BA153">
        <f>MATCH(AU153,BSFC!C$63:Q$63,0)</f>
        <v>14</v>
      </c>
      <c r="BB153" cm="1">
        <f t="array" ref="BB153">IF(AZ153&gt;0,INDEX(BSFC!C$64:Q$83,Data!AZ153,Data!BA153))</f>
        <v>650</v>
      </c>
      <c r="BC153">
        <f>0.5*'Vehicle Data'!C$6*Data!Z153^2</f>
        <v>17511.547718848698</v>
      </c>
      <c r="BD153">
        <f t="shared" si="94"/>
        <v>1.999397622875188</v>
      </c>
      <c r="BE153">
        <f t="shared" si="114"/>
        <v>1299.6084548688723</v>
      </c>
      <c r="BF153">
        <f t="shared" si="115"/>
        <v>9.3034868127888054E-2</v>
      </c>
      <c r="BG153">
        <f t="shared" si="95"/>
        <v>36.344328718360877</v>
      </c>
      <c r="BH153">
        <f t="shared" si="118"/>
        <v>2898.2276818561431</v>
      </c>
      <c r="BI153" s="148">
        <f t="shared" si="96"/>
        <v>6871.6622130335309</v>
      </c>
      <c r="BO153">
        <f t="shared" si="97"/>
        <v>727.5663396699523</v>
      </c>
      <c r="BP153">
        <f t="shared" si="98"/>
        <v>108713.20977126628</v>
      </c>
      <c r="BQ153">
        <f t="shared" si="99"/>
        <v>169266.06817214465</v>
      </c>
      <c r="BR153" s="148">
        <f t="shared" si="100"/>
        <v>257625.37923400739</v>
      </c>
      <c r="BS153" s="156">
        <f t="shared" si="101"/>
        <v>727.5663396699523</v>
      </c>
      <c r="BT153" s="156">
        <f t="shared" si="102"/>
        <v>2898.2276818561431</v>
      </c>
      <c r="BU153">
        <f t="shared" si="103"/>
        <v>1725.0508492083648</v>
      </c>
      <c r="BV153">
        <f t="shared" si="104"/>
        <v>1725.0508492083648</v>
      </c>
      <c r="BW153" s="148">
        <f t="shared" si="105"/>
        <v>455.4</v>
      </c>
      <c r="BX153" s="148">
        <f t="shared" si="106"/>
        <v>3129354.9718154697</v>
      </c>
      <c r="BY153" s="148">
        <f t="shared" si="107"/>
        <v>0.21821893242485813</v>
      </c>
      <c r="BZ153">
        <f t="shared" si="90"/>
        <v>37.239945802258895</v>
      </c>
      <c r="CB153">
        <f t="shared" si="108"/>
        <v>997.48450953841245</v>
      </c>
      <c r="CC153" s="162">
        <f t="shared" si="91"/>
        <v>3870.5300266050976</v>
      </c>
      <c r="CD153">
        <f t="shared" si="116"/>
        <v>87627.370582836971</v>
      </c>
    </row>
    <row r="154" spans="4:82" x14ac:dyDescent="0.2">
      <c r="D154" s="22">
        <f t="shared" si="81"/>
        <v>0</v>
      </c>
      <c r="E154" s="23">
        <v>8.8017047999999996</v>
      </c>
      <c r="F154" s="23">
        <f>IF(K154&lt;6,1,IF(Data!K154&lt;9,2,IF(K154&gt;9,3)))</f>
        <v>3</v>
      </c>
      <c r="G154" s="23">
        <v>996.7530255941208</v>
      </c>
      <c r="H154" s="23">
        <v>218.46666499999998</v>
      </c>
      <c r="I154" s="64">
        <v>46.073970093262574</v>
      </c>
      <c r="J154" s="65">
        <f t="shared" si="82"/>
        <v>1.4999900302161393</v>
      </c>
      <c r="K154" s="65">
        <f t="shared" si="83"/>
        <v>18.429588037305031</v>
      </c>
      <c r="L154" s="65">
        <f t="shared" si="84"/>
        <v>0.5999960120864557</v>
      </c>
      <c r="M154">
        <f t="shared" si="85"/>
        <v>17.603409599999999</v>
      </c>
      <c r="N154">
        <f t="shared" si="86"/>
        <v>0</v>
      </c>
      <c r="O154">
        <f>IF(L154&lt;'Vehicle Data'!F$21,'Vehicle Data'!C$21,IF(L154&gt;'Vehicle Data'!C$21,'Vehicle Data'!C$20))</f>
        <v>0.6</v>
      </c>
      <c r="P154">
        <f>('Vehicle Data'!C$6*9.81*'Vehicle Data'!C$5*SIN(D154))/'Vehicle Data'!C$9</f>
        <v>0</v>
      </c>
      <c r="Q154" s="107">
        <f>'Vehicle Data'!C$6*9.81*SIN(D154)</f>
        <v>0</v>
      </c>
      <c r="R154">
        <f t="shared" si="80"/>
        <v>994.44472653327966</v>
      </c>
      <c r="S154">
        <f>IF(Data!O154=0.6,'Vehicle Data'!E$21,IF(Data!O154 = 0.9,'Vehicle Data'!E$20))+(P154*O154)</f>
        <v>1550.3723999999997</v>
      </c>
      <c r="T154">
        <f>IF(F154=3,'Vehicle Data'!H$16,IF(F154=2,'Vehicle Data'!H$15,IF(F154 = 1,'Vehicle Data'!G$14)))</f>
        <v>466.23005239380637</v>
      </c>
      <c r="U154" s="148">
        <f t="shared" si="87"/>
        <v>278.3062444099636</v>
      </c>
      <c r="V154" s="70" t="s">
        <v>80</v>
      </c>
      <c r="W154" s="103" t="s">
        <v>84</v>
      </c>
      <c r="X154">
        <f>IF(V154="S",'Vehicle Data'!C$14,IF(Data!V154 = "T1",'Vehicle Data'!P$2,IF(Data!V154="T2",'Vehicle Data'!P$3)))</f>
        <v>10.293104487956974</v>
      </c>
      <c r="Z154">
        <f t="shared" si="109"/>
        <v>9.1819897707956013</v>
      </c>
      <c r="AB154" t="b">
        <f>IF(AA154=1,'Vehicle Data'!I$14,IF(AA154=2,'Vehicle Data'!I$15,IF(AA154=3,'Vehicle Data'!I$16)))</f>
        <v>0</v>
      </c>
      <c r="AC154" t="b">
        <f>IF(Z154&lt;'Vehicle Data'!C$16,'Vehicle Data'!I$15,IF(Z154&lt;'Vehicle Data'!C$15,'Vehicle Data'!I$15,IF(Z153&gt;'Vehicle Data'!C$15,'Vehicle Data'!I$16)))</f>
        <v>0</v>
      </c>
      <c r="AD154">
        <f>IF(O154=0.6,'Vehicle Data'!F$21,IF(O154=0.9,'Vehicle Data'!F$20))</f>
        <v>3.5315999999999996</v>
      </c>
      <c r="AE154" s="100" t="b">
        <f t="shared" si="88"/>
        <v>0</v>
      </c>
      <c r="AF154" s="158">
        <f t="shared" si="110"/>
        <v>0.25103836535161006</v>
      </c>
      <c r="AG154" s="148">
        <f t="shared" si="92"/>
        <v>0.99612697641135772</v>
      </c>
      <c r="AH154" s="148">
        <f t="shared" si="111"/>
        <v>37.490984167610506</v>
      </c>
      <c r="AJ154">
        <f>(Z154^2)*'Vehicle Data'!C$31</f>
        <v>30.983534035490692</v>
      </c>
      <c r="AK154">
        <f>IF(O154=0.6,'Vehicle Data'!C$6*'Vehicle Data'!D$21*9.81,IF(O154=0.9,'Vehicle Data'!C$6*9.81*'Vehicle Data'!D$20))</f>
        <v>86.131799999999998</v>
      </c>
      <c r="AL154">
        <f t="shared" si="89"/>
        <v>117.11533403549069</v>
      </c>
      <c r="AN154">
        <f>IF(AG154&gt;0,AG154*'Vehicle Data'!C$6)</f>
        <v>437.29974264458605</v>
      </c>
      <c r="AO154">
        <f t="shared" si="93"/>
        <v>554.41507668007671</v>
      </c>
      <c r="AP154">
        <f>AO154*'Vehicle Data'!F$3</f>
        <v>141.70849359942761</v>
      </c>
      <c r="AQ154">
        <v>4</v>
      </c>
      <c r="AR154">
        <f>IF(Z154&lt;'Vehicle Data'!C$16, Z154*'Vehicle Data'!F$7*'Vehicle Data'!G$14,IF(Z154&lt;'Vehicle Data'!C$15,Z154*'Vehicle Data'!F$7*'Vehicle Data'!G$15,IF(Z154&gt;'Vehicle Data'!C$15,Z154*'Vehicle Data'!F$7*'Vehicle Data'!G$16)))</f>
        <v>79.875935033863755</v>
      </c>
      <c r="AS154">
        <f t="shared" si="112"/>
        <v>4792.5561020318255</v>
      </c>
      <c r="AT154">
        <f t="shared" si="117"/>
        <v>4</v>
      </c>
      <c r="AU154">
        <f t="shared" si="113"/>
        <v>5000</v>
      </c>
      <c r="AW154">
        <f>VLOOKUP(AT154,BSFC!A$64:A$82,1,FALSE)</f>
        <v>4</v>
      </c>
      <c r="AX154" t="e" cm="1">
        <f t="array" ref="AX154">_xlfn.XLOOKUP(AT154,BSFC!A$64:A$82,,-1,_xlfn.XLOOKUP(Data!AU154,BSFC!C$63:Q$63,BSFC!B$64:Q$82,,-1))</f>
        <v>#VALUE!</v>
      </c>
      <c r="AY154">
        <f>HLOOKUP(AU154,BSFC!F$63:Q$63,1)</f>
        <v>5000</v>
      </c>
      <c r="AZ154">
        <f>IF(AT154&gt;0,MATCH(AT154,BSFC!A$64:A$83,0),IF(AT154&lt;=0,0))</f>
        <v>19</v>
      </c>
      <c r="BA154">
        <f>MATCH(AU154,BSFC!C$63:Q$63,0)</f>
        <v>10</v>
      </c>
      <c r="BB154" cm="1">
        <f t="array" ref="BB154">IF(AZ154&gt;0,INDEX(BSFC!C$64:Q$83,Data!AZ154,Data!BA154))</f>
        <v>700</v>
      </c>
      <c r="BC154">
        <f>0.5*'Vehicle Data'!C$6*Data!Z154^2</f>
        <v>18505.811485143415</v>
      </c>
      <c r="BD154">
        <f t="shared" si="94"/>
        <v>2.7623287173100168</v>
      </c>
      <c r="BE154">
        <f t="shared" si="114"/>
        <v>1933.6301021170118</v>
      </c>
      <c r="BF154">
        <f t="shared" si="115"/>
        <v>0.13483759445281152</v>
      </c>
      <c r="BG154">
        <f t="shared" si="95"/>
        <v>36.479166312813689</v>
      </c>
      <c r="BH154">
        <f t="shared" si="118"/>
        <v>1999.3976228751881</v>
      </c>
      <c r="BI154" s="148">
        <f t="shared" si="96"/>
        <v>6871.6622130335309</v>
      </c>
      <c r="BO154">
        <f t="shared" si="97"/>
        <v>502.63698504762101</v>
      </c>
      <c r="BP154">
        <f t="shared" si="98"/>
        <v>109215.8467563139</v>
      </c>
      <c r="BQ154">
        <f t="shared" si="99"/>
        <v>169768.70515719228</v>
      </c>
      <c r="BR154" s="148">
        <f t="shared" si="100"/>
        <v>259352.87532458387</v>
      </c>
      <c r="BS154" s="156">
        <f t="shared" si="101"/>
        <v>502.63698504762101</v>
      </c>
      <c r="BT154" s="156">
        <f t="shared" si="102"/>
        <v>1999.3976228751881</v>
      </c>
      <c r="BU154">
        <f t="shared" si="103"/>
        <v>1727.4960905765013</v>
      </c>
      <c r="BV154">
        <f t="shared" si="104"/>
        <v>1727.4960905765013</v>
      </c>
      <c r="BW154" s="148">
        <f t="shared" si="105"/>
        <v>455.4</v>
      </c>
      <c r="BX154" s="148">
        <f t="shared" si="106"/>
        <v>3129354.9718154697</v>
      </c>
      <c r="BY154" s="148">
        <f t="shared" si="107"/>
        <v>0.21852825545792737</v>
      </c>
      <c r="BZ154">
        <f t="shared" si="90"/>
        <v>37.490984167610506</v>
      </c>
      <c r="CB154">
        <f t="shared" si="108"/>
        <v>1224.8591055288803</v>
      </c>
      <c r="CC154" s="162">
        <f t="shared" si="91"/>
        <v>4879.1709737804722</v>
      </c>
      <c r="CD154">
        <f t="shared" si="116"/>
        <v>88852.229688365856</v>
      </c>
    </row>
    <row r="155" spans="4:82" x14ac:dyDescent="0.2">
      <c r="D155" s="22">
        <f t="shared" si="81"/>
        <v>0</v>
      </c>
      <c r="E155" s="23">
        <v>8.8017047999999996</v>
      </c>
      <c r="F155" s="23">
        <f>IF(K155&lt;6,1,IF(Data!K155&lt;9,2,IF(K155&gt;9,3)))</f>
        <v>3</v>
      </c>
      <c r="G155" s="23">
        <v>999.06421729685667</v>
      </c>
      <c r="H155" s="23">
        <v>218.51666499999999</v>
      </c>
      <c r="I155" s="64">
        <v>46.148969594773398</v>
      </c>
      <c r="J155" s="65">
        <f t="shared" si="82"/>
        <v>1.9030011661906989</v>
      </c>
      <c r="K155" s="65">
        <f t="shared" si="83"/>
        <v>18.459587837909361</v>
      </c>
      <c r="L155" s="65">
        <f t="shared" si="84"/>
        <v>0.76120046647627959</v>
      </c>
      <c r="M155">
        <f t="shared" si="85"/>
        <v>17.603409599999999</v>
      </c>
      <c r="N155">
        <f t="shared" si="86"/>
        <v>0</v>
      </c>
      <c r="O155">
        <f>IF(L155&lt;'Vehicle Data'!F$21,'Vehicle Data'!C$21,IF(L155&gt;'Vehicle Data'!C$21,'Vehicle Data'!C$20))</f>
        <v>0.6</v>
      </c>
      <c r="P155">
        <f>('Vehicle Data'!C$6*9.81*'Vehicle Data'!C$5*SIN(D155))/'Vehicle Data'!C$9</f>
        <v>0</v>
      </c>
      <c r="Q155" s="107">
        <f>'Vehicle Data'!C$6*9.81*SIN(D155)</f>
        <v>0</v>
      </c>
      <c r="R155">
        <f t="shared" si="80"/>
        <v>996.7530255941208</v>
      </c>
      <c r="S155">
        <f>IF(Data!O155=0.6,'Vehicle Data'!E$21,IF(Data!O155 = 0.9,'Vehicle Data'!E$20))+(P155*O155)</f>
        <v>1550.3723999999997</v>
      </c>
      <c r="T155">
        <f>IF(F155=3,'Vehicle Data'!H$16,IF(F155=2,'Vehicle Data'!H$15,IF(F155 = 1,'Vehicle Data'!G$14)))</f>
        <v>466.23005239380637</v>
      </c>
      <c r="U155" s="148">
        <f t="shared" si="87"/>
        <v>280.61454347080473</v>
      </c>
      <c r="V155" s="70" t="s">
        <v>77</v>
      </c>
      <c r="W155" s="99" t="s">
        <v>84</v>
      </c>
      <c r="X155">
        <f>IF(V155="S",'Vehicle Data'!C$14,IF(Data!V155 = "T1",'Vehicle Data'!P$2,IF(Data!V155="T2",'Vehicle Data'!P$3)))</f>
        <v>13.411199999999999</v>
      </c>
      <c r="Z155">
        <f t="shared" si="109"/>
        <v>9.1819897707956013</v>
      </c>
      <c r="AB155" t="b">
        <f>IF(AA155=1,'Vehicle Data'!I$14,IF(AA155=2,'Vehicle Data'!I$15,IF(AA155=3,'Vehicle Data'!I$16)))</f>
        <v>0</v>
      </c>
      <c r="AC155">
        <f>IF(Z155&lt;'Vehicle Data'!C$16,'Vehicle Data'!I$15,IF(Z155&lt;'Vehicle Data'!C$15,'Vehicle Data'!I$15,IF(Z154&gt;'Vehicle Data'!C$15,'Vehicle Data'!I$16)))</f>
        <v>0.46202745420001456</v>
      </c>
      <c r="AD155">
        <f>IF(O155=0.6,'Vehicle Data'!F$21,IF(O155=0.9,'Vehicle Data'!F$20))</f>
        <v>3.5315999999999996</v>
      </c>
      <c r="AE155" s="100">
        <f t="shared" si="88"/>
        <v>0.46202745420001456</v>
      </c>
      <c r="AF155" s="158">
        <f t="shared" si="110"/>
        <v>0.2513942095843924</v>
      </c>
      <c r="AG155" s="148">
        <f t="shared" si="92"/>
        <v>0</v>
      </c>
      <c r="AH155" s="148">
        <f t="shared" si="111"/>
        <v>37.742378377194896</v>
      </c>
      <c r="AJ155">
        <f>(Z155^2)*'Vehicle Data'!C$31</f>
        <v>30.983534035490692</v>
      </c>
      <c r="AK155">
        <f>IF(O155=0.6,'Vehicle Data'!C$6*'Vehicle Data'!D$21*9.81,IF(O155=0.9,'Vehicle Data'!C$6*9.81*'Vehicle Data'!D$20))</f>
        <v>86.131799999999998</v>
      </c>
      <c r="AL155">
        <f t="shared" si="89"/>
        <v>117.11533403549069</v>
      </c>
      <c r="AN155" t="b">
        <f>IF(AG155&gt;0,AG155*'Vehicle Data'!C$6)</f>
        <v>0</v>
      </c>
      <c r="AO155">
        <f t="shared" si="93"/>
        <v>117.11533403549069</v>
      </c>
      <c r="AP155">
        <f>AO155*'Vehicle Data'!F$3</f>
        <v>29.934679379471419</v>
      </c>
      <c r="AQ155">
        <f>IF(AE155='Vehicle Data'!I$15,AP155/'Vehicle Data'!G$15,IF(AE155='Vehicle Data'!I$16,AP155/'Vehicle Data'!G$16,IF(AE155='Vehicle Data'!I$14,Data!AP155/'Vehicle Data'!G166)))</f>
        <v>5.5263218995683578</v>
      </c>
      <c r="AR155">
        <f>IF(Z155&lt;'Vehicle Data'!C$16, Z155*'Vehicle Data'!F$7*'Vehicle Data'!G$14,IF(Z155&lt;'Vehicle Data'!C$15,Z155*'Vehicle Data'!F$7*'Vehicle Data'!G$15,IF(Z155&gt;'Vehicle Data'!C$15,Z155*'Vehicle Data'!F$7*'Vehicle Data'!G$16)))</f>
        <v>79.875935033863755</v>
      </c>
      <c r="AS155">
        <f t="shared" si="112"/>
        <v>4792.5561020318255</v>
      </c>
      <c r="AT155">
        <v>4</v>
      </c>
      <c r="AU155">
        <f t="shared" si="113"/>
        <v>5000</v>
      </c>
      <c r="AW155">
        <f>VLOOKUP(AT155,BSFC!A$64:A$82,1,FALSE)</f>
        <v>4</v>
      </c>
      <c r="AX155" t="e" cm="1">
        <f t="array" ref="AX155">_xlfn.XLOOKUP(AT155,BSFC!A$64:A$82,,-1,_xlfn.XLOOKUP(Data!AU155,BSFC!C$63:Q$63,BSFC!B$64:Q$82,,-1))</f>
        <v>#VALUE!</v>
      </c>
      <c r="AY155">
        <f>HLOOKUP(AU155,BSFC!F$63:Q$63,1)</f>
        <v>5000</v>
      </c>
      <c r="AZ155">
        <f>IF(AT155&gt;0,MATCH(AT155,BSFC!A$64:A$83,0),IF(AT155&lt;=0,0))</f>
        <v>19</v>
      </c>
      <c r="BA155">
        <f>MATCH(AU155,BSFC!C$63:Q$63,0)</f>
        <v>10</v>
      </c>
      <c r="BB155" cm="1">
        <f t="array" ref="BB155">IF(AZ155&gt;0,INDEX(BSFC!C$64:Q$83,Data!AZ155,Data!BA155))</f>
        <v>700</v>
      </c>
      <c r="BC155">
        <f>0.5*'Vehicle Data'!C$6*Data!Z155^2</f>
        <v>18505.811485143415</v>
      </c>
      <c r="BD155">
        <f t="shared" si="94"/>
        <v>7.6903815519892698</v>
      </c>
      <c r="BE155">
        <f t="shared" si="114"/>
        <v>5383.2670863924886</v>
      </c>
      <c r="BF155">
        <f t="shared" si="115"/>
        <v>0.37592282615703188</v>
      </c>
      <c r="BG155">
        <f t="shared" si="95"/>
        <v>36.855089138970719</v>
      </c>
      <c r="BH155">
        <f t="shared" si="118"/>
        <v>2762.3287173100171</v>
      </c>
      <c r="BI155" s="148">
        <f t="shared" si="96"/>
        <v>6871.6622130335309</v>
      </c>
      <c r="BO155">
        <f t="shared" si="97"/>
        <v>686.66100220911255</v>
      </c>
      <c r="BP155">
        <f t="shared" si="98"/>
        <v>109902.50775852302</v>
      </c>
      <c r="BQ155">
        <f t="shared" si="99"/>
        <v>170455.3661594014</v>
      </c>
      <c r="BR155" s="148">
        <f t="shared" si="100"/>
        <v>261061.03642520733</v>
      </c>
      <c r="BS155" s="156">
        <f t="shared" si="101"/>
        <v>686.66100220911255</v>
      </c>
      <c r="BT155" s="156">
        <f t="shared" si="102"/>
        <v>2762.3287173100171</v>
      </c>
      <c r="BU155">
        <f t="shared" si="103"/>
        <v>1708.1611006234684</v>
      </c>
      <c r="BV155">
        <f t="shared" si="104"/>
        <v>1708.1611006234684</v>
      </c>
      <c r="BW155" s="148">
        <f t="shared" si="105"/>
        <v>455.4</v>
      </c>
      <c r="BX155" s="148">
        <f t="shared" si="106"/>
        <v>3129354.9718154697</v>
      </c>
      <c r="BY155" s="148">
        <f t="shared" si="107"/>
        <v>0.21608237922886875</v>
      </c>
      <c r="BZ155">
        <f t="shared" si="90"/>
        <v>37.742378377194896</v>
      </c>
      <c r="CB155">
        <f t="shared" si="108"/>
        <v>1021.5000984143559</v>
      </c>
      <c r="CC155" s="162">
        <f t="shared" si="91"/>
        <v>4063.3398044573892</v>
      </c>
      <c r="CD155">
        <f t="shared" si="116"/>
        <v>89873.729786780212</v>
      </c>
    </row>
    <row r="156" spans="4:82" x14ac:dyDescent="0.2">
      <c r="D156" s="22">
        <f t="shared" si="81"/>
        <v>0</v>
      </c>
      <c r="E156" s="23">
        <v>8.8017047999999996</v>
      </c>
      <c r="F156" s="23">
        <f>IF(K156&lt;6,1,IF(Data!K156&lt;9,2,IF(K156&gt;9,3)))</f>
        <v>3</v>
      </c>
      <c r="G156" s="23">
        <v>1001.3786174928557</v>
      </c>
      <c r="H156" s="23">
        <v>218.566665</v>
      </c>
      <c r="I156" s="64">
        <v>46.244119653082954</v>
      </c>
      <c r="J156" s="65">
        <f t="shared" si="82"/>
        <v>1.8368458374845045</v>
      </c>
      <c r="K156" s="65">
        <f t="shared" si="83"/>
        <v>18.497647861233183</v>
      </c>
      <c r="L156" s="65">
        <f t="shared" si="84"/>
        <v>0.73473833499374497</v>
      </c>
      <c r="M156">
        <f t="shared" si="85"/>
        <v>17.603409599999999</v>
      </c>
      <c r="N156">
        <f t="shared" si="86"/>
        <v>0</v>
      </c>
      <c r="O156">
        <f>IF(L156&lt;'Vehicle Data'!F$21,'Vehicle Data'!C$21,IF(L156&gt;'Vehicle Data'!C$21,'Vehicle Data'!C$20))</f>
        <v>0.6</v>
      </c>
      <c r="P156">
        <f>('Vehicle Data'!C$6*9.81*'Vehicle Data'!C$5*SIN(D156))/'Vehicle Data'!C$9</f>
        <v>0</v>
      </c>
      <c r="Q156" s="107">
        <f>'Vehicle Data'!C$6*9.81*SIN(D156)</f>
        <v>0</v>
      </c>
      <c r="R156">
        <f t="shared" si="80"/>
        <v>999.06421729685667</v>
      </c>
      <c r="S156">
        <f>IF(Data!O156=0.6,'Vehicle Data'!E$21,IF(Data!O156 = 0.9,'Vehicle Data'!E$20))+(P156*O156)</f>
        <v>1550.3723999999997</v>
      </c>
      <c r="T156">
        <f>IF(F156=3,'Vehicle Data'!H$16,IF(F156=2,'Vehicle Data'!H$15,IF(F156 = 1,'Vehicle Data'!G$14)))</f>
        <v>466.23005239380637</v>
      </c>
      <c r="U156" s="148">
        <f t="shared" si="87"/>
        <v>282.9257351735406</v>
      </c>
      <c r="V156" s="70" t="s">
        <v>77</v>
      </c>
      <c r="W156" s="99" t="s">
        <v>84</v>
      </c>
      <c r="X156">
        <f>IF(V156="S",'Vehicle Data'!C$14,IF(Data!V156 = "T1",'Vehicle Data'!P$2,IF(Data!V156="T2",'Vehicle Data'!P$3)))</f>
        <v>13.411199999999999</v>
      </c>
      <c r="Z156">
        <f t="shared" si="109"/>
        <v>9.2975590446181915</v>
      </c>
      <c r="AB156" t="b">
        <f>IF(AA156=1,'Vehicle Data'!I$14,IF(AA156=2,'Vehicle Data'!I$15,IF(AA156=3,'Vehicle Data'!I$16)))</f>
        <v>0</v>
      </c>
      <c r="AC156">
        <f>IF(Z156&lt;'Vehicle Data'!C$16,'Vehicle Data'!I$15,IF(Z156&lt;'Vehicle Data'!C$15,'Vehicle Data'!I$15,IF(Z155&gt;'Vehicle Data'!C$15,'Vehicle Data'!I$16)))</f>
        <v>0.46202745420001456</v>
      </c>
      <c r="AD156">
        <f>IF(O156=0.6,'Vehicle Data'!F$21,IF(O156=0.9,'Vehicle Data'!F$20))</f>
        <v>3.5315999999999996</v>
      </c>
      <c r="AE156" s="100">
        <f t="shared" si="88"/>
        <v>0.46202745420001456</v>
      </c>
      <c r="AF156" s="158">
        <f t="shared" si="110"/>
        <v>0.24858048135480046</v>
      </c>
      <c r="AG156" s="148">
        <f t="shared" si="92"/>
        <v>0.46491692828302739</v>
      </c>
      <c r="AH156" s="148">
        <f t="shared" si="111"/>
        <v>37.990958858549696</v>
      </c>
      <c r="AJ156">
        <f>(Z156^2)*'Vehicle Data'!C$31</f>
        <v>31.768392039149372</v>
      </c>
      <c r="AK156">
        <f>IF(O156=0.6,'Vehicle Data'!C$6*'Vehicle Data'!D$21*9.81,IF(O156=0.9,'Vehicle Data'!C$6*9.81*'Vehicle Data'!D$20))</f>
        <v>86.131799999999998</v>
      </c>
      <c r="AL156">
        <f t="shared" si="89"/>
        <v>117.90019203914937</v>
      </c>
      <c r="AN156">
        <f>IF(AG156&gt;0,AG156*'Vehicle Data'!C$6)</f>
        <v>204.09853151624901</v>
      </c>
      <c r="AO156">
        <f t="shared" si="93"/>
        <v>321.99872355539839</v>
      </c>
      <c r="AP156">
        <f>AO156*'Vehicle Data'!F$3</f>
        <v>82.302873740759821</v>
      </c>
      <c r="AQ156">
        <f>IF(AE156='Vehicle Data'!I$15,AP156/'Vehicle Data'!G$15,IF(AE156='Vehicle Data'!I$16,AP156/'Vehicle Data'!G$16,IF(AE156='Vehicle Data'!I$14,Data!AP156/'Vehicle Data'!G167)))</f>
        <v>15.194155507237033</v>
      </c>
      <c r="AR156">
        <f>IF(Z156&lt;'Vehicle Data'!C$16, Z156*'Vehicle Data'!F$7*'Vehicle Data'!G$14,IF(Z156&lt;'Vehicle Data'!C$15,Z156*'Vehicle Data'!F$7*'Vehicle Data'!G$15,IF(Z156&gt;'Vehicle Data'!C$15,Z156*'Vehicle Data'!F$7*'Vehicle Data'!G$16)))</f>
        <v>80.881294878319792</v>
      </c>
      <c r="AS156">
        <f t="shared" si="112"/>
        <v>4852.8776926991877</v>
      </c>
      <c r="AT156">
        <f t="shared" si="117"/>
        <v>15</v>
      </c>
      <c r="AU156">
        <f t="shared" si="113"/>
        <v>5000</v>
      </c>
      <c r="AW156">
        <f>VLOOKUP(AT156,BSFC!A$64:A$82,1,FALSE)</f>
        <v>15</v>
      </c>
      <c r="AX156" t="e" cm="1">
        <f t="array" ref="AX156">_xlfn.XLOOKUP(AT156,BSFC!A$64:A$82,,-1,_xlfn.XLOOKUP(Data!AU156,BSFC!C$63:Q$63,BSFC!B$64:Q$82,,-1))</f>
        <v>#VALUE!</v>
      </c>
      <c r="AY156">
        <f>HLOOKUP(AU156,BSFC!F$63:Q$63,1)</f>
        <v>5000</v>
      </c>
      <c r="AZ156">
        <f>IF(AT156&gt;0,MATCH(AT156,BSFC!A$64:A$83,0),IF(AT156&lt;=0,0))</f>
        <v>8</v>
      </c>
      <c r="BA156">
        <f>MATCH(AU156,BSFC!C$63:Q$63,0)</f>
        <v>10</v>
      </c>
      <c r="BB156" cm="1">
        <f t="array" ref="BB156">IF(AZ156&gt;0,INDEX(BSFC!C$64:Q$83,Data!AZ156,Data!BA156))</f>
        <v>705.8</v>
      </c>
      <c r="BC156">
        <f>0.5*'Vehicle Data'!C$6*Data!Z156^2</f>
        <v>18974.590619301456</v>
      </c>
      <c r="BD156">
        <f t="shared" si="94"/>
        <v>7.8032243922692075</v>
      </c>
      <c r="BE156">
        <f t="shared" si="114"/>
        <v>5507.5157760636066</v>
      </c>
      <c r="BF156">
        <f t="shared" si="115"/>
        <v>0.38029470074529131</v>
      </c>
      <c r="BG156">
        <f t="shared" si="95"/>
        <v>37.235383839716008</v>
      </c>
      <c r="BH156">
        <f t="shared" si="118"/>
        <v>7690.3815519892696</v>
      </c>
      <c r="BI156" s="148">
        <f t="shared" si="96"/>
        <v>6871.6622130335309</v>
      </c>
      <c r="BO156">
        <f t="shared" si="97"/>
        <v>1891.0829180262394</v>
      </c>
      <c r="BP156">
        <f t="shared" si="98"/>
        <v>111793.59067654925</v>
      </c>
      <c r="BQ156">
        <f t="shared" si="99"/>
        <v>172346.44907742765</v>
      </c>
      <c r="BR156" s="148">
        <f t="shared" si="100"/>
        <v>262750.79433145229</v>
      </c>
      <c r="BS156" s="156">
        <f t="shared" si="101"/>
        <v>1891.0829180262394</v>
      </c>
      <c r="BT156" s="156">
        <f t="shared" si="102"/>
        <v>7690.3815519892696</v>
      </c>
      <c r="BU156">
        <f t="shared" si="103"/>
        <v>1689.7579062449395</v>
      </c>
      <c r="BV156">
        <f t="shared" si="104"/>
        <v>1689.7579062449395</v>
      </c>
      <c r="BW156" s="148">
        <f t="shared" si="105"/>
        <v>455.4</v>
      </c>
      <c r="BX156" s="148">
        <f t="shared" si="106"/>
        <v>3129354.9718154697</v>
      </c>
      <c r="BY156" s="148">
        <f t="shared" si="107"/>
        <v>0.2137543751399848</v>
      </c>
      <c r="BZ156">
        <f t="shared" si="90"/>
        <v>37.990958858549696</v>
      </c>
      <c r="CB156">
        <f t="shared" si="108"/>
        <v>-201.32501178129996</v>
      </c>
      <c r="CC156" s="162">
        <f t="shared" si="91"/>
        <v>-809.89871241719845</v>
      </c>
      <c r="CD156">
        <f t="shared" si="116"/>
        <v>89672.404774998911</v>
      </c>
    </row>
    <row r="157" spans="4:82" x14ac:dyDescent="0.2">
      <c r="D157" s="22">
        <f t="shared" si="81"/>
        <v>0</v>
      </c>
      <c r="E157" s="23">
        <v>8.8017047999999996</v>
      </c>
      <c r="F157" s="23">
        <f>IF(K157&lt;6,1,IF(Data!K157&lt;9,2,IF(K157&gt;9,3)))</f>
        <v>3</v>
      </c>
      <c r="G157" s="23">
        <v>1003.6972997631693</v>
      </c>
      <c r="H157" s="23">
        <v>218.61666499999998</v>
      </c>
      <c r="I157" s="64">
        <v>46.335961944957148</v>
      </c>
      <c r="J157" s="65">
        <f t="shared" si="82"/>
        <v>1.7356676913023568</v>
      </c>
      <c r="K157" s="65">
        <f t="shared" si="83"/>
        <v>18.534384777982858</v>
      </c>
      <c r="L157" s="65">
        <f t="shared" si="84"/>
        <v>0.69426707652097108</v>
      </c>
      <c r="M157">
        <f t="shared" si="85"/>
        <v>17.603409599999999</v>
      </c>
      <c r="N157">
        <v>0</v>
      </c>
      <c r="O157">
        <f>IF(L157&lt;'Vehicle Data'!F$21,'Vehicle Data'!C$21,IF(L157&gt;'Vehicle Data'!C$21,'Vehicle Data'!C$20))</f>
        <v>0.6</v>
      </c>
      <c r="P157">
        <f>('Vehicle Data'!C$6*9.81*'Vehicle Data'!C$5*SIN(D157))/'Vehicle Data'!C$9</f>
        <v>0</v>
      </c>
      <c r="Q157" s="107">
        <f>'Vehicle Data'!C$6*9.81*SIN(D157)</f>
        <v>0</v>
      </c>
      <c r="R157">
        <f t="shared" si="80"/>
        <v>1001.3786174928557</v>
      </c>
      <c r="S157">
        <f>IF(Data!O157=0.6,'Vehicle Data'!E$21,IF(Data!O157 = 0.9,'Vehicle Data'!E$20))+(P157*O157)</f>
        <v>1550.3723999999997</v>
      </c>
      <c r="T157">
        <f>IF(F157=3,'Vehicle Data'!H$16,IF(F157=2,'Vehicle Data'!H$15,IF(F157 = 1,'Vehicle Data'!G$14)))</f>
        <v>466.23005239380637</v>
      </c>
      <c r="U157" s="148">
        <f t="shared" si="87"/>
        <v>285.24013536953964</v>
      </c>
      <c r="V157" s="70" t="s">
        <v>77</v>
      </c>
      <c r="W157" s="99" t="s">
        <v>84</v>
      </c>
      <c r="X157">
        <f>IF(V157="S",'Vehicle Data'!C$14,IF(Data!V157 = "T1",'Vehicle Data'!P$2,IF(Data!V157="T2",'Vehicle Data'!P$3)))</f>
        <v>13.411199999999999</v>
      </c>
      <c r="Z157">
        <f t="shared" si="109"/>
        <v>9.4118668206300296</v>
      </c>
      <c r="AB157" t="b">
        <f>IF(AA157=1,'Vehicle Data'!I$14,IF(AA157=2,'Vehicle Data'!I$15,IF(AA157=3,'Vehicle Data'!I$16)))</f>
        <v>0</v>
      </c>
      <c r="AC157">
        <f>IF(Z157&lt;'Vehicle Data'!C$16,'Vehicle Data'!I$15,IF(Z157&lt;'Vehicle Data'!C$15,'Vehicle Data'!I$15,IF(Z156&gt;'Vehicle Data'!C$15,'Vehicle Data'!I$16)))</f>
        <v>0.46202745420001456</v>
      </c>
      <c r="AD157">
        <f>IF(O157=0.6,'Vehicle Data'!F$21,IF(O157=0.9,'Vehicle Data'!F$20))</f>
        <v>3.5315999999999996</v>
      </c>
      <c r="AE157" s="100">
        <f t="shared" si="88"/>
        <v>0.46202745420001456</v>
      </c>
      <c r="AF157" s="158">
        <f t="shared" si="110"/>
        <v>0.24590235286012219</v>
      </c>
      <c r="AG157" s="148">
        <f t="shared" si="92"/>
        <v>0.46485027362410108</v>
      </c>
      <c r="AH157" s="148">
        <f t="shared" si="111"/>
        <v>38.236861211409817</v>
      </c>
      <c r="AJ157">
        <f>(Z157^2)*'Vehicle Data'!C$31</f>
        <v>32.554339615609095</v>
      </c>
      <c r="AK157">
        <f>IF(O157=0.6,'Vehicle Data'!C$6*'Vehicle Data'!D$21*9.81,IF(O157=0.9,'Vehicle Data'!C$6*9.81*'Vehicle Data'!D$20))</f>
        <v>86.131799999999998</v>
      </c>
      <c r="AL157">
        <f t="shared" si="89"/>
        <v>118.68613961560909</v>
      </c>
      <c r="AN157">
        <f>IF(AG157&gt;0,AG157*'Vehicle Data'!C$6)</f>
        <v>204.06927012098038</v>
      </c>
      <c r="AO157">
        <f t="shared" si="93"/>
        <v>322.75540973658946</v>
      </c>
      <c r="AP157">
        <f>AO157*'Vehicle Data'!F$3</f>
        <v>82.49628272867227</v>
      </c>
      <c r="AQ157">
        <f>IF(AE157='Vehicle Data'!I$15,AP157/'Vehicle Data'!G$15,IF(AE157='Vehicle Data'!I$16,AP157/'Vehicle Data'!G$16,IF(AE157='Vehicle Data'!I$14,Data!AP157/'Vehicle Data'!G168)))</f>
        <v>15.229861262155087</v>
      </c>
      <c r="AR157">
        <f>IF(Z157&lt;'Vehicle Data'!C$16, Z157*'Vehicle Data'!F$7*'Vehicle Data'!G$14,IF(Z157&lt;'Vehicle Data'!C$15,Z157*'Vehicle Data'!F$7*'Vehicle Data'!G$15,IF(Z157&gt;'Vehicle Data'!C$15,Z157*'Vehicle Data'!F$7*'Vehicle Data'!G$16)))</f>
        <v>81.875680705194441</v>
      </c>
      <c r="AS157">
        <f t="shared" si="112"/>
        <v>4912.540842311666</v>
      </c>
      <c r="AT157">
        <f t="shared" si="117"/>
        <v>15</v>
      </c>
      <c r="AU157">
        <f t="shared" si="113"/>
        <v>5000</v>
      </c>
      <c r="AW157">
        <f>VLOOKUP(AT157,BSFC!A$64:A$82,1,FALSE)</f>
        <v>15</v>
      </c>
      <c r="AX157" t="e" cm="1">
        <f t="array" ref="AX157">_xlfn.XLOOKUP(AT157,BSFC!A$64:A$82,,-1,_xlfn.XLOOKUP(Data!AU157,BSFC!C$63:Q$63,BSFC!B$64:Q$82,,-1))</f>
        <v>#VALUE!</v>
      </c>
      <c r="AY157">
        <f>HLOOKUP(AU157,BSFC!F$63:Q$63,1)</f>
        <v>5000</v>
      </c>
      <c r="AZ157">
        <f>IF(AT157&gt;0,MATCH(AT157,BSFC!A$64:A$83,0),IF(AT157&lt;=0,0))</f>
        <v>8</v>
      </c>
      <c r="BA157">
        <f>MATCH(AU157,BSFC!C$63:Q$63,0)</f>
        <v>10</v>
      </c>
      <c r="BB157" cm="1">
        <f t="array" ref="BB157">IF(AZ157&gt;0,INDEX(BSFC!C$64:Q$83,Data!AZ157,Data!BA157))</f>
        <v>705.8</v>
      </c>
      <c r="BC157">
        <f>0.5*'Vehicle Data'!C$6*Data!Z157^2</f>
        <v>19444.020532316175</v>
      </c>
      <c r="BD157">
        <f t="shared" si="94"/>
        <v>7.915626588098716</v>
      </c>
      <c r="BE157">
        <f t="shared" si="114"/>
        <v>5586.8492458800738</v>
      </c>
      <c r="BF157">
        <f t="shared" si="115"/>
        <v>0.38161649295464151</v>
      </c>
      <c r="BG157">
        <f t="shared" si="95"/>
        <v>37.617000332670649</v>
      </c>
      <c r="BH157">
        <f t="shared" si="118"/>
        <v>7803.2243922692078</v>
      </c>
      <c r="BI157" s="148">
        <f t="shared" si="96"/>
        <v>6871.6622130335309</v>
      </c>
      <c r="BO157">
        <f t="shared" si="97"/>
        <v>1899.5462392854695</v>
      </c>
      <c r="BP157">
        <f t="shared" si="98"/>
        <v>113693.13691583472</v>
      </c>
      <c r="BQ157">
        <f t="shared" si="99"/>
        <v>174245.99531671312</v>
      </c>
      <c r="BR157" s="148">
        <f t="shared" si="100"/>
        <v>264423.56951491872</v>
      </c>
      <c r="BS157" s="156">
        <f t="shared" si="101"/>
        <v>1899.5462392854695</v>
      </c>
      <c r="BT157" s="156">
        <f t="shared" si="102"/>
        <v>7803.2243922692078</v>
      </c>
      <c r="BU157">
        <f t="shared" si="103"/>
        <v>1672.7751834664384</v>
      </c>
      <c r="BV157">
        <f t="shared" si="104"/>
        <v>1672.7751834664384</v>
      </c>
      <c r="BW157" s="148">
        <f t="shared" si="105"/>
        <v>455.4</v>
      </c>
      <c r="BX157" s="148">
        <f t="shared" si="106"/>
        <v>3129354.9718154697</v>
      </c>
      <c r="BY157" s="148">
        <f t="shared" si="107"/>
        <v>0.21160606070850443</v>
      </c>
      <c r="BZ157">
        <f t="shared" si="90"/>
        <v>38.236861211409817</v>
      </c>
      <c r="CB157">
        <f t="shared" si="108"/>
        <v>-226.77105581903106</v>
      </c>
      <c r="CC157" s="162">
        <f t="shared" si="91"/>
        <v>-922.1996177809151</v>
      </c>
      <c r="CD157">
        <f t="shared" si="116"/>
        <v>89445.633719179881</v>
      </c>
    </row>
    <row r="158" spans="4:82" x14ac:dyDescent="0.2">
      <c r="D158" s="22">
        <f t="shared" si="81"/>
        <v>0</v>
      </c>
      <c r="E158" s="23">
        <v>8.7017056000000004</v>
      </c>
      <c r="F158" s="23">
        <f>IF(K158&lt;6,1,IF(Data!K158&lt;9,2,IF(K158&gt;9,3)))</f>
        <v>3</v>
      </c>
      <c r="G158" s="23">
        <v>1006.0199146753785</v>
      </c>
      <c r="H158" s="23">
        <v>218.66666499999999</v>
      </c>
      <c r="I158" s="64">
        <v>46.422745329522286</v>
      </c>
      <c r="J158" s="65">
        <f t="shared" si="82"/>
        <v>1.487173801551843</v>
      </c>
      <c r="K158" s="65">
        <f t="shared" si="83"/>
        <v>18.569098131808914</v>
      </c>
      <c r="L158" s="65">
        <f t="shared" si="84"/>
        <v>0.59486952062072296</v>
      </c>
      <c r="M158">
        <f t="shared" si="85"/>
        <v>17.403411200000001</v>
      </c>
      <c r="N158">
        <f t="shared" si="86"/>
        <v>0</v>
      </c>
      <c r="O158">
        <f>IF(L158&lt;'Vehicle Data'!F$21,'Vehicle Data'!C$21,IF(L158&gt;'Vehicle Data'!C$21,'Vehicle Data'!C$20))</f>
        <v>0.6</v>
      </c>
      <c r="P158">
        <f>('Vehicle Data'!C$6*9.81*'Vehicle Data'!C$5*SIN(D158))/'Vehicle Data'!C$9</f>
        <v>0</v>
      </c>
      <c r="Q158" s="107">
        <f>'Vehicle Data'!C$6*9.81*SIN(D158)</f>
        <v>0</v>
      </c>
      <c r="R158">
        <f t="shared" si="80"/>
        <v>1003.6972997631693</v>
      </c>
      <c r="S158">
        <f>IF(Data!O158=0.6,'Vehicle Data'!E$21,IF(Data!O158 = 0.9,'Vehicle Data'!E$20))+(P158*O158)</f>
        <v>1550.3723999999997</v>
      </c>
      <c r="T158">
        <f>IF(F158=3,'Vehicle Data'!H$16,IF(F158=2,'Vehicle Data'!H$15,IF(F158 = 1,'Vehicle Data'!G$14)))</f>
        <v>466.23005239380637</v>
      </c>
      <c r="U158" s="148">
        <f t="shared" si="87"/>
        <v>287.55881763985326</v>
      </c>
      <c r="V158" s="70" t="s">
        <v>77</v>
      </c>
      <c r="W158" s="99" t="s">
        <v>84</v>
      </c>
      <c r="X158">
        <f>IF(V158="S",'Vehicle Data'!C$14,IF(Data!V158 = "T1",'Vehicle Data'!P$2,IF(Data!V158="T2",'Vehicle Data'!P$3)))</f>
        <v>13.411199999999999</v>
      </c>
      <c r="Z158">
        <f t="shared" si="109"/>
        <v>9.5250105922345227</v>
      </c>
      <c r="AB158" t="b">
        <f>IF(AA158=1,'Vehicle Data'!I$14,IF(AA158=2,'Vehicle Data'!I$15,IF(AA158=3,'Vehicle Data'!I$16)))</f>
        <v>0</v>
      </c>
      <c r="AC158">
        <f>IF(Z158&lt;'Vehicle Data'!C$16,'Vehicle Data'!I$15,IF(Z158&lt;'Vehicle Data'!C$15,'Vehicle Data'!I$15,IF(Z157&gt;'Vehicle Data'!C$15,'Vehicle Data'!I$16)))</f>
        <v>0.46202745420001456</v>
      </c>
      <c r="AD158">
        <f>IF(O158=0.6,'Vehicle Data'!F$21,IF(O158=0.9,'Vehicle Data'!F$20))</f>
        <v>3.5315999999999996</v>
      </c>
      <c r="AE158" s="100">
        <f t="shared" si="88"/>
        <v>0.46202745420001456</v>
      </c>
      <c r="AF158" s="158">
        <f t="shared" si="110"/>
        <v>0.2434309387754354</v>
      </c>
      <c r="AG158" s="148">
        <f t="shared" si="92"/>
        <v>0.46478796891494595</v>
      </c>
      <c r="AH158" s="148">
        <f t="shared" si="111"/>
        <v>38.48029215018525</v>
      </c>
      <c r="AJ158">
        <f>(Z158^2)*'Vehicle Data'!C$31</f>
        <v>33.341741342451108</v>
      </c>
      <c r="AK158">
        <f>IF(O158=0.6,'Vehicle Data'!C$6*'Vehicle Data'!D$21*9.81,IF(O158=0.9,'Vehicle Data'!C$6*9.81*'Vehicle Data'!D$20))</f>
        <v>86.131799999999998</v>
      </c>
      <c r="AL158">
        <f t="shared" si="89"/>
        <v>119.47354134245111</v>
      </c>
      <c r="AN158">
        <f>IF(AG158&gt;0,AG158*'Vehicle Data'!C$6)</f>
        <v>204.04191835366126</v>
      </c>
      <c r="AO158">
        <f t="shared" si="93"/>
        <v>323.51545969611237</v>
      </c>
      <c r="AP158">
        <f>AO158*'Vehicle Data'!F$3</f>
        <v>82.690551498326315</v>
      </c>
      <c r="AQ158">
        <f>IF(AE158='Vehicle Data'!I$15,AP158/'Vehicle Data'!G$15,IF(AE158='Vehicle Data'!I$16,AP158/'Vehicle Data'!G$16,IF(AE158='Vehicle Data'!I$14,Data!AP158/'Vehicle Data'!G169)))</f>
        <v>15.265725743699447</v>
      </c>
      <c r="AR158">
        <f>IF(Z158&lt;'Vehicle Data'!C$16, Z158*'Vehicle Data'!F$7*'Vehicle Data'!G$14,IF(Z158&lt;'Vehicle Data'!C$15,Z158*'Vehicle Data'!F$7*'Vehicle Data'!G$15,IF(Z158&gt;'Vehicle Data'!C$15,Z158*'Vehicle Data'!F$7*'Vehicle Data'!G$16)))</f>
        <v>82.859940628780009</v>
      </c>
      <c r="AS158">
        <f t="shared" si="112"/>
        <v>4971.596437726801</v>
      </c>
      <c r="AT158">
        <f t="shared" si="117"/>
        <v>15</v>
      </c>
      <c r="AU158">
        <f t="shared" si="113"/>
        <v>5000</v>
      </c>
      <c r="AW158">
        <f>VLOOKUP(AT158,BSFC!A$64:A$82,1,FALSE)</f>
        <v>15</v>
      </c>
      <c r="AX158" t="e" cm="1">
        <f t="array" ref="AX158">_xlfn.XLOOKUP(AT158,BSFC!A$64:A$82,,-1,_xlfn.XLOOKUP(Data!AU158,BSFC!C$63:Q$63,BSFC!B$64:Q$82,,-1))</f>
        <v>#VALUE!</v>
      </c>
      <c r="AY158">
        <f>HLOOKUP(AU158,BSFC!F$63:Q$63,1)</f>
        <v>5000</v>
      </c>
      <c r="AZ158">
        <f>IF(AT158&gt;0,MATCH(AT158,BSFC!A$64:A$83,0),IF(AT158&lt;=0,0))</f>
        <v>8</v>
      </c>
      <c r="BA158">
        <f>MATCH(AU158,BSFC!C$63:Q$63,0)</f>
        <v>10</v>
      </c>
      <c r="BB158" cm="1">
        <f t="array" ref="BB158">IF(AZ158&gt;0,INDEX(BSFC!C$64:Q$83,Data!AZ158,Data!BA158))</f>
        <v>705.8</v>
      </c>
      <c r="BC158">
        <f>0.5*'Vehicle Data'!C$6*Data!Z158^2</f>
        <v>19914.318978688476</v>
      </c>
      <c r="BD158">
        <f t="shared" si="94"/>
        <v>8.0275801927544421</v>
      </c>
      <c r="BE158">
        <f t="shared" si="114"/>
        <v>5665.8661000460852</v>
      </c>
      <c r="BF158">
        <f t="shared" si="115"/>
        <v>0.38312419547503707</v>
      </c>
      <c r="BG158">
        <f t="shared" si="95"/>
        <v>38.000124528145683</v>
      </c>
      <c r="BH158">
        <f t="shared" si="118"/>
        <v>7915.6265880987157</v>
      </c>
      <c r="BI158" s="148">
        <f t="shared" si="96"/>
        <v>6871.6622130335309</v>
      </c>
      <c r="BO158">
        <f t="shared" si="97"/>
        <v>1907.7435395748864</v>
      </c>
      <c r="BP158">
        <f t="shared" si="98"/>
        <v>115600.88045540961</v>
      </c>
      <c r="BQ158">
        <f t="shared" si="99"/>
        <v>176153.73885628799</v>
      </c>
      <c r="BR158" s="148">
        <f t="shared" si="100"/>
        <v>266079.70741469861</v>
      </c>
      <c r="BS158" s="156">
        <f t="shared" si="101"/>
        <v>1907.7435395748864</v>
      </c>
      <c r="BT158" s="156">
        <f t="shared" si="102"/>
        <v>7915.6265880987157</v>
      </c>
      <c r="BU158">
        <f t="shared" si="103"/>
        <v>1656.1378997798799</v>
      </c>
      <c r="BV158">
        <f t="shared" si="104"/>
        <v>1656.1378997798799</v>
      </c>
      <c r="BW158" s="148">
        <f t="shared" si="105"/>
        <v>455.4</v>
      </c>
      <c r="BX158" s="148">
        <f t="shared" si="106"/>
        <v>3129354.9718154697</v>
      </c>
      <c r="BY158" s="148">
        <f t="shared" si="107"/>
        <v>0.20950144432215481</v>
      </c>
      <c r="BZ158">
        <f t="shared" si="90"/>
        <v>38.48029215018525</v>
      </c>
      <c r="CB158">
        <f t="shared" si="108"/>
        <v>-251.60563979500648</v>
      </c>
      <c r="CC158" s="162">
        <f t="shared" si="91"/>
        <v>-1033.5811916952562</v>
      </c>
      <c r="CD158">
        <f t="shared" si="116"/>
        <v>89194.02807938488</v>
      </c>
    </row>
    <row r="159" spans="4:82" x14ac:dyDescent="0.2">
      <c r="D159" s="22">
        <f t="shared" si="81"/>
        <v>0</v>
      </c>
      <c r="E159" s="23">
        <v>8.7017056000000004</v>
      </c>
      <c r="F159" s="23">
        <f>IF(K159&lt;6,1,IF(Data!K159&lt;9,2,IF(K159&gt;9,3)))</f>
        <v>3</v>
      </c>
      <c r="G159" s="23">
        <v>1008.3465969456929</v>
      </c>
      <c r="H159" s="23">
        <v>218.71666499999998</v>
      </c>
      <c r="I159" s="64">
        <v>46.497104019599853</v>
      </c>
      <c r="J159" s="65">
        <f t="shared" si="82"/>
        <v>1.1671521633317827</v>
      </c>
      <c r="K159" s="65">
        <f t="shared" si="83"/>
        <v>18.59884160783994</v>
      </c>
      <c r="L159" s="65">
        <f t="shared" si="84"/>
        <v>0.46686086533274151</v>
      </c>
      <c r="M159">
        <f t="shared" si="85"/>
        <v>17.403411200000001</v>
      </c>
      <c r="N159">
        <v>0</v>
      </c>
      <c r="O159">
        <f>IF(L159&lt;'Vehicle Data'!F$21,'Vehicle Data'!C$21,IF(L159&gt;'Vehicle Data'!C$21,'Vehicle Data'!C$20))</f>
        <v>0.6</v>
      </c>
      <c r="P159">
        <f>('Vehicle Data'!C$6*9.81*'Vehicle Data'!C$5*SIN(D159))/'Vehicle Data'!C$9</f>
        <v>0</v>
      </c>
      <c r="Q159" s="107">
        <f>'Vehicle Data'!C$6*9.81*SIN(D159)</f>
        <v>0</v>
      </c>
      <c r="R159">
        <f t="shared" si="80"/>
        <v>1006.0199146753785</v>
      </c>
      <c r="S159">
        <f>IF(Data!O159=0.6,'Vehicle Data'!E$21,IF(Data!O159 = 0.9,'Vehicle Data'!E$20))+(P159*O159)</f>
        <v>1550.3723999999997</v>
      </c>
      <c r="T159">
        <f>IF(F159=3,'Vehicle Data'!H$16,IF(F159=2,'Vehicle Data'!H$15,IF(F159 = 1,'Vehicle Data'!G$14)))</f>
        <v>466.23005239380637</v>
      </c>
      <c r="U159" s="148">
        <f t="shared" si="87"/>
        <v>289.88143255206239</v>
      </c>
      <c r="V159" s="70" t="s">
        <v>77</v>
      </c>
      <c r="W159" s="99" t="s">
        <v>84</v>
      </c>
      <c r="X159">
        <f>IF(V159="S",'Vehicle Data'!C$14,IF(Data!V159 = "T1",'Vehicle Data'!P$2,IF(Data!V159="T2",'Vehicle Data'!P$3)))</f>
        <v>13.411199999999999</v>
      </c>
      <c r="Z159">
        <f t="shared" si="109"/>
        <v>9.6370146047481846</v>
      </c>
      <c r="AB159" t="b">
        <f>IF(AA159=1,'Vehicle Data'!I$14,IF(AA159=2,'Vehicle Data'!I$15,IF(AA159=3,'Vehicle Data'!I$16)))</f>
        <v>0</v>
      </c>
      <c r="AC159">
        <f>IF(Z159&lt;'Vehicle Data'!C$16,'Vehicle Data'!I$15,IF(Z159&lt;'Vehicle Data'!C$15,'Vehicle Data'!I$15,IF(Z158&gt;'Vehicle Data'!C$15,'Vehicle Data'!I$16)))</f>
        <v>0.46202745420001456</v>
      </c>
      <c r="AD159">
        <f>IF(O159=0.6,'Vehicle Data'!F$21,IF(O159=0.9,'Vehicle Data'!F$20))</f>
        <v>3.5315999999999996</v>
      </c>
      <c r="AE159" s="100">
        <f t="shared" si="88"/>
        <v>0.46202745420001456</v>
      </c>
      <c r="AF159" s="158">
        <f t="shared" si="110"/>
        <v>0.24100979478279236</v>
      </c>
      <c r="AG159" s="148">
        <f t="shared" si="92"/>
        <v>0.46472805229598391</v>
      </c>
      <c r="AH159" s="148">
        <f t="shared" si="111"/>
        <v>38.72130194496804</v>
      </c>
      <c r="AJ159">
        <f>(Z159^2)*'Vehicle Data'!C$31</f>
        <v>34.130478555857714</v>
      </c>
      <c r="AK159">
        <f>IF(O159=0.6,'Vehicle Data'!C$6*'Vehicle Data'!D$21*9.81,IF(O159=0.9,'Vehicle Data'!C$6*9.81*'Vehicle Data'!D$20))</f>
        <v>86.131799999999998</v>
      </c>
      <c r="AL159">
        <f t="shared" si="89"/>
        <v>120.2622785558577</v>
      </c>
      <c r="AN159">
        <f>IF(AG159&gt;0,AG159*'Vehicle Data'!C$6)</f>
        <v>204.01561495793695</v>
      </c>
      <c r="AO159">
        <f t="shared" si="93"/>
        <v>324.27789351379465</v>
      </c>
      <c r="AP159">
        <f>AO159*'Vehicle Data'!F$3</f>
        <v>82.885429582125909</v>
      </c>
      <c r="AQ159">
        <f>IF(AE159='Vehicle Data'!I$15,AP159/'Vehicle Data'!G$15,IF(AE159='Vehicle Data'!I$16,AP159/'Vehicle Data'!G$16,IF(AE159='Vehicle Data'!I$14,Data!AP159/'Vehicle Data'!G170)))</f>
        <v>15.301702712371647</v>
      </c>
      <c r="AR159">
        <f>IF(Z159&lt;'Vehicle Data'!C$16, Z159*'Vehicle Data'!F$7*'Vehicle Data'!G$14,IF(Z159&lt;'Vehicle Data'!C$15,Z159*'Vehicle Data'!F$7*'Vehicle Data'!G$15,IF(Z159&gt;'Vehicle Data'!C$15,Z159*'Vehicle Data'!F$7*'Vehicle Data'!G$16)))</f>
        <v>83.834285563853726</v>
      </c>
      <c r="AS159">
        <f t="shared" si="112"/>
        <v>5030.0571338312238</v>
      </c>
      <c r="AT159">
        <f t="shared" si="117"/>
        <v>15</v>
      </c>
      <c r="AU159">
        <f t="shared" si="113"/>
        <v>5000</v>
      </c>
      <c r="AW159">
        <f>VLOOKUP(AT159,BSFC!A$64:A$82,1,FALSE)</f>
        <v>15</v>
      </c>
      <c r="AX159" t="e" cm="1">
        <f t="array" ref="AX159">_xlfn.XLOOKUP(AT159,BSFC!A$64:A$82,,-1,_xlfn.XLOOKUP(Data!AU159,BSFC!C$63:Q$63,BSFC!B$64:Q$82,,-1))</f>
        <v>#VALUE!</v>
      </c>
      <c r="AY159">
        <f>HLOOKUP(AU159,BSFC!F$63:Q$63,1)</f>
        <v>5000</v>
      </c>
      <c r="AZ159">
        <f>IF(AT159&gt;0,MATCH(AT159,BSFC!A$64:A$83,0),IF(AT159&lt;=0,0))</f>
        <v>8</v>
      </c>
      <c r="BA159">
        <f>MATCH(AU159,BSFC!C$63:Q$63,0)</f>
        <v>10</v>
      </c>
      <c r="BB159" cm="1">
        <f t="array" ref="BB159">IF(AZ159&gt;0,INDEX(BSFC!C$64:Q$83,Data!AZ159,Data!BA159))</f>
        <v>705.8</v>
      </c>
      <c r="BC159">
        <f>0.5*'Vehicle Data'!C$6*Data!Z159^2</f>
        <v>20385.415083022493</v>
      </c>
      <c r="BD159">
        <f t="shared" si="94"/>
        <v>8.1391242074811476</v>
      </c>
      <c r="BE159">
        <f t="shared" si="114"/>
        <v>5744.5938656401941</v>
      </c>
      <c r="BF159">
        <f t="shared" si="115"/>
        <v>0.38458427463011974</v>
      </c>
      <c r="BG159">
        <f t="shared" si="95"/>
        <v>38.384708802775805</v>
      </c>
      <c r="BH159">
        <f t="shared" si="118"/>
        <v>8027.5801927544426</v>
      </c>
      <c r="BI159" s="148">
        <f t="shared" si="96"/>
        <v>6871.6622130335309</v>
      </c>
      <c r="BO159">
        <f t="shared" si="97"/>
        <v>1916.0620754081715</v>
      </c>
      <c r="BP159">
        <f t="shared" si="98"/>
        <v>117516.94253081779</v>
      </c>
      <c r="BQ159">
        <f t="shared" si="99"/>
        <v>178069.80093169617</v>
      </c>
      <c r="BR159" s="148">
        <f t="shared" si="100"/>
        <v>267719.86933712859</v>
      </c>
      <c r="BS159" s="156">
        <f t="shared" si="101"/>
        <v>1916.0620754081715</v>
      </c>
      <c r="BT159" s="156">
        <f t="shared" si="102"/>
        <v>8027.5801927544426</v>
      </c>
      <c r="BU159">
        <f t="shared" si="103"/>
        <v>1640.1619224299775</v>
      </c>
      <c r="BV159">
        <f t="shared" si="104"/>
        <v>1640.1619224299775</v>
      </c>
      <c r="BW159" s="148">
        <f t="shared" si="105"/>
        <v>455.4</v>
      </c>
      <c r="BX159" s="148">
        <f t="shared" si="106"/>
        <v>3129354.9718154697</v>
      </c>
      <c r="BY159" s="148">
        <f t="shared" si="107"/>
        <v>0.20748048318739212</v>
      </c>
      <c r="BZ159">
        <f t="shared" si="90"/>
        <v>38.72130194496804</v>
      </c>
      <c r="CB159">
        <f t="shared" si="108"/>
        <v>-275.900152978194</v>
      </c>
      <c r="CC159" s="162">
        <f t="shared" si="91"/>
        <v>-1144.7673868476927</v>
      </c>
      <c r="CD159">
        <f t="shared" si="116"/>
        <v>88918.127926406683</v>
      </c>
    </row>
    <row r="160" spans="4:82" x14ac:dyDescent="0.2">
      <c r="D160" s="22">
        <f t="shared" si="81"/>
        <v>0</v>
      </c>
      <c r="E160" s="23">
        <v>8.8017047999999996</v>
      </c>
      <c r="F160" s="23">
        <f>IF(K160&lt;6,1,IF(Data!K160&lt;9,2,IF(K160&gt;9,3)))</f>
        <v>3</v>
      </c>
      <c r="G160" s="23">
        <v>1010.6765086484288</v>
      </c>
      <c r="H160" s="23">
        <v>218.76666499999999</v>
      </c>
      <c r="I160" s="64">
        <v>46.555461627766455</v>
      </c>
      <c r="J160" s="65">
        <f t="shared" si="82"/>
        <v>1.2349030232749703</v>
      </c>
      <c r="K160" s="65">
        <f t="shared" si="83"/>
        <v>18.622184651106583</v>
      </c>
      <c r="L160" s="65">
        <f t="shared" si="84"/>
        <v>0.49396120930995974</v>
      </c>
      <c r="M160">
        <f t="shared" si="85"/>
        <v>17.603409599999999</v>
      </c>
      <c r="N160">
        <f t="shared" si="86"/>
        <v>0</v>
      </c>
      <c r="O160">
        <f>IF(L160&lt;'Vehicle Data'!F$21,'Vehicle Data'!C$21,IF(L160&gt;'Vehicle Data'!C$21,'Vehicle Data'!C$20))</f>
        <v>0.6</v>
      </c>
      <c r="P160">
        <f>('Vehicle Data'!C$6*9.81*'Vehicle Data'!C$5*SIN(D160))/'Vehicle Data'!C$9</f>
        <v>0</v>
      </c>
      <c r="Q160" s="107">
        <f>'Vehicle Data'!C$6*9.81*SIN(D160)</f>
        <v>0</v>
      </c>
      <c r="R160">
        <f t="shared" si="80"/>
        <v>1008.3465969456929</v>
      </c>
      <c r="S160">
        <f>IF(Data!O160=0.6,'Vehicle Data'!E$21,IF(Data!O160 = 0.9,'Vehicle Data'!E$20))+(P160*O160)</f>
        <v>1550.3723999999997</v>
      </c>
      <c r="T160">
        <f>IF(F160=3,'Vehicle Data'!H$16,IF(F160=2,'Vehicle Data'!H$15,IF(F160 = 1,'Vehicle Data'!G$14)))</f>
        <v>466.23005239380637</v>
      </c>
      <c r="U160" s="148">
        <f t="shared" si="87"/>
        <v>292.20811482237684</v>
      </c>
      <c r="V160" s="70" t="s">
        <v>77</v>
      </c>
      <c r="W160" s="99" t="s">
        <v>84</v>
      </c>
      <c r="X160">
        <f>IF(V160="S",'Vehicle Data'!C$14,IF(Data!V160 = "T1",'Vehicle Data'!P$2,IF(Data!V160="T2",'Vehicle Data'!P$3)))</f>
        <v>13.411199999999999</v>
      </c>
      <c r="Z160">
        <f t="shared" si="109"/>
        <v>9.7479245311143643</v>
      </c>
      <c r="AB160" t="b">
        <f>IF(AA160=1,'Vehicle Data'!I$14,IF(AA160=2,'Vehicle Data'!I$15,IF(AA160=3,'Vehicle Data'!I$16)))</f>
        <v>0</v>
      </c>
      <c r="AC160">
        <f>IF(Z160&lt;'Vehicle Data'!C$16,'Vehicle Data'!I$15,IF(Z160&lt;'Vehicle Data'!C$15,'Vehicle Data'!I$15,IF(Z159&gt;'Vehicle Data'!C$15,'Vehicle Data'!I$16)))</f>
        <v>0.46202745420001456</v>
      </c>
      <c r="AD160">
        <f>IF(O160=0.6,'Vehicle Data'!F$21,IF(O160=0.9,'Vehicle Data'!F$20))</f>
        <v>3.5315999999999996</v>
      </c>
      <c r="AE160" s="100">
        <f t="shared" si="88"/>
        <v>0.46202745420001456</v>
      </c>
      <c r="AF160" s="158">
        <f t="shared" si="110"/>
        <v>0.23868488752533129</v>
      </c>
      <c r="AG160" s="148">
        <f t="shared" si="92"/>
        <v>0.4646709203757568</v>
      </c>
      <c r="AH160" s="148">
        <f t="shared" si="111"/>
        <v>38.959986832493371</v>
      </c>
      <c r="AJ160">
        <f>(Z160^2)*'Vehicle Data'!C$31</f>
        <v>34.920597004130698</v>
      </c>
      <c r="AK160">
        <f>IF(O160=0.6,'Vehicle Data'!C$6*'Vehicle Data'!D$21*9.81,IF(O160=0.9,'Vehicle Data'!C$6*9.81*'Vehicle Data'!D$20))</f>
        <v>86.131799999999998</v>
      </c>
      <c r="AL160">
        <f t="shared" si="89"/>
        <v>121.0523970041307</v>
      </c>
      <c r="AN160">
        <f>IF(AG160&gt;0,AG160*'Vehicle Data'!C$6)</f>
        <v>203.99053404495723</v>
      </c>
      <c r="AO160">
        <f t="shared" si="93"/>
        <v>325.04293104908794</v>
      </c>
      <c r="AP160">
        <f>AO160*'Vehicle Data'!F$3</f>
        <v>83.08097317614687</v>
      </c>
      <c r="AQ160">
        <f>IF(AE160='Vehicle Data'!I$15,AP160/'Vehicle Data'!G$15,IF(AE160='Vehicle Data'!I$16,AP160/'Vehicle Data'!G$16,IF(AE160='Vehicle Data'!I$14,Data!AP160/'Vehicle Data'!G171)))</f>
        <v>15.337802542680818</v>
      </c>
      <c r="AR160">
        <f>IF(Z160&lt;'Vehicle Data'!C$16, Z160*'Vehicle Data'!F$7*'Vehicle Data'!G$14,IF(Z160&lt;'Vehicle Data'!C$15,Z160*'Vehicle Data'!F$7*'Vehicle Data'!G$15,IF(Z160&gt;'Vehicle Data'!C$15,Z160*'Vehicle Data'!F$7*'Vehicle Data'!G$16)))</f>
        <v>84.799112828333236</v>
      </c>
      <c r="AS160">
        <f t="shared" si="112"/>
        <v>5087.9467696999945</v>
      </c>
      <c r="AT160">
        <f t="shared" si="117"/>
        <v>15</v>
      </c>
      <c r="AU160">
        <f t="shared" si="113"/>
        <v>5000</v>
      </c>
      <c r="AW160">
        <f>VLOOKUP(AT160,BSFC!A$64:A$82,1,FALSE)</f>
        <v>15</v>
      </c>
      <c r="AX160" t="e" cm="1">
        <f t="array" ref="AX160">_xlfn.XLOOKUP(AT160,BSFC!A$64:A$82,,-1,_xlfn.XLOOKUP(Data!AU160,BSFC!C$63:Q$63,BSFC!B$64:Q$82,,-1))</f>
        <v>#VALUE!</v>
      </c>
      <c r="AY160">
        <f>HLOOKUP(AU160,BSFC!F$63:Q$63,1)</f>
        <v>5000</v>
      </c>
      <c r="AZ160">
        <f>IF(AT160&gt;0,MATCH(AT160,BSFC!A$64:A$83,0),IF(AT160&lt;=0,0))</f>
        <v>8</v>
      </c>
      <c r="BA160">
        <f>MATCH(AU160,BSFC!C$63:Q$63,0)</f>
        <v>10</v>
      </c>
      <c r="BB160" cm="1">
        <f t="array" ref="BB160">IF(AZ160&gt;0,INDEX(BSFC!C$64:Q$83,Data!AZ160,Data!BA160))</f>
        <v>705.8</v>
      </c>
      <c r="BC160">
        <f>0.5*'Vehicle Data'!C$6*Data!Z160^2</f>
        <v>20857.336169814113</v>
      </c>
      <c r="BD160">
        <f t="shared" si="94"/>
        <v>12.104503314328092</v>
      </c>
      <c r="BE160">
        <f t="shared" si="114"/>
        <v>8543.3584392527664</v>
      </c>
      <c r="BF160">
        <f t="shared" si="115"/>
        <v>0.56643626337823227</v>
      </c>
      <c r="BG160">
        <f t="shared" si="95"/>
        <v>38.951145066154034</v>
      </c>
      <c r="BH160">
        <f t="shared" si="118"/>
        <v>8139.1242074811471</v>
      </c>
      <c r="BI160" s="148">
        <f t="shared" si="96"/>
        <v>6871.6622130335309</v>
      </c>
      <c r="BO160">
        <f t="shared" si="97"/>
        <v>2130.7236787675697</v>
      </c>
      <c r="BP160">
        <f t="shared" si="98"/>
        <v>119647.66620958535</v>
      </c>
      <c r="BQ160">
        <f t="shared" si="99"/>
        <v>180200.52461046373</v>
      </c>
      <c r="BR160" s="148">
        <f t="shared" si="100"/>
        <v>269518.78688852128</v>
      </c>
      <c r="BS160" s="156">
        <f t="shared" si="101"/>
        <v>2130.7236787675697</v>
      </c>
      <c r="BT160" s="156">
        <f t="shared" si="102"/>
        <v>8139.1242074811471</v>
      </c>
      <c r="BU160">
        <f t="shared" si="103"/>
        <v>1798.9175513926841</v>
      </c>
      <c r="BV160">
        <f t="shared" si="104"/>
        <v>1798.9175513926841</v>
      </c>
      <c r="BW160" s="148">
        <f t="shared" si="105"/>
        <v>455.4</v>
      </c>
      <c r="BX160" s="148">
        <f t="shared" si="106"/>
        <v>3129354.9718154697</v>
      </c>
      <c r="BY160" s="148">
        <f t="shared" si="107"/>
        <v>0.2275630702511745</v>
      </c>
      <c r="BZ160">
        <f t="shared" si="90"/>
        <v>38.959986832493371</v>
      </c>
      <c r="CB160">
        <f t="shared" si="108"/>
        <v>-331.80612737488559</v>
      </c>
      <c r="CC160" s="162">
        <f t="shared" si="91"/>
        <v>-1390.1430074397665</v>
      </c>
      <c r="CD160">
        <f t="shared" si="116"/>
        <v>88586.321799031793</v>
      </c>
    </row>
    <row r="161" spans="3:82" x14ac:dyDescent="0.2">
      <c r="D161" s="22">
        <f t="shared" si="81"/>
        <v>0</v>
      </c>
      <c r="E161" s="23">
        <v>8.8017047999999996</v>
      </c>
      <c r="F161" s="23">
        <f>IF(K161&lt;6,1,IF(Data!K161&lt;9,2,IF(K161&gt;9,3)))</f>
        <v>3</v>
      </c>
      <c r="G161" s="23">
        <v>1013.0095529930599</v>
      </c>
      <c r="H161" s="23">
        <v>218.816665</v>
      </c>
      <c r="I161" s="64">
        <v>46.617206778930218</v>
      </c>
      <c r="J161" s="65">
        <f t="shared" si="82"/>
        <v>1.5433428044103017</v>
      </c>
      <c r="K161" s="65">
        <f t="shared" si="83"/>
        <v>18.646882711572086</v>
      </c>
      <c r="L161" s="65">
        <f t="shared" si="84"/>
        <v>0.61733712176412059</v>
      </c>
      <c r="M161">
        <f t="shared" si="85"/>
        <v>17.603409599999999</v>
      </c>
      <c r="N161">
        <f t="shared" si="86"/>
        <v>0</v>
      </c>
      <c r="O161">
        <f>IF(L161&lt;'Vehicle Data'!F$21,'Vehicle Data'!C$21,IF(L161&gt;'Vehicle Data'!C$21,'Vehicle Data'!C$20))</f>
        <v>0.6</v>
      </c>
      <c r="P161">
        <f>('Vehicle Data'!C$6*9.81*'Vehicle Data'!C$5*SIN(D161))/'Vehicle Data'!C$9</f>
        <v>0</v>
      </c>
      <c r="Q161" s="107">
        <f>'Vehicle Data'!C$6*9.81*SIN(D161)</f>
        <v>0</v>
      </c>
      <c r="R161">
        <f t="shared" si="80"/>
        <v>1010.6765086484288</v>
      </c>
      <c r="S161">
        <f>IF(Data!O161=0.6,'Vehicle Data'!E$21,IF(Data!O161 = 0.9,'Vehicle Data'!E$20))+(P161*O161)</f>
        <v>1550.3723999999997</v>
      </c>
      <c r="T161">
        <f>IF(F161=3,'Vehicle Data'!H$16,IF(F161=2,'Vehicle Data'!H$15,IF(F161 = 1,'Vehicle Data'!G$14)))</f>
        <v>466.23005239380637</v>
      </c>
      <c r="U161" s="148">
        <f t="shared" si="87"/>
        <v>294.53802652511274</v>
      </c>
      <c r="V161" s="70" t="s">
        <v>77</v>
      </c>
      <c r="W161" s="99" t="s">
        <v>84</v>
      </c>
      <c r="X161">
        <f>IF(V161="S",'Vehicle Data'!C$14,IF(Data!V161 = "T1",'Vehicle Data'!P$2,IF(Data!V161="T2",'Vehicle Data'!P$3)))</f>
        <v>13.411199999999999</v>
      </c>
      <c r="Z161">
        <v>8.9</v>
      </c>
      <c r="AB161" t="b">
        <f>IF(AA161=1,'Vehicle Data'!I$14,IF(AA161=2,'Vehicle Data'!I$15,IF(AA161=3,'Vehicle Data'!I$16)))</f>
        <v>0</v>
      </c>
      <c r="AC161">
        <f>IF(Z161&lt;'Vehicle Data'!C$16,'Vehicle Data'!I$15,IF(Z161&lt;'Vehicle Data'!C$15,'Vehicle Data'!I$15,IF(Z160&gt;'Vehicle Data'!C$15,'Vehicle Data'!I$16)))</f>
        <v>0.98256251041858167</v>
      </c>
      <c r="AD161">
        <f>IF(O161=0.6,'Vehicle Data'!F$21,IF(O161=0.9,'Vehicle Data'!F$20))</f>
        <v>3.5315999999999996</v>
      </c>
      <c r="AE161" s="100">
        <f t="shared" si="88"/>
        <v>0.98256251041858167</v>
      </c>
      <c r="AF161" s="158">
        <f t="shared" si="110"/>
        <v>0.26178783176807852</v>
      </c>
      <c r="AG161" s="148">
        <f t="shared" si="92"/>
        <v>-3.2389761028524506</v>
      </c>
      <c r="AH161" s="148">
        <f t="shared" si="111"/>
        <v>39.221774664261453</v>
      </c>
      <c r="AJ161">
        <f>(Z161^2)*'Vehicle Data'!C$31</f>
        <v>29.10967500000001</v>
      </c>
      <c r="AK161">
        <f>IF(O161=0.6,'Vehicle Data'!C$6*'Vehicle Data'!D$21*9.81,IF(O161=0.9,'Vehicle Data'!C$6*9.81*'Vehicle Data'!D$20))</f>
        <v>86.131799999999998</v>
      </c>
      <c r="AL161">
        <f t="shared" si="89"/>
        <v>115.24147500000001</v>
      </c>
      <c r="AN161" t="b">
        <f>IF(AG161&gt;0,AG161*'Vehicle Data'!C$6)</f>
        <v>0</v>
      </c>
      <c r="AO161">
        <f t="shared" si="93"/>
        <v>115.24147500000001</v>
      </c>
      <c r="AP161">
        <f>AO161*'Vehicle Data'!F$3</f>
        <v>29.455721010000001</v>
      </c>
      <c r="AQ161">
        <v>16.765999999999998</v>
      </c>
      <c r="AR161">
        <f>IF(Z161&lt;'Vehicle Data'!C$16, Z161*'Vehicle Data'!F$7*'Vehicle Data'!G$14,IF(Z161&lt;'Vehicle Data'!C$15,Z161*'Vehicle Data'!F$7*'Vehicle Data'!G$15,IF(Z161&gt;'Vehicle Data'!C$15,Z161*'Vehicle Data'!F$7*'Vehicle Data'!G$16)))</f>
        <v>115.37037037037037</v>
      </c>
      <c r="AS161">
        <f t="shared" si="112"/>
        <v>6922.2222222222217</v>
      </c>
      <c r="AT161">
        <f t="shared" si="117"/>
        <v>17</v>
      </c>
      <c r="AU161">
        <f t="shared" si="113"/>
        <v>7000</v>
      </c>
      <c r="AW161">
        <f>VLOOKUP(AT161,BSFC!A$64:A$82,1,FALSE)</f>
        <v>17</v>
      </c>
      <c r="AX161" t="e" cm="1">
        <f t="array" ref="AX161">_xlfn.XLOOKUP(AT161,BSFC!A$64:A$82,,-1,_xlfn.XLOOKUP(Data!AU161,BSFC!C$63:Q$63,BSFC!B$64:Q$82,,-1))</f>
        <v>#VALUE!</v>
      </c>
      <c r="AY161">
        <f>HLOOKUP(AU161,BSFC!F$63:Q$63,1)</f>
        <v>7000</v>
      </c>
      <c r="AZ161">
        <f>IF(AT161&gt;0,MATCH(AT161,BSFC!A$64:A$83,0),IF(AT161&lt;=0,0))</f>
        <v>6</v>
      </c>
      <c r="BA161">
        <f>MATCH(AU161,BSFC!C$63:Q$63,0)</f>
        <v>14</v>
      </c>
      <c r="BB161" cm="1">
        <f t="array" ref="BB161">IF(AZ161&gt;0,INDEX(BSFC!C$64:Q$83,Data!AZ161,Data!BA161))</f>
        <v>500</v>
      </c>
      <c r="BC161">
        <f>0.5*'Vehicle Data'!C$6*Data!Z161^2</f>
        <v>17386.595000000001</v>
      </c>
      <c r="BD161">
        <f t="shared" si="94"/>
        <v>4.7704910646423135</v>
      </c>
      <c r="BE161">
        <f t="shared" si="114"/>
        <v>2385.2455323211566</v>
      </c>
      <c r="BF161">
        <f t="shared" si="115"/>
        <v>0.17345229337245885</v>
      </c>
      <c r="BG161">
        <f t="shared" si="95"/>
        <v>39.12459735952649</v>
      </c>
      <c r="BH161">
        <f t="shared" si="118"/>
        <v>12104.503314328093</v>
      </c>
      <c r="BI161" s="148">
        <f t="shared" si="96"/>
        <v>6871.6622130335309</v>
      </c>
      <c r="BO161">
        <f t="shared" si="97"/>
        <v>3246.0164370184984</v>
      </c>
      <c r="BP161">
        <f t="shared" si="98"/>
        <v>122893.68264660385</v>
      </c>
      <c r="BQ161">
        <f t="shared" si="99"/>
        <v>183446.54104748223</v>
      </c>
      <c r="BR161" s="148">
        <f t="shared" si="100"/>
        <v>271361.5331717779</v>
      </c>
      <c r="BS161" s="156">
        <f t="shared" si="101"/>
        <v>3246.0164370184984</v>
      </c>
      <c r="BT161" s="156">
        <f t="shared" si="102"/>
        <v>12104.503314328093</v>
      </c>
      <c r="BU161">
        <f t="shared" si="103"/>
        <v>1842.7462832566382</v>
      </c>
      <c r="BV161">
        <f t="shared" si="104"/>
        <v>1842.7462832566382</v>
      </c>
      <c r="BW161" s="148">
        <f t="shared" si="105"/>
        <v>455.4</v>
      </c>
      <c r="BX161" s="148">
        <f t="shared" si="106"/>
        <v>3129354.9718154697</v>
      </c>
      <c r="BY161" s="148">
        <f t="shared" si="107"/>
        <v>0.23310740483196471</v>
      </c>
      <c r="BZ161">
        <f t="shared" si="90"/>
        <v>39.221774664261453</v>
      </c>
      <c r="CB161">
        <f t="shared" si="108"/>
        <v>-1403.2701537618602</v>
      </c>
      <c r="CC161" s="162">
        <f t="shared" si="91"/>
        <v>-5360.3337645006295</v>
      </c>
      <c r="CD161">
        <f t="shared" si="116"/>
        <v>87183.051645269938</v>
      </c>
    </row>
    <row r="162" spans="3:82" x14ac:dyDescent="0.2">
      <c r="D162" s="22">
        <f t="shared" si="81"/>
        <v>0</v>
      </c>
      <c r="E162" s="23">
        <v>8.8017047999999996</v>
      </c>
      <c r="F162" s="23">
        <f>IF(K162&lt;6,1,IF(Data!K162&lt;9,2,IF(K162&gt;9,3)))</f>
        <v>3</v>
      </c>
      <c r="G162" s="23">
        <v>1015.346340547163</v>
      </c>
      <c r="H162" s="23">
        <v>218.86666499999998</v>
      </c>
      <c r="I162" s="64">
        <v>46.694373919150706</v>
      </c>
      <c r="J162" s="65">
        <f t="shared" si="82"/>
        <v>2.2143028370758282</v>
      </c>
      <c r="K162" s="65">
        <f t="shared" si="83"/>
        <v>18.677749567660282</v>
      </c>
      <c r="L162" s="65">
        <f t="shared" si="84"/>
        <v>0.88572113483033132</v>
      </c>
      <c r="M162">
        <f t="shared" si="85"/>
        <v>17.603409599999999</v>
      </c>
      <c r="N162">
        <v>0</v>
      </c>
      <c r="O162">
        <f>IF(L162&lt;'Vehicle Data'!F$21,'Vehicle Data'!C$21,IF(L162&gt;'Vehicle Data'!C$21,'Vehicle Data'!C$20))</f>
        <v>0.6</v>
      </c>
      <c r="P162">
        <f>('Vehicle Data'!C$6*9.81*'Vehicle Data'!C$5*SIN(D162))/'Vehicle Data'!C$9</f>
        <v>0</v>
      </c>
      <c r="Q162" s="107">
        <f>'Vehicle Data'!C$6*9.81*SIN(D162)</f>
        <v>0</v>
      </c>
      <c r="R162">
        <f t="shared" si="80"/>
        <v>1013.0095529930599</v>
      </c>
      <c r="S162">
        <f>IF(Data!O162=0.6,'Vehicle Data'!E$21,IF(Data!O162 = 0.9,'Vehicle Data'!E$20))+(P162*O162)</f>
        <v>1550.3723999999997</v>
      </c>
      <c r="T162">
        <f>IF(F162=3,'Vehicle Data'!H$16,IF(F162=2,'Vehicle Data'!H$15,IF(F162 = 1,'Vehicle Data'!G$14)))</f>
        <v>466.23005239380637</v>
      </c>
      <c r="U162" s="148">
        <f t="shared" si="87"/>
        <v>296.87107086974379</v>
      </c>
      <c r="V162" s="70" t="s">
        <v>77</v>
      </c>
      <c r="W162" s="99" t="s">
        <v>84</v>
      </c>
      <c r="X162">
        <f>IF(V162="S",'Vehicle Data'!C$14,IF(Data!V162 = "T1",'Vehicle Data'!P$2,IF(Data!V162="T2",'Vehicle Data'!P$3)))</f>
        <v>13.411199999999999</v>
      </c>
      <c r="Z162">
        <v>8.6999999999999993</v>
      </c>
      <c r="AB162" t="b">
        <f>IF(AA162=1,'Vehicle Data'!I$14,IF(AA162=2,'Vehicle Data'!I$15,IF(AA162=3,'Vehicle Data'!I$16)))</f>
        <v>0</v>
      </c>
      <c r="AC162">
        <f>IF(Z162&lt;'Vehicle Data'!C$16,'Vehicle Data'!I$15,IF(Z162&lt;'Vehicle Data'!C$15,'Vehicle Data'!I$15,IF(Z161&gt;'Vehicle Data'!C$15,'Vehicle Data'!I$16)))</f>
        <v>0.98256251041858167</v>
      </c>
      <c r="AD162">
        <f>IF(O162=0.6,'Vehicle Data'!F$21,IF(O162=0.9,'Vehicle Data'!F$20))</f>
        <v>3.5315999999999996</v>
      </c>
      <c r="AE162" s="100">
        <f t="shared" si="88"/>
        <v>0.98256251041858167</v>
      </c>
      <c r="AF162" s="158">
        <f t="shared" si="110"/>
        <v>0.26816601662425843</v>
      </c>
      <c r="AG162" s="148">
        <f t="shared" si="92"/>
        <v>-0.74580665558466952</v>
      </c>
      <c r="AH162" s="148">
        <f t="shared" si="111"/>
        <v>39.489940680885709</v>
      </c>
      <c r="AJ162">
        <f>(Z162^2)*'Vehicle Data'!C$31</f>
        <v>27.816075000000001</v>
      </c>
      <c r="AK162">
        <f>IF(O162=0.6,'Vehicle Data'!C$6*'Vehicle Data'!D$21*9.81,IF(O162=0.9,'Vehicle Data'!C$6*9.81*'Vehicle Data'!D$20))</f>
        <v>86.131799999999998</v>
      </c>
      <c r="AL162">
        <f t="shared" si="89"/>
        <v>113.947875</v>
      </c>
      <c r="AN162">
        <f>IF(AG162&lt;0,AG162*'Vehicle Data'!C$6)</f>
        <v>-327.40912180166993</v>
      </c>
      <c r="AO162">
        <f t="shared" si="93"/>
        <v>-213.46124680166992</v>
      </c>
      <c r="AP162">
        <f>AO162*'Vehicle Data'!F$3</f>
        <v>-54.560694682506828</v>
      </c>
      <c r="AQ162">
        <f>IF(AE162='Vehicle Data'!I$15,AP162/'Vehicle Data'!G$15,IF(AE162='Vehicle Data'!I$16,AP162/'Vehicle Data'!G$16,IF(AE162='Vehicle Data'!I$14,Data!AP162/'Vehicle Data'!G173)))</f>
        <v>-6.7595273390823385</v>
      </c>
      <c r="AR162">
        <f>IF(Z162&lt;'Vehicle Data'!C$16, Z162*'Vehicle Data'!F$7*'Vehicle Data'!G$14,IF(Z162&lt;'Vehicle Data'!C$15,Z162*'Vehicle Data'!F$7*'Vehicle Data'!G$15,IF(Z162&gt;'Vehicle Data'!C$15,Z162*'Vehicle Data'!F$7*'Vehicle Data'!G$16)))</f>
        <v>112.77777777777779</v>
      </c>
      <c r="AS162">
        <f t="shared" si="112"/>
        <v>6766.666666666667</v>
      </c>
      <c r="AT162">
        <f t="shared" si="117"/>
        <v>-7</v>
      </c>
      <c r="AU162">
        <f t="shared" si="113"/>
        <v>7000</v>
      </c>
      <c r="AW162" t="e">
        <f>VLOOKUP(AT162,BSFC!A$64:A$82,1,FALSE)</f>
        <v>#N/A</v>
      </c>
      <c r="AX162" t="e" cm="1">
        <f t="array" ref="AX162">_xlfn.XLOOKUP(AT162,BSFC!A$64:A$82,,-1,_xlfn.XLOOKUP(Data!AU162,BSFC!C$63:Q$63,BSFC!B$64:Q$82,,-1))</f>
        <v>#VALUE!</v>
      </c>
      <c r="AY162">
        <f>HLOOKUP(AU162,BSFC!F$63:Q$63,1)</f>
        <v>7000</v>
      </c>
      <c r="AZ162">
        <f>IF(AT162&gt;0,MATCH(AT162,BSFC!A$64:A$83,0),IF(AT162&lt;=0,0))</f>
        <v>0</v>
      </c>
      <c r="BA162">
        <f>MATCH(AU162,BSFC!C$63:Q$63,0)</f>
        <v>14</v>
      </c>
      <c r="BB162" t="b" cm="1">
        <f t="array" ref="BB162">IF(AZ162&gt;0,INDEX(BSFC!C$64:Q$83,Data!AZ162,Data!BA162))</f>
        <v>0</v>
      </c>
      <c r="BC162">
        <f>0.5*'Vehicle Data'!C$6*Data!Z162^2</f>
        <v>16613.954999999998</v>
      </c>
      <c r="BD162">
        <f t="shared" si="94"/>
        <v>4.5128988985244041</v>
      </c>
      <c r="BE162">
        <v>0</v>
      </c>
      <c r="BF162">
        <f t="shared" si="115"/>
        <v>0</v>
      </c>
      <c r="BG162">
        <f t="shared" si="95"/>
        <v>39.12459735952649</v>
      </c>
      <c r="BH162">
        <f t="shared" si="118"/>
        <v>-4770.4910646423132</v>
      </c>
      <c r="BI162" s="148">
        <f t="shared" si="96"/>
        <v>6871.6622130335309</v>
      </c>
      <c r="BO162">
        <f t="shared" si="97"/>
        <v>-1311.4851937430972</v>
      </c>
      <c r="BP162">
        <f t="shared" si="98"/>
        <v>121582.19745286075</v>
      </c>
      <c r="BQ162">
        <f t="shared" si="99"/>
        <v>183446.54104748223</v>
      </c>
      <c r="BR162" s="148">
        <f t="shared" si="100"/>
        <v>273250.66431712115</v>
      </c>
      <c r="BS162" s="156" t="b">
        <f t="shared" si="101"/>
        <v>0</v>
      </c>
      <c r="BT162" s="156">
        <f t="shared" si="102"/>
        <v>0</v>
      </c>
      <c r="BU162">
        <f t="shared" si="103"/>
        <v>1889.1311453432347</v>
      </c>
      <c r="BV162">
        <f t="shared" si="104"/>
        <v>1889.1311453432347</v>
      </c>
      <c r="BW162" s="148">
        <f t="shared" si="105"/>
        <v>455.4</v>
      </c>
      <c r="BX162" s="148">
        <f t="shared" si="106"/>
        <v>3129354.9718154697</v>
      </c>
      <c r="BY162" s="148">
        <f t="shared" si="107"/>
        <v>0.23897508988591917</v>
      </c>
      <c r="BZ162">
        <f t="shared" si="90"/>
        <v>39.489940680885709</v>
      </c>
      <c r="CB162">
        <f t="shared" si="108"/>
        <v>1889.1311453432347</v>
      </c>
      <c r="CC162" s="162">
        <f t="shared" si="91"/>
        <v>7044.6329073463821</v>
      </c>
      <c r="CD162">
        <f t="shared" si="116"/>
        <v>89072.182790613166</v>
      </c>
    </row>
    <row r="163" spans="3:82" x14ac:dyDescent="0.2">
      <c r="D163" s="22">
        <f t="shared" si="81"/>
        <v>0</v>
      </c>
      <c r="E163" s="23">
        <v>8.7859025581052563</v>
      </c>
      <c r="F163" s="23">
        <f>IF(K163&lt;6,1,IF(Data!K163&lt;9,2,IF(K163&gt;9,3)))</f>
        <v>3</v>
      </c>
      <c r="G163" s="23">
        <v>1017.688029236424</v>
      </c>
      <c r="H163" s="23">
        <v>218.91666499999999</v>
      </c>
      <c r="I163" s="64">
        <v>46.805089061004523</v>
      </c>
      <c r="J163" s="65">
        <f t="shared" si="82"/>
        <v>2.0807715018382558</v>
      </c>
      <c r="K163" s="65">
        <f t="shared" si="83"/>
        <v>18.722035624401808</v>
      </c>
      <c r="L163" s="65">
        <f t="shared" si="84"/>
        <v>0.83230860073534496</v>
      </c>
      <c r="M163">
        <f t="shared" si="85"/>
        <v>17.571805116210513</v>
      </c>
      <c r="N163">
        <v>0</v>
      </c>
      <c r="O163">
        <f>IF(L163&lt;'Vehicle Data'!F$21,'Vehicle Data'!C$21,IF(L163&gt;'Vehicle Data'!C$21,'Vehicle Data'!C$20))</f>
        <v>0.6</v>
      </c>
      <c r="P163">
        <f>('Vehicle Data'!C$6*9.81*'Vehicle Data'!C$5*SIN(D163))/'Vehicle Data'!C$9</f>
        <v>0</v>
      </c>
      <c r="Q163" s="107">
        <f>'Vehicle Data'!C$6*9.81*SIN(D163)</f>
        <v>0</v>
      </c>
      <c r="R163">
        <f t="shared" si="80"/>
        <v>1015.346340547163</v>
      </c>
      <c r="S163">
        <f>IF(Data!O163=0.6,'Vehicle Data'!E$21,IF(Data!O163 = 0.9,'Vehicle Data'!E$20))+(P163*O163)</f>
        <v>1550.3723999999997</v>
      </c>
      <c r="T163">
        <f>IF(F163=3,'Vehicle Data'!H$16,IF(F163=2,'Vehicle Data'!H$15,IF(F163 = 1,'Vehicle Data'!G$14)))</f>
        <v>466.23005239380637</v>
      </c>
      <c r="U163" s="148">
        <f t="shared" si="87"/>
        <v>299.20785842384691</v>
      </c>
      <c r="V163" s="70" t="s">
        <v>77</v>
      </c>
      <c r="W163" s="99" t="s">
        <v>84</v>
      </c>
      <c r="X163">
        <f>IF(V163="S",'Vehicle Data'!C$14,IF(Data!V163 = "T1",'Vehicle Data'!P$2,IF(Data!V163="T2",'Vehicle Data'!P$3)))</f>
        <v>13.411199999999999</v>
      </c>
      <c r="Z163">
        <v>8.5</v>
      </c>
      <c r="AB163" t="b">
        <f>IF(AA163=1,'Vehicle Data'!I$14,IF(AA163=2,'Vehicle Data'!I$15,IF(AA163=3,'Vehicle Data'!I$16)))</f>
        <v>0</v>
      </c>
      <c r="AC163">
        <f>IF(Z163&lt;'Vehicle Data'!C$16,'Vehicle Data'!I$15,IF(Z163&lt;'Vehicle Data'!C$15,'Vehicle Data'!I$15,IF(Z162&gt;'Vehicle Data'!C$15,'Vehicle Data'!I$16)))</f>
        <v>0.98256251041858167</v>
      </c>
      <c r="AD163">
        <f>IF(O163=0.6,'Vehicle Data'!F$21,IF(O163=0.9,'Vehicle Data'!F$20))</f>
        <v>3.5315999999999996</v>
      </c>
      <c r="AE163" s="100">
        <f t="shared" si="88"/>
        <v>0.98256251041858167</v>
      </c>
      <c r="AF163" s="158">
        <f t="shared" si="110"/>
        <v>0.27491618283566183</v>
      </c>
      <c r="AG163" s="148">
        <f t="shared" si="92"/>
        <v>-0.72749446008260055</v>
      </c>
      <c r="AH163" s="148">
        <f t="shared" si="111"/>
        <v>39.76485686372137</v>
      </c>
      <c r="AJ163">
        <f>(Z163^2)*'Vehicle Data'!C$31</f>
        <v>26.551875000000006</v>
      </c>
      <c r="AK163">
        <f>IF(O163=0.6,'Vehicle Data'!C$6*'Vehicle Data'!D$21*9.81,IF(O163=0.9,'Vehicle Data'!C$6*9.81*'Vehicle Data'!D$20))</f>
        <v>86.131799999999998</v>
      </c>
      <c r="AL163">
        <f t="shared" si="89"/>
        <v>112.68367500000001</v>
      </c>
      <c r="AN163">
        <f>IF(AG163&lt;0,AG163*'Vehicle Data'!C$6)</f>
        <v>-319.37006797626162</v>
      </c>
      <c r="AO163">
        <f t="shared" si="93"/>
        <v>-206.68639297626163</v>
      </c>
      <c r="AP163">
        <f>AO163*'Vehicle Data'!F$3</f>
        <v>-52.829042044732468</v>
      </c>
      <c r="AQ163">
        <f>IF(AE163='Vehicle Data'!I$15,AP163/'Vehicle Data'!G$15,IF(AE163='Vehicle Data'!I$16,AP163/'Vehicle Data'!G$16,IF(AE163='Vehicle Data'!I$14,Data!AP163/'Vehicle Data'!G174)))</f>
        <v>-6.5449928025456776</v>
      </c>
      <c r="AR163">
        <f>IF(Z163&lt;'Vehicle Data'!C$16, Z163*'Vehicle Data'!F$7*'Vehicle Data'!G$14,IF(Z163&lt;'Vehicle Data'!C$15,Z163*'Vehicle Data'!F$7*'Vehicle Data'!G$15,IF(Z163&gt;'Vehicle Data'!C$15,Z163*'Vehicle Data'!F$7*'Vehicle Data'!G$16)))</f>
        <v>110.18518518518519</v>
      </c>
      <c r="AS163">
        <f t="shared" si="112"/>
        <v>6611.1111111111113</v>
      </c>
      <c r="AT163">
        <f t="shared" si="117"/>
        <v>-7</v>
      </c>
      <c r="AU163">
        <v>5500</v>
      </c>
      <c r="AW163" t="e">
        <f>VLOOKUP(AT163,BSFC!A$64:A$82,1,FALSE)</f>
        <v>#N/A</v>
      </c>
      <c r="AX163" t="e" cm="1">
        <f t="array" ref="AX163">_xlfn.XLOOKUP(AT163,BSFC!A$64:A$82,,-1,_xlfn.XLOOKUP(Data!AU163,BSFC!C$63:Q$63,BSFC!B$64:Q$82,,-1))</f>
        <v>#VALUE!</v>
      </c>
      <c r="AY163">
        <f>HLOOKUP(AU163,BSFC!F$63:Q$63,1)</f>
        <v>5500</v>
      </c>
      <c r="AZ163">
        <f>IF(AT163&gt;0,MATCH(AT163,BSFC!A$64:A$83,0),IF(AT163&lt;=0,0))</f>
        <v>0</v>
      </c>
      <c r="BA163">
        <f>MATCH(AU163,BSFC!C$63:Q$63,0)</f>
        <v>11</v>
      </c>
      <c r="BB163" t="b" cm="1">
        <f t="array" ref="BB163">IF(AZ163&gt;0,INDEX(BSFC!C$64:Q$83,Data!AZ163,Data!BA163))</f>
        <v>0</v>
      </c>
      <c r="BC163">
        <f>0.5*'Vehicle Data'!C$6*Data!Z163^2</f>
        <v>15858.875</v>
      </c>
      <c r="BD163">
        <f t="shared" si="94"/>
        <v>0.97991643923965732</v>
      </c>
      <c r="BE163">
        <v>0</v>
      </c>
      <c r="BF163">
        <f t="shared" si="115"/>
        <v>0</v>
      </c>
      <c r="BG163">
        <f t="shared" si="95"/>
        <v>39.12459735952649</v>
      </c>
      <c r="BH163">
        <f t="shared" si="118"/>
        <v>-4512.8988985244041</v>
      </c>
      <c r="BI163" s="148">
        <f t="shared" si="96"/>
        <v>6871.6622130335309</v>
      </c>
      <c r="BO163">
        <f t="shared" si="97"/>
        <v>-1258.0719412444025</v>
      </c>
      <c r="BP163">
        <f t="shared" si="98"/>
        <v>120324.12551161635</v>
      </c>
      <c r="BQ163">
        <f t="shared" si="99"/>
        <v>183446.54104748223</v>
      </c>
      <c r="BR163" s="148">
        <f t="shared" si="100"/>
        <v>275166.29451720242</v>
      </c>
      <c r="BS163" s="156" t="b">
        <f t="shared" si="101"/>
        <v>0</v>
      </c>
      <c r="BT163" s="156">
        <f t="shared" si="102"/>
        <v>0</v>
      </c>
      <c r="BU163">
        <f t="shared" si="103"/>
        <v>1915.6302000812821</v>
      </c>
      <c r="BV163">
        <f t="shared" si="104"/>
        <v>1915.6302000812821</v>
      </c>
      <c r="BW163" s="148">
        <f t="shared" si="105"/>
        <v>455.4</v>
      </c>
      <c r="BX163" s="148">
        <f t="shared" si="106"/>
        <v>3129354.9718154697</v>
      </c>
      <c r="BY163" s="148">
        <f t="shared" si="107"/>
        <v>0.24232722031028214</v>
      </c>
      <c r="BZ163">
        <f t="shared" si="90"/>
        <v>39.76485686372137</v>
      </c>
      <c r="CB163">
        <f t="shared" si="108"/>
        <v>1915.6302000812821</v>
      </c>
      <c r="CC163" s="162">
        <f t="shared" si="91"/>
        <v>6968.0517906303385</v>
      </c>
      <c r="CD163">
        <f t="shared" si="116"/>
        <v>90987.812990694452</v>
      </c>
    </row>
    <row r="164" spans="3:82" ht="16" thickBot="1" x14ac:dyDescent="0.25">
      <c r="D164" s="22">
        <f t="shared" si="81"/>
        <v>0</v>
      </c>
      <c r="E164" s="23">
        <v>8.7017056000000004</v>
      </c>
      <c r="F164" s="23">
        <f>IF(K164&lt;6,1,IF(Data!K164&lt;9,2,IF(K164&gt;9,3)))</f>
        <v>3</v>
      </c>
      <c r="G164" s="23">
        <v>1020.035583209474</v>
      </c>
      <c r="H164" s="23">
        <v>218.96666499999998</v>
      </c>
      <c r="I164" s="64">
        <v>46.9091276360964</v>
      </c>
      <c r="J164" s="65">
        <f t="shared" si="82"/>
        <v>1.7688896235191252</v>
      </c>
      <c r="K164" s="65">
        <f t="shared" si="83"/>
        <v>18.763651054438562</v>
      </c>
      <c r="L164" s="65">
        <f t="shared" si="84"/>
        <v>0.70755584940760741</v>
      </c>
      <c r="M164">
        <f t="shared" si="85"/>
        <v>17.403411200000001</v>
      </c>
      <c r="N164">
        <v>0</v>
      </c>
      <c r="O164">
        <f>IF(L164&lt;'Vehicle Data'!F$21,'Vehicle Data'!C$21,IF(L164&gt;'Vehicle Data'!C$21,'Vehicle Data'!C$20))</f>
        <v>0.6</v>
      </c>
      <c r="P164">
        <f>('Vehicle Data'!C$6*9.81*'Vehicle Data'!C$5*SIN(D164))/'Vehicle Data'!C$9</f>
        <v>0</v>
      </c>
      <c r="Q164" s="107">
        <f>'Vehicle Data'!C$6*9.81*SIN(D164)</f>
        <v>0</v>
      </c>
      <c r="R164">
        <f t="shared" si="80"/>
        <v>1017.688029236424</v>
      </c>
      <c r="S164">
        <f>IF(Data!O164=0.6,'Vehicle Data'!E$21,IF(Data!O164 = 0.9,'Vehicle Data'!E$20))+(P164*O164)</f>
        <v>1550.3723999999997</v>
      </c>
      <c r="T164">
        <f>IF(F164=3,'Vehicle Data'!H$16,IF(F164=2,'Vehicle Data'!H$15,IF(F164 = 1,'Vehicle Data'!G$14)))</f>
        <v>466.23005239380637</v>
      </c>
      <c r="U164" s="148">
        <f t="shared" si="87"/>
        <v>301.54954711310791</v>
      </c>
      <c r="V164" s="70" t="s">
        <v>77</v>
      </c>
      <c r="W164" s="99" t="s">
        <v>84</v>
      </c>
      <c r="X164">
        <f>IF(V164="S",'Vehicle Data'!C$14,IF(Data!V164 = "T1",'Vehicle Data'!P$2,IF(Data!V164="T2",'Vehicle Data'!P$3)))</f>
        <v>13.411199999999999</v>
      </c>
      <c r="Z164">
        <v>8.4</v>
      </c>
      <c r="AB164" t="b">
        <f>IF(AA164=1,'Vehicle Data'!I$14,IF(AA164=2,'Vehicle Data'!I$15,IF(AA164=3,'Vehicle Data'!I$16)))</f>
        <v>0</v>
      </c>
      <c r="AC164">
        <f>IF(Z164&lt;'Vehicle Data'!C$16,'Vehicle Data'!I$15,IF(Z164&lt;'Vehicle Data'!C$15,'Vehicle Data'!I$15,IF(Z163&gt;'Vehicle Data'!C$15,'Vehicle Data'!I$16)))</f>
        <v>0.98256251041858167</v>
      </c>
      <c r="AD164">
        <f>IF(O164=0.6,'Vehicle Data'!F$21,IF(O164=0.9,'Vehicle Data'!F$20))</f>
        <v>3.5315999999999996</v>
      </c>
      <c r="AE164" s="100">
        <f t="shared" si="88"/>
        <v>0.98256251041858167</v>
      </c>
      <c r="AF164" s="158">
        <f t="shared" si="110"/>
        <v>0.27877246300726083</v>
      </c>
      <c r="AG164" s="148">
        <f t="shared" si="92"/>
        <v>-0.3587154876103924</v>
      </c>
      <c r="AH164" s="148">
        <f t="shared" si="111"/>
        <v>40.043629326728627</v>
      </c>
      <c r="AJ164">
        <f>(Z164^2)*'Vehicle Data'!C$31</f>
        <v>25.930800000000009</v>
      </c>
      <c r="AK164">
        <f>IF(O164=0.6,'Vehicle Data'!C$6*'Vehicle Data'!D$21*9.81,IF(O164=0.9,'Vehicle Data'!C$6*9.81*'Vehicle Data'!D$20))</f>
        <v>86.131799999999998</v>
      </c>
      <c r="AL164">
        <f t="shared" si="89"/>
        <v>112.0626</v>
      </c>
      <c r="AN164">
        <f>IF(AG164&lt;0,AG164*'Vehicle Data'!C$6)</f>
        <v>-157.47609906096227</v>
      </c>
      <c r="AO164">
        <f t="shared" si="93"/>
        <v>-45.413499060962266</v>
      </c>
      <c r="AP164">
        <f>AO164*'Vehicle Data'!F$3</f>
        <v>-11.607690359981955</v>
      </c>
      <c r="AQ164">
        <f>IF(AE164='Vehicle Data'!I$15,AP164/'Vehicle Data'!G$15,IF(AE164='Vehicle Data'!I$16,AP164/'Vehicle Data'!G$16,IF(AE164='Vehicle Data'!I$14,Data!AP164/'Vehicle Data'!G175)))</f>
        <v>-1.4380773703208927</v>
      </c>
      <c r="AR164">
        <f>IF(Z164&lt;'Vehicle Data'!C$16, Z164*'Vehicle Data'!F$7*'Vehicle Data'!G$14,IF(Z164&lt;'Vehicle Data'!C$15,Z164*'Vehicle Data'!F$7*'Vehicle Data'!G$15,IF(Z164&gt;'Vehicle Data'!C$15,Z164*'Vehicle Data'!F$7*'Vehicle Data'!G$16)))</f>
        <v>108.8888888888889</v>
      </c>
      <c r="AS164">
        <f t="shared" si="112"/>
        <v>6533.3333333333339</v>
      </c>
      <c r="AT164">
        <f t="shared" si="117"/>
        <v>-1</v>
      </c>
      <c r="AU164">
        <f t="shared" si="113"/>
        <v>6500</v>
      </c>
      <c r="AW164" t="e">
        <f>VLOOKUP(AT164,BSFC!A$64:A$82,1,FALSE)</f>
        <v>#N/A</v>
      </c>
      <c r="AX164" t="e" cm="1">
        <f t="array" ref="AX164">_xlfn.XLOOKUP(AT164,BSFC!A$64:A$82,,-1,_xlfn.XLOOKUP(Data!AU164,BSFC!C$63:Q$63,BSFC!B$64:Q$82,,-1))</f>
        <v>#VALUE!</v>
      </c>
      <c r="AY164">
        <f>HLOOKUP(AU164,BSFC!F$63:Q$63,1)</f>
        <v>6500</v>
      </c>
      <c r="AZ164">
        <f>IF(AT164&gt;0,MATCH(AT164,BSFC!A$64:A$83,0),IF(AT164&lt;=0,0))</f>
        <v>0</v>
      </c>
      <c r="BA164">
        <f>MATCH(AU164,BSFC!C$63:Q$63,0)</f>
        <v>13</v>
      </c>
      <c r="BB164" t="b" cm="1">
        <f t="array" ref="BB164">IF(AZ164&gt;0,INDEX(BSFC!C$64:Q$83,Data!AZ164,Data!BA164))</f>
        <v>0</v>
      </c>
      <c r="BC164">
        <f>0.5*'Vehicle Data'!C$6*Data!Z164^2</f>
        <v>15487.92</v>
      </c>
      <c r="BD164">
        <f t="shared" si="94"/>
        <v>13.465906457145509</v>
      </c>
      <c r="BE164">
        <v>0</v>
      </c>
      <c r="BF164">
        <f t="shared" si="115"/>
        <v>0</v>
      </c>
      <c r="BG164">
        <f t="shared" si="95"/>
        <v>39.12459735952649</v>
      </c>
      <c r="BH164">
        <f t="shared" si="118"/>
        <v>-979.91643923965728</v>
      </c>
      <c r="BI164" s="148">
        <f t="shared" si="96"/>
        <v>6871.6622130335309</v>
      </c>
      <c r="BO164">
        <f t="shared" si="97"/>
        <v>-277.15743737278211</v>
      </c>
      <c r="BP164">
        <f t="shared" si="98"/>
        <v>120046.96807424357</v>
      </c>
      <c r="BQ164">
        <f t="shared" si="99"/>
        <v>183446.54104748223</v>
      </c>
      <c r="BR164" s="148">
        <f t="shared" si="100"/>
        <v>277109.86053282465</v>
      </c>
      <c r="BS164" s="156" t="b">
        <f t="shared" si="101"/>
        <v>0</v>
      </c>
      <c r="BT164" s="156">
        <f t="shared" si="102"/>
        <v>0</v>
      </c>
      <c r="BU164">
        <f t="shared" si="103"/>
        <v>1943.5660156222407</v>
      </c>
      <c r="BV164">
        <f t="shared" si="104"/>
        <v>1943.5660156222407</v>
      </c>
      <c r="BW164" s="148">
        <f t="shared" si="105"/>
        <v>455.4</v>
      </c>
      <c r="BX164" s="148">
        <f t="shared" si="106"/>
        <v>3129354.9718154697</v>
      </c>
      <c r="BY164" s="148">
        <f t="shared" si="107"/>
        <v>0.24586110097621344</v>
      </c>
      <c r="BZ164">
        <f t="shared" si="90"/>
        <v>40.043629326728627</v>
      </c>
      <c r="CB164">
        <f t="shared" si="108"/>
        <v>1943.5660156222407</v>
      </c>
      <c r="CC164" s="162">
        <f t="shared" si="91"/>
        <v>6971.8723099693052</v>
      </c>
      <c r="CD164">
        <f t="shared" si="116"/>
        <v>92931.379006316696</v>
      </c>
    </row>
    <row r="165" spans="3:82" x14ac:dyDescent="0.2">
      <c r="D165" s="22">
        <f t="shared" si="81"/>
        <v>4.2416007791779613E-2</v>
      </c>
      <c r="E165" s="23">
        <v>8.6999999999999993</v>
      </c>
      <c r="F165" s="23">
        <f>IF(K165&lt;6,1,IF(Data!K165&lt;9,2,IF(K165&gt;9,3)))</f>
        <v>3</v>
      </c>
      <c r="G165" s="23">
        <v>1022.3895581216832</v>
      </c>
      <c r="H165" s="23">
        <v>219.01666499999999</v>
      </c>
      <c r="I165" s="64">
        <v>46.997572117272377</v>
      </c>
      <c r="J165" s="65">
        <f t="shared" si="82"/>
        <v>1.3397314169050185</v>
      </c>
      <c r="K165" s="65">
        <f t="shared" si="83"/>
        <v>18.79902884690895</v>
      </c>
      <c r="L165" s="65">
        <f t="shared" si="84"/>
        <v>0.53589256676199315</v>
      </c>
      <c r="M165">
        <f t="shared" si="85"/>
        <v>17.399999999999999</v>
      </c>
      <c r="N165">
        <f t="shared" si="86"/>
        <v>0.10000000000000142</v>
      </c>
      <c r="O165">
        <f>IF(L165&lt;'Vehicle Data'!F$21,'Vehicle Data'!C$21,IF(L165&gt;'Vehicle Data'!C$21,'Vehicle Data'!C$20))</f>
        <v>0.6</v>
      </c>
      <c r="P165">
        <f>('Vehicle Data'!C$6*9.81*'Vehicle Data'!C$5*SIN(D165))/'Vehicle Data'!C$9</f>
        <v>28.23921437278862</v>
      </c>
      <c r="Q165" s="107">
        <f>'Vehicle Data'!C$6*9.81*SIN(D165)</f>
        <v>182.61358627736641</v>
      </c>
      <c r="R165" s="101">
        <f t="shared" si="80"/>
        <v>1020.035583209474</v>
      </c>
      <c r="S165" s="101">
        <f>IF(Data!O165=0.6,'Vehicle Data'!E$21,IF(Data!O165 = 0.9,'Vehicle Data'!E$20))+(P165*O165)</f>
        <v>1567.315928623673</v>
      </c>
      <c r="T165" s="101">
        <f>IF(F165=3,'Vehicle Data'!H$16,IF(F165=2,'Vehicle Data'!H$15,IF(F165 = 1,'Vehicle Data'!G$14)))</f>
        <v>466.23005239380637</v>
      </c>
      <c r="U165" s="148">
        <f t="shared" si="87"/>
        <v>303.89710108615793</v>
      </c>
      <c r="V165" s="102" t="s">
        <v>77</v>
      </c>
      <c r="W165" s="103" t="s">
        <v>84</v>
      </c>
      <c r="X165" s="101">
        <f>IF(V165="S",'Vehicle Data'!C$14,IF(Data!V165 = "T1",'Vehicle Data'!P$2,IF(Data!V165="T2",'Vehicle Data'!P$3)))</f>
        <v>13.411199999999999</v>
      </c>
      <c r="Y165" s="101"/>
      <c r="Z165" s="104">
        <v>8.3000000000000007</v>
      </c>
      <c r="AA165" s="101"/>
      <c r="AB165" s="101" t="b">
        <f>IF(AA165=1,'Vehicle Data'!I$14,IF(AA165=2,'Vehicle Data'!I$15,IF(AA165=3,'Vehicle Data'!I$16)))</f>
        <v>0</v>
      </c>
      <c r="AC165" s="101">
        <f>IF(Z165&lt;'Vehicle Data'!C$16,'Vehicle Data'!I$15,IF(Z165&lt;'Vehicle Data'!C$15,'Vehicle Data'!I$15,IF(Z164&gt;'Vehicle Data'!C$15,'Vehicle Data'!I$16)))</f>
        <v>0.98256251041858167</v>
      </c>
      <c r="AD165">
        <f>IF(O165=0.6,'Vehicle Data'!F$21,IF(O165=0.9,'Vehicle Data'!F$20))</f>
        <v>3.5315999999999996</v>
      </c>
      <c r="AE165" s="101">
        <f>(Data!H$15-Data!Q165)/'Vehicle Data'!C$6</f>
        <v>6.5838448115338455E-2</v>
      </c>
      <c r="AF165" s="158">
        <f t="shared" si="110"/>
        <v>0.28283782807831637</v>
      </c>
      <c r="AG165" s="148">
        <f t="shared" si="92"/>
        <v>-0.35355949619408811</v>
      </c>
      <c r="AH165" s="148">
        <f t="shared" si="111"/>
        <v>40.326467154806942</v>
      </c>
      <c r="AI165" s="101"/>
      <c r="AJ165" s="101">
        <f>(Z165^2)*'Vehicle Data'!C$31</f>
        <v>25.317075000000013</v>
      </c>
      <c r="AK165" s="101">
        <f>IF(O165=0.6,'Vehicle Data'!C$6*'Vehicle Data'!D$21*9.81,IF(O165=0.9,'Vehicle Data'!C$6*9.81*'Vehicle Data'!D$20))</f>
        <v>86.131799999999998</v>
      </c>
      <c r="AL165" s="101">
        <f t="shared" si="89"/>
        <v>294.06246127736642</v>
      </c>
      <c r="AM165" s="101"/>
      <c r="AN165">
        <f>IF(AG165&lt;0,AG165*'Vehicle Data'!C$6)</f>
        <v>-155.21261882920467</v>
      </c>
      <c r="AO165" s="101">
        <f t="shared" si="93"/>
        <v>138.84984244816175</v>
      </c>
      <c r="AP165" s="101">
        <f>AO165*'Vehicle Data'!F$3</f>
        <v>35.490019729750145</v>
      </c>
      <c r="AQ165">
        <v>20</v>
      </c>
      <c r="AR165">
        <f>IF(Z165&lt;'Vehicle Data'!C$16, Z165*'Vehicle Data'!F$7*'Vehicle Data'!G$14,IF(Z165&lt;'Vehicle Data'!C$15,Z165*'Vehicle Data'!F$7*'Vehicle Data'!G$15,IF(Z165&gt;'Vehicle Data'!C$15,Z165*'Vehicle Data'!F$7*'Vehicle Data'!G$16)))</f>
        <v>107.59259259259261</v>
      </c>
      <c r="AS165">
        <f t="shared" si="112"/>
        <v>6455.5555555555566</v>
      </c>
      <c r="AT165">
        <f t="shared" si="117"/>
        <v>20</v>
      </c>
      <c r="AU165">
        <f t="shared" si="113"/>
        <v>6500</v>
      </c>
      <c r="AW165">
        <f>VLOOKUP(AT165,BSFC!A$64:A$82,1,FALSE)</f>
        <v>20</v>
      </c>
      <c r="AX165" t="e" cm="1">
        <f t="array" ref="AX165">_xlfn.XLOOKUP(AT165,BSFC!A$64:A$82,,-1,_xlfn.XLOOKUP(Data!AU165,BSFC!C$63:Q$63,BSFC!B$64:Q$82,,-1))</f>
        <v>#VALUE!</v>
      </c>
      <c r="AY165">
        <f>HLOOKUP(AU165,BSFC!F$63:Q$63,1)</f>
        <v>6500</v>
      </c>
      <c r="AZ165">
        <f>IF(AT165&gt;0,MATCH(AT165,BSFC!A$64:A$83,0),IF(AT165&lt;=0,0))</f>
        <v>3</v>
      </c>
      <c r="BA165">
        <f>MATCH(AU165,BSFC!C$63:Q$63,0)</f>
        <v>13</v>
      </c>
      <c r="BB165" cm="1">
        <f t="array" ref="BB165">IF(AZ165&gt;0,INDEX(BSFC!C$64:Q$83,Data!AZ165,Data!BA165))</f>
        <v>494.7</v>
      </c>
      <c r="BC165">
        <f>0.5*'Vehicle Data'!C$6*Data!Z165^2</f>
        <v>15121.355000000003</v>
      </c>
      <c r="BD165">
        <f t="shared" si="94"/>
        <v>13.465906457145509</v>
      </c>
      <c r="BE165">
        <f t="shared" si="114"/>
        <v>6661.5839243498831</v>
      </c>
      <c r="BF165">
        <f t="shared" si="115"/>
        <v>0.52337442464570783</v>
      </c>
      <c r="BG165">
        <f t="shared" si="95"/>
        <v>39.647971784172199</v>
      </c>
      <c r="BH165">
        <f t="shared" si="118"/>
        <v>13465.906457145509</v>
      </c>
      <c r="BI165" s="148">
        <f t="shared" si="96"/>
        <v>6871.6622130335309</v>
      </c>
      <c r="BO165">
        <f t="shared" si="97"/>
        <v>3819.085056659801</v>
      </c>
      <c r="BP165">
        <f t="shared" si="98"/>
        <v>123866.05313090337</v>
      </c>
      <c r="BQ165">
        <f t="shared" si="99"/>
        <v>187265.62610414202</v>
      </c>
      <c r="BR165" s="148">
        <f t="shared" si="100"/>
        <v>279058.74251531344</v>
      </c>
      <c r="BS165" s="156">
        <f t="shared" si="101"/>
        <v>3819.085056659801</v>
      </c>
      <c r="BT165" s="156">
        <f t="shared" si="102"/>
        <v>13465.906457145509</v>
      </c>
      <c r="BU165">
        <f t="shared" si="103"/>
        <v>1948.8819824887778</v>
      </c>
      <c r="BV165">
        <f t="shared" si="104"/>
        <v>1948.8819824887778</v>
      </c>
      <c r="BW165" s="148">
        <f t="shared" si="105"/>
        <v>455.4</v>
      </c>
      <c r="BX165" s="148">
        <f t="shared" si="106"/>
        <v>3129354.9718154697</v>
      </c>
      <c r="BY165" s="148">
        <f t="shared" si="107"/>
        <v>0.24653357078483037</v>
      </c>
      <c r="BZ165">
        <f t="shared" si="90"/>
        <v>40.326467154806942</v>
      </c>
      <c r="CB165">
        <f t="shared" si="108"/>
        <v>-1870.2030741710232</v>
      </c>
      <c r="CC165" s="162">
        <f t="shared" si="91"/>
        <v>-6612.280566845493</v>
      </c>
      <c r="CD165">
        <f t="shared" si="116"/>
        <v>91061.175932145678</v>
      </c>
    </row>
    <row r="166" spans="3:82" x14ac:dyDescent="0.2">
      <c r="D166" s="22">
        <f t="shared" si="81"/>
        <v>4.2361521151068129E-2</v>
      </c>
      <c r="E166" s="23">
        <v>8.8000000000000007</v>
      </c>
      <c r="F166" s="23">
        <f>IF(K166&lt;6,1,IF(Data!K166&lt;9,2,IF(K166&gt;9,3)))</f>
        <v>3</v>
      </c>
      <c r="G166" s="23">
        <v>1024.7478656757876</v>
      </c>
      <c r="H166" s="23">
        <v>219.066665</v>
      </c>
      <c r="I166" s="64">
        <v>47.064558688117643</v>
      </c>
      <c r="J166" s="65">
        <f t="shared" si="82"/>
        <v>1.4354312780726908</v>
      </c>
      <c r="K166" s="65">
        <f t="shared" si="83"/>
        <v>18.825823475247056</v>
      </c>
      <c r="L166" s="65">
        <f t="shared" si="84"/>
        <v>0.57417251122911894</v>
      </c>
      <c r="M166">
        <f t="shared" si="85"/>
        <v>17.600000000000001</v>
      </c>
      <c r="N166">
        <f t="shared" si="86"/>
        <v>9.9999999999999645E-2</v>
      </c>
      <c r="O166">
        <f>IF(L166&lt;'Vehicle Data'!F$21,'Vehicle Data'!C$21,IF(L166&gt;'Vehicle Data'!C$21,'Vehicle Data'!C$20))</f>
        <v>0.6</v>
      </c>
      <c r="P166">
        <f>('Vehicle Data'!C$6*9.81*'Vehicle Data'!C$5*SIN(D166))/'Vehicle Data'!C$9</f>
        <v>28.20296063438504</v>
      </c>
      <c r="Q166" s="107">
        <f>'Vehicle Data'!C$6*9.81*SIN(D166)</f>
        <v>182.37914543568991</v>
      </c>
      <c r="R166" s="101">
        <f t="shared" si="80"/>
        <v>1022.3895581216832</v>
      </c>
      <c r="S166" s="101">
        <f>IF(Data!O166=0.6,'Vehicle Data'!E$21,IF(Data!O166 = 0.9,'Vehicle Data'!E$20))+(P166*O166)</f>
        <v>1567.2941763806307</v>
      </c>
      <c r="T166" s="101">
        <f>IF(F166=3,'Vehicle Data'!H$16,IF(F166=2,'Vehicle Data'!H$15,IF(F166 = 1,'Vehicle Data'!G$14)))</f>
        <v>466.23005239380637</v>
      </c>
      <c r="U166" s="148">
        <f t="shared" si="87"/>
        <v>306.25107599836713</v>
      </c>
      <c r="V166" s="102" t="s">
        <v>77</v>
      </c>
      <c r="W166" s="103" t="s">
        <v>84</v>
      </c>
      <c r="X166" s="101">
        <f>IF(V166="S",'Vehicle Data'!C$14,IF(Data!V166 = "T1",'Vehicle Data'!P$2,IF(Data!V166="T2",'Vehicle Data'!P$3)))</f>
        <v>13.411199999999999</v>
      </c>
      <c r="Y166" s="101"/>
      <c r="Z166" s="105">
        <v>8.3000000000000007</v>
      </c>
      <c r="AA166" s="101"/>
      <c r="AB166" s="101" t="b">
        <f>IF(AA166=1,'Vehicle Data'!I$14,IF(AA166=2,'Vehicle Data'!I$15,IF(AA166=3,'Vehicle Data'!I$16)))</f>
        <v>0</v>
      </c>
      <c r="AC166" s="101">
        <f>IF(Z166&lt;'Vehicle Data'!C$16,'Vehicle Data'!I$15,IF(Z166&lt;'Vehicle Data'!C$15,'Vehicle Data'!I$15,IF(Z165&gt;'Vehicle Data'!C$15,'Vehicle Data'!I$16)))</f>
        <v>0.98256251041858167</v>
      </c>
      <c r="AD166">
        <f>IF(O166=0.6,'Vehicle Data'!F$21,IF(O166=0.9,'Vehicle Data'!F$20))</f>
        <v>3.5315999999999996</v>
      </c>
      <c r="AE166" s="101">
        <f>(Data!H$15-Data!Q166)/'Vehicle Data'!C$6</f>
        <v>6.6372481923257592E-2</v>
      </c>
      <c r="AF166" s="158">
        <f t="shared" si="110"/>
        <v>0.28361143520592724</v>
      </c>
      <c r="AG166" s="148">
        <f t="shared" si="92"/>
        <v>0</v>
      </c>
      <c r="AH166" s="148">
        <f t="shared" si="111"/>
        <v>40.610078590012868</v>
      </c>
      <c r="AI166" s="101"/>
      <c r="AJ166" s="101">
        <f>(Z166^2)*'Vehicle Data'!C$31</f>
        <v>25.317075000000013</v>
      </c>
      <c r="AK166" s="101">
        <f>IF(O166=0.6,'Vehicle Data'!C$6*'Vehicle Data'!D$21*9.81,IF(O166=0.9,'Vehicle Data'!C$6*9.81*'Vehicle Data'!D$20))</f>
        <v>86.131799999999998</v>
      </c>
      <c r="AL166" s="101">
        <f t="shared" si="89"/>
        <v>293.82802043568995</v>
      </c>
      <c r="AM166" s="101"/>
      <c r="AN166" t="b">
        <f>IF(AG166&gt;0,AG166*'Vehicle Data'!C$6)</f>
        <v>0</v>
      </c>
      <c r="AO166" s="101">
        <f t="shared" si="93"/>
        <v>293.82802043568995</v>
      </c>
      <c r="AP166" s="101">
        <f>AO166*'Vehicle Data'!F$3</f>
        <v>75.102442023362343</v>
      </c>
      <c r="AQ166">
        <v>20</v>
      </c>
      <c r="AR166">
        <f>IF(Z166&lt;'Vehicle Data'!C$16, Z166*'Vehicle Data'!F$7*'Vehicle Data'!G$14,IF(Z166&lt;'Vehicle Data'!C$15,Z166*'Vehicle Data'!F$7*'Vehicle Data'!G$15,IF(Z166&gt;'Vehicle Data'!C$15,Z166*'Vehicle Data'!F$7*'Vehicle Data'!G$16)))</f>
        <v>107.59259259259261</v>
      </c>
      <c r="AS166">
        <f t="shared" si="112"/>
        <v>6455.5555555555566</v>
      </c>
      <c r="AT166">
        <f t="shared" si="117"/>
        <v>20</v>
      </c>
      <c r="AU166">
        <f t="shared" si="113"/>
        <v>6500</v>
      </c>
      <c r="AW166">
        <f>VLOOKUP(AT166,BSFC!A$64:A$82,1,FALSE)</f>
        <v>20</v>
      </c>
      <c r="AX166" t="e" cm="1">
        <f t="array" ref="AX166">_xlfn.XLOOKUP(AT166,BSFC!A$64:A$82,,-1,_xlfn.XLOOKUP(Data!AU166,BSFC!C$63:Q$63,BSFC!B$64:Q$82,,-1))</f>
        <v>#VALUE!</v>
      </c>
      <c r="AY166">
        <f>HLOOKUP(AU166,BSFC!F$63:Q$63,1)</f>
        <v>6500</v>
      </c>
      <c r="AZ166">
        <f>IF(AT166&gt;0,MATCH(AT166,BSFC!A$64:A$83,0),IF(AT166&lt;=0,0))</f>
        <v>3</v>
      </c>
      <c r="BA166">
        <f>MATCH(AU166,BSFC!C$63:Q$63,0)</f>
        <v>13</v>
      </c>
      <c r="BB166" cm="1">
        <f t="array" ref="BB166">IF(AZ166&gt;0,INDEX(BSFC!C$64:Q$83,Data!AZ166,Data!BA166))</f>
        <v>494.7</v>
      </c>
      <c r="BC166">
        <f>0.5*'Vehicle Data'!C$6*Data!Z166^2</f>
        <v>15121.355000000003</v>
      </c>
      <c r="BD166">
        <f t="shared" si="94"/>
        <v>13.465906457145509</v>
      </c>
      <c r="BE166">
        <f t="shared" si="114"/>
        <v>6661.5839243498831</v>
      </c>
      <c r="BF166">
        <f t="shared" si="115"/>
        <v>0.52480593820266763</v>
      </c>
      <c r="BG166">
        <f t="shared" si="95"/>
        <v>40.172777722374867</v>
      </c>
      <c r="BH166">
        <f t="shared" si="118"/>
        <v>13465.906457145509</v>
      </c>
      <c r="BI166" s="148">
        <f t="shared" si="96"/>
        <v>6871.6622130335309</v>
      </c>
      <c r="BO166">
        <f t="shared" si="97"/>
        <v>3826.1143278011168</v>
      </c>
      <c r="BP166">
        <f t="shared" si="98"/>
        <v>127692.16745870448</v>
      </c>
      <c r="BQ166">
        <f t="shared" si="99"/>
        <v>191091.74043194315</v>
      </c>
      <c r="BR166" s="148">
        <f t="shared" si="100"/>
        <v>281011.21154016291</v>
      </c>
      <c r="BS166" s="156">
        <f t="shared" si="101"/>
        <v>3826.1143278011168</v>
      </c>
      <c r="BT166" s="156">
        <f t="shared" si="102"/>
        <v>13465.906457145509</v>
      </c>
      <c r="BU166">
        <f t="shared" si="103"/>
        <v>1952.4690248494737</v>
      </c>
      <c r="BV166">
        <f t="shared" si="104"/>
        <v>1952.4690248494737</v>
      </c>
      <c r="BW166" s="148">
        <f t="shared" si="105"/>
        <v>455.4</v>
      </c>
      <c r="BX166" s="148">
        <f t="shared" si="106"/>
        <v>3129354.9718154697</v>
      </c>
      <c r="BY166" s="148">
        <f t="shared" si="107"/>
        <v>0.2469873316434584</v>
      </c>
      <c r="BZ166">
        <f t="shared" si="90"/>
        <v>40.610078590012868</v>
      </c>
      <c r="CB166">
        <f t="shared" si="108"/>
        <v>-1873.6453029516431</v>
      </c>
      <c r="CC166" s="162">
        <f t="shared" si="91"/>
        <v>-6606.3813738371</v>
      </c>
      <c r="CD166">
        <f t="shared" si="116"/>
        <v>89187.530629194036</v>
      </c>
    </row>
    <row r="167" spans="3:82" x14ac:dyDescent="0.2">
      <c r="D167" s="22">
        <f t="shared" si="81"/>
        <v>7.203672954430154E-4</v>
      </c>
      <c r="E167" s="23">
        <v>8.9</v>
      </c>
      <c r="F167" s="23">
        <f>IF(K167&lt;6,1,IF(Data!K167&lt;9,2,IF(K167&gt;9,3)))</f>
        <v>3</v>
      </c>
      <c r="G167" s="23">
        <v>1027.109204736628</v>
      </c>
      <c r="H167" s="23">
        <v>219.11666499999998</v>
      </c>
      <c r="I167" s="64">
        <v>47.136330252021253</v>
      </c>
      <c r="J167" s="65">
        <f t="shared" si="82"/>
        <v>1.6751852609225637</v>
      </c>
      <c r="K167" s="65">
        <f t="shared" si="83"/>
        <v>18.854532100808502</v>
      </c>
      <c r="L167" s="65">
        <f t="shared" si="84"/>
        <v>0.67007410436899706</v>
      </c>
      <c r="M167">
        <f t="shared" si="85"/>
        <v>17.8</v>
      </c>
      <c r="N167">
        <f t="shared" si="86"/>
        <v>1.7031999999996827E-3</v>
      </c>
      <c r="O167">
        <f>IF(L167&lt;'Vehicle Data'!F$21,'Vehicle Data'!C$21,IF(L167&gt;'Vehicle Data'!C$21,'Vehicle Data'!C$20))</f>
        <v>0.6</v>
      </c>
      <c r="P167">
        <f>('Vehicle Data'!C$6*9.81*'Vehicle Data'!C$5*SIN(D167))/'Vehicle Data'!C$9</f>
        <v>0.47974118390217263</v>
      </c>
      <c r="Q167" s="107">
        <f>'Vehicle Data'!C$6*9.81*SIN(D167)</f>
        <v>3.1023263225673827</v>
      </c>
      <c r="R167" s="101">
        <f t="shared" si="80"/>
        <v>1024.7478656757876</v>
      </c>
      <c r="S167" s="101">
        <f>IF(Data!O167=0.6,'Vehicle Data'!E$21,IF(Data!O167 = 0.9,'Vehicle Data'!E$20))+(P167*O167)</f>
        <v>1550.660244710341</v>
      </c>
      <c r="T167" s="101">
        <f>IF(F167=3,'Vehicle Data'!H$16,IF(F167=2,'Vehicle Data'!H$15,IF(F167 = 1,'Vehicle Data'!G$14)))</f>
        <v>466.23005239380637</v>
      </c>
      <c r="U167" s="148">
        <f t="shared" si="87"/>
        <v>308.60938355247151</v>
      </c>
      <c r="V167" s="102" t="s">
        <v>77</v>
      </c>
      <c r="W167" s="103" t="s">
        <v>84</v>
      </c>
      <c r="X167" s="101">
        <f>IF(V167="S",'Vehicle Data'!C$14,IF(Data!V167 = "T1",'Vehicle Data'!P$2,IF(Data!V167="T2",'Vehicle Data'!P$3)))</f>
        <v>13.411199999999999</v>
      </c>
      <c r="Y167" s="101"/>
      <c r="Z167" s="105">
        <v>8.3000000000000007</v>
      </c>
      <c r="AA167" s="101"/>
      <c r="AB167" s="101" t="b">
        <f>IF(AA167=1,'Vehicle Data'!I$14,IF(AA167=2,'Vehicle Data'!I$15,IF(AA167=3,'Vehicle Data'!I$16)))</f>
        <v>0</v>
      </c>
      <c r="AC167" s="101">
        <f>IF(Z167&lt;'Vehicle Data'!C$16,'Vehicle Data'!I$15,IF(Z167&lt;'Vehicle Data'!C$15,'Vehicle Data'!I$15,IF(Z166&gt;'Vehicle Data'!C$15,'Vehicle Data'!I$16)))</f>
        <v>0.98256251041858167</v>
      </c>
      <c r="AD167">
        <f>IF(O167=0.6,'Vehicle Data'!F$21,IF(O167=0.9,'Vehicle Data'!F$20))</f>
        <v>3.5315999999999996</v>
      </c>
      <c r="AE167" s="101">
        <f>(Data!H$15-Data!Q167)/'Vehicle Data'!C$6</f>
        <v>0.47474792409437949</v>
      </c>
      <c r="AF167" s="158">
        <f t="shared" si="110"/>
        <v>0.28413344025354037</v>
      </c>
      <c r="AG167" s="148">
        <f t="shared" si="92"/>
        <v>0</v>
      </c>
      <c r="AH167" s="148">
        <f t="shared" si="111"/>
        <v>40.894212030266409</v>
      </c>
      <c r="AI167" s="101"/>
      <c r="AJ167" s="101">
        <f>(Z167^2)*'Vehicle Data'!C$31</f>
        <v>25.317075000000013</v>
      </c>
      <c r="AK167" s="101">
        <f>IF(O167=0.6,'Vehicle Data'!C$6*'Vehicle Data'!D$21*9.81,IF(O167=0.9,'Vehicle Data'!C$6*9.81*'Vehicle Data'!D$20))</f>
        <v>86.131799999999998</v>
      </c>
      <c r="AL167" s="101">
        <f t="shared" si="89"/>
        <v>114.55120132256739</v>
      </c>
      <c r="AM167" s="101"/>
      <c r="AN167" t="b">
        <f>IF(AG167&gt;0,AG167*'Vehicle Data'!C$6)</f>
        <v>0</v>
      </c>
      <c r="AO167" s="101">
        <f t="shared" si="93"/>
        <v>114.55120132256739</v>
      </c>
      <c r="AP167" s="101">
        <f>AO167*'Vehicle Data'!F$3</f>
        <v>29.279287058048226</v>
      </c>
      <c r="AQ167">
        <v>20</v>
      </c>
      <c r="AR167">
        <f>IF(Z167&lt;'Vehicle Data'!C$16, Z167*'Vehicle Data'!F$7*'Vehicle Data'!G$14,IF(Z167&lt;'Vehicle Data'!C$15,Z167*'Vehicle Data'!F$7*'Vehicle Data'!G$15,IF(Z167&gt;'Vehicle Data'!C$15,Z167*'Vehicle Data'!F$7*'Vehicle Data'!G$16)))</f>
        <v>107.59259259259261</v>
      </c>
      <c r="AS167">
        <f t="shared" si="112"/>
        <v>6455.5555555555566</v>
      </c>
      <c r="AT167">
        <f t="shared" si="117"/>
        <v>20</v>
      </c>
      <c r="AU167">
        <f t="shared" si="113"/>
        <v>6500</v>
      </c>
      <c r="AW167">
        <f>VLOOKUP(AT167,BSFC!A$64:A$82,1,FALSE)</f>
        <v>20</v>
      </c>
      <c r="AX167" t="e" cm="1">
        <f t="array" ref="AX167">_xlfn.XLOOKUP(AT167,BSFC!A$64:A$82,,-1,_xlfn.XLOOKUP(Data!AU167,BSFC!C$63:Q$63,BSFC!B$64:Q$82,,-1))</f>
        <v>#VALUE!</v>
      </c>
      <c r="AY167">
        <f>HLOOKUP(AU167,BSFC!F$63:Q$63,1)</f>
        <v>6500</v>
      </c>
      <c r="AZ167">
        <f>IF(AT167&gt;0,MATCH(AT167,BSFC!A$64:A$83,0),IF(AT167&lt;=0,0))</f>
        <v>3</v>
      </c>
      <c r="BA167">
        <f>MATCH(AU167,BSFC!C$63:Q$63,0)</f>
        <v>13</v>
      </c>
      <c r="BB167" cm="1">
        <f t="array" ref="BB167">IF(AZ167&gt;0,INDEX(BSFC!C$64:Q$83,Data!AZ167,Data!BA167))</f>
        <v>494.7</v>
      </c>
      <c r="BC167">
        <f>0.5*'Vehicle Data'!C$6*Data!Z167^2</f>
        <v>15121.355000000003</v>
      </c>
      <c r="BD167">
        <f t="shared" si="94"/>
        <v>13.465906457145509</v>
      </c>
      <c r="BE167">
        <f t="shared" si="114"/>
        <v>6661.5839243498831</v>
      </c>
      <c r="BF167">
        <f t="shared" si="115"/>
        <v>0.52577187721200347</v>
      </c>
      <c r="BG167">
        <f t="shared" si="95"/>
        <v>40.698549599586869</v>
      </c>
      <c r="BH167">
        <f t="shared" si="118"/>
        <v>13465.906457145509</v>
      </c>
      <c r="BI167" s="148">
        <f t="shared" si="96"/>
        <v>6871.6622130335309</v>
      </c>
      <c r="BO167">
        <f t="shared" si="97"/>
        <v>3831.0326393833157</v>
      </c>
      <c r="BP167">
        <f t="shared" si="98"/>
        <v>131523.20009808781</v>
      </c>
      <c r="BQ167">
        <f t="shared" si="99"/>
        <v>194922.77307132646</v>
      </c>
      <c r="BR167" s="148">
        <f t="shared" si="100"/>
        <v>282966.19038311922</v>
      </c>
      <c r="BS167" s="156">
        <f t="shared" si="101"/>
        <v>3831.0326393833157</v>
      </c>
      <c r="BT167" s="156">
        <f t="shared" si="102"/>
        <v>13465.906457145509</v>
      </c>
      <c r="BU167">
        <f t="shared" si="103"/>
        <v>1954.9788429563259</v>
      </c>
      <c r="BV167">
        <f t="shared" si="104"/>
        <v>1954.9788429563259</v>
      </c>
      <c r="BW167" s="148">
        <f t="shared" si="105"/>
        <v>455.4</v>
      </c>
      <c r="BX167" s="148">
        <f t="shared" si="106"/>
        <v>3129354.9718154697</v>
      </c>
      <c r="BY167" s="148">
        <f t="shared" si="107"/>
        <v>0.24730482363397518</v>
      </c>
      <c r="BZ167">
        <f t="shared" si="90"/>
        <v>40.894212030266409</v>
      </c>
      <c r="CB167">
        <f t="shared" si="108"/>
        <v>-1876.0537964269897</v>
      </c>
      <c r="CC167" s="162">
        <f t="shared" si="91"/>
        <v>-6602.7208721118141</v>
      </c>
      <c r="CD167">
        <f t="shared" si="116"/>
        <v>87311.476832767046</v>
      </c>
    </row>
    <row r="168" spans="3:82" x14ac:dyDescent="0.2">
      <c r="D168" s="22">
        <f t="shared" si="81"/>
        <v>9.1254125943258782E-2</v>
      </c>
      <c r="E168" s="23">
        <v>8.9017032</v>
      </c>
      <c r="F168" s="23">
        <f>IF(K168&lt;6,1,IF(Data!K168&lt;9,2,IF(K168&gt;9,3)))</f>
        <v>3</v>
      </c>
      <c r="G168" s="23">
        <v>1029.4735543650477</v>
      </c>
      <c r="H168" s="23">
        <v>219.16666499999999</v>
      </c>
      <c r="I168" s="64">
        <v>47.2200895150674</v>
      </c>
      <c r="J168" s="65">
        <f t="shared" si="82"/>
        <v>1.7482084246637719</v>
      </c>
      <c r="K168" s="65">
        <f t="shared" si="83"/>
        <v>18.888035806026959</v>
      </c>
      <c r="L168" s="65">
        <f t="shared" si="84"/>
        <v>0.69928336986552297</v>
      </c>
      <c r="M168">
        <f t="shared" si="85"/>
        <v>17.8034064</v>
      </c>
      <c r="N168">
        <f t="shared" si="86"/>
        <v>0.21580611547597783</v>
      </c>
      <c r="O168">
        <f>IF(L168&lt;'Vehicle Data'!F$21,'Vehicle Data'!C$21,IF(L168&gt;'Vehicle Data'!C$21,'Vehicle Data'!C$20))</f>
        <v>0.6</v>
      </c>
      <c r="P168">
        <f>('Vehicle Data'!C$6*9.81*'Vehicle Data'!C$5*SIN(D168))/'Vehicle Data'!C$9</f>
        <v>60.687974584678031</v>
      </c>
      <c r="Q168" s="107">
        <f>'Vehicle Data'!C$6*9.81*SIN(D168)</f>
        <v>392.44890231425126</v>
      </c>
      <c r="R168" s="101">
        <f t="shared" si="80"/>
        <v>1027.109204736628</v>
      </c>
      <c r="S168" s="101">
        <f>IF(Data!O168=0.6,'Vehicle Data'!E$21,IF(Data!O168 = 0.9,'Vehicle Data'!E$20))+(P168*O168)</f>
        <v>1586.7851847508066</v>
      </c>
      <c r="T168" s="101">
        <f>IF(F168=3,'Vehicle Data'!H$16,IF(F168=2,'Vehicle Data'!H$15,IF(F168 = 1,'Vehicle Data'!G$14)))</f>
        <v>466.23005239380637</v>
      </c>
      <c r="U168" s="148">
        <f t="shared" si="87"/>
        <v>310.97072261331198</v>
      </c>
      <c r="V168" s="102" t="s">
        <v>77</v>
      </c>
      <c r="W168" s="103" t="s">
        <v>84</v>
      </c>
      <c r="X168" s="101">
        <f>IF(V168="S",'Vehicle Data'!C$14,IF(Data!V168 = "T1",'Vehicle Data'!P$2,IF(Data!V168="T2",'Vehicle Data'!P$3)))</f>
        <v>13.411199999999999</v>
      </c>
      <c r="Y168" s="101"/>
      <c r="Z168" s="105">
        <v>8.3000000000000007</v>
      </c>
      <c r="AA168" s="101"/>
      <c r="AB168" s="101" t="b">
        <f>IF(AA168=1,'Vehicle Data'!I$14,IF(AA168=2,'Vehicle Data'!I$15,IF(AA168=3,'Vehicle Data'!I$16)))</f>
        <v>0</v>
      </c>
      <c r="AC168" s="101">
        <f>IF(Z168&lt;'Vehicle Data'!C$16,'Vehicle Data'!I$15,IF(Z168&lt;'Vehicle Data'!C$15,'Vehicle Data'!I$15,IF(Z167&gt;'Vehicle Data'!C$15,'Vehicle Data'!I$16)))</f>
        <v>0.98256251041858167</v>
      </c>
      <c r="AD168">
        <f>IF(O168=0.6,'Vehicle Data'!F$21,IF(O168=0.9,'Vehicle Data'!F$20))</f>
        <v>3.5315999999999996</v>
      </c>
      <c r="AE168" s="101">
        <f>(Data!H$15-Data!Q168)/'Vehicle Data'!C$6</f>
        <v>-0.41214632645615323</v>
      </c>
      <c r="AF168" s="158">
        <f t="shared" si="110"/>
        <v>0.28449868202897161</v>
      </c>
      <c r="AG168" s="148">
        <f t="shared" si="92"/>
        <v>0</v>
      </c>
      <c r="AH168" s="148">
        <f t="shared" si="111"/>
        <v>41.178710712295384</v>
      </c>
      <c r="AI168" s="101"/>
      <c r="AJ168" s="101">
        <f>(Z168^2)*'Vehicle Data'!C$31</f>
        <v>25.317075000000013</v>
      </c>
      <c r="AK168" s="101">
        <f>IF(O168=0.6,'Vehicle Data'!C$6*'Vehicle Data'!D$21*9.81,IF(O168=0.9,'Vehicle Data'!C$6*9.81*'Vehicle Data'!D$20))</f>
        <v>86.131799999999998</v>
      </c>
      <c r="AL168" s="101">
        <f t="shared" si="89"/>
        <v>503.89777731425124</v>
      </c>
      <c r="AM168" s="101"/>
      <c r="AN168" t="b">
        <f>IF(AG168&gt;0,AG168*'Vehicle Data'!C$6)</f>
        <v>0</v>
      </c>
      <c r="AO168" s="101">
        <f t="shared" si="93"/>
        <v>503.89777731425124</v>
      </c>
      <c r="AP168" s="101">
        <f>AO168*'Vehicle Data'!F$3</f>
        <v>128.79627188152261</v>
      </c>
      <c r="AQ168">
        <v>20</v>
      </c>
      <c r="AR168">
        <f>IF(Z168&lt;'Vehicle Data'!C$16, Z168*'Vehicle Data'!F$7*'Vehicle Data'!G$14,IF(Z168&lt;'Vehicle Data'!C$15,Z168*'Vehicle Data'!F$7*'Vehicle Data'!G$15,IF(Z168&gt;'Vehicle Data'!C$15,Z168*'Vehicle Data'!F$7*'Vehicle Data'!G$16)))</f>
        <v>107.59259259259261</v>
      </c>
      <c r="AS168">
        <f t="shared" si="112"/>
        <v>6455.5555555555566</v>
      </c>
      <c r="AT168">
        <f t="shared" si="117"/>
        <v>20</v>
      </c>
      <c r="AU168">
        <f t="shared" si="113"/>
        <v>6500</v>
      </c>
      <c r="AW168">
        <f>VLOOKUP(AT168,BSFC!A$64:A$82,1,FALSE)</f>
        <v>20</v>
      </c>
      <c r="AX168" t="e" cm="1">
        <f t="array" ref="AX168">_xlfn.XLOOKUP(AT168,BSFC!A$64:A$82,,-1,_xlfn.XLOOKUP(Data!AU168,BSFC!C$63:Q$63,BSFC!B$64:Q$82,,-1))</f>
        <v>#VALUE!</v>
      </c>
      <c r="AY168">
        <f>HLOOKUP(AU168,BSFC!F$63:Q$63,1)</f>
        <v>6500</v>
      </c>
      <c r="AZ168">
        <f>IF(AT168&gt;0,MATCH(AT168,BSFC!A$64:A$83,0),IF(AT168&lt;=0,0))</f>
        <v>3</v>
      </c>
      <c r="BA168">
        <f>MATCH(AU168,BSFC!C$63:Q$63,0)</f>
        <v>13</v>
      </c>
      <c r="BB168" cm="1">
        <f t="array" ref="BB168">IF(AZ168&gt;0,INDEX(BSFC!C$64:Q$83,Data!AZ168,Data!BA168))</f>
        <v>494.7</v>
      </c>
      <c r="BC168">
        <f>0.5*'Vehicle Data'!C$6*Data!Z168^2</f>
        <v>15121.355000000003</v>
      </c>
      <c r="BD168">
        <f t="shared" si="94"/>
        <v>13.465906457145509</v>
      </c>
      <c r="BE168">
        <f t="shared" si="114"/>
        <v>6661.5839243498831</v>
      </c>
      <c r="BF168">
        <f t="shared" si="115"/>
        <v>0.52644773519525723</v>
      </c>
      <c r="BG168">
        <f t="shared" si="95"/>
        <v>41.224997334782124</v>
      </c>
      <c r="BH168">
        <f t="shared" si="118"/>
        <v>13465.906457145509</v>
      </c>
      <c r="BI168" s="148">
        <f t="shared" si="96"/>
        <v>6871.6622130335309</v>
      </c>
      <c r="BO168">
        <f t="shared" si="97"/>
        <v>3835.9169793115061</v>
      </c>
      <c r="BP168">
        <f t="shared" si="98"/>
        <v>135359.11707739931</v>
      </c>
      <c r="BQ168">
        <f t="shared" si="99"/>
        <v>198758.69005063796</v>
      </c>
      <c r="BR168" s="148">
        <f t="shared" si="100"/>
        <v>284923.66170842177</v>
      </c>
      <c r="BS168" s="156">
        <f t="shared" si="101"/>
        <v>3835.9169793115061</v>
      </c>
      <c r="BT168" s="156">
        <f t="shared" si="102"/>
        <v>13465.906457145509</v>
      </c>
      <c r="BU168">
        <f t="shared" si="103"/>
        <v>1957.4713253025363</v>
      </c>
      <c r="BV168">
        <f t="shared" si="104"/>
        <v>1957.4713253025363</v>
      </c>
      <c r="BW168" s="148">
        <f t="shared" si="105"/>
        <v>455.4</v>
      </c>
      <c r="BX168" s="148">
        <f t="shared" si="106"/>
        <v>3129354.9718154697</v>
      </c>
      <c r="BY168" s="148">
        <f t="shared" si="107"/>
        <v>0.2476201226507708</v>
      </c>
      <c r="BZ168">
        <f t="shared" si="90"/>
        <v>41.178710712295384</v>
      </c>
      <c r="CB168">
        <f t="shared" si="108"/>
        <v>-1878.4456540089698</v>
      </c>
      <c r="CC168" s="162">
        <f t="shared" si="91"/>
        <v>-6602.6515153334158</v>
      </c>
      <c r="CD168">
        <f t="shared" si="116"/>
        <v>85433.031178758072</v>
      </c>
    </row>
    <row r="169" spans="3:82" x14ac:dyDescent="0.2">
      <c r="C169">
        <f>SUM(N165:N181)</f>
        <v>2.8017015999999995</v>
      </c>
      <c r="D169" s="22">
        <f t="shared" si="81"/>
        <v>0.1268297731488181</v>
      </c>
      <c r="E169" s="23">
        <v>9.1175093154759779</v>
      </c>
      <c r="F169" s="23">
        <f>IF(K169&lt;6,1,IF(Data!K169&lt;9,2,IF(K169&gt;9,3)))</f>
        <v>3</v>
      </c>
      <c r="G169" s="23">
        <v>1031.8417313515729</v>
      </c>
      <c r="H169" s="23">
        <v>219.21666499999998</v>
      </c>
      <c r="I169" s="64">
        <v>47.307499936300559</v>
      </c>
      <c r="J169" s="65">
        <f t="shared" si="82"/>
        <v>1.5682777950178903</v>
      </c>
      <c r="K169" s="65">
        <f t="shared" si="83"/>
        <v>18.922999974520224</v>
      </c>
      <c r="L169" s="65">
        <f t="shared" si="84"/>
        <v>0.62731111800715611</v>
      </c>
      <c r="M169">
        <f t="shared" si="85"/>
        <v>18.235018630951956</v>
      </c>
      <c r="N169">
        <f t="shared" si="86"/>
        <v>0.29999599999990956</v>
      </c>
      <c r="O169">
        <f>IF(L169&lt;'Vehicle Data'!F$21,'Vehicle Data'!C$21,IF(L169&gt;'Vehicle Data'!C$21,'Vehicle Data'!C$20))</f>
        <v>0.6</v>
      </c>
      <c r="P169">
        <f>('Vehicle Data'!C$6*9.81*'Vehicle Data'!C$5*SIN(D169))/'Vehicle Data'!C$9</f>
        <v>84.238245862304268</v>
      </c>
      <c r="Q169" s="107">
        <f>'Vehicle Data'!C$6*9.81*SIN(D169)</f>
        <v>544.74065657623419</v>
      </c>
      <c r="R169" s="101">
        <f t="shared" si="80"/>
        <v>1029.4735543650477</v>
      </c>
      <c r="S169" s="101">
        <f>IF(Data!O169=0.6,'Vehicle Data'!E$21,IF(Data!O169 = 0.9,'Vehicle Data'!E$20))+(P169*O169)</f>
        <v>1600.9153475173823</v>
      </c>
      <c r="T169" s="101">
        <f>IF(F169=3,'Vehicle Data'!H$16,IF(F169=2,'Vehicle Data'!H$15,IF(F169 = 1,'Vehicle Data'!G$14)))</f>
        <v>466.23005239380637</v>
      </c>
      <c r="U169" s="148">
        <f t="shared" si="87"/>
        <v>313.33507224173161</v>
      </c>
      <c r="V169" s="102" t="s">
        <v>77</v>
      </c>
      <c r="W169" s="103" t="s">
        <v>84</v>
      </c>
      <c r="X169" s="101">
        <f>IF(V169="S",'Vehicle Data'!C$14,IF(Data!V169 = "T1",'Vehicle Data'!P$2,IF(Data!V169="T2",'Vehicle Data'!P$3)))</f>
        <v>13.411199999999999</v>
      </c>
      <c r="Y169" s="101"/>
      <c r="Z169" s="105">
        <v>8.3000000000000007</v>
      </c>
      <c r="AA169" s="101"/>
      <c r="AB169" s="101" t="b">
        <f>IF(AA169=1,'Vehicle Data'!I$14,IF(AA169=2,'Vehicle Data'!I$15,IF(AA169=3,'Vehicle Data'!I$16)))</f>
        <v>0</v>
      </c>
      <c r="AC169" s="101">
        <f>IF(Z169&lt;'Vehicle Data'!C$16,'Vehicle Data'!I$15,IF(Z169&lt;'Vehicle Data'!C$15,'Vehicle Data'!I$15,IF(Z168&gt;'Vehicle Data'!C$15,'Vehicle Data'!I$16)))</f>
        <v>0.98256251041858167</v>
      </c>
      <c r="AD169">
        <f>IF(O169=0.6,'Vehicle Data'!F$21,IF(O169=0.9,'Vehicle Data'!F$20))</f>
        <v>3.5315999999999996</v>
      </c>
      <c r="AE169" s="101">
        <f>(Data!H$15-Data!Q169)/'Vehicle Data'!C$6</f>
        <v>-0.75905237261101188</v>
      </c>
      <c r="AF169" s="158">
        <f t="shared" si="110"/>
        <v>0.28486140101441343</v>
      </c>
      <c r="AG169" s="148">
        <f t="shared" si="92"/>
        <v>0</v>
      </c>
      <c r="AH169" s="148">
        <f t="shared" si="111"/>
        <v>41.463572113309795</v>
      </c>
      <c r="AI169" s="101"/>
      <c r="AJ169" s="101">
        <f>(Z169^2)*'Vehicle Data'!C$31</f>
        <v>25.317075000000013</v>
      </c>
      <c r="AK169" s="101">
        <f>IF(O169=0.6,'Vehicle Data'!C$6*'Vehicle Data'!D$21*9.81,IF(O169=0.9,'Vehicle Data'!C$6*9.81*'Vehicle Data'!D$20))</f>
        <v>86.131799999999998</v>
      </c>
      <c r="AL169" s="101">
        <f t="shared" si="89"/>
        <v>656.18953157623423</v>
      </c>
      <c r="AM169" s="101"/>
      <c r="AN169" t="b">
        <f>IF(AG169&gt;0,AG169*'Vehicle Data'!C$6)</f>
        <v>0</v>
      </c>
      <c r="AO169" s="101">
        <f t="shared" si="93"/>
        <v>656.18953157623423</v>
      </c>
      <c r="AP169" s="101">
        <f>AO169*'Vehicle Data'!F$3</f>
        <v>167.72204427088548</v>
      </c>
      <c r="AQ169">
        <v>20</v>
      </c>
      <c r="AR169">
        <f>IF(Z169&lt;'Vehicle Data'!C$16, Z169*'Vehicle Data'!F$7*'Vehicle Data'!G$14,IF(Z169&lt;'Vehicle Data'!C$15,Z169*'Vehicle Data'!F$7*'Vehicle Data'!G$15,IF(Z169&gt;'Vehicle Data'!C$15,Z169*'Vehicle Data'!F$7*'Vehicle Data'!G$16)))</f>
        <v>107.59259259259261</v>
      </c>
      <c r="AS169">
        <f t="shared" si="112"/>
        <v>6455.5555555555566</v>
      </c>
      <c r="AT169">
        <f t="shared" si="117"/>
        <v>20</v>
      </c>
      <c r="AU169">
        <f t="shared" si="113"/>
        <v>6500</v>
      </c>
      <c r="AW169">
        <f>VLOOKUP(AT169,BSFC!A$64:A$82,1,FALSE)</f>
        <v>20</v>
      </c>
      <c r="AX169" t="e" cm="1">
        <f t="array" ref="AX169">_xlfn.XLOOKUP(AT169,BSFC!A$64:A$82,,-1,_xlfn.XLOOKUP(Data!AU169,BSFC!C$63:Q$63,BSFC!B$64:Q$82,,-1))</f>
        <v>#VALUE!</v>
      </c>
      <c r="AY169">
        <f>HLOOKUP(AU169,BSFC!F$63:Q$63,1)</f>
        <v>6500</v>
      </c>
      <c r="AZ169">
        <f>IF(AT169&gt;0,MATCH(AT169,BSFC!A$64:A$83,0),IF(AT169&lt;=0,0))</f>
        <v>3</v>
      </c>
      <c r="BA169">
        <f>MATCH(AU169,BSFC!C$63:Q$63,0)</f>
        <v>13</v>
      </c>
      <c r="BB169" cm="1">
        <f t="array" ref="BB169">IF(AZ169&gt;0,INDEX(BSFC!C$64:Q$83,Data!AZ169,Data!BA169))</f>
        <v>494.7</v>
      </c>
      <c r="BC169">
        <f>0.5*'Vehicle Data'!C$6*Data!Z169^2</f>
        <v>15121.355000000003</v>
      </c>
      <c r="BD169">
        <f t="shared" si="94"/>
        <v>13.465906457145509</v>
      </c>
      <c r="BE169">
        <f t="shared" si="114"/>
        <v>6661.5839243498831</v>
      </c>
      <c r="BF169">
        <f t="shared" si="115"/>
        <v>0.52711892490705614</v>
      </c>
      <c r="BG169">
        <f t="shared" si="95"/>
        <v>41.752116259689181</v>
      </c>
      <c r="BH169">
        <f t="shared" si="118"/>
        <v>13465.906457145509</v>
      </c>
      <c r="BI169" s="148">
        <f t="shared" si="96"/>
        <v>6871.6622130335309</v>
      </c>
      <c r="BO169">
        <f t="shared" si="97"/>
        <v>3842.1264788570202</v>
      </c>
      <c r="BP169">
        <f t="shared" si="98"/>
        <v>139201.24355625632</v>
      </c>
      <c r="BQ169">
        <f t="shared" si="99"/>
        <v>202600.81652949497</v>
      </c>
      <c r="BR169" s="148">
        <f t="shared" si="100"/>
        <v>286884.3017460219</v>
      </c>
      <c r="BS169" s="156">
        <f t="shared" si="101"/>
        <v>3842.1264788570202</v>
      </c>
      <c r="BT169" s="156">
        <f t="shared" si="102"/>
        <v>13465.906457145509</v>
      </c>
      <c r="BU169">
        <f t="shared" si="103"/>
        <v>1960.6400376001116</v>
      </c>
      <c r="BV169">
        <f t="shared" si="104"/>
        <v>1960.6400376001116</v>
      </c>
      <c r="BW169" s="148">
        <f t="shared" si="105"/>
        <v>455.4</v>
      </c>
      <c r="BX169" s="148">
        <f t="shared" si="106"/>
        <v>3129354.9718154697</v>
      </c>
      <c r="BY169" s="148">
        <f t="shared" si="107"/>
        <v>0.24802096475641408</v>
      </c>
      <c r="BZ169">
        <f t="shared" si="90"/>
        <v>41.463572113309795</v>
      </c>
      <c r="CB169">
        <f t="shared" si="108"/>
        <v>-1881.4864412569086</v>
      </c>
      <c r="CC169" s="162">
        <f t="shared" si="91"/>
        <v>-6604.9188642505105</v>
      </c>
      <c r="CD169">
        <f t="shared" si="116"/>
        <v>83551.544737501157</v>
      </c>
    </row>
    <row r="170" spans="3:82" x14ac:dyDescent="0.2">
      <c r="D170" s="22">
        <f t="shared" si="81"/>
        <v>0.12666005135049033</v>
      </c>
      <c r="E170" s="23">
        <v>9.4175053154758874</v>
      </c>
      <c r="F170" s="23">
        <f>IF(K170&lt;6,1,IF(Data!K170&lt;9,2,IF(K170&gt;9,3)))</f>
        <v>3</v>
      </c>
      <c r="G170" s="23">
        <v>1034.2134283380981</v>
      </c>
      <c r="H170" s="23">
        <v>219.26666499999999</v>
      </c>
      <c r="I170" s="64">
        <v>47.385913826051471</v>
      </c>
      <c r="J170" s="65">
        <f t="shared" si="82"/>
        <v>1.5120651498572473</v>
      </c>
      <c r="K170" s="65">
        <f t="shared" si="83"/>
        <v>18.954365530420588</v>
      </c>
      <c r="L170" s="65">
        <f t="shared" si="84"/>
        <v>0.60482605994288463</v>
      </c>
      <c r="M170">
        <f t="shared" si="85"/>
        <v>18.835010630951775</v>
      </c>
      <c r="N170">
        <f t="shared" si="86"/>
        <v>0.30000252641903735</v>
      </c>
      <c r="O170">
        <f>IF(L170&lt;'Vehicle Data'!F$21,'Vehicle Data'!C$21,IF(L170&gt;'Vehicle Data'!C$21,'Vehicle Data'!C$20))</f>
        <v>0.6</v>
      </c>
      <c r="P170">
        <f>('Vehicle Data'!C$6*9.81*'Vehicle Data'!C$5*SIN(D170))/'Vehicle Data'!C$9</f>
        <v>84.126123307636263</v>
      </c>
      <c r="Q170" s="107">
        <f>'Vehicle Data'!C$6*9.81*SIN(D170)</f>
        <v>544.01559738938113</v>
      </c>
      <c r="R170" s="101">
        <f t="shared" si="80"/>
        <v>1031.8417313515729</v>
      </c>
      <c r="S170" s="101">
        <f>IF(Data!O170=0.6,'Vehicle Data'!E$21,IF(Data!O170 = 0.9,'Vehicle Data'!E$20))+(P170*O170)</f>
        <v>1600.8480739845816</v>
      </c>
      <c r="T170" s="101">
        <f>IF(F170=3,'Vehicle Data'!H$16,IF(F170=2,'Vehicle Data'!H$15,IF(F170 = 1,'Vehicle Data'!G$14)))</f>
        <v>466.23005239380637</v>
      </c>
      <c r="U170" s="148">
        <f t="shared" si="87"/>
        <v>315.70324922825682</v>
      </c>
      <c r="V170" s="102" t="s">
        <v>77</v>
      </c>
      <c r="W170" s="103" t="s">
        <v>84</v>
      </c>
      <c r="X170" s="101">
        <f>IF(V170="S",'Vehicle Data'!C$14,IF(Data!V170 = "T1",'Vehicle Data'!P$2,IF(Data!V170="T2",'Vehicle Data'!P$3)))</f>
        <v>13.411199999999999</v>
      </c>
      <c r="Y170" s="101"/>
      <c r="Z170" s="105">
        <v>8.3000000000000007</v>
      </c>
      <c r="AA170" s="101"/>
      <c r="AB170" s="101" t="b">
        <f>IF(AA170=1,'Vehicle Data'!I$14,IF(AA170=2,'Vehicle Data'!I$15,IF(AA170=3,'Vehicle Data'!I$16)))</f>
        <v>0</v>
      </c>
      <c r="AC170" s="101">
        <f>IF(Z170&lt;'Vehicle Data'!C$16,'Vehicle Data'!I$15,IF(Z170&lt;'Vehicle Data'!C$15,'Vehicle Data'!I$15,IF(Z169&gt;'Vehicle Data'!C$15,'Vehicle Data'!I$16)))</f>
        <v>0.98256251041858167</v>
      </c>
      <c r="AD170">
        <f>IF(O170=0.6,'Vehicle Data'!F$21,IF(O170=0.9,'Vehicle Data'!F$20))</f>
        <v>3.5315999999999996</v>
      </c>
      <c r="AE170" s="101">
        <f>(Data!H$15-Data!Q170)/'Vehicle Data'!C$6</f>
        <v>-0.75740075715120991</v>
      </c>
      <c r="AF170" s="158">
        <f t="shared" si="110"/>
        <v>0.28532252849701367</v>
      </c>
      <c r="AG170" s="148">
        <f t="shared" si="92"/>
        <v>0</v>
      </c>
      <c r="AH170" s="148">
        <f t="shared" si="111"/>
        <v>41.748894641806807</v>
      </c>
      <c r="AI170" s="101"/>
      <c r="AJ170" s="101">
        <f>(Z170^2)*'Vehicle Data'!C$31</f>
        <v>25.317075000000013</v>
      </c>
      <c r="AK170" s="101">
        <f>IF(O170=0.6,'Vehicle Data'!C$6*'Vehicle Data'!D$21*9.81,IF(O170=0.9,'Vehicle Data'!C$6*9.81*'Vehicle Data'!D$20))</f>
        <v>86.131799999999998</v>
      </c>
      <c r="AL170" s="101">
        <f t="shared" si="89"/>
        <v>655.46447238938117</v>
      </c>
      <c r="AM170" s="101"/>
      <c r="AN170" t="b">
        <f>IF(AG170&gt;0,AG170*'Vehicle Data'!C$6)</f>
        <v>0</v>
      </c>
      <c r="AO170" s="101">
        <f t="shared" si="93"/>
        <v>655.46447238938117</v>
      </c>
      <c r="AP170" s="101">
        <f>AO170*'Vehicle Data'!F$3</f>
        <v>167.53671914272581</v>
      </c>
      <c r="AQ170">
        <v>20</v>
      </c>
      <c r="AR170">
        <f>IF(Z170&lt;'Vehicle Data'!C$16, Z170*'Vehicle Data'!F$7*'Vehicle Data'!G$14,IF(Z170&lt;'Vehicle Data'!C$15,Z170*'Vehicle Data'!F$7*'Vehicle Data'!G$15,IF(Z170&gt;'Vehicle Data'!C$15,Z170*'Vehicle Data'!F$7*'Vehicle Data'!G$16)))</f>
        <v>107.59259259259261</v>
      </c>
      <c r="AS170">
        <f t="shared" si="112"/>
        <v>6455.5555555555566</v>
      </c>
      <c r="AT170">
        <f t="shared" si="117"/>
        <v>20</v>
      </c>
      <c r="AU170">
        <f t="shared" si="113"/>
        <v>6500</v>
      </c>
      <c r="AW170">
        <f>VLOOKUP(AT170,BSFC!A$64:A$82,1,FALSE)</f>
        <v>20</v>
      </c>
      <c r="AX170" t="e" cm="1">
        <f t="array" ref="AX170">_xlfn.XLOOKUP(AT170,BSFC!A$64:A$82,,-1,_xlfn.XLOOKUP(Data!AU170,BSFC!C$63:Q$63,BSFC!B$64:Q$82,,-1))</f>
        <v>#VALUE!</v>
      </c>
      <c r="AY170">
        <f>HLOOKUP(AU170,BSFC!F$63:Q$63,1)</f>
        <v>6500</v>
      </c>
      <c r="AZ170">
        <f>IF(AT170&gt;0,MATCH(AT170,BSFC!A$64:A$83,0),IF(AT170&lt;=0,0))</f>
        <v>3</v>
      </c>
      <c r="BA170">
        <f>MATCH(AU170,BSFC!C$63:Q$63,0)</f>
        <v>13</v>
      </c>
      <c r="BB170" cm="1">
        <f t="array" ref="BB170">IF(AZ170&gt;0,INDEX(BSFC!C$64:Q$83,Data!AZ170,Data!BA170))</f>
        <v>494.7</v>
      </c>
      <c r="BC170">
        <f>0.5*'Vehicle Data'!C$6*Data!Z170^2</f>
        <v>15121.355000000003</v>
      </c>
      <c r="BD170">
        <f t="shared" si="94"/>
        <v>13.465906457145509</v>
      </c>
      <c r="BE170">
        <f t="shared" si="114"/>
        <v>6661.5839243498831</v>
      </c>
      <c r="BF170">
        <f t="shared" si="115"/>
        <v>0.52797221363626878</v>
      </c>
      <c r="BG170">
        <f t="shared" si="95"/>
        <v>42.280088473325449</v>
      </c>
      <c r="BH170">
        <f t="shared" si="118"/>
        <v>13465.906457145509</v>
      </c>
      <c r="BI170" s="148">
        <f t="shared" si="96"/>
        <v>6871.6622130335309</v>
      </c>
      <c r="BO170">
        <f t="shared" si="97"/>
        <v>3847.8373211135126</v>
      </c>
      <c r="BP170">
        <f t="shared" si="98"/>
        <v>143049.08087736982</v>
      </c>
      <c r="BQ170">
        <f t="shared" si="99"/>
        <v>206448.65385060848</v>
      </c>
      <c r="BR170" s="148">
        <f t="shared" si="100"/>
        <v>288847.85603072919</v>
      </c>
      <c r="BS170" s="156">
        <f t="shared" si="101"/>
        <v>3847.8373211135126</v>
      </c>
      <c r="BT170" s="156">
        <f t="shared" si="102"/>
        <v>13465.906457145509</v>
      </c>
      <c r="BU170">
        <f t="shared" si="103"/>
        <v>1963.5542847073095</v>
      </c>
      <c r="BV170">
        <f t="shared" si="104"/>
        <v>1963.5542847073095</v>
      </c>
      <c r="BW170" s="148">
        <f t="shared" si="105"/>
        <v>455.4</v>
      </c>
      <c r="BX170" s="148">
        <f t="shared" si="106"/>
        <v>3129354.9718154697</v>
      </c>
      <c r="BY170" s="148">
        <f t="shared" si="107"/>
        <v>0.24838961701547463</v>
      </c>
      <c r="BZ170">
        <f t="shared" si="90"/>
        <v>41.748894641806807</v>
      </c>
      <c r="CB170">
        <f t="shared" si="108"/>
        <v>-1884.2830364062031</v>
      </c>
      <c r="CC170" s="162">
        <f t="shared" si="91"/>
        <v>-6604.0457664945106</v>
      </c>
      <c r="CD170">
        <f t="shared" si="116"/>
        <v>81667.261701094947</v>
      </c>
    </row>
    <row r="171" spans="3:82" x14ac:dyDescent="0.2">
      <c r="D171" s="22">
        <f t="shared" si="81"/>
        <v>8.4203435663086926E-2</v>
      </c>
      <c r="E171" s="23">
        <v>9.7175078418949248</v>
      </c>
      <c r="F171" s="23">
        <f>IF(K171&lt;6,1,IF(Data!K171&lt;9,2,IF(K171&gt;9,3)))</f>
        <v>3</v>
      </c>
      <c r="G171" s="23">
        <v>1036.5883379665186</v>
      </c>
      <c r="H171" s="23">
        <v>219.316665</v>
      </c>
      <c r="I171" s="64">
        <v>47.461517083544351</v>
      </c>
      <c r="J171" s="65">
        <f t="shared" si="82"/>
        <v>1.5093780383831219</v>
      </c>
      <c r="K171" s="65">
        <f t="shared" si="83"/>
        <v>18.98460683341774</v>
      </c>
      <c r="L171" s="65">
        <f t="shared" si="84"/>
        <v>0.60375121535329146</v>
      </c>
      <c r="M171">
        <f t="shared" si="85"/>
        <v>19.43501568378985</v>
      </c>
      <c r="N171">
        <f t="shared" si="86"/>
        <v>0.19999747358096087</v>
      </c>
      <c r="O171">
        <f>IF(L171&lt;'Vehicle Data'!F$21,'Vehicle Data'!C$21,IF(L171&gt;'Vehicle Data'!C$21,'Vehicle Data'!C$20))</f>
        <v>0.6</v>
      </c>
      <c r="P171">
        <f>('Vehicle Data'!C$6*9.81*'Vehicle Data'!C$5*SIN(D171))/'Vehicle Data'!C$9</f>
        <v>56.010511124743715</v>
      </c>
      <c r="Q171" s="107">
        <f>'Vehicle Data'!C$6*9.81*SIN(D171)</f>
        <v>362.20130527334265</v>
      </c>
      <c r="R171" s="101">
        <f t="shared" si="80"/>
        <v>1034.2134283380981</v>
      </c>
      <c r="S171" s="101">
        <f>IF(Data!O171=0.6,'Vehicle Data'!E$21,IF(Data!O171 = 0.9,'Vehicle Data'!E$20))+(P171*O171)</f>
        <v>1583.9787066748461</v>
      </c>
      <c r="T171" s="101">
        <f>IF(F171=3,'Vehicle Data'!H$16,IF(F171=2,'Vehicle Data'!H$15,IF(F171 = 1,'Vehicle Data'!G$14)))</f>
        <v>466.23005239380637</v>
      </c>
      <c r="U171" s="148">
        <f t="shared" si="87"/>
        <v>318.07494621478202</v>
      </c>
      <c r="V171" s="102" t="s">
        <v>77</v>
      </c>
      <c r="W171" s="103" t="s">
        <v>84</v>
      </c>
      <c r="X171" s="101">
        <f>IF(V171="S",'Vehicle Data'!C$14,IF(Data!V171 = "T1",'Vehicle Data'!P$2,IF(Data!V171="T2",'Vehicle Data'!P$3)))</f>
        <v>13.411199999999999</v>
      </c>
      <c r="Y171" s="101"/>
      <c r="Z171" s="105">
        <v>8.3000000000000007</v>
      </c>
      <c r="AA171" s="101"/>
      <c r="AB171" s="101" t="b">
        <f>IF(AA171=1,'Vehicle Data'!I$14,IF(AA171=2,'Vehicle Data'!I$15,IF(AA171=3,'Vehicle Data'!I$16)))</f>
        <v>0</v>
      </c>
      <c r="AC171" s="101">
        <f>IF(Z171&lt;'Vehicle Data'!C$16,'Vehicle Data'!I$15,IF(Z171&lt;'Vehicle Data'!C$15,'Vehicle Data'!I$15,IF(Z170&gt;'Vehicle Data'!C$15,'Vehicle Data'!I$16)))</f>
        <v>0.98256251041858167</v>
      </c>
      <c r="AD171">
        <f>IF(O171=0.6,'Vehicle Data'!F$21,IF(O171=0.9,'Vehicle Data'!F$20))</f>
        <v>3.5315999999999996</v>
      </c>
      <c r="AE171" s="101">
        <f>(Data!H$15-Data!Q171)/'Vehicle Data'!C$6</f>
        <v>-0.34324519424451633</v>
      </c>
      <c r="AF171" s="158">
        <f t="shared" si="110"/>
        <v>0.28574662488255348</v>
      </c>
      <c r="AG171" s="148">
        <f t="shared" si="92"/>
        <v>0</v>
      </c>
      <c r="AH171" s="148">
        <f t="shared" si="111"/>
        <v>42.034641266689363</v>
      </c>
      <c r="AI171" s="101"/>
      <c r="AJ171" s="101">
        <f>(Z171^2)*'Vehicle Data'!C$31</f>
        <v>25.317075000000013</v>
      </c>
      <c r="AK171" s="101">
        <f>IF(O171=0.6,'Vehicle Data'!C$6*'Vehicle Data'!D$21*9.81,IF(O171=0.9,'Vehicle Data'!C$6*9.81*'Vehicle Data'!D$20))</f>
        <v>86.131799999999998</v>
      </c>
      <c r="AL171" s="101">
        <f t="shared" si="89"/>
        <v>473.6501802733427</v>
      </c>
      <c r="AM171" s="101"/>
      <c r="AN171" t="b">
        <f>IF(AG171&gt;0,AG171*'Vehicle Data'!C$6)</f>
        <v>0</v>
      </c>
      <c r="AO171" s="101">
        <f t="shared" si="93"/>
        <v>473.6501802733427</v>
      </c>
      <c r="AP171" s="101">
        <f>AO171*'Vehicle Data'!F$3</f>
        <v>121.06498607786639</v>
      </c>
      <c r="AQ171">
        <v>20</v>
      </c>
      <c r="AR171">
        <f>IF(Z171&lt;'Vehicle Data'!C$16, Z171*'Vehicle Data'!F$7*'Vehicle Data'!G$14,IF(Z171&lt;'Vehicle Data'!C$15,Z171*'Vehicle Data'!F$7*'Vehicle Data'!G$15,IF(Z171&gt;'Vehicle Data'!C$15,Z171*'Vehicle Data'!F$7*'Vehicle Data'!G$16)))</f>
        <v>107.59259259259261</v>
      </c>
      <c r="AS171">
        <f t="shared" si="112"/>
        <v>6455.5555555555566</v>
      </c>
      <c r="AT171">
        <f t="shared" si="117"/>
        <v>20</v>
      </c>
      <c r="AU171">
        <f t="shared" si="113"/>
        <v>6500</v>
      </c>
      <c r="AW171">
        <f>VLOOKUP(AT171,BSFC!A$64:A$82,1,FALSE)</f>
        <v>20</v>
      </c>
      <c r="AX171" t="e" cm="1">
        <f t="array" ref="AX171">_xlfn.XLOOKUP(AT171,BSFC!A$64:A$82,,-1,_xlfn.XLOOKUP(Data!AU171,BSFC!C$63:Q$63,BSFC!B$64:Q$82,,-1))</f>
        <v>#VALUE!</v>
      </c>
      <c r="AY171">
        <f>HLOOKUP(AU171,BSFC!F$63:Q$63,1)</f>
        <v>6500</v>
      </c>
      <c r="AZ171">
        <f>IF(AT171&gt;0,MATCH(AT171,BSFC!A$64:A$83,0),IF(AT171&lt;=0,0))</f>
        <v>3</v>
      </c>
      <c r="BA171">
        <f>MATCH(AU171,BSFC!C$63:Q$63,0)</f>
        <v>13</v>
      </c>
      <c r="BB171" cm="1">
        <f t="array" ref="BB171">IF(AZ171&gt;0,INDEX(BSFC!C$64:Q$83,Data!AZ171,Data!BA171))</f>
        <v>494.7</v>
      </c>
      <c r="BC171">
        <f>0.5*'Vehicle Data'!C$6*Data!Z171^2</f>
        <v>15121.355000000003</v>
      </c>
      <c r="BD171">
        <f t="shared" si="94"/>
        <v>13.465906457145509</v>
      </c>
      <c r="BE171">
        <f t="shared" si="114"/>
        <v>6661.5839243498831</v>
      </c>
      <c r="BF171">
        <f t="shared" si="115"/>
        <v>0.52875697854301518</v>
      </c>
      <c r="BG171">
        <f t="shared" si="95"/>
        <v>42.808845451868464</v>
      </c>
      <c r="BH171">
        <f t="shared" si="118"/>
        <v>13465.906457145509</v>
      </c>
      <c r="BI171" s="148">
        <f t="shared" si="96"/>
        <v>6871.6622130335309</v>
      </c>
      <c r="BO171">
        <f t="shared" si="97"/>
        <v>3853.0495060824592</v>
      </c>
      <c r="BP171">
        <f t="shared" si="98"/>
        <v>146902.13038345228</v>
      </c>
      <c r="BQ171">
        <f t="shared" si="99"/>
        <v>210301.70335669094</v>
      </c>
      <c r="BR171" s="148">
        <f t="shared" si="100"/>
        <v>290814.07009735407</v>
      </c>
      <c r="BS171" s="156">
        <f t="shared" si="101"/>
        <v>3853.0495060824592</v>
      </c>
      <c r="BT171" s="156">
        <f t="shared" si="102"/>
        <v>13465.906457145509</v>
      </c>
      <c r="BU171">
        <f t="shared" si="103"/>
        <v>1966.2140666248833</v>
      </c>
      <c r="BV171">
        <f t="shared" si="104"/>
        <v>1966.2140666248833</v>
      </c>
      <c r="BW171" s="148">
        <f t="shared" si="105"/>
        <v>455.4</v>
      </c>
      <c r="BX171" s="148">
        <f t="shared" si="106"/>
        <v>3129354.9718154697</v>
      </c>
      <c r="BY171" s="148">
        <f t="shared" si="107"/>
        <v>0.24872607942804772</v>
      </c>
      <c r="BZ171">
        <f t="shared" si="90"/>
        <v>42.034641266689363</v>
      </c>
      <c r="CB171">
        <f t="shared" si="108"/>
        <v>-1886.8354394575758</v>
      </c>
      <c r="CC171" s="162">
        <f t="shared" si="91"/>
        <v>-6603.1766437594124</v>
      </c>
      <c r="CD171">
        <f t="shared" si="116"/>
        <v>79780.426261637374</v>
      </c>
    </row>
    <row r="172" spans="3:82" x14ac:dyDescent="0.2">
      <c r="D172" s="22">
        <f t="shared" si="81"/>
        <v>0.11964539312235034</v>
      </c>
      <c r="E172" s="23">
        <v>9.9175053154758857</v>
      </c>
      <c r="F172" s="23">
        <f>IF(K172&lt;6,1,IF(Data!K172&lt;9,2,IF(K172&gt;9,3)))</f>
        <v>3</v>
      </c>
      <c r="G172" s="23">
        <v>1038.9663170273589</v>
      </c>
      <c r="H172" s="23">
        <v>219.36666499999998</v>
      </c>
      <c r="I172" s="64">
        <v>47.536985985463481</v>
      </c>
      <c r="J172" s="65">
        <f t="shared" si="82"/>
        <v>1.5135701037153493</v>
      </c>
      <c r="K172" s="65">
        <f t="shared" si="83"/>
        <v>19.014794394185394</v>
      </c>
      <c r="L172" s="65">
        <f t="shared" si="84"/>
        <v>0.60542804148611129</v>
      </c>
      <c r="M172">
        <f t="shared" si="85"/>
        <v>19.835010630951771</v>
      </c>
      <c r="N172">
        <f t="shared" si="86"/>
        <v>0.28420028452411472</v>
      </c>
      <c r="O172">
        <f>IF(L172&lt;'Vehicle Data'!F$21,'Vehicle Data'!C$21,IF(L172&gt;'Vehicle Data'!C$21,'Vehicle Data'!C$20))</f>
        <v>0.6</v>
      </c>
      <c r="P172">
        <f>('Vehicle Data'!C$6*9.81*'Vehicle Data'!C$5*SIN(D172))/'Vehicle Data'!C$9</f>
        <v>79.489979109089504</v>
      </c>
      <c r="Q172" s="107">
        <f>'Vehicle Data'!C$6*9.81*SIN(D172)</f>
        <v>514.03519823877878</v>
      </c>
      <c r="R172" s="101">
        <f t="shared" si="80"/>
        <v>1036.5883379665186</v>
      </c>
      <c r="S172" s="101">
        <f>IF(Data!O172=0.6,'Vehicle Data'!E$21,IF(Data!O172 = 0.9,'Vehicle Data'!E$20))+(P172*O172)</f>
        <v>1598.0663874654535</v>
      </c>
      <c r="T172" s="101">
        <f>IF(F172=3,'Vehicle Data'!H$16,IF(F172=2,'Vehicle Data'!H$15,IF(F172 = 1,'Vehicle Data'!G$14)))</f>
        <v>466.23005239380637</v>
      </c>
      <c r="U172" s="148">
        <f t="shared" si="87"/>
        <v>320.4498558432025</v>
      </c>
      <c r="V172" s="102" t="s">
        <v>77</v>
      </c>
      <c r="W172" s="103" t="s">
        <v>84</v>
      </c>
      <c r="X172" s="101">
        <f>IF(V172="S",'Vehicle Data'!C$14,IF(Data!V172 = "T1",'Vehicle Data'!P$2,IF(Data!V172="T2",'Vehicle Data'!P$3)))</f>
        <v>13.411199999999999</v>
      </c>
      <c r="Y172" s="101"/>
      <c r="Z172" s="105">
        <v>8.3000000000000007</v>
      </c>
      <c r="AA172" s="101"/>
      <c r="AB172" s="101" t="b">
        <f>IF(AA172=1,'Vehicle Data'!I$14,IF(AA172=2,'Vehicle Data'!I$15,IF(AA172=3,'Vehicle Data'!I$16)))</f>
        <v>0</v>
      </c>
      <c r="AC172" s="101">
        <f>IF(Z172&lt;'Vehicle Data'!C$16,'Vehicle Data'!I$15,IF(Z172&lt;'Vehicle Data'!C$15,'Vehicle Data'!I$15,IF(Z171&gt;'Vehicle Data'!C$15,'Vehicle Data'!I$16)))</f>
        <v>0.98256251041858167</v>
      </c>
      <c r="AD172">
        <f>IF(O172=0.6,'Vehicle Data'!F$21,IF(O172=0.9,'Vehicle Data'!F$20))</f>
        <v>3.5315999999999996</v>
      </c>
      <c r="AE172" s="101">
        <f>(Data!H$15-Data!Q172)/'Vehicle Data'!C$6</f>
        <v>-0.68910827617033887</v>
      </c>
      <c r="AF172" s="158">
        <f t="shared" si="110"/>
        <v>0.28613369017114243</v>
      </c>
      <c r="AG172" s="148">
        <f t="shared" si="92"/>
        <v>0</v>
      </c>
      <c r="AH172" s="148">
        <f t="shared" si="111"/>
        <v>42.320774956860504</v>
      </c>
      <c r="AI172" s="101"/>
      <c r="AJ172" s="101">
        <f>(Z172^2)*'Vehicle Data'!C$31</f>
        <v>25.317075000000013</v>
      </c>
      <c r="AK172" s="101">
        <f>IF(O172=0.6,'Vehicle Data'!C$6*'Vehicle Data'!D$21*9.81,IF(O172=0.9,'Vehicle Data'!C$6*9.81*'Vehicle Data'!D$20))</f>
        <v>86.131799999999998</v>
      </c>
      <c r="AL172" s="101">
        <f t="shared" si="89"/>
        <v>625.48407323877882</v>
      </c>
      <c r="AM172" s="101"/>
      <c r="AN172" t="b">
        <f>IF(AG172&gt;0,AG172*'Vehicle Data'!C$6)</f>
        <v>0</v>
      </c>
      <c r="AO172" s="101">
        <f t="shared" si="93"/>
        <v>625.48407323877882</v>
      </c>
      <c r="AP172" s="101">
        <f>AO172*'Vehicle Data'!F$3</f>
        <v>159.87372911983186</v>
      </c>
      <c r="AQ172">
        <v>20</v>
      </c>
      <c r="AR172">
        <f>IF(Z172&lt;'Vehicle Data'!C$16, Z172*'Vehicle Data'!F$7*'Vehicle Data'!G$14,IF(Z172&lt;'Vehicle Data'!C$15,Z172*'Vehicle Data'!F$7*'Vehicle Data'!G$15,IF(Z172&gt;'Vehicle Data'!C$15,Z172*'Vehicle Data'!F$7*'Vehicle Data'!G$16)))</f>
        <v>107.59259259259261</v>
      </c>
      <c r="AS172">
        <f t="shared" si="112"/>
        <v>6455.5555555555566</v>
      </c>
      <c r="AT172">
        <f t="shared" si="117"/>
        <v>20</v>
      </c>
      <c r="AU172">
        <f t="shared" si="113"/>
        <v>6500</v>
      </c>
      <c r="AW172">
        <f>VLOOKUP(AT172,BSFC!A$64:A$82,1,FALSE)</f>
        <v>20</v>
      </c>
      <c r="AX172" t="e" cm="1">
        <f t="array" ref="AX172">_xlfn.XLOOKUP(AT172,BSFC!A$64:A$82,,-1,_xlfn.XLOOKUP(Data!AU172,BSFC!C$63:Q$63,BSFC!B$64:Q$82,,-1))</f>
        <v>#VALUE!</v>
      </c>
      <c r="AY172">
        <f>HLOOKUP(AU172,BSFC!F$63:Q$63,1)</f>
        <v>6500</v>
      </c>
      <c r="AZ172">
        <f>IF(AT172&gt;0,MATCH(AT172,BSFC!A$64:A$83,0),IF(AT172&lt;=0,0))</f>
        <v>3</v>
      </c>
      <c r="BA172">
        <f>MATCH(AU172,BSFC!C$63:Q$63,0)</f>
        <v>13</v>
      </c>
      <c r="BB172" cm="1">
        <f t="array" ref="BB172">IF(AZ172&gt;0,INDEX(BSFC!C$64:Q$83,Data!AZ172,Data!BA172))</f>
        <v>494.7</v>
      </c>
      <c r="BC172">
        <f>0.5*'Vehicle Data'!C$6*Data!Z172^2</f>
        <v>15121.355000000003</v>
      </c>
      <c r="BD172">
        <f t="shared" si="94"/>
        <v>13.465906457145509</v>
      </c>
      <c r="BE172">
        <f t="shared" si="114"/>
        <v>6661.5839243498831</v>
      </c>
      <c r="BF172">
        <f t="shared" si="115"/>
        <v>0.52947321962749794</v>
      </c>
      <c r="BG172">
        <f t="shared" si="95"/>
        <v>43.338318671495962</v>
      </c>
      <c r="BH172">
        <f t="shared" si="118"/>
        <v>13465.906457145509</v>
      </c>
      <c r="BI172" s="148">
        <f t="shared" si="96"/>
        <v>6871.6622130335309</v>
      </c>
      <c r="BO172">
        <f t="shared" si="97"/>
        <v>3858.0293482320553</v>
      </c>
      <c r="BP172">
        <f t="shared" si="98"/>
        <v>150760.15973168434</v>
      </c>
      <c r="BQ172">
        <f t="shared" si="99"/>
        <v>214159.73270492299</v>
      </c>
      <c r="BR172" s="148">
        <f t="shared" si="100"/>
        <v>292782.82538118074</v>
      </c>
      <c r="BS172" s="156">
        <f t="shared" si="101"/>
        <v>3858.0293482320553</v>
      </c>
      <c r="BT172" s="156">
        <f t="shared" si="102"/>
        <v>13465.906457145509</v>
      </c>
      <c r="BU172">
        <f t="shared" si="103"/>
        <v>1968.7552838266477</v>
      </c>
      <c r="BV172">
        <f t="shared" si="104"/>
        <v>1968.7552838266477</v>
      </c>
      <c r="BW172" s="148">
        <f t="shared" si="105"/>
        <v>455.4</v>
      </c>
      <c r="BX172" s="148">
        <f t="shared" si="106"/>
        <v>3129354.9718154697</v>
      </c>
      <c r="BY172" s="148">
        <f t="shared" si="107"/>
        <v>0.24904754340407093</v>
      </c>
      <c r="BZ172">
        <f t="shared" si="90"/>
        <v>42.320774956860504</v>
      </c>
      <c r="CB172">
        <f t="shared" si="108"/>
        <v>-1889.2740644054077</v>
      </c>
      <c r="CC172" s="162">
        <f t="shared" si="91"/>
        <v>-6602.766920859277</v>
      </c>
      <c r="CD172">
        <f t="shared" si="116"/>
        <v>77891.152197231961</v>
      </c>
    </row>
    <row r="173" spans="3:82" x14ac:dyDescent="0.2">
      <c r="D173" s="22">
        <f t="shared" si="81"/>
        <v>8.39845225348754E-2</v>
      </c>
      <c r="E173" s="23">
        <v>10.2017056</v>
      </c>
      <c r="F173" s="23">
        <f>IF(K173&lt;6,1,IF(Data!K173&lt;9,2,IF(K173&gt;9,3)))</f>
        <v>3</v>
      </c>
      <c r="G173" s="23">
        <v>1041.3473487300948</v>
      </c>
      <c r="H173" s="23">
        <v>219.41666499999999</v>
      </c>
      <c r="I173" s="64">
        <v>47.612664490649266</v>
      </c>
      <c r="J173" s="65">
        <f t="shared" si="82"/>
        <v>1.6143492494900435</v>
      </c>
      <c r="K173" s="65">
        <f t="shared" si="83"/>
        <v>19.045065796259706</v>
      </c>
      <c r="L173" s="65">
        <f t="shared" si="84"/>
        <v>0.645739699795989</v>
      </c>
      <c r="M173">
        <f t="shared" si="85"/>
        <v>20.403411200000001</v>
      </c>
      <c r="N173">
        <f t="shared" si="86"/>
        <v>0.19999759999999966</v>
      </c>
      <c r="O173">
        <f>IF(L173&lt;'Vehicle Data'!F$21,'Vehicle Data'!C$21,IF(L173&gt;'Vehicle Data'!C$21,'Vehicle Data'!C$20))</f>
        <v>0.6</v>
      </c>
      <c r="P173">
        <f>('Vehicle Data'!C$6*9.81*'Vehicle Data'!C$5*SIN(D173))/'Vehicle Data'!C$9</f>
        <v>55.865237282212533</v>
      </c>
      <c r="Q173" s="107">
        <f>'Vehicle Data'!C$6*9.81*SIN(D173)</f>
        <v>361.26186775830769</v>
      </c>
      <c r="R173" s="101">
        <f t="shared" si="80"/>
        <v>1038.9663170273589</v>
      </c>
      <c r="S173" s="101">
        <f>IF(Data!O173=0.6,'Vehicle Data'!E$21,IF(Data!O173 = 0.9,'Vehicle Data'!E$20))+(P173*O173)</f>
        <v>1583.8915423693272</v>
      </c>
      <c r="T173" s="101">
        <f>IF(F173=3,'Vehicle Data'!H$16,IF(F173=2,'Vehicle Data'!H$15,IF(F173 = 1,'Vehicle Data'!G$14)))</f>
        <v>466.23005239380637</v>
      </c>
      <c r="U173" s="148">
        <f t="shared" si="87"/>
        <v>322.82783490404279</v>
      </c>
      <c r="V173" s="102" t="s">
        <v>77</v>
      </c>
      <c r="W173" s="103" t="s">
        <v>84</v>
      </c>
      <c r="X173" s="101">
        <f>IF(V173="S",'Vehicle Data'!C$14,IF(Data!V173 = "T1",'Vehicle Data'!P$2,IF(Data!V173="T2",'Vehicle Data'!P$3)))</f>
        <v>13.411199999999999</v>
      </c>
      <c r="Y173" s="101"/>
      <c r="Z173" s="105">
        <v>8.3000000000000007</v>
      </c>
      <c r="AA173" s="101"/>
      <c r="AB173" s="101" t="b">
        <f>IF(AA173=1,'Vehicle Data'!I$14,IF(AA173=2,'Vehicle Data'!I$15,IF(AA173=3,'Vehicle Data'!I$16)))</f>
        <v>0</v>
      </c>
      <c r="AC173" s="101">
        <f>IF(Z173&lt;'Vehicle Data'!C$16,'Vehicle Data'!I$15,IF(Z173&lt;'Vehicle Data'!C$15,'Vehicle Data'!I$15,IF(Z172&gt;'Vehicle Data'!C$15,'Vehicle Data'!I$16)))</f>
        <v>0.98256251041858167</v>
      </c>
      <c r="AD173">
        <f>IF(O173=0.6,'Vehicle Data'!F$21,IF(O173=0.9,'Vehicle Data'!F$20))</f>
        <v>3.5315999999999996</v>
      </c>
      <c r="AE173" s="101">
        <f>(Data!H$15-Data!Q173)/'Vehicle Data'!C$6</f>
        <v>-0.34110524546311549</v>
      </c>
      <c r="AF173" s="158">
        <f t="shared" si="110"/>
        <v>0.28650350130605889</v>
      </c>
      <c r="AG173" s="148">
        <f t="shared" si="92"/>
        <v>0</v>
      </c>
      <c r="AH173" s="148">
        <f t="shared" si="111"/>
        <v>42.607278458166562</v>
      </c>
      <c r="AI173" s="101"/>
      <c r="AJ173" s="101">
        <f>(Z173^2)*'Vehicle Data'!C$31</f>
        <v>25.317075000000013</v>
      </c>
      <c r="AK173" s="101">
        <f>IF(O173=0.6,'Vehicle Data'!C$6*'Vehicle Data'!D$21*9.81,IF(O173=0.9,'Vehicle Data'!C$6*9.81*'Vehicle Data'!D$20))</f>
        <v>86.131799999999998</v>
      </c>
      <c r="AL173" s="101">
        <f t="shared" si="89"/>
        <v>472.71074275830767</v>
      </c>
      <c r="AM173" s="101"/>
      <c r="AN173" t="b">
        <f>IF(AG173&gt;0,AG173*'Vehicle Data'!C$6)</f>
        <v>0</v>
      </c>
      <c r="AO173" s="101">
        <f t="shared" si="93"/>
        <v>472.71074275830767</v>
      </c>
      <c r="AP173" s="101">
        <f>AO173*'Vehicle Data'!F$3</f>
        <v>120.82486584902344</v>
      </c>
      <c r="AQ173">
        <v>20</v>
      </c>
      <c r="AR173">
        <f>IF(Z173&lt;'Vehicle Data'!C$16, Z173*'Vehicle Data'!F$7*'Vehicle Data'!G$14,IF(Z173&lt;'Vehicle Data'!C$15,Z173*'Vehicle Data'!F$7*'Vehicle Data'!G$15,IF(Z173&gt;'Vehicle Data'!C$15,Z173*'Vehicle Data'!F$7*'Vehicle Data'!G$16)))</f>
        <v>107.59259259259261</v>
      </c>
      <c r="AS173">
        <f t="shared" si="112"/>
        <v>6455.5555555555566</v>
      </c>
      <c r="AT173">
        <f t="shared" si="117"/>
        <v>20</v>
      </c>
      <c r="AU173">
        <f t="shared" si="113"/>
        <v>6500</v>
      </c>
      <c r="AW173">
        <f>VLOOKUP(AT173,BSFC!A$64:A$82,1,FALSE)</f>
        <v>20</v>
      </c>
      <c r="AX173" t="e" cm="1">
        <f t="array" ref="AX173">_xlfn.XLOOKUP(AT173,BSFC!A$64:A$82,,-1,_xlfn.XLOOKUP(Data!AU173,BSFC!C$63:Q$63,BSFC!B$64:Q$82,,-1))</f>
        <v>#VALUE!</v>
      </c>
      <c r="AY173">
        <f>HLOOKUP(AU173,BSFC!F$63:Q$63,1)</f>
        <v>6500</v>
      </c>
      <c r="AZ173">
        <f>IF(AT173&gt;0,MATCH(AT173,BSFC!A$64:A$83,0),IF(AT173&lt;=0,0))</f>
        <v>3</v>
      </c>
      <c r="BA173">
        <f>MATCH(AU173,BSFC!C$63:Q$63,0)</f>
        <v>13</v>
      </c>
      <c r="BB173" cm="1">
        <f t="array" ref="BB173">IF(AZ173&gt;0,INDEX(BSFC!C$64:Q$83,Data!AZ173,Data!BA173))</f>
        <v>494.7</v>
      </c>
      <c r="BC173">
        <f>0.5*'Vehicle Data'!C$6*Data!Z173^2</f>
        <v>15121.355000000003</v>
      </c>
      <c r="BD173">
        <f t="shared" si="94"/>
        <v>13.465906457145509</v>
      </c>
      <c r="BE173">
        <f t="shared" si="114"/>
        <v>6661.5839243498831</v>
      </c>
      <c r="BF173">
        <f t="shared" si="115"/>
        <v>0.53015753293622159</v>
      </c>
      <c r="BG173">
        <f t="shared" si="95"/>
        <v>43.868476204432184</v>
      </c>
      <c r="BH173">
        <f t="shared" si="118"/>
        <v>13465.906457145509</v>
      </c>
      <c r="BI173" s="148">
        <f t="shared" si="96"/>
        <v>6871.6622130335309</v>
      </c>
      <c r="BO173">
        <f t="shared" si="97"/>
        <v>3862.9819494627254</v>
      </c>
      <c r="BP173">
        <f t="shared" si="98"/>
        <v>154623.14168114707</v>
      </c>
      <c r="BQ173">
        <f t="shared" si="99"/>
        <v>218022.71465438572</v>
      </c>
      <c r="BR173" s="148">
        <f t="shared" si="100"/>
        <v>294754.10798114771</v>
      </c>
      <c r="BS173" s="156">
        <f t="shared" si="101"/>
        <v>3862.9819494627254</v>
      </c>
      <c r="BT173" s="156">
        <f t="shared" si="102"/>
        <v>13465.906457145509</v>
      </c>
      <c r="BU173">
        <f t="shared" si="103"/>
        <v>1971.2825999669556</v>
      </c>
      <c r="BV173">
        <f t="shared" si="104"/>
        <v>1971.2825999669556</v>
      </c>
      <c r="BW173" s="148">
        <f t="shared" si="105"/>
        <v>455.4</v>
      </c>
      <c r="BX173" s="148">
        <f t="shared" si="106"/>
        <v>3129354.9718154697</v>
      </c>
      <c r="BY173" s="148">
        <f t="shared" si="107"/>
        <v>0.24936724889581985</v>
      </c>
      <c r="BZ173">
        <f t="shared" si="90"/>
        <v>42.607278458166562</v>
      </c>
      <c r="CB173">
        <f t="shared" si="108"/>
        <v>-1891.6993494957699</v>
      </c>
      <c r="CC173" s="162">
        <f t="shared" si="91"/>
        <v>-6602.7093591256316</v>
      </c>
      <c r="CD173">
        <f t="shared" si="116"/>
        <v>75999.452847736189</v>
      </c>
    </row>
    <row r="174" spans="3:82" x14ac:dyDescent="0.2">
      <c r="D174" s="22">
        <f t="shared" si="81"/>
        <v>9.0517733112231255E-2</v>
      </c>
      <c r="E174" s="23">
        <v>10.4017032</v>
      </c>
      <c r="F174" s="23">
        <f>IF(K174&lt;6,1,IF(Data!K174&lt;9,2,IF(K174&gt;9,3)))</f>
        <v>3</v>
      </c>
      <c r="G174" s="23">
        <v>1043.7315130747254</v>
      </c>
      <c r="H174" s="23">
        <v>219.46666499999998</v>
      </c>
      <c r="I174" s="64">
        <v>47.69338195312374</v>
      </c>
      <c r="J174" s="65">
        <f t="shared" si="82"/>
        <v>1.6545321290320705</v>
      </c>
      <c r="K174" s="65">
        <f t="shared" si="83"/>
        <v>19.077352781249495</v>
      </c>
      <c r="L174" s="65">
        <f t="shared" si="84"/>
        <v>0.66181285161284242</v>
      </c>
      <c r="M174">
        <f t="shared" si="85"/>
        <v>20.8034064</v>
      </c>
      <c r="N174">
        <f t="shared" si="86"/>
        <v>0.21580611547588724</v>
      </c>
      <c r="O174">
        <f>IF(L174&lt;'Vehicle Data'!F$21,'Vehicle Data'!C$21,IF(L174&gt;'Vehicle Data'!C$21,'Vehicle Data'!C$20))</f>
        <v>0.6</v>
      </c>
      <c r="P174">
        <f>('Vehicle Data'!C$6*9.81*'Vehicle Data'!C$5*SIN(D174))/'Vehicle Data'!C$9</f>
        <v>60.199584960645986</v>
      </c>
      <c r="Q174" s="107">
        <f>'Vehicle Data'!C$6*9.81*SIN(D174)</f>
        <v>389.29064941217734</v>
      </c>
      <c r="R174" s="101">
        <f t="shared" si="80"/>
        <v>1041.3473487300948</v>
      </c>
      <c r="S174" s="101">
        <f>IF(Data!O174=0.6,'Vehicle Data'!E$21,IF(Data!O174 = 0.9,'Vehicle Data'!E$20))+(P174*O174)</f>
        <v>1586.4921509763874</v>
      </c>
      <c r="T174" s="101">
        <f>IF(F174=3,'Vehicle Data'!H$16,IF(F174=2,'Vehicle Data'!H$15,IF(F174 = 1,'Vehicle Data'!G$14)))</f>
        <v>466.23005239380637</v>
      </c>
      <c r="U174" s="148">
        <f t="shared" si="87"/>
        <v>325.20886660677877</v>
      </c>
      <c r="V174" s="102" t="s">
        <v>77</v>
      </c>
      <c r="W174" s="103" t="s">
        <v>84</v>
      </c>
      <c r="X174" s="101">
        <f>IF(V174="S",'Vehicle Data'!C$14,IF(Data!V174 = "T1",'Vehicle Data'!P$2,IF(Data!V174="T2",'Vehicle Data'!P$3)))</f>
        <v>13.411199999999999</v>
      </c>
      <c r="Y174" s="101"/>
      <c r="Z174" s="105">
        <v>8.3000000000000007</v>
      </c>
      <c r="AA174" s="101"/>
      <c r="AB174" s="101" t="b">
        <f>IF(AA174=1,'Vehicle Data'!I$14,IF(AA174=2,'Vehicle Data'!I$15,IF(AA174=3,'Vehicle Data'!I$16)))</f>
        <v>0</v>
      </c>
      <c r="AC174" s="101">
        <f>IF(Z174&lt;'Vehicle Data'!C$16,'Vehicle Data'!I$15,IF(Z174&lt;'Vehicle Data'!C$15,'Vehicle Data'!I$15,IF(Z173&gt;'Vehicle Data'!C$15,'Vehicle Data'!I$16)))</f>
        <v>0.98256251041858167</v>
      </c>
      <c r="AD174">
        <f>IF(O174=0.6,'Vehicle Data'!F$21,IF(O174=0.9,'Vehicle Data'!F$20))</f>
        <v>3.5315999999999996</v>
      </c>
      <c r="AE174" s="101">
        <f>(Data!H$15-Data!Q174)/'Vehicle Data'!C$6</f>
        <v>-0.40495212850154294</v>
      </c>
      <c r="AF174" s="158">
        <f t="shared" si="110"/>
        <v>0.28687128948626284</v>
      </c>
      <c r="AG174" s="148">
        <f t="shared" si="92"/>
        <v>0</v>
      </c>
      <c r="AH174" s="148">
        <f t="shared" si="111"/>
        <v>42.894149747652826</v>
      </c>
      <c r="AI174" s="101"/>
      <c r="AJ174" s="101">
        <f>(Z174^2)*'Vehicle Data'!C$31</f>
        <v>25.317075000000013</v>
      </c>
      <c r="AK174" s="101">
        <f>IF(O174=0.6,'Vehicle Data'!C$6*'Vehicle Data'!D$21*9.81,IF(O174=0.9,'Vehicle Data'!C$6*9.81*'Vehicle Data'!D$20))</f>
        <v>86.131799999999998</v>
      </c>
      <c r="AL174" s="101">
        <f t="shared" si="89"/>
        <v>500.73952441217739</v>
      </c>
      <c r="AM174" s="101"/>
      <c r="AN174" t="b">
        <f>IF(AG174&gt;0,AG174*'Vehicle Data'!C$6)</f>
        <v>0</v>
      </c>
      <c r="AO174" s="101">
        <f t="shared" si="93"/>
        <v>500.73952441217739</v>
      </c>
      <c r="AP174" s="101">
        <f>AO174*'Vehicle Data'!F$3</f>
        <v>127.98902243975253</v>
      </c>
      <c r="AQ174">
        <v>20</v>
      </c>
      <c r="AR174">
        <f>IF(Z174&lt;'Vehicle Data'!C$16, Z174*'Vehicle Data'!F$7*'Vehicle Data'!G$14,IF(Z174&lt;'Vehicle Data'!C$15,Z174*'Vehicle Data'!F$7*'Vehicle Data'!G$15,IF(Z174&gt;'Vehicle Data'!C$15,Z174*'Vehicle Data'!F$7*'Vehicle Data'!G$16)))</f>
        <v>107.59259259259261</v>
      </c>
      <c r="AS174">
        <f t="shared" si="112"/>
        <v>6455.5555555555566</v>
      </c>
      <c r="AT174">
        <f t="shared" si="117"/>
        <v>20</v>
      </c>
      <c r="AU174">
        <f t="shared" si="113"/>
        <v>6500</v>
      </c>
      <c r="AW174">
        <f>VLOOKUP(AT174,BSFC!A$64:A$82,1,FALSE)</f>
        <v>20</v>
      </c>
      <c r="AX174" t="e" cm="1">
        <f t="array" ref="AX174">_xlfn.XLOOKUP(AT174,BSFC!A$64:A$82,,-1,_xlfn.XLOOKUP(Data!AU174,BSFC!C$63:Q$63,BSFC!B$64:Q$82,,-1))</f>
        <v>#VALUE!</v>
      </c>
      <c r="AY174">
        <f>HLOOKUP(AU174,BSFC!F$63:Q$63,1)</f>
        <v>6500</v>
      </c>
      <c r="AZ174">
        <f>IF(AT174&gt;0,MATCH(AT174,BSFC!A$64:A$83,0),IF(AT174&lt;=0,0))</f>
        <v>3</v>
      </c>
      <c r="BA174">
        <f>MATCH(AU174,BSFC!C$63:Q$63,0)</f>
        <v>13</v>
      </c>
      <c r="BB174" cm="1">
        <f t="array" ref="BB174">IF(AZ174&gt;0,INDEX(BSFC!C$64:Q$83,Data!AZ174,Data!BA174))</f>
        <v>494.7</v>
      </c>
      <c r="BC174">
        <f>0.5*'Vehicle Data'!C$6*Data!Z174^2</f>
        <v>15121.355000000003</v>
      </c>
      <c r="BD174">
        <f t="shared" si="94"/>
        <v>13.465906457145509</v>
      </c>
      <c r="BE174">
        <f t="shared" si="114"/>
        <v>6661.5839243498831</v>
      </c>
      <c r="BF174">
        <f t="shared" si="115"/>
        <v>0.53083810288866951</v>
      </c>
      <c r="BG174">
        <f t="shared" si="95"/>
        <v>44.399314307320857</v>
      </c>
      <c r="BH174">
        <f t="shared" si="118"/>
        <v>13465.906457145509</v>
      </c>
      <c r="BI174" s="148">
        <f t="shared" si="96"/>
        <v>6871.6622130335309</v>
      </c>
      <c r="BO174">
        <f t="shared" si="97"/>
        <v>3868.0643425610574</v>
      </c>
      <c r="BP174">
        <f t="shared" si="98"/>
        <v>158491.20602370813</v>
      </c>
      <c r="BQ174">
        <f t="shared" si="99"/>
        <v>221890.77899694678</v>
      </c>
      <c r="BR174" s="148">
        <f t="shared" si="100"/>
        <v>296727.98413014284</v>
      </c>
      <c r="BS174" s="156">
        <f t="shared" si="101"/>
        <v>3868.0643425610574</v>
      </c>
      <c r="BT174" s="156">
        <f t="shared" si="102"/>
        <v>13465.906457145509</v>
      </c>
      <c r="BU174">
        <f t="shared" si="103"/>
        <v>1973.8761489951428</v>
      </c>
      <c r="BV174">
        <f t="shared" si="104"/>
        <v>1973.8761489951428</v>
      </c>
      <c r="BW174" s="148">
        <f t="shared" si="105"/>
        <v>455.4</v>
      </c>
      <c r="BX174" s="148">
        <f t="shared" si="106"/>
        <v>3129354.9718154697</v>
      </c>
      <c r="BY174" s="148">
        <f t="shared" si="107"/>
        <v>0.24969533284788553</v>
      </c>
      <c r="BZ174">
        <f t="shared" si="90"/>
        <v>42.894149747652826</v>
      </c>
      <c r="CB174">
        <f t="shared" si="108"/>
        <v>-1894.1881935659146</v>
      </c>
      <c r="CC174" s="162">
        <f t="shared" si="91"/>
        <v>-6602.9200655041941</v>
      </c>
      <c r="CD174">
        <f t="shared" si="116"/>
        <v>74105.264654170271</v>
      </c>
    </row>
    <row r="175" spans="3:82" x14ac:dyDescent="0.2">
      <c r="D175" s="22">
        <f t="shared" si="81"/>
        <v>7.7118916197572301E-2</v>
      </c>
      <c r="E175" s="23">
        <v>10.617509315475887</v>
      </c>
      <c r="F175" s="23">
        <f>IF(K175&lt;6,1,IF(Data!K175&lt;9,2,IF(K175&gt;9,3)))</f>
        <v>3</v>
      </c>
      <c r="G175" s="23">
        <v>1046.1189027031448</v>
      </c>
      <c r="H175" s="23">
        <v>219.51666499999999</v>
      </c>
      <c r="I175" s="64">
        <v>47.776108559575363</v>
      </c>
      <c r="J175" s="65">
        <f t="shared" si="82"/>
        <v>1.6119607088608376</v>
      </c>
      <c r="K175" s="65">
        <f t="shared" si="83"/>
        <v>19.110443423830144</v>
      </c>
      <c r="L175" s="65">
        <f t="shared" si="84"/>
        <v>0.64478428354433504</v>
      </c>
      <c r="M175">
        <f t="shared" si="85"/>
        <v>21.235018630951775</v>
      </c>
      <c r="N175">
        <f t="shared" si="86"/>
        <v>0.18419548452411227</v>
      </c>
      <c r="O175">
        <f>IF(L175&lt;'Vehicle Data'!F$21,'Vehicle Data'!C$21,IF(L175&gt;'Vehicle Data'!C$21,'Vehicle Data'!C$20))</f>
        <v>0.6</v>
      </c>
      <c r="P175">
        <f>('Vehicle Data'!C$6*9.81*'Vehicle Data'!C$5*SIN(D175))/'Vehicle Data'!C$9</f>
        <v>51.307801120126392</v>
      </c>
      <c r="Q175" s="107">
        <f>'Vehicle Data'!C$6*9.81*SIN(D175)</f>
        <v>331.79044724348398</v>
      </c>
      <c r="R175" s="101">
        <f t="shared" si="80"/>
        <v>1043.7315130747254</v>
      </c>
      <c r="S175" s="101">
        <f>IF(Data!O175=0.6,'Vehicle Data'!E$21,IF(Data!O175 = 0.9,'Vehicle Data'!E$20))+(P175*O175)</f>
        <v>1581.1570806720756</v>
      </c>
      <c r="T175" s="101">
        <f>IF(F175=3,'Vehicle Data'!H$16,IF(F175=2,'Vehicle Data'!H$15,IF(F175 = 1,'Vehicle Data'!G$14)))</f>
        <v>466.23005239380637</v>
      </c>
      <c r="U175" s="148">
        <f t="shared" si="87"/>
        <v>327.59303095140933</v>
      </c>
      <c r="V175" s="102" t="s">
        <v>77</v>
      </c>
      <c r="W175" s="103" t="s">
        <v>84</v>
      </c>
      <c r="X175" s="101">
        <f>IF(V175="S",'Vehicle Data'!C$14,IF(Data!V175 = "T1",'Vehicle Data'!P$2,IF(Data!V175="T2",'Vehicle Data'!P$3)))</f>
        <v>13.411199999999999</v>
      </c>
      <c r="Y175" s="101"/>
      <c r="Z175" s="105">
        <v>8.3000000000000007</v>
      </c>
      <c r="AA175" s="101"/>
      <c r="AB175" s="101" t="b">
        <f>IF(AA175=1,'Vehicle Data'!I$14,IF(AA175=2,'Vehicle Data'!I$15,IF(AA175=3,'Vehicle Data'!I$16)))</f>
        <v>0</v>
      </c>
      <c r="AC175" s="101">
        <f>IF(Z175&lt;'Vehicle Data'!C$16,'Vehicle Data'!I$15,IF(Z175&lt;'Vehicle Data'!C$15,'Vehicle Data'!I$15,IF(Z174&gt;'Vehicle Data'!C$15,'Vehicle Data'!I$16)))</f>
        <v>0.98256251041858167</v>
      </c>
      <c r="AD175">
        <f>IF(O175=0.6,'Vehicle Data'!F$21,IF(O175=0.9,'Vehicle Data'!F$20))</f>
        <v>3.5315999999999996</v>
      </c>
      <c r="AE175" s="101">
        <f>(Data!H$15-Data!Q175)/'Vehicle Data'!C$6</f>
        <v>-0.27397216911955352</v>
      </c>
      <c r="AF175" s="158">
        <f t="shared" si="110"/>
        <v>0.28724871622054965</v>
      </c>
      <c r="AG175" s="148">
        <f t="shared" si="92"/>
        <v>0</v>
      </c>
      <c r="AH175" s="148">
        <f t="shared" si="111"/>
        <v>43.181398463873379</v>
      </c>
      <c r="AI175" s="101"/>
      <c r="AJ175" s="101">
        <f>(Z175^2)*'Vehicle Data'!C$31</f>
        <v>25.317075000000013</v>
      </c>
      <c r="AK175" s="101">
        <f>IF(O175=0.6,'Vehicle Data'!C$6*'Vehicle Data'!D$21*9.81,IF(O175=0.9,'Vehicle Data'!C$6*9.81*'Vehicle Data'!D$20))</f>
        <v>86.131799999999998</v>
      </c>
      <c r="AL175" s="101">
        <f t="shared" si="89"/>
        <v>443.23932224348403</v>
      </c>
      <c r="AM175" s="101"/>
      <c r="AN175" t="b">
        <f>IF(AG175&gt;0,AG175*'Vehicle Data'!C$6)</f>
        <v>0</v>
      </c>
      <c r="AO175" s="101">
        <f t="shared" si="93"/>
        <v>443.23932224348403</v>
      </c>
      <c r="AP175" s="101">
        <f>AO175*'Vehicle Data'!F$3</f>
        <v>113.29197076543451</v>
      </c>
      <c r="AQ175">
        <v>20</v>
      </c>
      <c r="AR175">
        <f>IF(Z175&lt;'Vehicle Data'!C$16, Z175*'Vehicle Data'!F$7*'Vehicle Data'!G$14,IF(Z175&lt;'Vehicle Data'!C$15,Z175*'Vehicle Data'!F$7*'Vehicle Data'!G$15,IF(Z175&gt;'Vehicle Data'!C$15,Z175*'Vehicle Data'!F$7*'Vehicle Data'!G$16)))</f>
        <v>107.59259259259261</v>
      </c>
      <c r="AS175">
        <f t="shared" si="112"/>
        <v>6455.5555555555566</v>
      </c>
      <c r="AT175">
        <f t="shared" si="117"/>
        <v>20</v>
      </c>
      <c r="AU175">
        <f t="shared" si="113"/>
        <v>6500</v>
      </c>
      <c r="AW175">
        <f>VLOOKUP(AT175,BSFC!A$64:A$82,1,FALSE)</f>
        <v>20</v>
      </c>
      <c r="AX175" t="e" cm="1">
        <f t="array" ref="AX175">_xlfn.XLOOKUP(AT175,BSFC!A$64:A$82,,-1,_xlfn.XLOOKUP(Data!AU175,BSFC!C$63:Q$63,BSFC!B$64:Q$82,,-1))</f>
        <v>#VALUE!</v>
      </c>
      <c r="AY175">
        <f>HLOOKUP(AU175,BSFC!F$63:Q$63,1)</f>
        <v>6500</v>
      </c>
      <c r="AZ175">
        <f>IF(AT175&gt;0,MATCH(AT175,BSFC!A$64:A$83,0),IF(AT175&lt;=0,0))</f>
        <v>3</v>
      </c>
      <c r="BA175">
        <f>MATCH(AU175,BSFC!C$63:Q$63,0)</f>
        <v>13</v>
      </c>
      <c r="BB175" cm="1">
        <f t="array" ref="BB175">IF(AZ175&gt;0,INDEX(BSFC!C$64:Q$83,Data!AZ175,Data!BA175))</f>
        <v>494.7</v>
      </c>
      <c r="BC175">
        <f>0.5*'Vehicle Data'!C$6*Data!Z175^2</f>
        <v>15121.355000000003</v>
      </c>
      <c r="BD175">
        <f t="shared" si="94"/>
        <v>13.465906457145509</v>
      </c>
      <c r="BE175">
        <f t="shared" si="114"/>
        <v>6661.5839243498831</v>
      </c>
      <c r="BF175">
        <f t="shared" si="115"/>
        <v>0.5315365084069319</v>
      </c>
      <c r="BG175">
        <f t="shared" si="95"/>
        <v>44.930850815727787</v>
      </c>
      <c r="BH175">
        <f t="shared" si="118"/>
        <v>13465.906457145509</v>
      </c>
      <c r="BI175" s="148">
        <f t="shared" si="96"/>
        <v>6871.6622130335309</v>
      </c>
      <c r="BO175">
        <f t="shared" si="97"/>
        <v>3873.2970377175388</v>
      </c>
      <c r="BP175">
        <f t="shared" si="98"/>
        <v>162364.50306142567</v>
      </c>
      <c r="BQ175">
        <f t="shared" si="99"/>
        <v>225764.07603466432</v>
      </c>
      <c r="BR175" s="148">
        <f t="shared" si="100"/>
        <v>298704.5305274197</v>
      </c>
      <c r="BS175" s="156">
        <f t="shared" si="101"/>
        <v>3873.2970377175388</v>
      </c>
      <c r="BT175" s="156">
        <f t="shared" si="102"/>
        <v>13465.906457145509</v>
      </c>
      <c r="BU175">
        <f t="shared" si="103"/>
        <v>1976.5463972768719</v>
      </c>
      <c r="BV175">
        <f t="shared" si="104"/>
        <v>1976.5463972768719</v>
      </c>
      <c r="BW175" s="148">
        <f t="shared" si="105"/>
        <v>455.4</v>
      </c>
      <c r="BX175" s="148">
        <f t="shared" si="106"/>
        <v>3129354.9718154697</v>
      </c>
      <c r="BY175" s="148">
        <f t="shared" si="107"/>
        <v>0.25003311925552429</v>
      </c>
      <c r="BZ175">
        <f t="shared" si="90"/>
        <v>43.181398463873379</v>
      </c>
      <c r="CB175">
        <f t="shared" si="108"/>
        <v>-1896.750640440667</v>
      </c>
      <c r="CC175" s="162">
        <f t="shared" si="91"/>
        <v>-6603.1648997321154</v>
      </c>
      <c r="CD175">
        <f t="shared" si="116"/>
        <v>72208.514013729597</v>
      </c>
    </row>
    <row r="176" spans="3:82" x14ac:dyDescent="0.2">
      <c r="D176" s="22">
        <f t="shared" si="81"/>
        <v>8.3626532506466691E-2</v>
      </c>
      <c r="E176" s="23">
        <v>10.8017048</v>
      </c>
      <c r="F176" s="23">
        <f>IF(K176&lt;6,1,IF(Data!K176&lt;9,2,IF(K176&gt;9,3)))</f>
        <v>3</v>
      </c>
      <c r="G176" s="23">
        <v>1048.5097323315656</v>
      </c>
      <c r="H176" s="23">
        <v>219.566665</v>
      </c>
      <c r="I176" s="64">
        <v>47.856706595018423</v>
      </c>
      <c r="J176" s="65">
        <f t="shared" si="82"/>
        <v>1.6314679559003644</v>
      </c>
      <c r="K176" s="65">
        <f t="shared" si="83"/>
        <v>19.142682638007368</v>
      </c>
      <c r="L176" s="65">
        <f t="shared" si="84"/>
        <v>0.65258718236017421</v>
      </c>
      <c r="M176">
        <f t="shared" si="85"/>
        <v>21.603409599999999</v>
      </c>
      <c r="N176">
        <f t="shared" si="86"/>
        <v>0.1999967999999992</v>
      </c>
      <c r="O176">
        <f>IF(L176&lt;'Vehicle Data'!F$21,'Vehicle Data'!C$21,IF(L176&gt;'Vehicle Data'!C$21,'Vehicle Data'!C$20))</f>
        <v>0.6</v>
      </c>
      <c r="P176">
        <f>('Vehicle Data'!C$6*9.81*'Vehicle Data'!C$5*SIN(D176))/'Vehicle Data'!C$9</f>
        <v>55.627664279577644</v>
      </c>
      <c r="Q176" s="107">
        <f>'Vehicle Data'!C$6*9.81*SIN(D176)</f>
        <v>359.7255623412687</v>
      </c>
      <c r="R176" s="101">
        <f t="shared" si="80"/>
        <v>1046.1189027031448</v>
      </c>
      <c r="S176" s="101">
        <f>IF(Data!O176=0.6,'Vehicle Data'!E$21,IF(Data!O176 = 0.9,'Vehicle Data'!E$20))+(P176*O176)</f>
        <v>1583.7489985677464</v>
      </c>
      <c r="T176" s="101">
        <f>IF(F176=3,'Vehicle Data'!H$16,IF(F176=2,'Vehicle Data'!H$15,IF(F176 = 1,'Vehicle Data'!G$14)))</f>
        <v>466.23005239380637</v>
      </c>
      <c r="U176" s="148">
        <f t="shared" si="87"/>
        <v>329.98042057982877</v>
      </c>
      <c r="V176" s="102" t="s">
        <v>77</v>
      </c>
      <c r="W176" s="103" t="s">
        <v>84</v>
      </c>
      <c r="X176" s="101">
        <f>IF(V176="S",'Vehicle Data'!C$14,IF(Data!V176 = "T1",'Vehicle Data'!P$2,IF(Data!V176="T2",'Vehicle Data'!P$3)))</f>
        <v>13.411199999999999</v>
      </c>
      <c r="Y176" s="101"/>
      <c r="Z176" s="105">
        <v>8.3000000000000007</v>
      </c>
      <c r="AA176" s="101"/>
      <c r="AB176" s="101" t="b">
        <f>IF(AA176=1,'Vehicle Data'!I$14,IF(AA176=2,'Vehicle Data'!I$15,IF(AA176=3,'Vehicle Data'!I$16)))</f>
        <v>0</v>
      </c>
      <c r="AC176" s="101">
        <f>IF(Z176&lt;'Vehicle Data'!C$16,'Vehicle Data'!I$15,IF(Z176&lt;'Vehicle Data'!C$15,'Vehicle Data'!I$15,IF(Z175&gt;'Vehicle Data'!C$15,'Vehicle Data'!I$16)))</f>
        <v>0.98256251041858167</v>
      </c>
      <c r="AD176">
        <f>IF(O176=0.6,'Vehicle Data'!F$21,IF(O176=0.9,'Vehicle Data'!F$20))</f>
        <v>3.5315999999999996</v>
      </c>
      <c r="AE176" s="101">
        <f>(Data!H$15-Data!Q176)/'Vehicle Data'!C$6</f>
        <v>-0.33760568870448454</v>
      </c>
      <c r="AF176" s="158">
        <f t="shared" si="110"/>
        <v>0.28763730462884834</v>
      </c>
      <c r="AG176" s="148">
        <f t="shared" si="92"/>
        <v>0</v>
      </c>
      <c r="AH176" s="148">
        <f t="shared" si="111"/>
        <v>43.469035768502224</v>
      </c>
      <c r="AI176" s="101"/>
      <c r="AJ176" s="101">
        <f>(Z176^2)*'Vehicle Data'!C$31</f>
        <v>25.317075000000013</v>
      </c>
      <c r="AK176" s="101">
        <f>IF(O176=0.6,'Vehicle Data'!C$6*'Vehicle Data'!D$21*9.81,IF(O176=0.9,'Vehicle Data'!C$6*9.81*'Vehicle Data'!D$20))</f>
        <v>86.131799999999998</v>
      </c>
      <c r="AL176" s="101">
        <f t="shared" si="89"/>
        <v>471.17443734126869</v>
      </c>
      <c r="AM176" s="101"/>
      <c r="AN176" t="b">
        <f>IF(AG176&gt;0,AG176*'Vehicle Data'!C$6)</f>
        <v>0</v>
      </c>
      <c r="AO176" s="101">
        <f t="shared" si="93"/>
        <v>471.17443734126869</v>
      </c>
      <c r="AP176" s="101">
        <f>AO176*'Vehicle Data'!F$3</f>
        <v>120.43218618442828</v>
      </c>
      <c r="AQ176">
        <v>20</v>
      </c>
      <c r="AR176">
        <f>IF(Z176&lt;'Vehicle Data'!C$16, Z176*'Vehicle Data'!F$7*'Vehicle Data'!G$14,IF(Z176&lt;'Vehicle Data'!C$15,Z176*'Vehicle Data'!F$7*'Vehicle Data'!G$15,IF(Z176&gt;'Vehicle Data'!C$15,Z176*'Vehicle Data'!F$7*'Vehicle Data'!G$16)))</f>
        <v>107.59259259259261</v>
      </c>
      <c r="AS176">
        <f t="shared" si="112"/>
        <v>6455.5555555555566</v>
      </c>
      <c r="AT176">
        <f t="shared" si="117"/>
        <v>20</v>
      </c>
      <c r="AU176">
        <f t="shared" si="113"/>
        <v>6500</v>
      </c>
      <c r="AW176">
        <f>VLOOKUP(AT176,BSFC!A$64:A$82,1,FALSE)</f>
        <v>20</v>
      </c>
      <c r="AX176" t="e" cm="1">
        <f t="array" ref="AX176">_xlfn.XLOOKUP(AT176,BSFC!A$64:A$82,,-1,_xlfn.XLOOKUP(Data!AU176,BSFC!C$63:Q$63,BSFC!B$64:Q$82,,-1))</f>
        <v>#VALUE!</v>
      </c>
      <c r="AY176">
        <f>HLOOKUP(AU176,BSFC!F$63:Q$63,1)</f>
        <v>6500</v>
      </c>
      <c r="AZ176">
        <f>IF(AT176&gt;0,MATCH(AT176,BSFC!A$64:A$83,0),IF(AT176&lt;=0,0))</f>
        <v>3</v>
      </c>
      <c r="BA176">
        <f>MATCH(AU176,BSFC!C$63:Q$63,0)</f>
        <v>13</v>
      </c>
      <c r="BB176" cm="1">
        <f t="array" ref="BB176">IF(AZ176&gt;0,INDEX(BSFC!C$64:Q$83,Data!AZ176,Data!BA176))</f>
        <v>494.7</v>
      </c>
      <c r="BC176">
        <f>0.5*'Vehicle Data'!C$6*Data!Z176^2</f>
        <v>15121.355000000003</v>
      </c>
      <c r="BD176">
        <f t="shared" si="94"/>
        <v>13.465906457145509</v>
      </c>
      <c r="BE176">
        <f t="shared" si="114"/>
        <v>6661.5839243498831</v>
      </c>
      <c r="BF176">
        <f t="shared" si="115"/>
        <v>0.53225556793301843</v>
      </c>
      <c r="BG176">
        <f t="shared" si="95"/>
        <v>45.463106383660808</v>
      </c>
      <c r="BH176">
        <f t="shared" si="118"/>
        <v>13465.906457145509</v>
      </c>
      <c r="BI176" s="148">
        <f t="shared" si="96"/>
        <v>6871.6622130335309</v>
      </c>
      <c r="BO176">
        <f t="shared" si="97"/>
        <v>3878.8780881067369</v>
      </c>
      <c r="BP176">
        <f t="shared" si="98"/>
        <v>166243.38114953242</v>
      </c>
      <c r="BQ176">
        <f t="shared" si="99"/>
        <v>229642.95412277107</v>
      </c>
      <c r="BR176" s="148">
        <f t="shared" si="100"/>
        <v>300683.92493891605</v>
      </c>
      <c r="BS176" s="156">
        <f t="shared" si="101"/>
        <v>3878.8780881067369</v>
      </c>
      <c r="BT176" s="156">
        <f t="shared" si="102"/>
        <v>13465.906457145509</v>
      </c>
      <c r="BU176">
        <f t="shared" si="103"/>
        <v>1979.3944114963781</v>
      </c>
      <c r="BV176">
        <f t="shared" si="104"/>
        <v>1979.3944114963781</v>
      </c>
      <c r="BW176" s="148">
        <f t="shared" si="105"/>
        <v>455.4</v>
      </c>
      <c r="BX176" s="148">
        <f t="shared" si="106"/>
        <v>3129354.9718154697</v>
      </c>
      <c r="BY176" s="148">
        <f t="shared" si="107"/>
        <v>0.25039339305429176</v>
      </c>
      <c r="BZ176">
        <f t="shared" si="90"/>
        <v>43.469035768502224</v>
      </c>
      <c r="CB176">
        <f t="shared" si="108"/>
        <v>-1899.4836766103588</v>
      </c>
      <c r="CC176" s="162">
        <f t="shared" si="91"/>
        <v>-6603.745919053762</v>
      </c>
      <c r="CD176">
        <f t="shared" si="116"/>
        <v>70309.030337119242</v>
      </c>
    </row>
    <row r="177" spans="4:82" x14ac:dyDescent="0.2">
      <c r="D177" s="22">
        <f t="shared" si="81"/>
        <v>4.8314625047584658E-2</v>
      </c>
      <c r="E177" s="23">
        <v>11.001701599999999</v>
      </c>
      <c r="F177" s="23">
        <f>IF(K177&lt;6,1,IF(Data!K177&lt;9,2,IF(K177&gt;9,3)))</f>
        <v>3</v>
      </c>
      <c r="G177" s="23">
        <v>1050.90406931809</v>
      </c>
      <c r="H177" s="23">
        <v>219.61666499999998</v>
      </c>
      <c r="I177" s="64">
        <v>47.938279992813413</v>
      </c>
      <c r="J177" s="65">
        <f t="shared" si="82"/>
        <v>1.612882005716247</v>
      </c>
      <c r="K177" s="65">
        <f t="shared" si="83"/>
        <v>19.175311997125366</v>
      </c>
      <c r="L177" s="65">
        <f t="shared" si="84"/>
        <v>0.64515280228647043</v>
      </c>
      <c r="M177">
        <f t="shared" si="85"/>
        <v>22.003403199999997</v>
      </c>
      <c r="N177">
        <f t="shared" si="86"/>
        <v>0.11580771547588853</v>
      </c>
      <c r="O177">
        <f>IF(L177&lt;'Vehicle Data'!F$21,'Vehicle Data'!C$21,IF(L177&gt;'Vehicle Data'!C$21,'Vehicle Data'!C$20))</f>
        <v>0.6</v>
      </c>
      <c r="P177">
        <f>('Vehicle Data'!C$6*9.81*'Vehicle Data'!C$5*SIN(D177))/'Vehicle Data'!C$9</f>
        <v>32.163454684879788</v>
      </c>
      <c r="Q177" s="107">
        <f>'Vehicle Data'!C$6*9.81*SIN(D177)</f>
        <v>207.99034029555594</v>
      </c>
      <c r="R177" s="101">
        <f t="shared" si="80"/>
        <v>1048.5097323315656</v>
      </c>
      <c r="S177" s="101">
        <f>IF(Data!O177=0.6,'Vehicle Data'!E$21,IF(Data!O177 = 0.9,'Vehicle Data'!E$20))+(P177*O177)</f>
        <v>1569.6704728109275</v>
      </c>
      <c r="T177" s="101">
        <f>IF(F177=3,'Vehicle Data'!H$16,IF(F177=2,'Vehicle Data'!H$15,IF(F177 = 1,'Vehicle Data'!G$14)))</f>
        <v>466.23005239380637</v>
      </c>
      <c r="U177" s="148">
        <f t="shared" si="87"/>
        <v>332.37125020824953</v>
      </c>
      <c r="V177" s="102" t="s">
        <v>77</v>
      </c>
      <c r="W177" s="103" t="s">
        <v>84</v>
      </c>
      <c r="X177" s="101">
        <f>IF(V177="S",'Vehicle Data'!C$14,IF(Data!V177 = "T1",'Vehicle Data'!P$2,IF(Data!V177="T2",'Vehicle Data'!P$3)))</f>
        <v>13.411199999999999</v>
      </c>
      <c r="Y177" s="101"/>
      <c r="Z177" s="105">
        <v>8.3000000000000007</v>
      </c>
      <c r="AA177" s="101"/>
      <c r="AB177" s="101" t="b">
        <f>IF(AA177=1,'Vehicle Data'!I$14,IF(AA177=2,'Vehicle Data'!I$15,IF(AA177=3,'Vehicle Data'!I$16)))</f>
        <v>0</v>
      </c>
      <c r="AC177" s="101">
        <f>IF(Z177&lt;'Vehicle Data'!C$16,'Vehicle Data'!I$15,IF(Z177&lt;'Vehicle Data'!C$15,'Vehicle Data'!I$15,IF(Z176&gt;'Vehicle Data'!C$15,'Vehicle Data'!I$16)))</f>
        <v>0.98256251041858167</v>
      </c>
      <c r="AD177">
        <f>IF(O177=0.6,'Vehicle Data'!F$21,IF(O177=0.9,'Vehicle Data'!F$20))</f>
        <v>3.5315999999999996</v>
      </c>
      <c r="AE177" s="101">
        <f>(Data!H$15-Data!Q177)/'Vehicle Data'!C$6</f>
        <v>8.0326303062506852E-3</v>
      </c>
      <c r="AF177" s="158">
        <f t="shared" si="110"/>
        <v>0.28805176246033259</v>
      </c>
      <c r="AG177" s="148">
        <f t="shared" si="92"/>
        <v>0</v>
      </c>
      <c r="AH177" s="148">
        <f t="shared" si="111"/>
        <v>43.757087530962558</v>
      </c>
      <c r="AI177" s="101"/>
      <c r="AJ177" s="101">
        <f>(Z177^2)*'Vehicle Data'!C$31</f>
        <v>25.317075000000013</v>
      </c>
      <c r="AK177" s="101">
        <f>IF(O177=0.6,'Vehicle Data'!C$6*'Vehicle Data'!D$21*9.81,IF(O177=0.9,'Vehicle Data'!C$6*9.81*'Vehicle Data'!D$20))</f>
        <v>86.131799999999998</v>
      </c>
      <c r="AL177" s="101">
        <f t="shared" si="89"/>
        <v>319.43921529555598</v>
      </c>
      <c r="AM177" s="101"/>
      <c r="AN177" t="b">
        <f>IF(AG177&gt;0,AG177*'Vehicle Data'!C$6)</f>
        <v>0</v>
      </c>
      <c r="AO177" s="101">
        <f t="shared" si="93"/>
        <v>319.43921529555598</v>
      </c>
      <c r="AP177" s="101">
        <f>AO177*'Vehicle Data'!F$3</f>
        <v>81.648663429544101</v>
      </c>
      <c r="AQ177">
        <v>20</v>
      </c>
      <c r="AR177">
        <f>IF(Z177&lt;'Vehicle Data'!C$16, Z177*'Vehicle Data'!F$7*'Vehicle Data'!G$14,IF(Z177&lt;'Vehicle Data'!C$15,Z177*'Vehicle Data'!F$7*'Vehicle Data'!G$15,IF(Z177&gt;'Vehicle Data'!C$15,Z177*'Vehicle Data'!F$7*'Vehicle Data'!G$16)))</f>
        <v>107.59259259259261</v>
      </c>
      <c r="AS177">
        <f t="shared" si="112"/>
        <v>6455.5555555555566</v>
      </c>
      <c r="AT177">
        <f t="shared" si="117"/>
        <v>20</v>
      </c>
      <c r="AU177">
        <f t="shared" si="113"/>
        <v>6500</v>
      </c>
      <c r="AW177">
        <f>VLOOKUP(AT177,BSFC!A$64:A$82,1,FALSE)</f>
        <v>20</v>
      </c>
      <c r="AX177" t="e" cm="1">
        <f t="array" ref="AX177">_xlfn.XLOOKUP(AT177,BSFC!A$64:A$82,,-1,_xlfn.XLOOKUP(Data!AU177,BSFC!C$63:Q$63,BSFC!B$64:Q$82,,-1))</f>
        <v>#VALUE!</v>
      </c>
      <c r="AY177">
        <f>HLOOKUP(AU177,BSFC!F$63:Q$63,1)</f>
        <v>6500</v>
      </c>
      <c r="AZ177">
        <f>IF(AT177&gt;0,MATCH(AT177,BSFC!A$64:A$83,0),IF(AT177&lt;=0,0))</f>
        <v>3</v>
      </c>
      <c r="BA177">
        <f>MATCH(AU177,BSFC!C$63:Q$63,0)</f>
        <v>13</v>
      </c>
      <c r="BB177" cm="1">
        <f t="array" ref="BB177">IF(AZ177&gt;0,INDEX(BSFC!C$64:Q$83,Data!AZ177,Data!BA177))</f>
        <v>494.7</v>
      </c>
      <c r="BC177">
        <f>0.5*'Vehicle Data'!C$6*Data!Z177^2</f>
        <v>15121.355000000003</v>
      </c>
      <c r="BD177">
        <f t="shared" si="94"/>
        <v>13.465906457145509</v>
      </c>
      <c r="BE177">
        <f t="shared" si="114"/>
        <v>6661.5839243498831</v>
      </c>
      <c r="BF177">
        <f t="shared" si="115"/>
        <v>0.53302249727400075</v>
      </c>
      <c r="BG177">
        <f t="shared" si="95"/>
        <v>45.996128880934812</v>
      </c>
      <c r="BH177">
        <f t="shared" si="118"/>
        <v>13465.906457145509</v>
      </c>
      <c r="BI177" s="148">
        <f t="shared" si="96"/>
        <v>6871.6622130335309</v>
      </c>
      <c r="BO177">
        <f t="shared" si="97"/>
        <v>3884.5684201712693</v>
      </c>
      <c r="BP177">
        <f t="shared" si="98"/>
        <v>170127.94956970369</v>
      </c>
      <c r="BQ177">
        <f t="shared" si="99"/>
        <v>233527.52254294234</v>
      </c>
      <c r="BR177" s="148">
        <f t="shared" si="100"/>
        <v>302666.22313115321</v>
      </c>
      <c r="BS177" s="156">
        <f t="shared" si="101"/>
        <v>3884.5684201712693</v>
      </c>
      <c r="BT177" s="156">
        <f t="shared" si="102"/>
        <v>13465.906457145509</v>
      </c>
      <c r="BU177">
        <f t="shared" si="103"/>
        <v>1982.2981922371621</v>
      </c>
      <c r="BV177">
        <f t="shared" si="104"/>
        <v>1982.2981922371621</v>
      </c>
      <c r="BW177" s="148">
        <f t="shared" si="105"/>
        <v>455.4</v>
      </c>
      <c r="BX177" s="148">
        <f t="shared" si="106"/>
        <v>3129354.9718154697</v>
      </c>
      <c r="BY177" s="148">
        <f t="shared" si="107"/>
        <v>0.25076072131800098</v>
      </c>
      <c r="BZ177">
        <f t="shared" si="90"/>
        <v>43.757087530962558</v>
      </c>
      <c r="CB177">
        <f t="shared" si="108"/>
        <v>-1902.2702279341072</v>
      </c>
      <c r="CC177" s="162">
        <f t="shared" si="91"/>
        <v>-6603.9180308645273</v>
      </c>
      <c r="CD177">
        <f t="shared" si="116"/>
        <v>68406.760109185139</v>
      </c>
    </row>
    <row r="178" spans="4:82" x14ac:dyDescent="0.2">
      <c r="D178" s="22">
        <f t="shared" si="81"/>
        <v>4.1651209028775893E-2</v>
      </c>
      <c r="E178" s="23">
        <v>11.117509315475887</v>
      </c>
      <c r="F178" s="23">
        <f>IF(K178&lt;6,1,IF(Data!K178&lt;9,2,IF(K178&gt;9,3)))</f>
        <v>3</v>
      </c>
      <c r="G178" s="23">
        <v>1053.3019515884041</v>
      </c>
      <c r="H178" s="23">
        <v>219.66666499999999</v>
      </c>
      <c r="I178" s="64">
        <v>48.018924093099244</v>
      </c>
      <c r="J178" s="65">
        <f t="shared" si="82"/>
        <v>1.616747093508178</v>
      </c>
      <c r="K178" s="65">
        <f t="shared" si="83"/>
        <v>19.207569637239697</v>
      </c>
      <c r="L178" s="65">
        <f t="shared" si="84"/>
        <v>0.6466988374032997</v>
      </c>
      <c r="M178">
        <f t="shared" si="85"/>
        <v>22.235018630951775</v>
      </c>
      <c r="N178">
        <f t="shared" si="86"/>
        <v>9.9998526419128098E-2</v>
      </c>
      <c r="O178">
        <f>IF(L178&lt;'Vehicle Data'!F$21,'Vehicle Data'!C$21,IF(L178&gt;'Vehicle Data'!C$21,'Vehicle Data'!C$20))</f>
        <v>0.6</v>
      </c>
      <c r="P178">
        <f>('Vehicle Data'!C$6*9.81*'Vehicle Data'!C$5*SIN(D178))/'Vehicle Data'!C$9</f>
        <v>27.730333128335385</v>
      </c>
      <c r="Q178" s="107">
        <f>'Vehicle Data'!C$6*9.81*SIN(D178)</f>
        <v>179.3228208965688</v>
      </c>
      <c r="R178" s="101">
        <f t="shared" si="80"/>
        <v>1050.90406931809</v>
      </c>
      <c r="S178" s="101">
        <f>IF(Data!O178=0.6,'Vehicle Data'!E$21,IF(Data!O178 = 0.9,'Vehicle Data'!E$20))+(P178*O178)</f>
        <v>1567.0105998770009</v>
      </c>
      <c r="T178" s="101">
        <f>IF(F178=3,'Vehicle Data'!H$16,IF(F178=2,'Vehicle Data'!H$15,IF(F178 = 1,'Vehicle Data'!G$14)))</f>
        <v>466.23005239380637</v>
      </c>
      <c r="U178" s="148">
        <f t="shared" si="87"/>
        <v>334.76558719477396</v>
      </c>
      <c r="V178" s="102" t="s">
        <v>77</v>
      </c>
      <c r="W178" s="103" t="s">
        <v>84</v>
      </c>
      <c r="X178" s="101">
        <f>IF(V178="S",'Vehicle Data'!C$14,IF(Data!V178 = "T1",'Vehicle Data'!P$2,IF(Data!V178="T2",'Vehicle Data'!P$3)))</f>
        <v>13.411199999999999</v>
      </c>
      <c r="Y178" s="101"/>
      <c r="Z178" s="105">
        <v>8.3000000000000007</v>
      </c>
      <c r="AA178" s="101"/>
      <c r="AB178" s="101" t="b">
        <f>IF(AA178=1,'Vehicle Data'!I$14,IF(AA178=2,'Vehicle Data'!I$15,IF(AA178=3,'Vehicle Data'!I$16)))</f>
        <v>0</v>
      </c>
      <c r="AC178" s="101">
        <f>IF(Z178&lt;'Vehicle Data'!C$16,'Vehicle Data'!I$15,IF(Z178&lt;'Vehicle Data'!C$15,'Vehicle Data'!I$15,IF(Z177&gt;'Vehicle Data'!C$15,'Vehicle Data'!I$16)))</f>
        <v>0.98256251041858167</v>
      </c>
      <c r="AD178">
        <f>IF(O178=0.6,'Vehicle Data'!F$21,IF(O178=0.9,'Vehicle Data'!F$20))</f>
        <v>3.5315999999999996</v>
      </c>
      <c r="AE178" s="101">
        <f>(Data!H$15-Data!Q178)/'Vehicle Data'!C$6</f>
        <v>7.3334496818749859E-2</v>
      </c>
      <c r="AF178" s="158">
        <f t="shared" si="110"/>
        <v>0.28847433572583397</v>
      </c>
      <c r="AG178" s="148">
        <f t="shared" si="92"/>
        <v>0</v>
      </c>
      <c r="AH178" s="148">
        <f t="shared" si="111"/>
        <v>44.045561866688395</v>
      </c>
      <c r="AI178" s="101"/>
      <c r="AJ178" s="101">
        <f>(Z178^2)*'Vehicle Data'!C$31</f>
        <v>25.317075000000013</v>
      </c>
      <c r="AK178" s="101">
        <f>IF(O178=0.6,'Vehicle Data'!C$6*'Vehicle Data'!D$21*9.81,IF(O178=0.9,'Vehicle Data'!C$6*9.81*'Vehicle Data'!D$20))</f>
        <v>86.131799999999998</v>
      </c>
      <c r="AL178" s="101">
        <f t="shared" si="89"/>
        <v>290.77169589656881</v>
      </c>
      <c r="AM178" s="101"/>
      <c r="AN178" t="b">
        <f>IF(AG178&gt;0,AG178*'Vehicle Data'!C$6)</f>
        <v>0</v>
      </c>
      <c r="AO178" s="101">
        <f t="shared" si="93"/>
        <v>290.77169589656881</v>
      </c>
      <c r="AP178" s="101">
        <f>AO178*'Vehicle Data'!F$3</f>
        <v>74.321245471162982</v>
      </c>
      <c r="AQ178">
        <v>20</v>
      </c>
      <c r="AR178">
        <f>IF(Z178&lt;'Vehicle Data'!C$16, Z178*'Vehicle Data'!F$7*'Vehicle Data'!G$14,IF(Z178&lt;'Vehicle Data'!C$15,Z178*'Vehicle Data'!F$7*'Vehicle Data'!G$15,IF(Z178&gt;'Vehicle Data'!C$15,Z178*'Vehicle Data'!F$7*'Vehicle Data'!G$16)))</f>
        <v>107.59259259259261</v>
      </c>
      <c r="AS178">
        <f t="shared" si="112"/>
        <v>6455.5555555555566</v>
      </c>
      <c r="AT178">
        <f t="shared" si="117"/>
        <v>20</v>
      </c>
      <c r="AU178">
        <f t="shared" si="113"/>
        <v>6500</v>
      </c>
      <c r="AW178">
        <f>VLOOKUP(AT178,BSFC!A$64:A$82,1,FALSE)</f>
        <v>20</v>
      </c>
      <c r="AX178" t="e" cm="1">
        <f t="array" ref="AX178">_xlfn.XLOOKUP(AT178,BSFC!A$64:A$82,,-1,_xlfn.XLOOKUP(Data!AU178,BSFC!C$63:Q$63,BSFC!B$64:Q$82,,-1))</f>
        <v>#VALUE!</v>
      </c>
      <c r="AY178">
        <f>HLOOKUP(AU178,BSFC!F$63:Q$63,1)</f>
        <v>6500</v>
      </c>
      <c r="AZ178">
        <f>IF(AT178&gt;0,MATCH(AT178,BSFC!A$64:A$83,0),IF(AT178&lt;=0,0))</f>
        <v>3</v>
      </c>
      <c r="BA178">
        <f>MATCH(AU178,BSFC!C$63:Q$63,0)</f>
        <v>13</v>
      </c>
      <c r="BB178" cm="1">
        <f t="array" ref="BB178">IF(AZ178&gt;0,INDEX(BSFC!C$64:Q$83,Data!AZ178,Data!BA178))</f>
        <v>494.7</v>
      </c>
      <c r="BC178">
        <f>0.5*'Vehicle Data'!C$6*Data!Z178^2</f>
        <v>15121.355000000003</v>
      </c>
      <c r="BD178">
        <f t="shared" si="94"/>
        <v>13.465906457145509</v>
      </c>
      <c r="BE178">
        <f t="shared" si="114"/>
        <v>6661.5839243498831</v>
      </c>
      <c r="BF178">
        <f t="shared" si="115"/>
        <v>0.53380444373853519</v>
      </c>
      <c r="BG178">
        <f t="shared" si="95"/>
        <v>46.529933324673344</v>
      </c>
      <c r="BH178">
        <f t="shared" si="118"/>
        <v>13465.906457145509</v>
      </c>
      <c r="BI178" s="148">
        <f t="shared" si="96"/>
        <v>6871.6622130335309</v>
      </c>
      <c r="BO178">
        <f t="shared" si="97"/>
        <v>3890.3202828068875</v>
      </c>
      <c r="BP178">
        <f t="shared" si="98"/>
        <v>174018.26985251057</v>
      </c>
      <c r="BQ178">
        <f t="shared" si="99"/>
        <v>237417.84282574922</v>
      </c>
      <c r="BR178" s="148">
        <f t="shared" si="100"/>
        <v>304651.45650322794</v>
      </c>
      <c r="BS178" s="156">
        <f t="shared" si="101"/>
        <v>3890.3202828068875</v>
      </c>
      <c r="BT178" s="156">
        <f t="shared" si="102"/>
        <v>13465.906457145509</v>
      </c>
      <c r="BU178">
        <f t="shared" si="103"/>
        <v>1985.2333720747411</v>
      </c>
      <c r="BV178">
        <f t="shared" si="104"/>
        <v>1985.2333720747411</v>
      </c>
      <c r="BW178" s="148">
        <f t="shared" si="105"/>
        <v>455.4</v>
      </c>
      <c r="BX178" s="148">
        <f t="shared" si="106"/>
        <v>3129354.9718154697</v>
      </c>
      <c r="BY178" s="148">
        <f t="shared" si="107"/>
        <v>0.25113202156745468</v>
      </c>
      <c r="BZ178">
        <f t="shared" si="90"/>
        <v>44.045561866688395</v>
      </c>
      <c r="CB178">
        <f t="shared" si="108"/>
        <v>-1905.0869107321464</v>
      </c>
      <c r="CC178" s="162">
        <f t="shared" si="91"/>
        <v>-6604.0083113068313</v>
      </c>
      <c r="CD178">
        <f t="shared" si="116"/>
        <v>66501.673198452991</v>
      </c>
    </row>
    <row r="179" spans="4:82" x14ac:dyDescent="0.2">
      <c r="D179" s="22">
        <f t="shared" si="81"/>
        <v>7.6649926927881112E-2</v>
      </c>
      <c r="E179" s="23">
        <v>11.217507841895015</v>
      </c>
      <c r="F179" s="23">
        <f>IF(K179&lt;6,1,IF(Data!K179&lt;9,2,IF(K179&gt;9,3)))</f>
        <v>3</v>
      </c>
      <c r="G179" s="23">
        <v>1055.703501216824</v>
      </c>
      <c r="H179" s="23">
        <v>219.71666499999998</v>
      </c>
      <c r="I179" s="64">
        <v>48.099761447774625</v>
      </c>
      <c r="J179" s="65">
        <f t="shared" si="82"/>
        <v>1.757489287055618</v>
      </c>
      <c r="K179" s="65">
        <f t="shared" si="83"/>
        <v>19.239904579109851</v>
      </c>
      <c r="L179" s="65">
        <f t="shared" si="84"/>
        <v>0.70299571482221879</v>
      </c>
      <c r="M179">
        <f t="shared" si="85"/>
        <v>22.435015683790031</v>
      </c>
      <c r="N179">
        <f t="shared" si="86"/>
        <v>0.18419535810498466</v>
      </c>
      <c r="O179">
        <f>IF(L179&lt;'Vehicle Data'!F$21,'Vehicle Data'!C$21,IF(L179&gt;'Vehicle Data'!C$21,'Vehicle Data'!C$20))</f>
        <v>0.6</v>
      </c>
      <c r="P179">
        <f>('Vehicle Data'!C$6*9.81*'Vehicle Data'!C$5*SIN(D179))/'Vehicle Data'!C$9</f>
        <v>50.996392174361247</v>
      </c>
      <c r="Q179" s="107">
        <f>'Vehicle Data'!C$6*9.81*SIN(D179)</f>
        <v>329.77666939420271</v>
      </c>
      <c r="R179" s="101">
        <f t="shared" si="80"/>
        <v>1053.3019515884041</v>
      </c>
      <c r="S179" s="101">
        <f>IF(Data!O179=0.6,'Vehicle Data'!E$21,IF(Data!O179 = 0.9,'Vehicle Data'!E$20))+(P179*O179)</f>
        <v>1580.9702353046164</v>
      </c>
      <c r="T179" s="101">
        <f>IF(F179=3,'Vehicle Data'!H$16,IF(F179=2,'Vehicle Data'!H$15,IF(F179 = 1,'Vehicle Data'!G$14)))</f>
        <v>466.23005239380637</v>
      </c>
      <c r="U179" s="148">
        <f t="shared" si="87"/>
        <v>337.16346946508804</v>
      </c>
      <c r="V179" s="102" t="s">
        <v>77</v>
      </c>
      <c r="W179" s="103" t="s">
        <v>84</v>
      </c>
      <c r="X179" s="101">
        <f>IF(V179="S",'Vehicle Data'!C$14,IF(Data!V179 = "T1",'Vehicle Data'!P$2,IF(Data!V179="T2",'Vehicle Data'!P$3)))</f>
        <v>13.411199999999999</v>
      </c>
      <c r="Y179" s="101"/>
      <c r="Z179" s="105">
        <v>8.3000000000000007</v>
      </c>
      <c r="AA179" s="101"/>
      <c r="AB179" s="101" t="b">
        <f>IF(AA179=1,'Vehicle Data'!I$14,IF(AA179=2,'Vehicle Data'!I$15,IF(AA179=3,'Vehicle Data'!I$16)))</f>
        <v>0</v>
      </c>
      <c r="AC179" s="101">
        <f>IF(Z179&lt;'Vehicle Data'!C$16,'Vehicle Data'!I$15,IF(Z179&lt;'Vehicle Data'!C$15,'Vehicle Data'!I$15,IF(Z178&gt;'Vehicle Data'!C$15,'Vehicle Data'!I$16)))</f>
        <v>0.98256251041858167</v>
      </c>
      <c r="AD179">
        <f>IF(O179=0.6,'Vehicle Data'!F$21,IF(O179=0.9,'Vehicle Data'!F$20))</f>
        <v>3.5315999999999996</v>
      </c>
      <c r="AE179" s="101">
        <f>(Data!H$15-Data!Q179)/'Vehicle Data'!C$6</f>
        <v>-0.26938497584100846</v>
      </c>
      <c r="AF179" s="158">
        <f t="shared" si="110"/>
        <v>0.28890147835109453</v>
      </c>
      <c r="AG179" s="148">
        <f t="shared" si="92"/>
        <v>0</v>
      </c>
      <c r="AH179" s="148">
        <f t="shared" si="111"/>
        <v>44.334463345039488</v>
      </c>
      <c r="AI179" s="101"/>
      <c r="AJ179" s="101">
        <f>(Z179^2)*'Vehicle Data'!C$31</f>
        <v>25.317075000000013</v>
      </c>
      <c r="AK179" s="101">
        <f>IF(O179=0.6,'Vehicle Data'!C$6*'Vehicle Data'!D$21*9.81,IF(O179=0.9,'Vehicle Data'!C$6*9.81*'Vehicle Data'!D$20))</f>
        <v>86.131799999999998</v>
      </c>
      <c r="AL179" s="101">
        <f t="shared" si="89"/>
        <v>441.22554439420276</v>
      </c>
      <c r="AM179" s="101"/>
      <c r="AN179" t="b">
        <f>IF(AG179&gt;0,AG179*'Vehicle Data'!C$6)</f>
        <v>0</v>
      </c>
      <c r="AO179" s="101">
        <f t="shared" si="93"/>
        <v>441.22554439420276</v>
      </c>
      <c r="AP179" s="101">
        <f>AO179*'Vehicle Data'!F$3</f>
        <v>112.77724914715822</v>
      </c>
      <c r="AQ179">
        <v>20</v>
      </c>
      <c r="AR179">
        <f>IF(Z179&lt;'Vehicle Data'!C$16, Z179*'Vehicle Data'!F$7*'Vehicle Data'!G$14,IF(Z179&lt;'Vehicle Data'!C$15,Z179*'Vehicle Data'!F$7*'Vehicle Data'!G$15,IF(Z179&gt;'Vehicle Data'!C$15,Z179*'Vehicle Data'!F$7*'Vehicle Data'!G$16)))</f>
        <v>107.59259259259261</v>
      </c>
      <c r="AS179">
        <f t="shared" si="112"/>
        <v>6455.5555555555566</v>
      </c>
      <c r="AT179">
        <f t="shared" si="117"/>
        <v>20</v>
      </c>
      <c r="AU179">
        <f t="shared" si="113"/>
        <v>6500</v>
      </c>
      <c r="AW179">
        <f>VLOOKUP(AT179,BSFC!A$64:A$82,1,FALSE)</f>
        <v>20</v>
      </c>
      <c r="AX179" t="e" cm="1">
        <f t="array" ref="AX179">_xlfn.XLOOKUP(AT179,BSFC!A$64:A$82,,-1,_xlfn.XLOOKUP(Data!AU179,BSFC!C$63:Q$63,BSFC!B$64:Q$82,,-1))</f>
        <v>#VALUE!</v>
      </c>
      <c r="AY179">
        <f>HLOOKUP(AU179,BSFC!F$63:Q$63,1)</f>
        <v>6500</v>
      </c>
      <c r="AZ179">
        <f>IF(AT179&gt;0,MATCH(AT179,BSFC!A$64:A$83,0),IF(AT179&lt;=0,0))</f>
        <v>3</v>
      </c>
      <c r="BA179">
        <f>MATCH(AU179,BSFC!C$63:Q$63,0)</f>
        <v>13</v>
      </c>
      <c r="BB179" cm="1">
        <f t="array" ref="BB179">IF(AZ179&gt;0,INDEX(BSFC!C$64:Q$83,Data!AZ179,Data!BA179))</f>
        <v>494.7</v>
      </c>
      <c r="BC179">
        <f>0.5*'Vehicle Data'!C$6*Data!Z179^2</f>
        <v>15121.355000000003</v>
      </c>
      <c r="BD179">
        <f t="shared" si="94"/>
        <v>13.465906457145509</v>
      </c>
      <c r="BE179">
        <f t="shared" si="114"/>
        <v>6661.5839243498831</v>
      </c>
      <c r="BF179">
        <f t="shared" si="115"/>
        <v>0.53459484552904646</v>
      </c>
      <c r="BG179">
        <f t="shared" si="95"/>
        <v>47.064528170202394</v>
      </c>
      <c r="BH179">
        <f t="shared" si="118"/>
        <v>13465.906457145509</v>
      </c>
      <c r="BI179" s="148">
        <f t="shared" si="96"/>
        <v>6871.6622130335309</v>
      </c>
      <c r="BO179">
        <f t="shared" si="97"/>
        <v>3896.2701986137545</v>
      </c>
      <c r="BP179">
        <f t="shared" si="98"/>
        <v>177914.54005112432</v>
      </c>
      <c r="BQ179">
        <f t="shared" si="99"/>
        <v>241314.11302436297</v>
      </c>
      <c r="BR179" s="148">
        <f t="shared" si="100"/>
        <v>306639.72612182278</v>
      </c>
      <c r="BS179" s="156">
        <f t="shared" si="101"/>
        <v>3896.2701986137545</v>
      </c>
      <c r="BT179" s="156">
        <f t="shared" si="102"/>
        <v>13465.906457145509</v>
      </c>
      <c r="BU179">
        <f t="shared" si="103"/>
        <v>1988.2696185948616</v>
      </c>
      <c r="BV179">
        <f t="shared" si="104"/>
        <v>1988.2696185948616</v>
      </c>
      <c r="BW179" s="148">
        <f t="shared" si="105"/>
        <v>455.4</v>
      </c>
      <c r="BX179" s="148">
        <f t="shared" si="106"/>
        <v>3129354.9718154697</v>
      </c>
      <c r="BY179" s="148">
        <f t="shared" si="107"/>
        <v>0.25151610675225</v>
      </c>
      <c r="BZ179">
        <f t="shared" si="90"/>
        <v>44.334463345039488</v>
      </c>
      <c r="CB179">
        <f t="shared" si="108"/>
        <v>-1908.0005800188928</v>
      </c>
      <c r="CC179" s="162">
        <f t="shared" si="91"/>
        <v>-6604.3295829042409</v>
      </c>
      <c r="CD179">
        <f t="shared" si="116"/>
        <v>64593.672618434095</v>
      </c>
    </row>
    <row r="180" spans="4:82" x14ac:dyDescent="0.2">
      <c r="D180" s="22">
        <f t="shared" si="81"/>
        <v>0</v>
      </c>
      <c r="E180" s="23">
        <v>11.4017032</v>
      </c>
      <c r="F180" s="23">
        <f>IF(K180&lt;6,1,IF(Data!K180&lt;9,2,IF(K180&gt;9,3)))</f>
        <v>3</v>
      </c>
      <c r="G180" s="23">
        <v>1058.1089287709276</v>
      </c>
      <c r="H180" s="23">
        <v>219.76666499999999</v>
      </c>
      <c r="I180" s="64">
        <v>48.187635912127426</v>
      </c>
      <c r="J180" s="65">
        <f t="shared" si="82"/>
        <v>1.8680885259291828</v>
      </c>
      <c r="K180" s="65">
        <f t="shared" si="83"/>
        <v>19.27505436485097</v>
      </c>
      <c r="L180" s="65">
        <f t="shared" si="84"/>
        <v>0.7472354103717016</v>
      </c>
      <c r="M180">
        <f t="shared" si="85"/>
        <v>22.8034064</v>
      </c>
      <c r="N180">
        <f t="shared" si="86"/>
        <v>0</v>
      </c>
      <c r="O180">
        <f>IF(L180&lt;'Vehicle Data'!F$21,'Vehicle Data'!C$21,IF(L180&gt;'Vehicle Data'!C$21,'Vehicle Data'!C$20))</f>
        <v>0.6</v>
      </c>
      <c r="P180">
        <f>('Vehicle Data'!C$6*9.81*'Vehicle Data'!C$5*SIN(D180))/'Vehicle Data'!C$9</f>
        <v>0</v>
      </c>
      <c r="Q180" s="107">
        <f>'Vehicle Data'!C$6*9.81*SIN(D180)</f>
        <v>0</v>
      </c>
      <c r="R180" s="101">
        <f t="shared" si="80"/>
        <v>1055.703501216824</v>
      </c>
      <c r="S180" s="101">
        <f>IF(Data!O180=0.6,'Vehicle Data'!E$21,IF(Data!O180 = 0.9,'Vehicle Data'!E$20))+(P180*O180)</f>
        <v>1550.3723999999997</v>
      </c>
      <c r="T180" s="101">
        <f>IF(F180=3,'Vehicle Data'!H$16,IF(F180=2,'Vehicle Data'!H$15,IF(F180 = 1,'Vehicle Data'!G$14)))</f>
        <v>466.23005239380637</v>
      </c>
      <c r="U180" s="148">
        <f t="shared" si="87"/>
        <v>339.56501909350789</v>
      </c>
      <c r="V180" s="102" t="s">
        <v>77</v>
      </c>
      <c r="W180" s="103" t="s">
        <v>84</v>
      </c>
      <c r="X180" s="101">
        <f>IF(V180="S",'Vehicle Data'!C$14,IF(Data!V180 = "T1",'Vehicle Data'!P$2,IF(Data!V180="T2",'Vehicle Data'!P$3)))</f>
        <v>13.411199999999999</v>
      </c>
      <c r="Y180" s="101"/>
      <c r="Z180" s="105">
        <v>8.3000000000000007</v>
      </c>
      <c r="AA180" s="101"/>
      <c r="AB180" s="101" t="b">
        <f>IF(AA180=1,'Vehicle Data'!I$14,IF(AA180=2,'Vehicle Data'!I$15,IF(AA180=3,'Vehicle Data'!I$16)))</f>
        <v>0</v>
      </c>
      <c r="AC180" s="101">
        <f>IF(Z180&lt;'Vehicle Data'!C$16,'Vehicle Data'!I$15,IF(Z180&lt;'Vehicle Data'!C$15,'Vehicle Data'!I$15,IF(Z179&gt;'Vehicle Data'!C$15,'Vehicle Data'!I$16)))</f>
        <v>0.98256251041858167</v>
      </c>
      <c r="AD180">
        <f>IF(O180=0.6,'Vehicle Data'!F$21,IF(O180=0.9,'Vehicle Data'!F$20))</f>
        <v>3.5315999999999996</v>
      </c>
      <c r="AE180" s="101">
        <f>(Data!H$15-Data!Q180)/'Vehicle Data'!C$6</f>
        <v>0.48181472665148062</v>
      </c>
      <c r="AF180" s="158">
        <f t="shared" si="110"/>
        <v>0.28934332872528229</v>
      </c>
      <c r="AG180" s="148">
        <f t="shared" si="92"/>
        <v>0</v>
      </c>
      <c r="AH180" s="148">
        <f t="shared" si="111"/>
        <v>44.623806673764769</v>
      </c>
      <c r="AI180" s="101"/>
      <c r="AJ180" s="101">
        <f>(Z180^2)*'Vehicle Data'!C$31</f>
        <v>25.317075000000013</v>
      </c>
      <c r="AK180" s="101">
        <f>IF(O180=0.6,'Vehicle Data'!C$6*'Vehicle Data'!D$21*9.81,IF(O180=0.9,'Vehicle Data'!C$6*9.81*'Vehicle Data'!D$20))</f>
        <v>86.131799999999998</v>
      </c>
      <c r="AL180" s="101">
        <f t="shared" si="89"/>
        <v>111.44887500000002</v>
      </c>
      <c r="AM180" s="101"/>
      <c r="AN180" t="b">
        <f>IF(AG180&gt;0,AG180*'Vehicle Data'!C$6)</f>
        <v>0</v>
      </c>
      <c r="AO180" s="101">
        <f t="shared" si="93"/>
        <v>111.44887500000002</v>
      </c>
      <c r="AP180" s="101">
        <f>AO180*'Vehicle Data'!F$3</f>
        <v>28.486332450000003</v>
      </c>
      <c r="AQ180">
        <v>20</v>
      </c>
      <c r="AR180">
        <f>IF(Z180&lt;'Vehicle Data'!C$16, Z180*'Vehicle Data'!F$7*'Vehicle Data'!G$14,IF(Z180&lt;'Vehicle Data'!C$15,Z180*'Vehicle Data'!F$7*'Vehicle Data'!G$15,IF(Z180&gt;'Vehicle Data'!C$15,Z180*'Vehicle Data'!F$7*'Vehicle Data'!G$16)))</f>
        <v>107.59259259259261</v>
      </c>
      <c r="AS180">
        <f t="shared" si="112"/>
        <v>6455.5555555555566</v>
      </c>
      <c r="AT180">
        <f t="shared" si="117"/>
        <v>20</v>
      </c>
      <c r="AU180">
        <f t="shared" si="113"/>
        <v>6500</v>
      </c>
      <c r="AW180">
        <f>VLOOKUP(AT180,BSFC!A$64:A$82,1,FALSE)</f>
        <v>20</v>
      </c>
      <c r="AX180" t="e" cm="1">
        <f t="array" ref="AX180">_xlfn.XLOOKUP(AT180,BSFC!A$64:A$82,,-1,_xlfn.XLOOKUP(Data!AU180,BSFC!C$63:Q$63,BSFC!B$64:Q$82,,-1))</f>
        <v>#VALUE!</v>
      </c>
      <c r="AY180">
        <f>HLOOKUP(AU180,BSFC!F$63:Q$63,1)</f>
        <v>6500</v>
      </c>
      <c r="AZ180">
        <f>IF(AT180&gt;0,MATCH(AT180,BSFC!A$64:A$83,0),IF(AT180&lt;=0,0))</f>
        <v>3</v>
      </c>
      <c r="BA180">
        <f>MATCH(AU180,BSFC!C$63:Q$63,0)</f>
        <v>13</v>
      </c>
      <c r="BB180" cm="1">
        <f t="array" ref="BB180">IF(AZ180&gt;0,INDEX(BSFC!C$64:Q$83,Data!AZ180,Data!BA180))</f>
        <v>494.7</v>
      </c>
      <c r="BC180">
        <f>0.5*'Vehicle Data'!C$6*Data!Z180^2</f>
        <v>15121.355000000003</v>
      </c>
      <c r="BD180">
        <f t="shared" si="94"/>
        <v>13.465906457145509</v>
      </c>
      <c r="BE180">
        <f t="shared" si="114"/>
        <v>6661.5839243498831</v>
      </c>
      <c r="BF180">
        <f t="shared" si="115"/>
        <v>0.53541246312617341</v>
      </c>
      <c r="BG180">
        <f t="shared" si="95"/>
        <v>47.599940633328565</v>
      </c>
      <c r="BH180">
        <f t="shared" si="118"/>
        <v>13465.906457145509</v>
      </c>
      <c r="BI180" s="148">
        <f t="shared" si="96"/>
        <v>6871.6622130335309</v>
      </c>
      <c r="BO180">
        <f t="shared" si="97"/>
        <v>3902.5617389156755</v>
      </c>
      <c r="BP180">
        <f t="shared" si="98"/>
        <v>181817.10179004</v>
      </c>
      <c r="BQ180">
        <f t="shared" si="99"/>
        <v>245216.67476327866</v>
      </c>
      <c r="BR180" s="148">
        <f t="shared" si="100"/>
        <v>308631.20631817501</v>
      </c>
      <c r="BS180" s="156">
        <f t="shared" si="101"/>
        <v>3902.5617389156755</v>
      </c>
      <c r="BT180" s="156">
        <f t="shared" si="102"/>
        <v>13465.906457145509</v>
      </c>
      <c r="BU180">
        <f t="shared" si="103"/>
        <v>1991.480196352258</v>
      </c>
      <c r="BV180">
        <f t="shared" si="104"/>
        <v>1991.480196352258</v>
      </c>
      <c r="BW180" s="148">
        <f t="shared" si="105"/>
        <v>455.4</v>
      </c>
      <c r="BX180" s="148">
        <f t="shared" si="106"/>
        <v>3129354.9718154697</v>
      </c>
      <c r="BY180" s="148">
        <f t="shared" si="107"/>
        <v>0.25192224483856063</v>
      </c>
      <c r="BZ180">
        <f t="shared" si="90"/>
        <v>44.623806673764769</v>
      </c>
      <c r="CB180">
        <f t="shared" si="108"/>
        <v>-1911.0815425634175</v>
      </c>
      <c r="CC180" s="162">
        <f t="shared" si="91"/>
        <v>-6604.8923643161324</v>
      </c>
      <c r="CD180">
        <f t="shared" si="116"/>
        <v>62682.591075870674</v>
      </c>
    </row>
    <row r="181" spans="4:82" x14ac:dyDescent="0.2">
      <c r="D181" s="22">
        <f t="shared" si="81"/>
        <v>4.142616122772616E-2</v>
      </c>
      <c r="E181" s="23">
        <v>11.4017032</v>
      </c>
      <c r="F181" s="23">
        <f>IF(K181&lt;6,1,IF(Data!K181&lt;9,2,IF(K181&gt;9,3)))</f>
        <v>3</v>
      </c>
      <c r="G181" s="23">
        <v>1060.5186889669269</v>
      </c>
      <c r="H181" s="23">
        <v>219.816665</v>
      </c>
      <c r="I181" s="64">
        <v>48.281040338423907</v>
      </c>
      <c r="J181" s="65">
        <f t="shared" si="82"/>
        <v>1.9321061135158342</v>
      </c>
      <c r="K181" s="65">
        <f t="shared" si="83"/>
        <v>19.312416135369563</v>
      </c>
      <c r="L181" s="65">
        <f t="shared" si="84"/>
        <v>0.77284244540633362</v>
      </c>
      <c r="M181">
        <f t="shared" si="85"/>
        <v>22.8034064</v>
      </c>
      <c r="N181">
        <f t="shared" si="86"/>
        <v>9.9998399999998711E-2</v>
      </c>
      <c r="O181">
        <f>IF(L181&lt;'Vehicle Data'!F$21,'Vehicle Data'!C$21,IF(L181&gt;'Vehicle Data'!C$21,'Vehicle Data'!C$20))</f>
        <v>0.6</v>
      </c>
      <c r="P181">
        <f>('Vehicle Data'!C$6*9.81*'Vehicle Data'!C$5*SIN(D181))/'Vehicle Data'!C$9</f>
        <v>27.580587884242512</v>
      </c>
      <c r="Q181" s="107">
        <f>'Vehicle Data'!C$6*9.81*SIN(D181)</f>
        <v>178.35446831810157</v>
      </c>
      <c r="R181" s="101">
        <f t="shared" si="80"/>
        <v>1058.1089287709276</v>
      </c>
      <c r="S181" s="101">
        <f>IF(Data!O181=0.6,'Vehicle Data'!E$21,IF(Data!O181 = 0.9,'Vehicle Data'!E$20))+(P181*O181)</f>
        <v>1566.9207527305452</v>
      </c>
      <c r="T181" s="101">
        <f>IF(F181=3,'Vehicle Data'!H$16,IF(F181=2,'Vehicle Data'!H$15,IF(F181 = 1,'Vehicle Data'!G$14)))</f>
        <v>466.23005239380637</v>
      </c>
      <c r="U181" s="148">
        <f t="shared" si="87"/>
        <v>341.97044664761154</v>
      </c>
      <c r="V181" s="102" t="s">
        <v>77</v>
      </c>
      <c r="W181" s="103" t="s">
        <v>84</v>
      </c>
      <c r="X181" s="101">
        <f>IF(V181="S",'Vehicle Data'!C$14,IF(Data!V181 = "T1",'Vehicle Data'!P$2,IF(Data!V181="T2",'Vehicle Data'!P$3)))</f>
        <v>13.411199999999999</v>
      </c>
      <c r="Y181" s="101"/>
      <c r="Z181" s="105">
        <v>8.3000000000000007</v>
      </c>
      <c r="AA181" s="101"/>
      <c r="AB181" s="101" t="b">
        <f>IF(AA181=1,'Vehicle Data'!I$14,IF(AA181=2,'Vehicle Data'!I$15,IF(AA181=3,'Vehicle Data'!I$16)))</f>
        <v>0</v>
      </c>
      <c r="AC181" s="101">
        <f>IF(Z181&lt;'Vehicle Data'!C$16,'Vehicle Data'!I$15,IF(Z181&lt;'Vehicle Data'!C$15,'Vehicle Data'!I$15,IF(Z180&gt;'Vehicle Data'!C$15,'Vehicle Data'!I$16)))</f>
        <v>0.98256251041858167</v>
      </c>
      <c r="AD181">
        <f>IF(O181=0.6,'Vehicle Data'!F$21,IF(O181=0.9,'Vehicle Data'!F$20))</f>
        <v>3.5315999999999996</v>
      </c>
      <c r="AE181" s="101">
        <f>(Data!H$15-Data!Q181)/'Vehicle Data'!C$6</f>
        <v>7.5540311348287981E-2</v>
      </c>
      <c r="AF181" s="158">
        <f t="shared" si="110"/>
        <v>0.28981054868718709</v>
      </c>
      <c r="AG181" s="148">
        <f t="shared" si="92"/>
        <v>0</v>
      </c>
      <c r="AH181" s="148">
        <f t="shared" si="111"/>
        <v>44.913617222451954</v>
      </c>
      <c r="AI181" s="101"/>
      <c r="AJ181" s="101">
        <f>(Z181^2)*'Vehicle Data'!C$31</f>
        <v>25.317075000000013</v>
      </c>
      <c r="AK181" s="101">
        <f>IF(O181=0.6,'Vehicle Data'!C$6*'Vehicle Data'!D$21*9.81,IF(O181=0.9,'Vehicle Data'!C$6*9.81*'Vehicle Data'!D$20))</f>
        <v>86.131799999999998</v>
      </c>
      <c r="AL181" s="101">
        <f t="shared" si="89"/>
        <v>289.80334331810161</v>
      </c>
      <c r="AM181" s="101"/>
      <c r="AN181" t="b">
        <f>IF(AG181&gt;0,AG181*'Vehicle Data'!C$6)</f>
        <v>0</v>
      </c>
      <c r="AO181" s="101">
        <f t="shared" si="93"/>
        <v>289.80334331810161</v>
      </c>
      <c r="AP181" s="101">
        <f>AO181*'Vehicle Data'!F$3</f>
        <v>74.073734552106771</v>
      </c>
      <c r="AQ181">
        <v>20</v>
      </c>
      <c r="AR181">
        <f>IF(Z181&lt;'Vehicle Data'!C$16, Z181*'Vehicle Data'!F$7*'Vehicle Data'!G$14,IF(Z181&lt;'Vehicle Data'!C$15,Z181*'Vehicle Data'!F$7*'Vehicle Data'!G$15,IF(Z181&gt;'Vehicle Data'!C$15,Z181*'Vehicle Data'!F$7*'Vehicle Data'!G$16)))</f>
        <v>107.59259259259261</v>
      </c>
      <c r="AS181">
        <f t="shared" si="112"/>
        <v>6455.5555555555566</v>
      </c>
      <c r="AT181">
        <f t="shared" si="117"/>
        <v>20</v>
      </c>
      <c r="AU181">
        <f t="shared" si="113"/>
        <v>6500</v>
      </c>
      <c r="AW181">
        <f>VLOOKUP(AT181,BSFC!A$64:A$82,1,FALSE)</f>
        <v>20</v>
      </c>
      <c r="AX181" t="e" cm="1">
        <f t="array" ref="AX181">_xlfn.XLOOKUP(AT181,BSFC!A$64:A$82,,-1,_xlfn.XLOOKUP(Data!AU181,BSFC!C$63:Q$63,BSFC!B$64:Q$82,,-1))</f>
        <v>#VALUE!</v>
      </c>
      <c r="AY181">
        <f>HLOOKUP(AU181,BSFC!F$63:Q$63,1)</f>
        <v>6500</v>
      </c>
      <c r="AZ181">
        <f>IF(AT181&gt;0,MATCH(AT181,BSFC!A$64:A$83,0),IF(AT181&lt;=0,0))</f>
        <v>3</v>
      </c>
      <c r="BA181">
        <f>MATCH(AU181,BSFC!C$63:Q$63,0)</f>
        <v>13</v>
      </c>
      <c r="BB181" cm="1">
        <f t="array" ref="BB181">IF(AZ181&gt;0,INDEX(BSFC!C$64:Q$83,Data!AZ181,Data!BA181))</f>
        <v>494.7</v>
      </c>
      <c r="BC181">
        <f>0.5*'Vehicle Data'!C$6*Data!Z181^2</f>
        <v>15121.355000000003</v>
      </c>
      <c r="BD181">
        <f t="shared" si="94"/>
        <v>13.465906457145509</v>
      </c>
      <c r="BE181">
        <f t="shared" si="114"/>
        <v>6661.5839243498831</v>
      </c>
      <c r="BF181">
        <f t="shared" si="115"/>
        <v>0.53627702562266233</v>
      </c>
      <c r="BG181">
        <f t="shared" si="95"/>
        <v>48.136217658951225</v>
      </c>
      <c r="BH181">
        <f t="shared" si="118"/>
        <v>13465.906457145509</v>
      </c>
      <c r="BI181" s="148">
        <f t="shared" si="96"/>
        <v>6871.6622130335309</v>
      </c>
      <c r="BO181">
        <f t="shared" si="97"/>
        <v>3909.5910100577303</v>
      </c>
      <c r="BP181">
        <f t="shared" si="98"/>
        <v>185726.69280009772</v>
      </c>
      <c r="BQ181">
        <f t="shared" si="99"/>
        <v>249126.26577333637</v>
      </c>
      <c r="BR181" s="148">
        <f t="shared" si="100"/>
        <v>310626.27355688834</v>
      </c>
      <c r="BS181" s="156">
        <f t="shared" si="101"/>
        <v>3909.5910100577303</v>
      </c>
      <c r="BT181" s="156">
        <f t="shared" si="102"/>
        <v>13465.906457145509</v>
      </c>
      <c r="BU181">
        <f t="shared" si="103"/>
        <v>1995.0672387133307</v>
      </c>
      <c r="BV181">
        <f t="shared" si="104"/>
        <v>1995.0672387133307</v>
      </c>
      <c r="BW181" s="148">
        <f t="shared" si="105"/>
        <v>455.4</v>
      </c>
      <c r="BX181" s="148">
        <f t="shared" si="106"/>
        <v>3129354.9718154697</v>
      </c>
      <c r="BY181" s="148">
        <f t="shared" si="107"/>
        <v>0.25237600569723628</v>
      </c>
      <c r="BZ181">
        <f t="shared" si="90"/>
        <v>44.913617222451954</v>
      </c>
      <c r="CB181">
        <f t="shared" si="108"/>
        <v>-1914.5237713443996</v>
      </c>
      <c r="CC181" s="162">
        <f t="shared" si="91"/>
        <v>-6606.1217578760034</v>
      </c>
      <c r="CD181">
        <f t="shared" si="116"/>
        <v>60768.067304526274</v>
      </c>
    </row>
    <row r="182" spans="4:82" x14ac:dyDescent="0.2">
      <c r="D182" s="22">
        <f t="shared" si="81"/>
        <v>0</v>
      </c>
      <c r="E182" s="23">
        <v>11.501701599999999</v>
      </c>
      <c r="F182" s="23">
        <f>IF(K182&lt;6,1,IF(Data!K182&lt;9,2,IF(K182&gt;9,3)))</f>
        <v>3</v>
      </c>
      <c r="G182" s="23">
        <v>1062.9332744467138</v>
      </c>
      <c r="H182" s="23">
        <v>219.86666499999998</v>
      </c>
      <c r="I182" s="64">
        <v>48.377645644099665</v>
      </c>
      <c r="J182" s="65">
        <f t="shared" si="82"/>
        <v>1.8949605291949423</v>
      </c>
      <c r="K182" s="65">
        <f t="shared" si="83"/>
        <v>19.351058257639867</v>
      </c>
      <c r="L182" s="65">
        <f t="shared" si="84"/>
        <v>0.75798421167793428</v>
      </c>
      <c r="M182">
        <f t="shared" si="85"/>
        <v>23.003403199999997</v>
      </c>
      <c r="N182">
        <f t="shared" si="86"/>
        <v>0</v>
      </c>
      <c r="O182">
        <f>IF(L182&lt;'Vehicle Data'!F$21,'Vehicle Data'!C$21,IF(L182&gt;'Vehicle Data'!C$21,'Vehicle Data'!C$20))</f>
        <v>0.6</v>
      </c>
      <c r="P182">
        <f>('Vehicle Data'!C$6*9.81*'Vehicle Data'!C$5*SIN(D182))/'Vehicle Data'!C$9</f>
        <v>0</v>
      </c>
      <c r="Q182" s="107">
        <f>'Vehicle Data'!C$6*9.81*SIN(D182)</f>
        <v>0</v>
      </c>
      <c r="R182" s="101">
        <f t="shared" si="80"/>
        <v>1060.5186889669269</v>
      </c>
      <c r="S182" s="101">
        <f>IF(Data!O182=0.6,'Vehicle Data'!E$21,IF(Data!O182 = 0.9,'Vehicle Data'!E$20))+(P182*O182)</f>
        <v>1550.3723999999997</v>
      </c>
      <c r="T182" s="101">
        <f>IF(F182=3,'Vehicle Data'!H$16,IF(F182=2,'Vehicle Data'!H$15,IF(F182 = 1,'Vehicle Data'!G$14)))</f>
        <v>466.23005239380637</v>
      </c>
      <c r="U182" s="148">
        <f t="shared" si="87"/>
        <v>344.38020684361084</v>
      </c>
      <c r="V182" s="102" t="s">
        <v>77</v>
      </c>
      <c r="W182" s="103" t="s">
        <v>84</v>
      </c>
      <c r="X182" s="101">
        <f>IF(V182="S",'Vehicle Data'!C$14,IF(Data!V182 = "T1",'Vehicle Data'!P$2,IF(Data!V182="T2",'Vehicle Data'!P$3)))</f>
        <v>13.411199999999999</v>
      </c>
      <c r="Y182" s="101"/>
      <c r="Z182" s="105">
        <v>8.3000000000000007</v>
      </c>
      <c r="AA182" s="101"/>
      <c r="AB182" s="101" t="b">
        <f>IF(AA182=1,'Vehicle Data'!I$14,IF(AA182=2,'Vehicle Data'!I$15,IF(AA182=3,'Vehicle Data'!I$16)))</f>
        <v>0</v>
      </c>
      <c r="AC182" s="101">
        <f>IF(Z182&lt;'Vehicle Data'!C$16,'Vehicle Data'!I$15,IF(Z182&lt;'Vehicle Data'!C$15,'Vehicle Data'!I$15,IF(Z181&gt;'Vehicle Data'!C$15,'Vehicle Data'!I$16)))</f>
        <v>0.98256251041858167</v>
      </c>
      <c r="AD182">
        <f>IF(O182=0.6,'Vehicle Data'!F$21,IF(O182=0.9,'Vehicle Data'!F$20))</f>
        <v>3.5315999999999996</v>
      </c>
      <c r="AE182" s="101">
        <f>(Data!H$15-Data!Q182)/'Vehicle Data'!C$6</f>
        <v>0.48181472665148062</v>
      </c>
      <c r="AF182" s="158">
        <f t="shared" si="110"/>
        <v>0.29033255373485506</v>
      </c>
      <c r="AG182" s="148">
        <f t="shared" si="92"/>
        <v>0</v>
      </c>
      <c r="AH182" s="148">
        <f t="shared" si="111"/>
        <v>45.203949776186811</v>
      </c>
      <c r="AI182" s="101"/>
      <c r="AJ182" s="101">
        <f>(Z182^2)*'Vehicle Data'!C$31</f>
        <v>25.317075000000013</v>
      </c>
      <c r="AK182" s="101">
        <f>IF(O182=0.6,'Vehicle Data'!C$6*'Vehicle Data'!D$21*9.81,IF(O182=0.9,'Vehicle Data'!C$6*9.81*'Vehicle Data'!D$20))</f>
        <v>86.131799999999998</v>
      </c>
      <c r="AL182" s="101">
        <f t="shared" si="89"/>
        <v>111.44887500000002</v>
      </c>
      <c r="AM182" s="101"/>
      <c r="AN182" t="b">
        <f>IF(AG182&gt;0,AG182*'Vehicle Data'!C$6)</f>
        <v>0</v>
      </c>
      <c r="AO182" s="101">
        <f t="shared" si="93"/>
        <v>111.44887500000002</v>
      </c>
      <c r="AP182" s="101">
        <f>AO182*'Vehicle Data'!F$3</f>
        <v>28.486332450000003</v>
      </c>
      <c r="AQ182">
        <v>20</v>
      </c>
      <c r="AR182">
        <f>IF(Z182&lt;'Vehicle Data'!C$16, Z182*'Vehicle Data'!F$7*'Vehicle Data'!G$14,IF(Z182&lt;'Vehicle Data'!C$15,Z182*'Vehicle Data'!F$7*'Vehicle Data'!G$15,IF(Z182&gt;'Vehicle Data'!C$15,Z182*'Vehicle Data'!F$7*'Vehicle Data'!G$16)))</f>
        <v>107.59259259259261</v>
      </c>
      <c r="AS182">
        <f t="shared" si="112"/>
        <v>6455.5555555555566</v>
      </c>
      <c r="AT182">
        <f t="shared" si="117"/>
        <v>20</v>
      </c>
      <c r="AU182">
        <f t="shared" si="113"/>
        <v>6500</v>
      </c>
      <c r="AW182">
        <f>VLOOKUP(AT182,BSFC!A$64:A$82,1,FALSE)</f>
        <v>20</v>
      </c>
      <c r="AX182" t="e" cm="1">
        <f t="array" ref="AX182">_xlfn.XLOOKUP(AT182,BSFC!A$64:A$82,,-1,_xlfn.XLOOKUP(Data!AU182,BSFC!C$63:Q$63,BSFC!B$64:Q$82,,-1))</f>
        <v>#VALUE!</v>
      </c>
      <c r="AY182">
        <f>HLOOKUP(AU182,BSFC!F$63:Q$63,1)</f>
        <v>6500</v>
      </c>
      <c r="AZ182">
        <f>IF(AT182&gt;0,MATCH(AT182,BSFC!A$64:A$83,0),IF(AT182&lt;=0,0))</f>
        <v>3</v>
      </c>
      <c r="BA182">
        <f>MATCH(AU182,BSFC!C$63:Q$63,0)</f>
        <v>13</v>
      </c>
      <c r="BB182" cm="1">
        <f t="array" ref="BB182">IF(AZ182&gt;0,INDEX(BSFC!C$64:Q$83,Data!AZ182,Data!BA182))</f>
        <v>494.7</v>
      </c>
      <c r="BC182">
        <f>0.5*'Vehicle Data'!C$6*Data!Z182^2</f>
        <v>15121.355000000003</v>
      </c>
      <c r="BD182">
        <f t="shared" si="94"/>
        <v>13.465906457145509</v>
      </c>
      <c r="BE182">
        <f t="shared" si="114"/>
        <v>6661.5839243498831</v>
      </c>
      <c r="BF182">
        <f t="shared" si="115"/>
        <v>0.53724296463209975</v>
      </c>
      <c r="BG182">
        <f t="shared" si="95"/>
        <v>48.673460623583324</v>
      </c>
      <c r="BH182">
        <f t="shared" si="118"/>
        <v>13465.906457145509</v>
      </c>
      <c r="BI182" s="148">
        <f t="shared" si="96"/>
        <v>6871.6622130335309</v>
      </c>
      <c r="BO182">
        <f t="shared" si="97"/>
        <v>3917.4195426014135</v>
      </c>
      <c r="BP182">
        <f t="shared" si="98"/>
        <v>189644.11234269914</v>
      </c>
      <c r="BQ182">
        <f t="shared" si="99"/>
        <v>253043.68531593779</v>
      </c>
      <c r="BR182" s="148">
        <f t="shared" si="100"/>
        <v>312625.33570165833</v>
      </c>
      <c r="BS182" s="156">
        <f t="shared" si="101"/>
        <v>3917.4195426014135</v>
      </c>
      <c r="BT182" s="156">
        <f t="shared" si="102"/>
        <v>13465.906457145509</v>
      </c>
      <c r="BU182">
        <f t="shared" si="103"/>
        <v>1999.0621447699805</v>
      </c>
      <c r="BV182">
        <f t="shared" si="104"/>
        <v>1999.0621447699805</v>
      </c>
      <c r="BW182" s="148">
        <f t="shared" si="105"/>
        <v>455.4</v>
      </c>
      <c r="BX182" s="148">
        <f t="shared" si="106"/>
        <v>3129354.9718154697</v>
      </c>
      <c r="BY182" s="148">
        <f t="shared" si="107"/>
        <v>0.2528813613134025</v>
      </c>
      <c r="BZ182">
        <f t="shared" si="90"/>
        <v>45.203949776186811</v>
      </c>
      <c r="CB182">
        <f t="shared" si="108"/>
        <v>-1918.357397831433</v>
      </c>
      <c r="CC182" s="162">
        <f t="shared" si="91"/>
        <v>-6607.4485039778056</v>
      </c>
      <c r="CD182">
        <f t="shared" si="116"/>
        <v>58849.709906694843</v>
      </c>
    </row>
    <row r="183" spans="4:82" x14ac:dyDescent="0.2">
      <c r="D183" s="22">
        <f t="shared" si="81"/>
        <v>0</v>
      </c>
      <c r="E183" s="23">
        <v>11.501701599999999</v>
      </c>
      <c r="F183" s="23">
        <f>IF(K183&lt;6,1,IF(Data!K183&lt;9,2,IF(K183&gt;9,3)))</f>
        <v>3</v>
      </c>
      <c r="G183" s="23">
        <v>1065.3528199265015</v>
      </c>
      <c r="H183" s="23">
        <v>219.91666499999999</v>
      </c>
      <c r="I183" s="64">
        <v>48.472393670559434</v>
      </c>
      <c r="J183" s="65">
        <f t="shared" si="82"/>
        <v>1.9343653736226887</v>
      </c>
      <c r="K183" s="65">
        <f t="shared" si="83"/>
        <v>19.388957468223772</v>
      </c>
      <c r="L183" s="65">
        <f t="shared" si="84"/>
        <v>0.77374614944913234</v>
      </c>
      <c r="M183">
        <f t="shared" si="85"/>
        <v>23.003403199999997</v>
      </c>
      <c r="N183">
        <f t="shared" si="86"/>
        <v>0</v>
      </c>
      <c r="O183">
        <f>IF(L183&lt;'Vehicle Data'!F$21,'Vehicle Data'!C$21,IF(L183&gt;'Vehicle Data'!C$21,'Vehicle Data'!C$20))</f>
        <v>0.6</v>
      </c>
      <c r="P183">
        <f>('Vehicle Data'!C$6*9.81*'Vehicle Data'!C$5*SIN(D183))/'Vehicle Data'!C$9</f>
        <v>0</v>
      </c>
      <c r="Q183" s="107">
        <f>'Vehicle Data'!C$6*9.81*SIN(D183)</f>
        <v>0</v>
      </c>
      <c r="R183" s="101">
        <f t="shared" si="80"/>
        <v>1062.9332744467138</v>
      </c>
      <c r="S183" s="101">
        <f>IF(Data!O183=0.6,'Vehicle Data'!E$21,IF(Data!O183 = 0.9,'Vehicle Data'!E$20))+(P183*O183)</f>
        <v>1550.3723999999997</v>
      </c>
      <c r="T183" s="101">
        <f>IF(F183=3,'Vehicle Data'!H$16,IF(F183=2,'Vehicle Data'!H$15,IF(F183 = 1,'Vehicle Data'!G$14)))</f>
        <v>466.23005239380637</v>
      </c>
      <c r="U183" s="148">
        <f t="shared" si="87"/>
        <v>346.7947923233977</v>
      </c>
      <c r="V183" s="102" t="s">
        <v>77</v>
      </c>
      <c r="W183" s="103" t="s">
        <v>84</v>
      </c>
      <c r="X183" s="101">
        <f>IF(V183="S",'Vehicle Data'!C$14,IF(Data!V183 = "T1",'Vehicle Data'!P$2,IF(Data!V183="T2",'Vehicle Data'!P$3)))</f>
        <v>13.411199999999999</v>
      </c>
      <c r="Y183" s="101"/>
      <c r="Z183" s="105">
        <v>8.3000000000000007</v>
      </c>
      <c r="AA183" s="101"/>
      <c r="AB183" s="101" t="b">
        <f>IF(AA183=1,'Vehicle Data'!I$14,IF(AA183=2,'Vehicle Data'!I$15,IF(AA183=3,'Vehicle Data'!I$16)))</f>
        <v>0</v>
      </c>
      <c r="AC183" s="101">
        <f>IF(Z183&lt;'Vehicle Data'!C$16,'Vehicle Data'!I$15,IF(Z183&lt;'Vehicle Data'!C$15,'Vehicle Data'!I$15,IF(Z182&gt;'Vehicle Data'!C$15,'Vehicle Data'!I$16)))</f>
        <v>0.98256251041858167</v>
      </c>
      <c r="AD183">
        <f>IF(O183=0.6,'Vehicle Data'!F$21,IF(O183=0.9,'Vehicle Data'!F$20))</f>
        <v>3.5315999999999996</v>
      </c>
      <c r="AE183" s="101">
        <f>(Data!H$15-Data!Q183)/'Vehicle Data'!C$6</f>
        <v>0.48181472665148062</v>
      </c>
      <c r="AF183" s="158">
        <f t="shared" si="110"/>
        <v>0.29091391322733312</v>
      </c>
      <c r="AG183" s="148">
        <f t="shared" si="92"/>
        <v>0</v>
      </c>
      <c r="AH183" s="148">
        <f t="shared" si="111"/>
        <v>45.494863689414146</v>
      </c>
      <c r="AI183" s="101"/>
      <c r="AJ183" s="101">
        <f>(Z183^2)*'Vehicle Data'!C$31</f>
        <v>25.317075000000013</v>
      </c>
      <c r="AK183" s="101">
        <f>IF(O183=0.6,'Vehicle Data'!C$6*'Vehicle Data'!D$21*9.81,IF(O183=0.9,'Vehicle Data'!C$6*9.81*'Vehicle Data'!D$20))</f>
        <v>86.131799999999998</v>
      </c>
      <c r="AL183" s="101">
        <f t="shared" si="89"/>
        <v>111.44887500000002</v>
      </c>
      <c r="AM183" s="101"/>
      <c r="AN183" t="b">
        <f>IF(AG183&gt;0,AG183*'Vehicle Data'!C$6)</f>
        <v>0</v>
      </c>
      <c r="AO183" s="101">
        <f t="shared" si="93"/>
        <v>111.44887500000002</v>
      </c>
      <c r="AP183" s="101">
        <f>AO183*'Vehicle Data'!F$3</f>
        <v>28.486332450000003</v>
      </c>
      <c r="AQ183">
        <v>20</v>
      </c>
      <c r="AR183">
        <f>IF(Z183&lt;'Vehicle Data'!C$16, Z183*'Vehicle Data'!F$7*'Vehicle Data'!G$14,IF(Z183&lt;'Vehicle Data'!C$15,Z183*'Vehicle Data'!F$7*'Vehicle Data'!G$15,IF(Z183&gt;'Vehicle Data'!C$15,Z183*'Vehicle Data'!F$7*'Vehicle Data'!G$16)))</f>
        <v>107.59259259259261</v>
      </c>
      <c r="AS183">
        <f t="shared" si="112"/>
        <v>6455.5555555555566</v>
      </c>
      <c r="AT183">
        <f t="shared" si="117"/>
        <v>20</v>
      </c>
      <c r="AU183">
        <f t="shared" si="113"/>
        <v>6500</v>
      </c>
      <c r="AW183">
        <f>VLOOKUP(AT183,BSFC!A$64:A$82,1,FALSE)</f>
        <v>20</v>
      </c>
      <c r="AX183" t="e" cm="1">
        <f t="array" ref="AX183">_xlfn.XLOOKUP(AT183,BSFC!A$64:A$82,,-1,_xlfn.XLOOKUP(Data!AU183,BSFC!C$63:Q$63,BSFC!B$64:Q$82,,-1))</f>
        <v>#VALUE!</v>
      </c>
      <c r="AY183">
        <f>HLOOKUP(AU183,BSFC!F$63:Q$63,1)</f>
        <v>6500</v>
      </c>
      <c r="AZ183">
        <f>IF(AT183&gt;0,MATCH(AT183,BSFC!A$64:A$83,0),IF(AT183&lt;=0,0))</f>
        <v>3</v>
      </c>
      <c r="BA183">
        <f>MATCH(AU183,BSFC!C$63:Q$63,0)</f>
        <v>13</v>
      </c>
      <c r="BB183" cm="1">
        <f t="array" ref="BB183">IF(AZ183&gt;0,INDEX(BSFC!C$64:Q$83,Data!AZ183,Data!BA183))</f>
        <v>494.7</v>
      </c>
      <c r="BC183">
        <f>0.5*'Vehicle Data'!C$6*Data!Z183^2</f>
        <v>15121.355000000003</v>
      </c>
      <c r="BD183">
        <f t="shared" si="94"/>
        <v>13.465906457145509</v>
      </c>
      <c r="BE183">
        <f t="shared" si="114"/>
        <v>6661.5839243498831</v>
      </c>
      <c r="BF183">
        <f t="shared" si="115"/>
        <v>0.53831873547914422</v>
      </c>
      <c r="BG183">
        <f t="shared" si="95"/>
        <v>49.211779359062469</v>
      </c>
      <c r="BH183">
        <f t="shared" si="118"/>
        <v>13465.906457145509</v>
      </c>
      <c r="BI183" s="148">
        <f t="shared" si="96"/>
        <v>6871.6622130335309</v>
      </c>
      <c r="BO183">
        <f t="shared" si="97"/>
        <v>3925.4666385097817</v>
      </c>
      <c r="BP183">
        <f t="shared" si="98"/>
        <v>193569.57898120894</v>
      </c>
      <c r="BQ183">
        <f t="shared" si="99"/>
        <v>256969.15195444759</v>
      </c>
      <c r="BR183" s="148">
        <f t="shared" si="100"/>
        <v>314628.50428553467</v>
      </c>
      <c r="BS183" s="156">
        <f t="shared" si="101"/>
        <v>3925.4666385097817</v>
      </c>
      <c r="BT183" s="156">
        <f t="shared" si="102"/>
        <v>13465.906457145509</v>
      </c>
      <c r="BU183">
        <f t="shared" si="103"/>
        <v>2003.1685838763392</v>
      </c>
      <c r="BV183">
        <f t="shared" si="104"/>
        <v>2003.1685838763392</v>
      </c>
      <c r="BW183" s="148">
        <f t="shared" si="105"/>
        <v>455.4</v>
      </c>
      <c r="BX183" s="148">
        <f t="shared" si="106"/>
        <v>3129354.9718154697</v>
      </c>
      <c r="BY183" s="148">
        <f t="shared" si="107"/>
        <v>0.25340082586035684</v>
      </c>
      <c r="BZ183">
        <f t="shared" si="90"/>
        <v>45.494863689414146</v>
      </c>
      <c r="CB183">
        <f t="shared" si="108"/>
        <v>-1922.2980546334425</v>
      </c>
      <c r="CC183" s="162">
        <f t="shared" si="91"/>
        <v>-6607.7900273241958</v>
      </c>
      <c r="CD183">
        <f t="shared" si="116"/>
        <v>56927.411852061399</v>
      </c>
    </row>
    <row r="184" spans="4:82" ht="16" thickBot="1" x14ac:dyDescent="0.25">
      <c r="D184" s="22">
        <f t="shared" si="81"/>
        <v>0</v>
      </c>
      <c r="E184" s="23">
        <v>11.501701599999999</v>
      </c>
      <c r="F184" s="23">
        <f>IF(K184&lt;6,1,IF(Data!K184&lt;9,2,IF(K184&gt;9,3)))</f>
        <v>3</v>
      </c>
      <c r="G184" s="23">
        <v>1067.7775654062891</v>
      </c>
      <c r="H184" s="23">
        <v>219.96666499999998</v>
      </c>
      <c r="I184" s="64">
        <v>48.569111939240535</v>
      </c>
      <c r="J184" s="65">
        <f t="shared" si="82"/>
        <v>1.9153387929762198</v>
      </c>
      <c r="K184" s="65">
        <f t="shared" si="83"/>
        <v>19.427644775696216</v>
      </c>
      <c r="L184" s="65">
        <f t="shared" si="84"/>
        <v>0.76613551719045947</v>
      </c>
      <c r="M184">
        <f t="shared" si="85"/>
        <v>23.003403199999997</v>
      </c>
      <c r="N184">
        <f t="shared" si="86"/>
        <v>0</v>
      </c>
      <c r="O184">
        <f>IF(L184&lt;'Vehicle Data'!F$21,'Vehicle Data'!C$21,IF(L184&gt;'Vehicle Data'!C$21,'Vehicle Data'!C$20))</f>
        <v>0.6</v>
      </c>
      <c r="P184">
        <f>('Vehicle Data'!C$6*9.81*'Vehicle Data'!C$5*SIN(D184))/'Vehicle Data'!C$9</f>
        <v>0</v>
      </c>
      <c r="Q184" s="107">
        <f>'Vehicle Data'!C$6*9.81*SIN(D184)</f>
        <v>0</v>
      </c>
      <c r="R184" s="101">
        <f t="shared" si="80"/>
        <v>1065.3528199265015</v>
      </c>
      <c r="S184" s="101">
        <f>IF(Data!O184=0.6,'Vehicle Data'!E$21,IF(Data!O184 = 0.9,'Vehicle Data'!E$20))+(P184*O184)</f>
        <v>1550.3723999999997</v>
      </c>
      <c r="T184" s="101">
        <f>IF(F184=3,'Vehicle Data'!H$16,IF(F184=2,'Vehicle Data'!H$15,IF(F184 = 1,'Vehicle Data'!G$14)))</f>
        <v>466.23005239380637</v>
      </c>
      <c r="U184" s="148">
        <f t="shared" si="87"/>
        <v>349.21433780318546</v>
      </c>
      <c r="V184" s="102" t="s">
        <v>77</v>
      </c>
      <c r="W184" s="103" t="s">
        <v>84</v>
      </c>
      <c r="X184" s="101">
        <f>IF(V184="S",'Vehicle Data'!C$14,IF(Data!V184 = "T1",'Vehicle Data'!P$2,IF(Data!V184="T2",'Vehicle Data'!P$3)))</f>
        <v>13.411199999999999</v>
      </c>
      <c r="Y184" s="101"/>
      <c r="Z184" s="106">
        <v>8.3000000000000007</v>
      </c>
      <c r="AA184" s="101"/>
      <c r="AB184" s="101" t="b">
        <f>IF(AA184=1,'Vehicle Data'!I$14,IF(AA184=2,'Vehicle Data'!I$15,IF(AA184=3,'Vehicle Data'!I$16)))</f>
        <v>0</v>
      </c>
      <c r="AC184" s="101">
        <f>IF(Z184&lt;'Vehicle Data'!C$16,'Vehicle Data'!I$15,IF(Z184&lt;'Vehicle Data'!C$15,'Vehicle Data'!I$15,IF(Z183&gt;'Vehicle Data'!C$15,'Vehicle Data'!I$16)))</f>
        <v>0.98256251041858167</v>
      </c>
      <c r="AD184">
        <f>IF(O184=0.6,'Vehicle Data'!F$21,IF(O184=0.9,'Vehicle Data'!F$20))</f>
        <v>3.5315999999999996</v>
      </c>
      <c r="AE184" s="101">
        <f>(Data!H$15-Data!Q184)/'Vehicle Data'!C$6</f>
        <v>0.48181472665148062</v>
      </c>
      <c r="AF184" s="158">
        <f t="shared" si="110"/>
        <v>0.29151150358888639</v>
      </c>
      <c r="AG184" s="148">
        <f t="shared" si="92"/>
        <v>0</v>
      </c>
      <c r="AH184" s="148">
        <f t="shared" si="111"/>
        <v>45.786375193003032</v>
      </c>
      <c r="AI184" s="101"/>
      <c r="AJ184" s="101">
        <f>(Z184^2)*'Vehicle Data'!C$31</f>
        <v>25.317075000000013</v>
      </c>
      <c r="AK184" s="101">
        <f>IF(O184=0.6,'Vehicle Data'!C$6*'Vehicle Data'!D$21*9.81,IF(O184=0.9,'Vehicle Data'!C$6*9.81*'Vehicle Data'!D$20))</f>
        <v>86.131799999999998</v>
      </c>
      <c r="AL184" s="101">
        <f t="shared" si="89"/>
        <v>111.44887500000002</v>
      </c>
      <c r="AM184" s="101"/>
      <c r="AN184" t="b">
        <f>IF(AG184&gt;0,AG184*'Vehicle Data'!C$6)</f>
        <v>0</v>
      </c>
      <c r="AO184" s="101">
        <f t="shared" si="93"/>
        <v>111.44887500000002</v>
      </c>
      <c r="AP184" s="101">
        <f>AO184*'Vehicle Data'!F$3</f>
        <v>28.486332450000003</v>
      </c>
      <c r="AQ184">
        <v>20</v>
      </c>
      <c r="AR184">
        <f>IF(Z184&lt;'Vehicle Data'!C$16, Z184*'Vehicle Data'!F$7*'Vehicle Data'!G$14,IF(Z184&lt;'Vehicle Data'!C$15,Z184*'Vehicle Data'!F$7*'Vehicle Data'!G$15,IF(Z184&gt;'Vehicle Data'!C$15,Z184*'Vehicle Data'!F$7*'Vehicle Data'!G$16)))</f>
        <v>107.59259259259261</v>
      </c>
      <c r="AS184">
        <f t="shared" si="112"/>
        <v>6455.5555555555566</v>
      </c>
      <c r="AT184">
        <f t="shared" si="117"/>
        <v>20</v>
      </c>
      <c r="AU184">
        <f t="shared" si="113"/>
        <v>6500</v>
      </c>
      <c r="AW184">
        <f>VLOOKUP(AT184,BSFC!A$64:A$82,1,FALSE)</f>
        <v>20</v>
      </c>
      <c r="AX184" t="e" cm="1">
        <f t="array" ref="AX184">_xlfn.XLOOKUP(AT184,BSFC!A$64:A$82,,-1,_xlfn.XLOOKUP(Data!AU184,BSFC!C$63:Q$63,BSFC!B$64:Q$82,,-1))</f>
        <v>#VALUE!</v>
      </c>
      <c r="AY184">
        <f>HLOOKUP(AU184,BSFC!F$63:Q$63,1)</f>
        <v>6500</v>
      </c>
      <c r="AZ184">
        <f>IF(AT184&gt;0,MATCH(AT184,BSFC!A$64:A$83,0),IF(AT184&lt;=0,0))</f>
        <v>3</v>
      </c>
      <c r="BA184">
        <f>MATCH(AU184,BSFC!C$63:Q$63,0)</f>
        <v>13</v>
      </c>
      <c r="BB184" cm="1">
        <f t="array" ref="BB184">IF(AZ184&gt;0,INDEX(BSFC!C$64:Q$83,Data!AZ184,Data!BA184))</f>
        <v>494.7</v>
      </c>
      <c r="BC184">
        <f>0.5*'Vehicle Data'!C$6*Data!Z184^2</f>
        <v>15121.355000000003</v>
      </c>
      <c r="BD184">
        <f t="shared" si="94"/>
        <v>3.2250722167563075</v>
      </c>
      <c r="BE184">
        <f t="shared" si="114"/>
        <v>1595.4432256293453</v>
      </c>
      <c r="BF184">
        <f t="shared" si="115"/>
        <v>0.12919168155386482</v>
      </c>
      <c r="BG184">
        <f t="shared" si="95"/>
        <v>49.340971040616331</v>
      </c>
      <c r="BH184">
        <f t="shared" si="118"/>
        <v>13465.906457145509</v>
      </c>
      <c r="BI184" s="148">
        <f t="shared" si="96"/>
        <v>6871.6622130335309</v>
      </c>
      <c r="BO184">
        <f t="shared" si="97"/>
        <v>3868.8400802917517</v>
      </c>
      <c r="BP184">
        <f t="shared" si="98"/>
        <v>197438.4190615007</v>
      </c>
      <c r="BQ184">
        <f t="shared" si="99"/>
        <v>260837.99203473935</v>
      </c>
      <c r="BR184" s="148">
        <f t="shared" si="100"/>
        <v>316602.77629407839</v>
      </c>
      <c r="BS184" s="156">
        <f t="shared" si="101"/>
        <v>3868.8400802917517</v>
      </c>
      <c r="BT184" s="156">
        <f t="shared" si="102"/>
        <v>13465.906457145509</v>
      </c>
      <c r="BU184">
        <f t="shared" si="103"/>
        <v>1974.2720085437147</v>
      </c>
      <c r="BV184">
        <f t="shared" si="104"/>
        <v>1974.2720085437147</v>
      </c>
      <c r="BW184" s="148">
        <f t="shared" si="105"/>
        <v>455.4</v>
      </c>
      <c r="BX184" s="148">
        <f t="shared" si="106"/>
        <v>3129354.9718154697</v>
      </c>
      <c r="BY184" s="148">
        <f t="shared" si="107"/>
        <v>0.24974540908077988</v>
      </c>
      <c r="BZ184">
        <f t="shared" si="90"/>
        <v>45.786375193003032</v>
      </c>
      <c r="CB184">
        <f t="shared" si="108"/>
        <v>-1894.568071748037</v>
      </c>
      <c r="CC184" s="162">
        <f t="shared" si="91"/>
        <v>-6499.1194118360281</v>
      </c>
      <c r="CD184">
        <f t="shared" si="116"/>
        <v>55032.843780313364</v>
      </c>
    </row>
    <row r="185" spans="4:82" x14ac:dyDescent="0.2">
      <c r="D185" s="22">
        <f t="shared" si="81"/>
        <v>-4.107080121875966E-2</v>
      </c>
      <c r="E185" s="23">
        <v>11.501701599999999</v>
      </c>
      <c r="F185" s="23">
        <f>IF(K185&lt;6,1,IF(Data!K185&lt;9,2,IF(K185&gt;9,3)))</f>
        <v>3</v>
      </c>
      <c r="G185" s="23">
        <v>1070.2076035279713</v>
      </c>
      <c r="H185" s="23">
        <v>220.01666499999999</v>
      </c>
      <c r="I185" s="64">
        <v>48.664878878889368</v>
      </c>
      <c r="J185" s="65">
        <f t="shared" si="82"/>
        <v>1.7855161126991197</v>
      </c>
      <c r="K185" s="65">
        <f t="shared" si="83"/>
        <v>19.465951551555747</v>
      </c>
      <c r="L185" s="65">
        <f t="shared" si="84"/>
        <v>0.71420644507964781</v>
      </c>
      <c r="M185">
        <f t="shared" si="85"/>
        <v>23.003403199999997</v>
      </c>
      <c r="N185">
        <f t="shared" si="86"/>
        <v>-9.9998399999998711E-2</v>
      </c>
      <c r="O185">
        <f>IF(L185&lt;'Vehicle Data'!F$21,'Vehicle Data'!C$21,IF(L185&gt;'Vehicle Data'!C$21,'Vehicle Data'!C$20))</f>
        <v>0.6</v>
      </c>
      <c r="P185">
        <f>('Vehicle Data'!C$6*9.81*'Vehicle Data'!C$5*SIN(D185))/'Vehicle Data'!C$9</f>
        <v>-27.344130960567359</v>
      </c>
      <c r="Q185" s="107">
        <f>'Vehicle Data'!C$6*9.81*SIN(D185)</f>
        <v>-176.82538021166891</v>
      </c>
      <c r="R185">
        <f t="shared" si="80"/>
        <v>1067.7775654062891</v>
      </c>
      <c r="S185">
        <f>IF(Data!O185=0.6,'Vehicle Data'!E$21,IF(Data!O185 = 0.9,'Vehicle Data'!E$20))+(P185*O185)</f>
        <v>1533.9659214236594</v>
      </c>
      <c r="T185">
        <f>IF(F185=3,'Vehicle Data'!H$16,IF(F185=2,'Vehicle Data'!H$15,IF(F185 = 1,'Vehicle Data'!G$14)))</f>
        <v>466.23005239380637</v>
      </c>
      <c r="U185" s="148">
        <f t="shared" si="87"/>
        <v>351.63908328297305</v>
      </c>
      <c r="V185" s="70" t="s">
        <v>77</v>
      </c>
      <c r="W185" s="99" t="s">
        <v>84</v>
      </c>
      <c r="X185">
        <f>IF(V185="S",'Vehicle Data'!C$14,IF(Data!V185 = "T1",'Vehicle Data'!P$2,IF(Data!V185="T2",'Vehicle Data'!P$3)))</f>
        <v>13.411199999999999</v>
      </c>
      <c r="Z185">
        <f>SQRT(Z184^2+2*AE184*(U185-U184))</f>
        <v>8.4395827006485664</v>
      </c>
      <c r="AB185" t="b">
        <f>IF(AA185=1,'Vehicle Data'!I$14,IF(AA185=2,'Vehicle Data'!I$15,IF(AA185=3,'Vehicle Data'!I$16)))</f>
        <v>0</v>
      </c>
      <c r="AC185">
        <f>IF(Z185&lt;'Vehicle Data'!C$16,'Vehicle Data'!I$15,IF(Z185&lt;'Vehicle Data'!C$15,'Vehicle Data'!I$15,IF(Z184&gt;'Vehicle Data'!C$15,'Vehicle Data'!I$16)))</f>
        <v>0.98256251041858167</v>
      </c>
      <c r="AD185">
        <f>IF(O185=0.6,'Vehicle Data'!F$21,IF(O185=0.9,'Vehicle Data'!F$20))</f>
        <v>3.5315999999999996</v>
      </c>
      <c r="AE185" s="100">
        <f t="shared" si="88"/>
        <v>0.98256251041858167</v>
      </c>
      <c r="AF185" s="158">
        <f t="shared" si="110"/>
        <v>0.28730632375949722</v>
      </c>
      <c r="AG185" s="148">
        <f t="shared" si="92"/>
        <v>0.48583232983555813</v>
      </c>
      <c r="AH185" s="148">
        <f t="shared" si="111"/>
        <v>46.073681516762527</v>
      </c>
      <c r="AJ185">
        <f>(Z185^2)*'Vehicle Data'!C$31</f>
        <v>26.175759389199314</v>
      </c>
      <c r="AK185">
        <f>IF(O185=0.6,'Vehicle Data'!C$6*'Vehicle Data'!D$21*9.81,IF(O185=0.9,'Vehicle Data'!C$6*9.81*'Vehicle Data'!D$20))</f>
        <v>86.131799999999998</v>
      </c>
      <c r="AL185">
        <f t="shared" si="89"/>
        <v>-64.517820822469602</v>
      </c>
      <c r="AN185">
        <f>IF(AG185&gt;0,AG185*'Vehicle Data'!C$6)</f>
        <v>213.28039279781001</v>
      </c>
      <c r="AO185">
        <f t="shared" si="93"/>
        <v>148.76257197534039</v>
      </c>
      <c r="AP185">
        <f>AO185*'Vehicle Data'!F$3</f>
        <v>38.023713396897001</v>
      </c>
      <c r="AQ185">
        <f>IF(AE185='Vehicle Data'!I$15,AP185/'Vehicle Data'!G$15,IF(AE185='Vehicle Data'!I$16,AP185/'Vehicle Data'!G$16,IF(AE185='Vehicle Data'!I$14,Data!AP185/'Vehicle Data'!G196)))</f>
        <v>4.7107598562553266</v>
      </c>
      <c r="AR185">
        <f>IF(Z185&lt;'Vehicle Data'!C$16, Z185*'Vehicle Data'!F$7*'Vehicle Data'!G$14,IF(Z185&lt;'Vehicle Data'!C$15,Z185*'Vehicle Data'!F$7*'Vehicle Data'!G$15,IF(Z185&gt;'Vehicle Data'!C$15,Z185*'Vehicle Data'!F$7*'Vehicle Data'!G$16)))</f>
        <v>109.40199797137031</v>
      </c>
      <c r="AS185">
        <f t="shared" si="112"/>
        <v>6564.1198782822185</v>
      </c>
      <c r="AT185">
        <f t="shared" si="117"/>
        <v>5</v>
      </c>
      <c r="AU185">
        <f t="shared" si="113"/>
        <v>6500</v>
      </c>
      <c r="AW185">
        <f>VLOOKUP(AT185,BSFC!A$64:A$82,1,FALSE)</f>
        <v>5</v>
      </c>
      <c r="AX185" t="e" cm="1">
        <f t="array" ref="AX185">_xlfn.XLOOKUP(AT185,BSFC!A$64:A$82,,-1,_xlfn.XLOOKUP(Data!AU185,BSFC!C$63:Q$63,BSFC!B$64:Q$82,,-1))</f>
        <v>#VALUE!</v>
      </c>
      <c r="AY185">
        <f>HLOOKUP(AU185,BSFC!F$63:Q$63,1)</f>
        <v>6500</v>
      </c>
      <c r="AZ185">
        <f>IF(AT185&gt;0,MATCH(AT185,BSFC!A$64:A$83,0),IF(AT185&lt;=0,0))</f>
        <v>18</v>
      </c>
      <c r="BA185">
        <f>MATCH(AU185,BSFC!C$63:Q$63,0)</f>
        <v>13</v>
      </c>
      <c r="BB185" cm="1">
        <f t="array" ref="BB185">IF(AZ185&gt;0,INDEX(BSFC!C$64:Q$83,Data!AZ185,Data!BA185))</f>
        <v>600</v>
      </c>
      <c r="BC185">
        <f>0.5*'Vehicle Data'!C$6*Data!Z185^2</f>
        <v>15634.229077358497</v>
      </c>
      <c r="BD185">
        <f t="shared" si="94"/>
        <v>11.746270514507263</v>
      </c>
      <c r="BE185">
        <f t="shared" si="114"/>
        <v>7047.7623087043576</v>
      </c>
      <c r="BF185">
        <f t="shared" si="115"/>
        <v>0.56246296656794326</v>
      </c>
      <c r="BG185">
        <f t="shared" si="95"/>
        <v>49.903434007184273</v>
      </c>
      <c r="BH185">
        <f t="shared" si="118"/>
        <v>3225.0722167563076</v>
      </c>
      <c r="BI185" s="148">
        <f t="shared" si="96"/>
        <v>6871.6622130335309</v>
      </c>
      <c r="BO185">
        <f t="shared" si="97"/>
        <v>898.959961209791</v>
      </c>
      <c r="BP185">
        <f t="shared" si="98"/>
        <v>198337.37902271049</v>
      </c>
      <c r="BQ185">
        <f t="shared" si="99"/>
        <v>261736.95199594914</v>
      </c>
      <c r="BR185" s="148">
        <f t="shared" si="100"/>
        <v>318518.19051779102</v>
      </c>
      <c r="BS185" s="156">
        <f t="shared" si="101"/>
        <v>898.959961209791</v>
      </c>
      <c r="BT185" s="156">
        <f t="shared" si="102"/>
        <v>3225.0722167563076</v>
      </c>
      <c r="BU185">
        <f t="shared" si="103"/>
        <v>1915.4142237126161</v>
      </c>
      <c r="BV185">
        <f t="shared" si="104"/>
        <v>1915.4142237126161</v>
      </c>
      <c r="BW185" s="148">
        <f t="shared" si="105"/>
        <v>455.4</v>
      </c>
      <c r="BX185" s="148">
        <f t="shared" si="106"/>
        <v>3129354.9718154697</v>
      </c>
      <c r="BY185" s="148">
        <f t="shared" si="107"/>
        <v>0.2422998992996459</v>
      </c>
      <c r="BZ185">
        <f t="shared" si="90"/>
        <v>46.073681516762527</v>
      </c>
      <c r="CB185">
        <f t="shared" si="108"/>
        <v>1016.4542625028251</v>
      </c>
      <c r="CC185" s="162">
        <f t="shared" si="91"/>
        <v>3537.8764003597175</v>
      </c>
      <c r="CD185">
        <f t="shared" si="116"/>
        <v>56049.29804281619</v>
      </c>
    </row>
    <row r="186" spans="4:82" x14ac:dyDescent="0.2">
      <c r="D186" s="22">
        <f t="shared" si="81"/>
        <v>-6.4746343068807508E-3</v>
      </c>
      <c r="E186" s="23">
        <v>11.4017032</v>
      </c>
      <c r="F186" s="23">
        <f>IF(K186&lt;6,1,IF(Data!K186&lt;9,2,IF(K186&gt;9,3)))</f>
        <v>3</v>
      </c>
      <c r="G186" s="23">
        <v>1072.6430690077598</v>
      </c>
      <c r="H186" s="23">
        <v>220.066665</v>
      </c>
      <c r="I186" s="64">
        <v>48.754154684524345</v>
      </c>
      <c r="J186" s="65">
        <f t="shared" si="82"/>
        <v>1.737401231523019</v>
      </c>
      <c r="K186" s="65">
        <f t="shared" si="83"/>
        <v>19.501661873809738</v>
      </c>
      <c r="L186" s="65">
        <f t="shared" si="84"/>
        <v>0.69496049260922177</v>
      </c>
      <c r="M186">
        <f t="shared" si="85"/>
        <v>22.8034064</v>
      </c>
      <c r="N186">
        <f t="shared" si="86"/>
        <v>-1.5802115475887391E-2</v>
      </c>
      <c r="O186">
        <f>IF(L186&lt;'Vehicle Data'!F$21,'Vehicle Data'!C$21,IF(L186&gt;'Vehicle Data'!C$21,'Vehicle Data'!C$20))</f>
        <v>0.6</v>
      </c>
      <c r="P186">
        <f>('Vehicle Data'!C$6*9.81*'Vehicle Data'!C$5*SIN(D186))/'Vehicle Data'!C$9</f>
        <v>-4.3118660632822206</v>
      </c>
      <c r="Q186" s="107">
        <f>'Vehicle Data'!C$6*9.81*SIN(D186)</f>
        <v>-27.883400542558359</v>
      </c>
      <c r="R186">
        <f t="shared" si="80"/>
        <v>1070.2076035279713</v>
      </c>
      <c r="S186">
        <f>IF(Data!O186=0.6,'Vehicle Data'!E$21,IF(Data!O186 = 0.9,'Vehicle Data'!E$20))+(P186*O186)</f>
        <v>1547.7852803620303</v>
      </c>
      <c r="T186">
        <f>IF(F186=3,'Vehicle Data'!H$16,IF(F186=2,'Vehicle Data'!H$15,IF(F186 = 1,'Vehicle Data'!G$14)))</f>
        <v>466.23005239380637</v>
      </c>
      <c r="U186" s="148">
        <f t="shared" si="87"/>
        <v>354.06912140465522</v>
      </c>
      <c r="V186" s="70" t="s">
        <v>77</v>
      </c>
      <c r="W186" s="99" t="s">
        <v>84</v>
      </c>
      <c r="X186">
        <f>IF(V186="S",'Vehicle Data'!C$14,IF(Data!V186 = "T1",'Vehicle Data'!P$2,IF(Data!V186="T2",'Vehicle Data'!P$3)))</f>
        <v>13.411199999999999</v>
      </c>
      <c r="Z186">
        <f t="shared" ref="Z186:Z205" si="119">SQRT(Z185^2+2*AE185*(U186-U185))</f>
        <v>8.7179059914403947</v>
      </c>
      <c r="AB186" t="b">
        <f>IF(AA186=1,'Vehicle Data'!I$14,IF(AA186=2,'Vehicle Data'!I$15,IF(AA186=3,'Vehicle Data'!I$16)))</f>
        <v>0</v>
      </c>
      <c r="AC186">
        <f>IF(Z186&lt;'Vehicle Data'!C$16,'Vehicle Data'!I$15,IF(Z186&lt;'Vehicle Data'!C$15,'Vehicle Data'!I$15,IF(Z185&gt;'Vehicle Data'!C$15,'Vehicle Data'!I$16)))</f>
        <v>0.98256251041858167</v>
      </c>
      <c r="AD186">
        <f>IF(O186=0.6,'Vehicle Data'!F$21,IF(O186=0.9,'Vehicle Data'!F$20))</f>
        <v>3.5315999999999996</v>
      </c>
      <c r="AE186" s="100">
        <f t="shared" si="88"/>
        <v>0.98256251041858167</v>
      </c>
      <c r="AF186" s="158">
        <f t="shared" si="110"/>
        <v>0.27874103300357755</v>
      </c>
      <c r="AG186" s="148">
        <f t="shared" si="92"/>
        <v>0.99850132502112121</v>
      </c>
      <c r="AH186" s="148">
        <f t="shared" si="111"/>
        <v>46.352422549766104</v>
      </c>
      <c r="AJ186">
        <f>(Z186^2)*'Vehicle Data'!C$31</f>
        <v>27.930692691780187</v>
      </c>
      <c r="AK186">
        <f>IF(O186=0.6,'Vehicle Data'!C$6*'Vehicle Data'!D$21*9.81,IF(O186=0.9,'Vehicle Data'!C$6*9.81*'Vehicle Data'!D$20))</f>
        <v>86.131799999999998</v>
      </c>
      <c r="AL186">
        <f t="shared" si="89"/>
        <v>86.17909214922183</v>
      </c>
      <c r="AN186">
        <f>IF(AG186&gt;0,AG186*'Vehicle Data'!C$6)</f>
        <v>438.34208168427222</v>
      </c>
      <c r="AO186">
        <f t="shared" si="93"/>
        <v>524.521173833494</v>
      </c>
      <c r="AP186">
        <f>AO186*'Vehicle Data'!F$3</f>
        <v>134.06761203184107</v>
      </c>
      <c r="AQ186">
        <f>IF(AE186='Vehicle Data'!I$15,AP186/'Vehicle Data'!G$15,IF(AE186='Vehicle Data'!I$16,AP186/'Vehicle Data'!G$16,IF(AE186='Vehicle Data'!I$14,Data!AP186/'Vehicle Data'!G197)))</f>
        <v>16.609643518803459</v>
      </c>
      <c r="AR186">
        <f>IF(Z186&lt;'Vehicle Data'!C$16, Z186*'Vehicle Data'!F$7*'Vehicle Data'!G$14,IF(Z186&lt;'Vehicle Data'!C$15,Z186*'Vehicle Data'!F$7*'Vehicle Data'!G$15,IF(Z186&gt;'Vehicle Data'!C$15,Z186*'Vehicle Data'!F$7*'Vehicle Data'!G$16)))</f>
        <v>113.00989248163475</v>
      </c>
      <c r="AS186">
        <f t="shared" si="112"/>
        <v>6780.5935488980849</v>
      </c>
      <c r="AT186">
        <f t="shared" si="117"/>
        <v>17</v>
      </c>
      <c r="AU186">
        <f t="shared" si="113"/>
        <v>7000</v>
      </c>
      <c r="AW186">
        <f>VLOOKUP(AT186,BSFC!A$64:A$82,1,FALSE)</f>
        <v>17</v>
      </c>
      <c r="AX186" t="e" cm="1">
        <f t="array" ref="AX186">_xlfn.XLOOKUP(AT186,BSFC!A$64:A$82,,-1,_xlfn.XLOOKUP(Data!AU186,BSFC!C$63:Q$63,BSFC!B$64:Q$82,,-1))</f>
        <v>#VALUE!</v>
      </c>
      <c r="AY186">
        <f>HLOOKUP(AU186,BSFC!F$63:Q$63,1)</f>
        <v>7000</v>
      </c>
      <c r="AZ186">
        <f>IF(AT186&gt;0,MATCH(AT186,BSFC!A$64:A$83,0),IF(AT186&lt;=0,0))</f>
        <v>6</v>
      </c>
      <c r="BA186">
        <f>MATCH(AU186,BSFC!C$63:Q$63,0)</f>
        <v>14</v>
      </c>
      <c r="BB186" cm="1">
        <f t="array" ref="BB186">IF(AZ186&gt;0,INDEX(BSFC!C$64:Q$83,Data!AZ186,Data!BA186))</f>
        <v>500</v>
      </c>
      <c r="BC186">
        <f>0.5*'Vehicle Data'!C$6*Data!Z186^2</f>
        <v>16682.413730192515</v>
      </c>
      <c r="BD186">
        <f t="shared" si="94"/>
        <v>8.7192170294856286</v>
      </c>
      <c r="BE186">
        <f t="shared" si="114"/>
        <v>4359.6085147428139</v>
      </c>
      <c r="BF186">
        <f t="shared" si="115"/>
        <v>0.3375560502473901</v>
      </c>
      <c r="BG186">
        <f t="shared" si="95"/>
        <v>50.240990057431667</v>
      </c>
      <c r="BH186">
        <f t="shared" si="118"/>
        <v>11746.270514507263</v>
      </c>
      <c r="BI186" s="148">
        <f t="shared" si="96"/>
        <v>6871.6622130335309</v>
      </c>
      <c r="BO186">
        <f t="shared" si="97"/>
        <v>3182.7965114733715</v>
      </c>
      <c r="BP186">
        <f t="shared" si="98"/>
        <v>201520.17553418386</v>
      </c>
      <c r="BQ186">
        <f t="shared" si="99"/>
        <v>264919.74850742251</v>
      </c>
      <c r="BR186" s="148">
        <f t="shared" si="100"/>
        <v>320380.15193717554</v>
      </c>
      <c r="BS186" s="156">
        <f t="shared" si="101"/>
        <v>3182.7965114733715</v>
      </c>
      <c r="BT186" s="156">
        <f t="shared" si="102"/>
        <v>11746.270514507263</v>
      </c>
      <c r="BU186">
        <f t="shared" si="103"/>
        <v>1861.9614193845225</v>
      </c>
      <c r="BV186">
        <f t="shared" si="104"/>
        <v>1861.9614193845225</v>
      </c>
      <c r="BW186" s="148">
        <f t="shared" si="105"/>
        <v>455.4</v>
      </c>
      <c r="BX186" s="148">
        <f t="shared" si="106"/>
        <v>3129354.9718154697</v>
      </c>
      <c r="BY186" s="148">
        <f t="shared" si="107"/>
        <v>0.23553811955214207</v>
      </c>
      <c r="BZ186">
        <f t="shared" si="90"/>
        <v>46.352422549766104</v>
      </c>
      <c r="CB186">
        <f t="shared" si="108"/>
        <v>-1320.835092088849</v>
      </c>
      <c r="CC186" s="162">
        <f t="shared" si="91"/>
        <v>-4738.5742883140556</v>
      </c>
      <c r="CD186">
        <f t="shared" si="116"/>
        <v>54728.462950727342</v>
      </c>
    </row>
    <row r="187" spans="4:82" x14ac:dyDescent="0.2">
      <c r="D187" s="22">
        <f t="shared" si="81"/>
        <v>-4.0904504877040788E-2</v>
      </c>
      <c r="E187" s="23">
        <v>11.385901084524113</v>
      </c>
      <c r="F187" s="23">
        <f>IF(K187&lt;6,1,IF(Data!K187&lt;9,2,IF(K187&gt;9,3)))</f>
        <v>3</v>
      </c>
      <c r="G187" s="23">
        <v>1075.0837050551254</v>
      </c>
      <c r="H187" s="23">
        <v>220.11666499999998</v>
      </c>
      <c r="I187" s="64">
        <v>48.841024746100466</v>
      </c>
      <c r="J187" s="65">
        <f t="shared" si="82"/>
        <v>1.6514353025723036</v>
      </c>
      <c r="K187" s="65">
        <f t="shared" si="83"/>
        <v>19.536409898440187</v>
      </c>
      <c r="L187" s="65">
        <f t="shared" si="84"/>
        <v>0.66057412102892143</v>
      </c>
      <c r="M187">
        <f t="shared" si="85"/>
        <v>22.771802169048225</v>
      </c>
      <c r="N187">
        <f t="shared" si="86"/>
        <v>-9.9998526418946909E-2</v>
      </c>
      <c r="O187">
        <f>IF(L187&lt;'Vehicle Data'!F$21,'Vehicle Data'!C$21,IF(L187&gt;'Vehicle Data'!C$21,'Vehicle Data'!C$20))</f>
        <v>0.6</v>
      </c>
      <c r="P187">
        <f>('Vehicle Data'!C$6*9.81*'Vehicle Data'!C$5*SIN(D187))/'Vehicle Data'!C$9</f>
        <v>-27.233476012040324</v>
      </c>
      <c r="Q187" s="107">
        <f>'Vehicle Data'!C$6*9.81*SIN(D187)</f>
        <v>-176.10981154452742</v>
      </c>
      <c r="R187">
        <f t="shared" si="80"/>
        <v>1072.6430690077598</v>
      </c>
      <c r="S187">
        <f>IF(Data!O187=0.6,'Vehicle Data'!E$21,IF(Data!O187 = 0.9,'Vehicle Data'!E$20))+(P187*O187)</f>
        <v>1534.0323143927756</v>
      </c>
      <c r="T187">
        <f>IF(F187=3,'Vehicle Data'!H$16,IF(F187=2,'Vehicle Data'!H$15,IF(F187 = 1,'Vehicle Data'!G$14)))</f>
        <v>466.23005239380637</v>
      </c>
      <c r="U187" s="148">
        <f t="shared" si="87"/>
        <v>356.50458688444371</v>
      </c>
      <c r="V187" s="70" t="s">
        <v>77</v>
      </c>
      <c r="W187" s="99" t="s">
        <v>84</v>
      </c>
      <c r="X187">
        <f>IF(V187="S",'Vehicle Data'!C$14,IF(Data!V187 = "T1",'Vehicle Data'!P$2,IF(Data!V187="T2",'Vehicle Data'!P$3)))</f>
        <v>13.411199999999999</v>
      </c>
      <c r="Z187">
        <f t="shared" si="119"/>
        <v>8.9882077761537023</v>
      </c>
      <c r="AB187" t="b">
        <f>IF(AA187=1,'Vehicle Data'!I$14,IF(AA187=2,'Vehicle Data'!I$15,IF(AA187=3,'Vehicle Data'!I$16)))</f>
        <v>0</v>
      </c>
      <c r="AC187">
        <f>IF(Z187&lt;'Vehicle Data'!C$16,'Vehicle Data'!I$15,IF(Z187&lt;'Vehicle Data'!C$15,'Vehicle Data'!I$15,IF(Z186&gt;'Vehicle Data'!C$15,'Vehicle Data'!I$16)))</f>
        <v>0.98256251041858167</v>
      </c>
      <c r="AD187">
        <f>IF(O187=0.6,'Vehicle Data'!F$21,IF(O187=0.9,'Vehicle Data'!F$20))</f>
        <v>3.5315999999999996</v>
      </c>
      <c r="AE187" s="100">
        <f t="shared" si="88"/>
        <v>0.98256251041858167</v>
      </c>
      <c r="AF187" s="158">
        <f t="shared" si="110"/>
        <v>0.27096230310228681</v>
      </c>
      <c r="AG187" s="148">
        <f t="shared" si="92"/>
        <v>0.99756232368334319</v>
      </c>
      <c r="AH187" s="148">
        <f t="shared" si="111"/>
        <v>46.623384852868391</v>
      </c>
      <c r="AJ187">
        <f>(Z187^2)*'Vehicle Data'!C$31</f>
        <v>29.68954554253639</v>
      </c>
      <c r="AK187">
        <f>IF(O187=0.6,'Vehicle Data'!C$6*'Vehicle Data'!D$21*9.81,IF(O187=0.9,'Vehicle Data'!C$6*9.81*'Vehicle Data'!D$20))</f>
        <v>86.131799999999998</v>
      </c>
      <c r="AL187">
        <f t="shared" si="89"/>
        <v>-60.288466001991026</v>
      </c>
      <c r="AN187">
        <f>IF(AG187&gt;0,AG187*'Vehicle Data'!C$6)</f>
        <v>437.92986009698768</v>
      </c>
      <c r="AO187">
        <f t="shared" si="93"/>
        <v>377.64139409499666</v>
      </c>
      <c r="AP187">
        <f>AO187*'Vehicle Data'!F$3</f>
        <v>96.52514033068114</v>
      </c>
      <c r="AQ187">
        <f>IF(AE187='Vehicle Data'!I$15,AP187/'Vehicle Data'!G$15,IF(AE187='Vehicle Data'!I$16,AP187/'Vehicle Data'!G$16,IF(AE187='Vehicle Data'!I$14,Data!AP187/'Vehicle Data'!G198)))</f>
        <v>11.958504721590185</v>
      </c>
      <c r="AR187">
        <f>IF(Z187&lt;'Vehicle Data'!C$16, Z187*'Vehicle Data'!F$7*'Vehicle Data'!G$14,IF(Z187&lt;'Vehicle Data'!C$15,Z187*'Vehicle Data'!F$7*'Vehicle Data'!G$15,IF(Z187&gt;'Vehicle Data'!C$15,Z187*'Vehicle Data'!F$7*'Vehicle Data'!G$16)))</f>
        <v>116.51380450569616</v>
      </c>
      <c r="AS187">
        <f t="shared" si="112"/>
        <v>6990.8282703417699</v>
      </c>
      <c r="AT187">
        <f t="shared" si="117"/>
        <v>12</v>
      </c>
      <c r="AU187">
        <f t="shared" si="113"/>
        <v>7000</v>
      </c>
      <c r="AW187">
        <f>VLOOKUP(AT187,BSFC!A$64:A$82,1,FALSE)</f>
        <v>12</v>
      </c>
      <c r="AX187" t="e" cm="1">
        <f t="array" ref="AX187">_xlfn.XLOOKUP(AT187,BSFC!A$64:A$82,,-1,_xlfn.XLOOKUP(Data!AU187,BSFC!C$63:Q$63,BSFC!B$64:Q$82,,-1))</f>
        <v>#VALUE!</v>
      </c>
      <c r="AY187">
        <f>HLOOKUP(AU187,BSFC!F$63:Q$63,1)</f>
        <v>7000</v>
      </c>
      <c r="AZ187">
        <f>IF(AT187&gt;0,MATCH(AT187,BSFC!A$64:A$83,0),IF(AT187&lt;=0,0))</f>
        <v>11</v>
      </c>
      <c r="BA187">
        <f>MATCH(AU187,BSFC!C$63:Q$63,0)</f>
        <v>14</v>
      </c>
      <c r="BB187" cm="1">
        <f t="array" ref="BB187">IF(AZ187&gt;0,INDEX(BSFC!C$64:Q$83,Data!AZ187,Data!BA187))</f>
        <v>474.5</v>
      </c>
      <c r="BC187">
        <f>0.5*'Vehicle Data'!C$6*Data!Z187^2</f>
        <v>17732.939446494518</v>
      </c>
      <c r="BD187">
        <f t="shared" si="94"/>
        <v>0</v>
      </c>
      <c r="BE187">
        <f t="shared" si="114"/>
        <v>0</v>
      </c>
      <c r="BF187">
        <f t="shared" si="115"/>
        <v>0</v>
      </c>
      <c r="BG187">
        <f t="shared" si="95"/>
        <v>50.240990057431667</v>
      </c>
      <c r="BH187">
        <f t="shared" si="118"/>
        <v>8719.2170294856278</v>
      </c>
      <c r="BI187" s="148">
        <f t="shared" si="96"/>
        <v>6871.6622130335309</v>
      </c>
      <c r="BO187">
        <f t="shared" si="97"/>
        <v>2300.2981631894686</v>
      </c>
      <c r="BP187">
        <f t="shared" si="98"/>
        <v>203820.47369737332</v>
      </c>
      <c r="BQ187">
        <f t="shared" si="99"/>
        <v>267220.04667061201</v>
      </c>
      <c r="BR187" s="148">
        <f t="shared" si="100"/>
        <v>322193.02939087874</v>
      </c>
      <c r="BS187" s="156">
        <f t="shared" si="101"/>
        <v>2300.2981631894686</v>
      </c>
      <c r="BT187" s="156">
        <f t="shared" si="102"/>
        <v>8719.2170294856278</v>
      </c>
      <c r="BU187">
        <f t="shared" si="103"/>
        <v>1812.8774537032027</v>
      </c>
      <c r="BV187">
        <f t="shared" si="104"/>
        <v>1812.8774537032027</v>
      </c>
      <c r="BW187" s="148">
        <f t="shared" si="105"/>
        <v>455.4</v>
      </c>
      <c r="BX187" s="148">
        <f t="shared" si="106"/>
        <v>3129354.9718154697</v>
      </c>
      <c r="BY187" s="148">
        <f t="shared" si="107"/>
        <v>0.22932899789345512</v>
      </c>
      <c r="BZ187">
        <f t="shared" si="90"/>
        <v>46.623384852868391</v>
      </c>
      <c r="CB187">
        <f t="shared" si="108"/>
        <v>-487.42070948626588</v>
      </c>
      <c r="CC187" s="162">
        <f t="shared" si="91"/>
        <v>-1798.8506294259926</v>
      </c>
      <c r="CD187">
        <f t="shared" si="116"/>
        <v>54241.042241241077</v>
      </c>
    </row>
    <row r="188" spans="4:82" x14ac:dyDescent="0.2">
      <c r="D188" s="22">
        <f t="shared" si="81"/>
        <v>-7.5293619300337275E-2</v>
      </c>
      <c r="E188" s="23">
        <v>11.285902558105166</v>
      </c>
      <c r="F188" s="23">
        <f>IF(K188&lt;6,1,IF(Data!K188&lt;9,2,IF(K188&gt;9,3)))</f>
        <v>3</v>
      </c>
      <c r="G188" s="23">
        <v>1077.5290693997558</v>
      </c>
      <c r="H188" s="23">
        <v>220.16666499999999</v>
      </c>
      <c r="I188" s="64">
        <v>48.9235965112291</v>
      </c>
      <c r="J188" s="65">
        <f t="shared" si="82"/>
        <v>0.98040533768828952</v>
      </c>
      <c r="K188" s="65">
        <f t="shared" si="83"/>
        <v>19.569438604491641</v>
      </c>
      <c r="L188" s="65">
        <f t="shared" si="84"/>
        <v>0.39216213507528735</v>
      </c>
      <c r="M188">
        <f t="shared" si="85"/>
        <v>22.571805116210331</v>
      </c>
      <c r="N188">
        <f t="shared" si="86"/>
        <v>-0.18419535810516585</v>
      </c>
      <c r="O188">
        <f>IF(L188&lt;'Vehicle Data'!F$21,'Vehicle Data'!C$21,IF(L188&gt;'Vehicle Data'!C$21,'Vehicle Data'!C$20))</f>
        <v>0.6</v>
      </c>
      <c r="P188">
        <f>('Vehicle Data'!C$6*9.81*'Vehicle Data'!C$5*SIN(D188))/'Vehicle Data'!C$9</f>
        <v>-50.095740823382329</v>
      </c>
      <c r="Q188" s="107">
        <f>'Vehicle Data'!C$6*9.81*SIN(D188)</f>
        <v>-323.95245732453901</v>
      </c>
      <c r="R188">
        <f t="shared" si="80"/>
        <v>1075.0837050551254</v>
      </c>
      <c r="S188">
        <f>IF(Data!O188=0.6,'Vehicle Data'!E$21,IF(Data!O188 = 0.9,'Vehicle Data'!E$20))+(P188*O188)</f>
        <v>1520.3149555059704</v>
      </c>
      <c r="T188">
        <f>IF(F188=3,'Vehicle Data'!H$16,IF(F188=2,'Vehicle Data'!H$15,IF(F188 = 1,'Vehicle Data'!G$14)))</f>
        <v>466.23005239380637</v>
      </c>
      <c r="U188" s="148">
        <f t="shared" si="87"/>
        <v>358.94522293180933</v>
      </c>
      <c r="V188" s="70" t="s">
        <v>77</v>
      </c>
      <c r="W188" s="99" t="s">
        <v>84</v>
      </c>
      <c r="X188">
        <f>IF(V188="S",'Vehicle Data'!C$14,IF(Data!V188 = "T1",'Vehicle Data'!P$2,IF(Data!V188="T2",'Vehicle Data'!P$3)))</f>
        <v>13.411199999999999</v>
      </c>
      <c r="Z188">
        <f t="shared" si="119"/>
        <v>9.2511639262713956</v>
      </c>
      <c r="AB188" t="b">
        <f>IF(AA188=1,'Vehicle Data'!I$14,IF(AA188=2,'Vehicle Data'!I$15,IF(AA188=3,'Vehicle Data'!I$16)))</f>
        <v>0</v>
      </c>
      <c r="AC188" t="b">
        <f>IF(Z188&lt;'Vehicle Data'!C$16,'Vehicle Data'!I$15,IF(Z188&lt;'Vehicle Data'!C$15,'Vehicle Data'!I$15,IF(Z187&gt;'Vehicle Data'!C$15,'Vehicle Data'!I$16)))</f>
        <v>0</v>
      </c>
      <c r="AD188">
        <f>IF(O188=0.6,'Vehicle Data'!F$21,IF(O188=0.9,'Vehicle Data'!F$20))</f>
        <v>3.5315999999999996</v>
      </c>
      <c r="AE188" s="100" t="b">
        <f t="shared" si="88"/>
        <v>0</v>
      </c>
      <c r="AF188" s="158">
        <f t="shared" si="110"/>
        <v>0.26381934930746526</v>
      </c>
      <c r="AG188" s="148">
        <f t="shared" si="92"/>
        <v>0.99672806717157847</v>
      </c>
      <c r="AH188" s="148">
        <f t="shared" si="111"/>
        <v>46.887204202175859</v>
      </c>
      <c r="AJ188">
        <f>(Z188^2)*'Vehicle Data'!C$31</f>
        <v>31.452132491598864</v>
      </c>
      <c r="AK188">
        <f>IF(O188=0.6,'Vehicle Data'!C$6*'Vehicle Data'!D$21*9.81,IF(O188=0.9,'Vehicle Data'!C$6*9.81*'Vehicle Data'!D$20))</f>
        <v>86.131799999999998</v>
      </c>
      <c r="AL188">
        <f t="shared" si="89"/>
        <v>-206.36852483294015</v>
      </c>
      <c r="AN188">
        <f>IF(AG188&gt;0,AG188*'Vehicle Data'!C$6)</f>
        <v>437.56362148832295</v>
      </c>
      <c r="AO188">
        <f t="shared" si="93"/>
        <v>231.1950966553828</v>
      </c>
      <c r="AP188">
        <f>AO188*'Vehicle Data'!F$3</f>
        <v>59.093466705115844</v>
      </c>
      <c r="AQ188" t="b">
        <f>IF(AE188='Vehicle Data'!I$15,AP188/'Vehicle Data'!G$15,IF(AE188='Vehicle Data'!I$16,AP188/'Vehicle Data'!G$16,IF(AE188='Vehicle Data'!I$14,Data!AP188/'Vehicle Data'!G199)))</f>
        <v>0</v>
      </c>
      <c r="AR188">
        <f>IF(Z188&lt;'Vehicle Data'!C$16, Z188*'Vehicle Data'!F$7*'Vehicle Data'!G$14,IF(Z188&lt;'Vehicle Data'!C$15,Z188*'Vehicle Data'!F$7*'Vehicle Data'!G$15,IF(Z188&gt;'Vehicle Data'!C$15,Z188*'Vehicle Data'!F$7*'Vehicle Data'!G$16)))</f>
        <v>80.477694618303829</v>
      </c>
      <c r="AS188">
        <f t="shared" si="112"/>
        <v>4828.66167709823</v>
      </c>
      <c r="AT188">
        <f t="shared" si="117"/>
        <v>0</v>
      </c>
      <c r="AU188">
        <f t="shared" si="113"/>
        <v>5000</v>
      </c>
      <c r="AW188" t="e">
        <f>VLOOKUP(AT188,BSFC!A$64:A$82,1,FALSE)</f>
        <v>#N/A</v>
      </c>
      <c r="AX188" t="e" cm="1">
        <f t="array" ref="AX188">_xlfn.XLOOKUP(AT188,BSFC!A$64:A$82,,-1,_xlfn.XLOOKUP(Data!AU188,BSFC!C$63:Q$63,BSFC!B$64:Q$82,,-1))</f>
        <v>#VALUE!</v>
      </c>
      <c r="AY188">
        <f>HLOOKUP(AU188,BSFC!F$63:Q$63,1)</f>
        <v>5000</v>
      </c>
      <c r="AZ188">
        <f>IF(AT188&gt;0,MATCH(AT188,BSFC!A$64:A$83,0),IF(AT188&lt;=0,0))</f>
        <v>0</v>
      </c>
      <c r="BA188">
        <f>MATCH(AU188,BSFC!C$63:Q$63,0)</f>
        <v>10</v>
      </c>
      <c r="BB188" t="b" cm="1">
        <f t="array" ref="BB188">IF(AZ188&gt;0,INDEX(BSFC!C$64:Q$83,Data!AZ188,Data!BA188))</f>
        <v>0</v>
      </c>
      <c r="BC188">
        <f>0.5*'Vehicle Data'!C$6*Data!Z188^2</f>
        <v>18785.695460968567</v>
      </c>
      <c r="BD188">
        <f t="shared" si="94"/>
        <v>2.0516947603002373</v>
      </c>
      <c r="BE188">
        <f t="shared" si="114"/>
        <v>0</v>
      </c>
      <c r="BF188">
        <f t="shared" si="115"/>
        <v>0</v>
      </c>
      <c r="BG188">
        <f t="shared" si="95"/>
        <v>50.240990057431667</v>
      </c>
      <c r="BH188">
        <f t="shared" si="118"/>
        <v>0</v>
      </c>
      <c r="BI188" s="148">
        <f t="shared" si="96"/>
        <v>6871.6622130335309</v>
      </c>
      <c r="BO188">
        <f t="shared" si="97"/>
        <v>0</v>
      </c>
      <c r="BP188">
        <f t="shared" si="98"/>
        <v>203820.47369737332</v>
      </c>
      <c r="BQ188">
        <f t="shared" si="99"/>
        <v>267220.04667061201</v>
      </c>
      <c r="BR188" s="148">
        <f t="shared" si="100"/>
        <v>324009.41897147812</v>
      </c>
      <c r="BS188" s="156" t="b">
        <f t="shared" si="101"/>
        <v>0</v>
      </c>
      <c r="BT188" s="156">
        <f t="shared" si="102"/>
        <v>0</v>
      </c>
      <c r="BU188">
        <f t="shared" si="103"/>
        <v>1816.3895805994066</v>
      </c>
      <c r="BV188">
        <f t="shared" si="104"/>
        <v>1816.3895805994066</v>
      </c>
      <c r="BW188" s="148">
        <f t="shared" si="105"/>
        <v>455.4</v>
      </c>
      <c r="BX188" s="148">
        <f t="shared" si="106"/>
        <v>3129354.9718154697</v>
      </c>
      <c r="BY188" s="148">
        <f t="shared" si="107"/>
        <v>0.22977328194582489</v>
      </c>
      <c r="BZ188">
        <f t="shared" si="90"/>
        <v>46.887204202175859</v>
      </c>
      <c r="CB188">
        <f t="shared" si="108"/>
        <v>1816.3895805994066</v>
      </c>
      <c r="CC188" s="162">
        <f t="shared" si="91"/>
        <v>6884.9748336028852</v>
      </c>
      <c r="CD188">
        <f t="shared" si="116"/>
        <v>56057.431821840481</v>
      </c>
    </row>
    <row r="189" spans="4:82" x14ac:dyDescent="0.2">
      <c r="D189" s="22">
        <f t="shared" si="81"/>
        <v>-4.7368368520190052E-2</v>
      </c>
      <c r="E189" s="23">
        <v>11.1017072</v>
      </c>
      <c r="F189" s="23">
        <f>IF(K189&lt;6,1,IF(Data!K189&lt;9,2,IF(K189&gt;9,3)))</f>
        <v>3</v>
      </c>
      <c r="G189" s="23">
        <v>1079.9777431768077</v>
      </c>
      <c r="H189" s="23">
        <v>220.21666499999998</v>
      </c>
      <c r="I189" s="64">
        <v>48.972616778113498</v>
      </c>
      <c r="J189" s="65">
        <f t="shared" si="82"/>
        <v>-4.4257151947752389</v>
      </c>
      <c r="K189" s="65">
        <f t="shared" si="83"/>
        <v>19.589046711245398</v>
      </c>
      <c r="L189" s="65">
        <f t="shared" si="84"/>
        <v>-1.7702860779101097</v>
      </c>
      <c r="M189">
        <f t="shared" si="85"/>
        <v>22.2034144</v>
      </c>
      <c r="N189">
        <f t="shared" si="86"/>
        <v>-0.11580771547588675</v>
      </c>
      <c r="O189">
        <f>IF(L189&lt;'Vehicle Data'!F$21,'Vehicle Data'!C$21,IF(L189&gt;'Vehicle Data'!C$21,'Vehicle Data'!C$20))</f>
        <v>0.6</v>
      </c>
      <c r="P189">
        <f>('Vehicle Data'!C$6*9.81*'Vehicle Data'!C$5*SIN(D189))/'Vehicle Data'!C$9</f>
        <v>-31.533999628852754</v>
      </c>
      <c r="Q189" s="107">
        <f>'Vehicle Data'!C$6*9.81*SIN(D189)</f>
        <v>-203.91986426658113</v>
      </c>
      <c r="R189">
        <f t="shared" si="80"/>
        <v>1077.5290693997558</v>
      </c>
      <c r="S189">
        <f>IF(Data!O189=0.6,'Vehicle Data'!E$21,IF(Data!O189 = 0.9,'Vehicle Data'!E$20))+(P189*O189)</f>
        <v>1531.4520002226882</v>
      </c>
      <c r="T189">
        <f>IF(F189=3,'Vehicle Data'!H$16,IF(F189=2,'Vehicle Data'!H$15,IF(F189 = 1,'Vehicle Data'!G$14)))</f>
        <v>466.23005239380637</v>
      </c>
      <c r="U189" s="148">
        <f t="shared" si="87"/>
        <v>361.39058727643976</v>
      </c>
      <c r="V189" s="70" t="s">
        <v>77</v>
      </c>
      <c r="W189" s="99" t="s">
        <v>84</v>
      </c>
      <c r="X189">
        <f>IF(V189="S",'Vehicle Data'!C$14,IF(Data!V189 = "T1",'Vehicle Data'!P$2,IF(Data!V189="T2",'Vehicle Data'!P$3)))</f>
        <v>13.411199999999999</v>
      </c>
      <c r="Z189">
        <f t="shared" si="119"/>
        <v>9.2511639262713956</v>
      </c>
      <c r="AB189" t="b">
        <f>IF(AA189=1,'Vehicle Data'!I$14,IF(AA189=2,'Vehicle Data'!I$15,IF(AA189=3,'Vehicle Data'!I$16)))</f>
        <v>0</v>
      </c>
      <c r="AC189">
        <f>IF(Z189&lt;'Vehicle Data'!C$16,'Vehicle Data'!I$15,IF(Z189&lt;'Vehicle Data'!C$15,'Vehicle Data'!I$15,IF(Z188&gt;'Vehicle Data'!C$15,'Vehicle Data'!I$16)))</f>
        <v>0.46202745420001456</v>
      </c>
      <c r="AD189">
        <f>IF(O189=0.6,'Vehicle Data'!F$21,IF(O189=0.9,'Vehicle Data'!F$20))</f>
        <v>3.5315999999999996</v>
      </c>
      <c r="AE189" s="100">
        <f t="shared" si="88"/>
        <v>0.46202745420001456</v>
      </c>
      <c r="AF189" s="158">
        <f t="shared" si="110"/>
        <v>0.26433045226732005</v>
      </c>
      <c r="AG189" s="148">
        <f t="shared" si="92"/>
        <v>0</v>
      </c>
      <c r="AH189" s="148">
        <f t="shared" si="111"/>
        <v>47.151534654443182</v>
      </c>
      <c r="AJ189">
        <f>(Z189^2)*'Vehicle Data'!C$31</f>
        <v>31.452132491598864</v>
      </c>
      <c r="AK189">
        <f>IF(O189=0.6,'Vehicle Data'!C$6*'Vehicle Data'!D$21*9.81,IF(O189=0.9,'Vehicle Data'!C$6*9.81*'Vehicle Data'!D$20))</f>
        <v>86.131799999999998</v>
      </c>
      <c r="AL189">
        <f t="shared" si="89"/>
        <v>-86.335931774982271</v>
      </c>
      <c r="AN189" t="b">
        <f>IF(AG189&gt;0,AG189*'Vehicle Data'!C$6)</f>
        <v>0</v>
      </c>
      <c r="AO189">
        <f t="shared" si="93"/>
        <v>-86.335931774982271</v>
      </c>
      <c r="AP189">
        <f>AO189*'Vehicle Data'!F$3</f>
        <v>-22.067464161685468</v>
      </c>
      <c r="AQ189">
        <f>IF(AE189='Vehicle Data'!I$15,AP189/'Vehicle Data'!G$15,IF(AE189='Vehicle Data'!I$16,AP189/'Vehicle Data'!G$16,IF(AE189='Vehicle Data'!I$14,Data!AP189/'Vehicle Data'!G200)))</f>
        <v>-4.0739340788895966</v>
      </c>
      <c r="AR189">
        <f>IF(Z189&lt;'Vehicle Data'!C$16, Z189*'Vehicle Data'!F$7*'Vehicle Data'!G$14,IF(Z189&lt;'Vehicle Data'!C$15,Z189*'Vehicle Data'!F$7*'Vehicle Data'!G$15,IF(Z189&gt;'Vehicle Data'!C$15,Z189*'Vehicle Data'!F$7*'Vehicle Data'!G$16)))</f>
        <v>80.477694618303829</v>
      </c>
      <c r="AS189">
        <f t="shared" si="112"/>
        <v>4828.66167709823</v>
      </c>
      <c r="AT189">
        <v>4</v>
      </c>
      <c r="AU189">
        <f t="shared" si="113"/>
        <v>5000</v>
      </c>
      <c r="AW189">
        <f>VLOOKUP(AT189,BSFC!A$64:A$82,1,FALSE)</f>
        <v>4</v>
      </c>
      <c r="AX189" t="e" cm="1">
        <f t="array" ref="AX189">_xlfn.XLOOKUP(AT189,BSFC!A$64:A$82,,-1,_xlfn.XLOOKUP(Data!AU189,BSFC!C$63:Q$63,BSFC!B$64:Q$82,,-1))</f>
        <v>#VALUE!</v>
      </c>
      <c r="AY189">
        <f>HLOOKUP(AU189,BSFC!F$63:Q$63,1)</f>
        <v>5000</v>
      </c>
      <c r="AZ189">
        <f>IF(AT189&gt;0,MATCH(AT189,BSFC!A$64:A$83,0),IF(AT189&lt;=0,0))</f>
        <v>19</v>
      </c>
      <c r="BA189">
        <f>MATCH(AU189,BSFC!C$63:Q$63,0)</f>
        <v>10</v>
      </c>
      <c r="BB189" cm="1">
        <f t="array" ref="BB189">IF(AZ189&gt;0,INDEX(BSFC!C$64:Q$83,Data!AZ189,Data!BA189))</f>
        <v>700</v>
      </c>
      <c r="BC189">
        <f>0.5*'Vehicle Data'!C$6*Data!Z189^2</f>
        <v>18785.695460968567</v>
      </c>
      <c r="BD189">
        <f t="shared" si="94"/>
        <v>0.7902558436083178</v>
      </c>
      <c r="BE189">
        <f t="shared" si="114"/>
        <v>553.1790905258224</v>
      </c>
      <c r="BF189">
        <f t="shared" si="115"/>
        <v>4.0617244217643171E-2</v>
      </c>
      <c r="BG189">
        <f t="shared" si="95"/>
        <v>50.281607301649309</v>
      </c>
      <c r="BH189">
        <f t="shared" si="118"/>
        <v>-2051.6947603002372</v>
      </c>
      <c r="BI189" s="148">
        <f t="shared" si="96"/>
        <v>6871.6622130335309</v>
      </c>
      <c r="BO189">
        <f t="shared" si="97"/>
        <v>-536.0198187509211</v>
      </c>
      <c r="BP189">
        <f t="shared" si="98"/>
        <v>203284.45387862241</v>
      </c>
      <c r="BQ189">
        <f t="shared" si="99"/>
        <v>267220.04667061201</v>
      </c>
      <c r="BR189" s="148">
        <f t="shared" si="100"/>
        <v>325804.68949866353</v>
      </c>
      <c r="BS189" s="156" t="b">
        <f t="shared" si="101"/>
        <v>0</v>
      </c>
      <c r="BT189" s="156">
        <f t="shared" si="102"/>
        <v>0</v>
      </c>
      <c r="BU189">
        <f t="shared" si="103"/>
        <v>1795.2705271854277</v>
      </c>
      <c r="BV189">
        <f t="shared" si="104"/>
        <v>1795.2705271854277</v>
      </c>
      <c r="BW189" s="148">
        <f t="shared" si="105"/>
        <v>455.4</v>
      </c>
      <c r="BX189" s="148">
        <f t="shared" si="106"/>
        <v>3129354.9718154697</v>
      </c>
      <c r="BY189" s="148">
        <f t="shared" si="107"/>
        <v>0.22710172168895656</v>
      </c>
      <c r="BZ189">
        <f t="shared" si="90"/>
        <v>47.151534654443182</v>
      </c>
      <c r="CB189">
        <f t="shared" si="108"/>
        <v>1795.2705271854277</v>
      </c>
      <c r="CC189" s="162">
        <f t="shared" si="91"/>
        <v>6791.7658059686228</v>
      </c>
      <c r="CD189">
        <f t="shared" si="116"/>
        <v>57852.702349025909</v>
      </c>
    </row>
    <row r="190" spans="4:82" x14ac:dyDescent="0.2">
      <c r="D190" s="22">
        <f t="shared" si="81"/>
        <v>-8.2616750833246363E-2</v>
      </c>
      <c r="E190" s="23">
        <v>10.985899484524113</v>
      </c>
      <c r="F190" s="23">
        <f>IF(K190&lt;6,1,IF(Data!K190&lt;9,2,IF(K190&gt;9,3)))</f>
        <v>3</v>
      </c>
      <c r="G190" s="23">
        <v>1082.4234899469179</v>
      </c>
      <c r="H190" s="23">
        <v>220.26666499999999</v>
      </c>
      <c r="I190" s="64">
        <v>48.751331018374685</v>
      </c>
      <c r="J190" s="65">
        <f t="shared" si="82"/>
        <v>-12.883821262559023</v>
      </c>
      <c r="K190" s="65">
        <f t="shared" si="83"/>
        <v>19.500532407349873</v>
      </c>
      <c r="L190" s="65">
        <f t="shared" si="84"/>
        <v>-5.1535285050235666</v>
      </c>
      <c r="M190">
        <f t="shared" si="85"/>
        <v>21.971798969048226</v>
      </c>
      <c r="N190">
        <f t="shared" si="86"/>
        <v>-0.1999969264189474</v>
      </c>
      <c r="O190">
        <f>IF(L190&lt;'Vehicle Data'!F$21,'Vehicle Data'!C$21,IF(L190&gt;'Vehicle Data'!C$21,'Vehicle Data'!C$20))</f>
        <v>0.6</v>
      </c>
      <c r="P190">
        <f>('Vehicle Data'!C$6*9.81*'Vehicle Data'!C$5*SIN(D190))/'Vehicle Data'!C$9</f>
        <v>-54.957504326367967</v>
      </c>
      <c r="Q190" s="107">
        <f>'Vehicle Data'!C$6*9.81*SIN(D190)</f>
        <v>-355.39186131051281</v>
      </c>
      <c r="R190">
        <f t="shared" si="80"/>
        <v>1079.9777431768077</v>
      </c>
      <c r="S190">
        <f>IF(Data!O190=0.6,'Vehicle Data'!E$21,IF(Data!O190 = 0.9,'Vehicle Data'!E$20))+(P190*O190)</f>
        <v>1517.397897404179</v>
      </c>
      <c r="T190">
        <f>IF(F190=3,'Vehicle Data'!H$16,IF(F190=2,'Vehicle Data'!H$15,IF(F190 = 1,'Vehicle Data'!G$14)))</f>
        <v>466.23005239380637</v>
      </c>
      <c r="U190" s="148">
        <f t="shared" si="87"/>
        <v>363.83926105349167</v>
      </c>
      <c r="V190" s="70" t="s">
        <v>77</v>
      </c>
      <c r="W190" s="99" t="s">
        <v>84</v>
      </c>
      <c r="X190">
        <f>IF(V190="S",'Vehicle Data'!C$14,IF(Data!V190 = "T1",'Vehicle Data'!P$2,IF(Data!V190="T2",'Vehicle Data'!P$3)))</f>
        <v>13.411199999999999</v>
      </c>
      <c r="Z190">
        <f t="shared" si="119"/>
        <v>9.3726593351887306</v>
      </c>
      <c r="AB190" t="b">
        <f>IF(AA190=1,'Vehicle Data'!I$14,IF(AA190=2,'Vehicle Data'!I$15,IF(AA190=3,'Vehicle Data'!I$16)))</f>
        <v>0</v>
      </c>
      <c r="AC190">
        <f>IF(Z190&lt;'Vehicle Data'!C$16,'Vehicle Data'!I$15,IF(Z190&lt;'Vehicle Data'!C$15,'Vehicle Data'!I$15,IF(Z189&gt;'Vehicle Data'!C$15,'Vehicle Data'!I$16)))</f>
        <v>0.46202745420001456</v>
      </c>
      <c r="AD190">
        <f>IF(O190=0.6,'Vehicle Data'!F$21,IF(O190=0.9,'Vehicle Data'!F$20))</f>
        <v>3.5315999999999996</v>
      </c>
      <c r="AE190" s="100">
        <f t="shared" si="88"/>
        <v>0.46202745420001456</v>
      </c>
      <c r="AF190" s="158">
        <f t="shared" si="110"/>
        <v>0.26125709785040441</v>
      </c>
      <c r="AG190" s="148">
        <f t="shared" si="92"/>
        <v>0.46504156218907089</v>
      </c>
      <c r="AH190" s="148">
        <f t="shared" si="111"/>
        <v>47.412791752293586</v>
      </c>
      <c r="AJ190">
        <f>(Z190^2)*'Vehicle Data'!C$31</f>
        <v>32.283678057461429</v>
      </c>
      <c r="AK190">
        <f>IF(O190=0.6,'Vehicle Data'!C$6*'Vehicle Data'!D$21*9.81,IF(O190=0.9,'Vehicle Data'!C$6*9.81*'Vehicle Data'!D$20))</f>
        <v>86.131799999999998</v>
      </c>
      <c r="AL190">
        <f t="shared" si="89"/>
        <v>-236.97638325305138</v>
      </c>
      <c r="AN190">
        <f>IF(AG190&gt;0,AG190*'Vehicle Data'!C$6)</f>
        <v>204.15324580100213</v>
      </c>
      <c r="AO190">
        <f t="shared" si="93"/>
        <v>-32.823137452049252</v>
      </c>
      <c r="AP190">
        <f>AO190*'Vehicle Data'!F$3</f>
        <v>-8.3895939327437894</v>
      </c>
      <c r="AQ190">
        <f>IF(AE190='Vehicle Data'!I$15,AP190/'Vehicle Data'!G$15,IF(AE190='Vehicle Data'!I$16,AP190/'Vehicle Data'!G$16,IF(AE190='Vehicle Data'!I$14,Data!AP190/'Vehicle Data'!G201)))</f>
        <v>-1.5488255641983932</v>
      </c>
      <c r="AR190">
        <f>IF(Z190&lt;'Vehicle Data'!C$16, Z190*'Vehicle Data'!F$7*'Vehicle Data'!G$14,IF(Z190&lt;'Vehicle Data'!C$15,Z190*'Vehicle Data'!F$7*'Vehicle Data'!G$15,IF(Z190&gt;'Vehicle Data'!C$15,Z190*'Vehicle Data'!F$7*'Vehicle Data'!G$16)))</f>
        <v>81.534607077568396</v>
      </c>
      <c r="AS190">
        <f t="shared" si="112"/>
        <v>4892.0764246541039</v>
      </c>
      <c r="AT190">
        <f t="shared" si="117"/>
        <v>-2</v>
      </c>
      <c r="AU190">
        <f t="shared" si="113"/>
        <v>5000</v>
      </c>
      <c r="AW190" t="e">
        <f>VLOOKUP(AT190,BSFC!A$64:A$82,1,FALSE)</f>
        <v>#N/A</v>
      </c>
      <c r="AX190" t="e" cm="1">
        <f t="array" ref="AX190">_xlfn.XLOOKUP(AT190,BSFC!A$64:A$82,,-1,_xlfn.XLOOKUP(Data!AU190,BSFC!C$63:Q$63,BSFC!B$64:Q$82,,-1))</f>
        <v>#VALUE!</v>
      </c>
      <c r="AY190">
        <f>HLOOKUP(AU190,BSFC!F$63:Q$63,1)</f>
        <v>5000</v>
      </c>
      <c r="AZ190">
        <f>IF(AT190&gt;0,MATCH(AT190,BSFC!A$64:A$83,0),IF(AT190&lt;=0,0))</f>
        <v>0</v>
      </c>
      <c r="BA190">
        <f>MATCH(AU190,BSFC!C$63:Q$63,0)</f>
        <v>10</v>
      </c>
      <c r="BB190" t="b" cm="1">
        <f t="array" ref="BB190">IF(AZ190&gt;0,INDEX(BSFC!C$64:Q$83,Data!AZ190,Data!BA190))</f>
        <v>0</v>
      </c>
      <c r="BC190">
        <f>0.5*'Vehicle Data'!C$6*Data!Z190^2</f>
        <v>19282.36009146335</v>
      </c>
      <c r="BD190">
        <f t="shared" si="94"/>
        <v>0.91207595569832267</v>
      </c>
      <c r="BE190">
        <f t="shared" si="114"/>
        <v>0</v>
      </c>
      <c r="BF190">
        <f t="shared" si="115"/>
        <v>0</v>
      </c>
      <c r="BG190">
        <f t="shared" si="95"/>
        <v>50.281607301649309</v>
      </c>
      <c r="BH190">
        <f t="shared" si="118"/>
        <v>-790.25584360831783</v>
      </c>
      <c r="BI190" s="148">
        <f t="shared" si="96"/>
        <v>6871.6622130335309</v>
      </c>
      <c r="BO190">
        <f t="shared" si="97"/>
        <v>-203.61067713463268</v>
      </c>
      <c r="BP190">
        <f t="shared" si="98"/>
        <v>203080.84320148779</v>
      </c>
      <c r="BQ190">
        <f t="shared" si="99"/>
        <v>267220.04667061201</v>
      </c>
      <c r="BR190" s="148">
        <f t="shared" si="100"/>
        <v>327575.18421572592</v>
      </c>
      <c r="BS190" s="156" t="b">
        <f t="shared" si="101"/>
        <v>0</v>
      </c>
      <c r="BT190" s="156">
        <f t="shared" si="102"/>
        <v>0</v>
      </c>
      <c r="BU190">
        <f t="shared" si="103"/>
        <v>1770.4947170624112</v>
      </c>
      <c r="BV190">
        <f t="shared" si="104"/>
        <v>1770.4947170624112</v>
      </c>
      <c r="BW190" s="148">
        <f t="shared" si="105"/>
        <v>455.4</v>
      </c>
      <c r="BX190" s="148">
        <f t="shared" si="106"/>
        <v>3129354.9718154697</v>
      </c>
      <c r="BY190" s="148">
        <f t="shared" si="107"/>
        <v>0.22396758170839498</v>
      </c>
      <c r="BZ190">
        <f t="shared" si="90"/>
        <v>47.412791752293586</v>
      </c>
      <c r="CB190">
        <f t="shared" si="108"/>
        <v>1770.4947170624112</v>
      </c>
      <c r="CC190" s="162">
        <f t="shared" si="91"/>
        <v>6776.8291526999919</v>
      </c>
      <c r="CD190">
        <f t="shared" si="116"/>
        <v>59623.197066088323</v>
      </c>
    </row>
    <row r="191" spans="4:82" x14ac:dyDescent="0.2">
      <c r="D191" s="22">
        <f t="shared" si="81"/>
        <v>-8.3869654862761614E-2</v>
      </c>
      <c r="E191" s="23">
        <v>10.785902558105166</v>
      </c>
      <c r="F191" s="23">
        <f>IF(K191&lt;6,1,IF(Data!K191&lt;9,2,IF(K191&gt;9,3)))</f>
        <v>3</v>
      </c>
      <c r="G191" s="23">
        <v>1084.8470253654571</v>
      </c>
      <c r="H191" s="23">
        <v>220.316665</v>
      </c>
      <c r="I191" s="64">
        <v>48.107139955246588</v>
      </c>
      <c r="J191" s="65">
        <f t="shared" si="82"/>
        <v>-15.760277847286066</v>
      </c>
      <c r="K191" s="65">
        <f t="shared" si="83"/>
        <v>19.242855982098636</v>
      </c>
      <c r="L191" s="65">
        <f t="shared" si="84"/>
        <v>-6.3041111389144264</v>
      </c>
      <c r="M191">
        <f t="shared" si="85"/>
        <v>21.571805116210331</v>
      </c>
      <c r="N191">
        <f t="shared" si="86"/>
        <v>-0.19999861135157104</v>
      </c>
      <c r="O191">
        <f>IF(L191&lt;'Vehicle Data'!F$21,'Vehicle Data'!C$21,IF(L191&gt;'Vehicle Data'!C$21,'Vehicle Data'!C$20))</f>
        <v>0.6</v>
      </c>
      <c r="P191">
        <f>('Vehicle Data'!C$6*9.81*'Vehicle Data'!C$5*SIN(D191))/'Vehicle Data'!C$9</f>
        <v>-55.789008401882718</v>
      </c>
      <c r="Q191" s="107">
        <f>'Vehicle Data'!C$6*9.81*SIN(D191)</f>
        <v>-360.76892099884157</v>
      </c>
      <c r="R191">
        <f t="shared" si="80"/>
        <v>1082.4234899469179</v>
      </c>
      <c r="S191">
        <f>IF(Data!O191=0.6,'Vehicle Data'!E$21,IF(Data!O191 = 0.9,'Vehicle Data'!E$20))+(P191*O191)</f>
        <v>1516.8989949588702</v>
      </c>
      <c r="T191">
        <f>IF(F191=3,'Vehicle Data'!H$16,IF(F191=2,'Vehicle Data'!H$15,IF(F191 = 1,'Vehicle Data'!G$14)))</f>
        <v>466.23005239380637</v>
      </c>
      <c r="U191" s="148">
        <f t="shared" si="87"/>
        <v>366.28500782360186</v>
      </c>
      <c r="V191" s="70" t="s">
        <v>77</v>
      </c>
      <c r="W191" s="99" t="s">
        <v>84</v>
      </c>
      <c r="X191">
        <f>IF(V191="S",'Vehicle Data'!C$14,IF(Data!V191 = "T1",'Vehicle Data'!P$2,IF(Data!V191="T2",'Vehicle Data'!P$3)))</f>
        <v>13.411199999999999</v>
      </c>
      <c r="Z191">
        <f t="shared" si="119"/>
        <v>9.4924573910618264</v>
      </c>
      <c r="AB191" t="b">
        <f>IF(AA191=1,'Vehicle Data'!I$14,IF(AA191=2,'Vehicle Data'!I$15,IF(AA191=3,'Vehicle Data'!I$16)))</f>
        <v>0</v>
      </c>
      <c r="AC191">
        <f>IF(Z191&lt;'Vehicle Data'!C$16,'Vehicle Data'!I$15,IF(Z191&lt;'Vehicle Data'!C$15,'Vehicle Data'!I$15,IF(Z190&gt;'Vehicle Data'!C$15,'Vehicle Data'!I$16)))</f>
        <v>0.46202745420001456</v>
      </c>
      <c r="AD191">
        <f>IF(O191=0.6,'Vehicle Data'!F$21,IF(O191=0.9,'Vehicle Data'!F$20))</f>
        <v>3.5315999999999996</v>
      </c>
      <c r="AE191" s="100">
        <f t="shared" si="88"/>
        <v>0.46202745420001456</v>
      </c>
      <c r="AF191" s="158">
        <f t="shared" si="110"/>
        <v>0.25765159319157177</v>
      </c>
      <c r="AG191" s="148">
        <f t="shared" si="92"/>
        <v>0.46496144032776188</v>
      </c>
      <c r="AH191" s="148">
        <f t="shared" si="111"/>
        <v>47.670443345485161</v>
      </c>
      <c r="AJ191">
        <f>(Z191^2)*'Vehicle Data'!C$31</f>
        <v>33.114229640513187</v>
      </c>
      <c r="AK191">
        <f>IF(O191=0.6,'Vehicle Data'!C$6*'Vehicle Data'!D$21*9.81,IF(O191=0.9,'Vehicle Data'!C$6*9.81*'Vehicle Data'!D$20))</f>
        <v>86.131799999999998</v>
      </c>
      <c r="AL191">
        <f t="shared" si="89"/>
        <v>-241.52289135832837</v>
      </c>
      <c r="AN191">
        <f>IF(AG191&gt;0,AG191*'Vehicle Data'!C$6)</f>
        <v>204.11807230388746</v>
      </c>
      <c r="AO191">
        <f t="shared" si="93"/>
        <v>-37.404819054440907</v>
      </c>
      <c r="AP191">
        <f>AO191*'Vehicle Data'!F$3</f>
        <v>-9.5606717503150946</v>
      </c>
      <c r="AQ191">
        <f>IF(AE191='Vehicle Data'!I$15,AP191/'Vehicle Data'!G$15,IF(AE191='Vehicle Data'!I$16,AP191/'Vehicle Data'!G$16,IF(AE191='Vehicle Data'!I$14,Data!AP191/'Vehicle Data'!G202)))</f>
        <v>-1.7650213987120316</v>
      </c>
      <c r="AR191">
        <f>IF(Z191&lt;'Vehicle Data'!C$16, Z191*'Vehicle Data'!F$7*'Vehicle Data'!G$14,IF(Z191&lt;'Vehicle Data'!C$15,Z191*'Vehicle Data'!F$7*'Vehicle Data'!G$15,IF(Z191&gt;'Vehicle Data'!C$15,Z191*'Vehicle Data'!F$7*'Vehicle Data'!G$16)))</f>
        <v>82.576753928846529</v>
      </c>
      <c r="AS191">
        <f t="shared" si="112"/>
        <v>4954.6052357307917</v>
      </c>
      <c r="AT191">
        <f t="shared" si="117"/>
        <v>-2</v>
      </c>
      <c r="AU191">
        <f t="shared" si="113"/>
        <v>5000</v>
      </c>
      <c r="AW191" t="e">
        <f>VLOOKUP(AT191,BSFC!A$64:A$82,1,FALSE)</f>
        <v>#N/A</v>
      </c>
      <c r="AX191" t="e" cm="1">
        <f t="array" ref="AX191">_xlfn.XLOOKUP(AT191,BSFC!A$64:A$82,,-1,_xlfn.XLOOKUP(Data!AU191,BSFC!C$63:Q$63,BSFC!B$64:Q$82,,-1))</f>
        <v>#VALUE!</v>
      </c>
      <c r="AY191">
        <f>HLOOKUP(AU191,BSFC!F$63:Q$63,1)</f>
        <v>5000</v>
      </c>
      <c r="AZ191">
        <f>IF(AT191&gt;0,MATCH(AT191,BSFC!A$64:A$83,0),IF(AT191&lt;=0,0))</f>
        <v>0</v>
      </c>
      <c r="BA191">
        <f>MATCH(AU191,BSFC!C$63:Q$63,0)</f>
        <v>10</v>
      </c>
      <c r="BB191" t="b" cm="1">
        <f t="array" ref="BB191">IF(AZ191&gt;0,INDEX(BSFC!C$64:Q$83,Data!AZ191,Data!BA191))</f>
        <v>0</v>
      </c>
      <c r="BC191">
        <f>0.5*'Vehicle Data'!C$6*Data!Z191^2</f>
        <v>19778.431036986785</v>
      </c>
      <c r="BD191">
        <f t="shared" si="94"/>
        <v>1.0576097977591015</v>
      </c>
      <c r="BE191">
        <f t="shared" si="114"/>
        <v>0</v>
      </c>
      <c r="BF191">
        <f t="shared" si="115"/>
        <v>0</v>
      </c>
      <c r="BG191">
        <f t="shared" si="95"/>
        <v>50.281607301649309</v>
      </c>
      <c r="BH191">
        <f t="shared" si="118"/>
        <v>-912.07595569832267</v>
      </c>
      <c r="BI191" s="148">
        <f t="shared" si="96"/>
        <v>6871.6622130335309</v>
      </c>
      <c r="BO191">
        <f t="shared" si="97"/>
        <v>-230.02275443293379</v>
      </c>
      <c r="BP191">
        <f t="shared" si="98"/>
        <v>202850.82044705487</v>
      </c>
      <c r="BQ191">
        <f t="shared" si="99"/>
        <v>267220.04667061201</v>
      </c>
      <c r="BR191" s="148">
        <f t="shared" si="100"/>
        <v>329308.19631839066</v>
      </c>
      <c r="BS191" s="156" t="b">
        <f t="shared" si="101"/>
        <v>0</v>
      </c>
      <c r="BT191" s="156">
        <f t="shared" si="102"/>
        <v>0</v>
      </c>
      <c r="BU191">
        <f t="shared" si="103"/>
        <v>1733.0121026647178</v>
      </c>
      <c r="BV191">
        <f t="shared" si="104"/>
        <v>1733.0121026647178</v>
      </c>
      <c r="BW191" s="148">
        <f t="shared" si="105"/>
        <v>455.4</v>
      </c>
      <c r="BX191" s="148">
        <f t="shared" si="106"/>
        <v>3129354.9718154697</v>
      </c>
      <c r="BY191" s="148">
        <f t="shared" si="107"/>
        <v>0.21922603098708676</v>
      </c>
      <c r="BZ191">
        <f t="shared" si="90"/>
        <v>47.670443345485161</v>
      </c>
      <c r="CB191">
        <f t="shared" si="108"/>
        <v>1733.0121026647178</v>
      </c>
      <c r="CC191" s="162">
        <f t="shared" si="91"/>
        <v>6726.1843064799086</v>
      </c>
      <c r="CD191">
        <f t="shared" si="116"/>
        <v>61356.209168753041</v>
      </c>
    </row>
    <row r="192" spans="4:82" x14ac:dyDescent="0.2">
      <c r="D192" s="22">
        <f t="shared" si="81"/>
        <v>-8.5318931516472213E-2</v>
      </c>
      <c r="E192" s="23">
        <v>10.585903946753595</v>
      </c>
      <c r="F192" s="23">
        <f>IF(K192&lt;6,1,IF(Data!K192&lt;9,2,IF(K192&gt;9,3)))</f>
        <v>3</v>
      </c>
      <c r="G192" s="23">
        <v>1087.2344594528388</v>
      </c>
      <c r="H192" s="23">
        <v>220.36666499999998</v>
      </c>
      <c r="I192" s="64">
        <v>47.319126062882553</v>
      </c>
      <c r="J192" s="65">
        <f t="shared" si="82"/>
        <v>-16.794786704773532</v>
      </c>
      <c r="K192" s="65">
        <f t="shared" si="83"/>
        <v>18.927650425153022</v>
      </c>
      <c r="L192" s="65">
        <f t="shared" si="84"/>
        <v>-6.7179146819094271</v>
      </c>
      <c r="M192">
        <f t="shared" si="85"/>
        <v>21.171807893507189</v>
      </c>
      <c r="N192">
        <f t="shared" si="86"/>
        <v>-0.20000286222948205</v>
      </c>
      <c r="O192">
        <f>IF(L192&lt;'Vehicle Data'!F$21,'Vehicle Data'!C$21,IF(L192&gt;'Vehicle Data'!C$21,'Vehicle Data'!C$20))</f>
        <v>0.6</v>
      </c>
      <c r="P192">
        <f>('Vehicle Data'!C$6*9.81*'Vehicle Data'!C$5*SIN(D192))/'Vehicle Data'!C$9</f>
        <v>-56.750728087594425</v>
      </c>
      <c r="Q192" s="107">
        <f>'Vehicle Data'!C$6*9.81*SIN(D192)</f>
        <v>-366.98804163311064</v>
      </c>
      <c r="R192">
        <f t="shared" si="80"/>
        <v>1084.8470253654571</v>
      </c>
      <c r="S192">
        <f>IF(Data!O192=0.6,'Vehicle Data'!E$21,IF(Data!O192 = 0.9,'Vehicle Data'!E$20))+(P192*O192)</f>
        <v>1516.3219631474431</v>
      </c>
      <c r="T192">
        <f>IF(F192=3,'Vehicle Data'!H$16,IF(F192=2,'Vehicle Data'!H$15,IF(F192 = 1,'Vehicle Data'!G$14)))</f>
        <v>466.23005239380637</v>
      </c>
      <c r="U192" s="148">
        <f t="shared" si="87"/>
        <v>368.70854324214099</v>
      </c>
      <c r="V192" s="70" t="s">
        <v>77</v>
      </c>
      <c r="W192" s="99" t="s">
        <v>84</v>
      </c>
      <c r="X192">
        <f>IF(V192="S",'Vehicle Data'!C$14,IF(Data!V192 = "T1",'Vehicle Data'!P$2,IF(Data!V192="T2",'Vehicle Data'!P$3)))</f>
        <v>13.411199999999999</v>
      </c>
      <c r="Z192">
        <f t="shared" si="119"/>
        <v>9.6096944342838864</v>
      </c>
      <c r="AB192" t="b">
        <f>IF(AA192=1,'Vehicle Data'!I$14,IF(AA192=2,'Vehicle Data'!I$15,IF(AA192=3,'Vehicle Data'!I$16)))</f>
        <v>0</v>
      </c>
      <c r="AC192">
        <f>IF(Z192&lt;'Vehicle Data'!C$16,'Vehicle Data'!I$15,IF(Z192&lt;'Vehicle Data'!C$15,'Vehicle Data'!I$15,IF(Z191&gt;'Vehicle Data'!C$15,'Vehicle Data'!I$16)))</f>
        <v>0.46202745420001456</v>
      </c>
      <c r="AD192">
        <f>IF(O192=0.6,'Vehicle Data'!F$21,IF(O192=0.9,'Vehicle Data'!F$20))</f>
        <v>3.5315999999999996</v>
      </c>
      <c r="AE192" s="100">
        <f t="shared" si="88"/>
        <v>0.46202745420001456</v>
      </c>
      <c r="AF192" s="158">
        <f t="shared" si="110"/>
        <v>0.25219692833237661</v>
      </c>
      <c r="AG192" s="148">
        <f t="shared" si="92"/>
        <v>0.46486308932181103</v>
      </c>
      <c r="AH192" s="148">
        <f t="shared" si="111"/>
        <v>47.922640273817535</v>
      </c>
      <c r="AJ192">
        <f>(Z192^2)*'Vehicle Data'!C$31</f>
        <v>33.937238466712728</v>
      </c>
      <c r="AK192">
        <f>IF(O192=0.6,'Vehicle Data'!C$6*'Vehicle Data'!D$21*9.81,IF(O192=0.9,'Vehicle Data'!C$6*9.81*'Vehicle Data'!D$20))</f>
        <v>86.131799999999998</v>
      </c>
      <c r="AL192">
        <f t="shared" si="89"/>
        <v>-246.91900316639791</v>
      </c>
      <c r="AN192">
        <f>IF(AG192&gt;0,AG192*'Vehicle Data'!C$6)</f>
        <v>204.07489621227504</v>
      </c>
      <c r="AO192">
        <f t="shared" si="93"/>
        <v>-42.844106954122879</v>
      </c>
      <c r="AP192">
        <f>AO192*'Vehicle Data'!F$3</f>
        <v>-10.950953737473807</v>
      </c>
      <c r="AQ192">
        <f>IF(AE192='Vehicle Data'!I$15,AP192/'Vehicle Data'!G$15,IF(AE192='Vehicle Data'!I$16,AP192/'Vehicle Data'!G$16,IF(AE192='Vehicle Data'!I$14,Data!AP192/'Vehicle Data'!G203)))</f>
        <v>-2.0216851062070762</v>
      </c>
      <c r="AR192">
        <f>IF(Z192&lt;'Vehicle Data'!C$16, Z192*'Vehicle Data'!F$7*'Vehicle Data'!G$14,IF(Z192&lt;'Vehicle Data'!C$15,Z192*'Vehicle Data'!F$7*'Vehicle Data'!G$15,IF(Z192&gt;'Vehicle Data'!C$15,Z192*'Vehicle Data'!F$7*'Vehicle Data'!G$16)))</f>
        <v>83.596622027344324</v>
      </c>
      <c r="AS192">
        <f t="shared" si="112"/>
        <v>5015.797321640659</v>
      </c>
      <c r="AT192">
        <f t="shared" si="117"/>
        <v>-2</v>
      </c>
      <c r="AU192">
        <f t="shared" si="113"/>
        <v>5000</v>
      </c>
      <c r="AW192" t="e">
        <f>VLOOKUP(AT192,BSFC!A$64:A$82,1,FALSE)</f>
        <v>#N/A</v>
      </c>
      <c r="AX192" t="e" cm="1">
        <f t="array" ref="AX192">_xlfn.XLOOKUP(AT192,BSFC!A$64:A$82,,-1,_xlfn.XLOOKUP(Data!AU192,BSFC!C$63:Q$63,BSFC!B$64:Q$82,,-1))</f>
        <v>#VALUE!</v>
      </c>
      <c r="AY192">
        <f>HLOOKUP(AU192,BSFC!F$63:Q$63,1)</f>
        <v>5000</v>
      </c>
      <c r="AZ192">
        <f>IF(AT192&gt;0,MATCH(AT192,BSFC!A$64:A$83,0),IF(AT192&lt;=0,0))</f>
        <v>0</v>
      </c>
      <c r="BA192">
        <f>MATCH(AU192,BSFC!C$63:Q$63,0)</f>
        <v>10</v>
      </c>
      <c r="BB192" t="b" cm="1">
        <f t="array" ref="BB192">IF(AZ192&gt;0,INDEX(BSFC!C$64:Q$83,Data!AZ192,Data!BA192))</f>
        <v>0</v>
      </c>
      <c r="BC192">
        <f>0.5*'Vehicle Data'!C$6*Data!Z192^2</f>
        <v>20269.996852907323</v>
      </c>
      <c r="BD192">
        <f t="shared" si="94"/>
        <v>5.8811097829197037</v>
      </c>
      <c r="BE192">
        <f t="shared" si="114"/>
        <v>0</v>
      </c>
      <c r="BF192">
        <f t="shared" si="115"/>
        <v>0</v>
      </c>
      <c r="BG192">
        <f t="shared" si="95"/>
        <v>50.281607301649309</v>
      </c>
      <c r="BH192">
        <f t="shared" si="118"/>
        <v>-1057.6097977591014</v>
      </c>
      <c r="BI192" s="148">
        <f t="shared" si="96"/>
        <v>6871.6622130335309</v>
      </c>
      <c r="BO192">
        <f t="shared" si="97"/>
        <v>-259.66935453260714</v>
      </c>
      <c r="BP192">
        <f t="shared" si="98"/>
        <v>202591.15109252225</v>
      </c>
      <c r="BQ192">
        <f t="shared" si="99"/>
        <v>267220.04667061201</v>
      </c>
      <c r="BR192" s="148">
        <f t="shared" si="100"/>
        <v>330995.35929211241</v>
      </c>
      <c r="BS192" s="156" t="b">
        <f t="shared" si="101"/>
        <v>0</v>
      </c>
      <c r="BT192" s="156">
        <f t="shared" si="102"/>
        <v>0</v>
      </c>
      <c r="BU192">
        <f t="shared" si="103"/>
        <v>1687.1629737217686</v>
      </c>
      <c r="BV192">
        <f t="shared" si="104"/>
        <v>1687.1629737217686</v>
      </c>
      <c r="BW192" s="148">
        <f t="shared" si="105"/>
        <v>455.4</v>
      </c>
      <c r="BX192" s="148">
        <f t="shared" si="106"/>
        <v>3129354.9718154697</v>
      </c>
      <c r="BY192" s="148">
        <f t="shared" si="107"/>
        <v>0.21342611617580368</v>
      </c>
      <c r="BZ192">
        <f t="shared" si="90"/>
        <v>47.922640273817535</v>
      </c>
      <c r="CB192">
        <f t="shared" si="108"/>
        <v>1687.1629737217686</v>
      </c>
      <c r="CC192" s="162">
        <f t="shared" si="91"/>
        <v>6689.86329404548</v>
      </c>
      <c r="CD192">
        <f t="shared" si="116"/>
        <v>63043.372142474807</v>
      </c>
    </row>
    <row r="193" spans="4:82" x14ac:dyDescent="0.2">
      <c r="D193" s="22">
        <f t="shared" si="81"/>
        <v>-0.1304860927284231</v>
      </c>
      <c r="E193" s="23">
        <v>10.385901084524113</v>
      </c>
      <c r="F193" s="23">
        <f>IF(K193&lt;6,1,IF(Data!K193&lt;9,2,IF(K193&gt;9,3)))</f>
        <v>3</v>
      </c>
      <c r="G193" s="23">
        <v>1089.5814850469587</v>
      </c>
      <c r="H193" s="23">
        <v>220.41666499999999</v>
      </c>
      <c r="I193" s="64">
        <v>46.479386727643686</v>
      </c>
      <c r="J193" s="65">
        <f t="shared" si="82"/>
        <v>-16.463528532467748</v>
      </c>
      <c r="K193" s="65">
        <f t="shared" si="83"/>
        <v>18.591754691057474</v>
      </c>
      <c r="L193" s="65">
        <f t="shared" si="84"/>
        <v>-6.5854114129871002</v>
      </c>
      <c r="M193">
        <f t="shared" si="85"/>
        <v>20.771802169048225</v>
      </c>
      <c r="N193">
        <f t="shared" si="86"/>
        <v>-0.29999713777070092</v>
      </c>
      <c r="O193">
        <f>IF(L193&lt;'Vehicle Data'!F$21,'Vehicle Data'!C$21,IF(L193&gt;'Vehicle Data'!C$21,'Vehicle Data'!C$20))</f>
        <v>0.6</v>
      </c>
      <c r="P193">
        <f>('Vehicle Data'!C$6*9.81*'Vehicle Data'!C$5*SIN(D193))/'Vehicle Data'!C$9</f>
        <v>-86.653109375224929</v>
      </c>
      <c r="Q193" s="107">
        <f>'Vehicle Data'!C$6*9.81*SIN(D193)</f>
        <v>-560.35677395978792</v>
      </c>
      <c r="R193">
        <f t="shared" si="80"/>
        <v>1087.2344594528388</v>
      </c>
      <c r="S193">
        <f>IF(Data!O193=0.6,'Vehicle Data'!E$21,IF(Data!O193 = 0.9,'Vehicle Data'!E$20))+(P193*O193)</f>
        <v>1498.3805343748647</v>
      </c>
      <c r="T193">
        <f>IF(F193=3,'Vehicle Data'!H$16,IF(F193=2,'Vehicle Data'!H$15,IF(F193 = 1,'Vehicle Data'!G$14)))</f>
        <v>466.23005239380637</v>
      </c>
      <c r="U193" s="148">
        <f t="shared" si="87"/>
        <v>371.09597732952273</v>
      </c>
      <c r="V193" s="70" t="s">
        <v>77</v>
      </c>
      <c r="W193" s="99" t="s">
        <v>84</v>
      </c>
      <c r="X193">
        <f>IF(V193="S",'Vehicle Data'!C$14,IF(Data!V193 = "T1",'Vehicle Data'!P$2,IF(Data!V193="T2",'Vehicle Data'!P$3)))</f>
        <v>13.411199999999999</v>
      </c>
      <c r="Z193">
        <f t="shared" si="119"/>
        <v>9.7238031298064307</v>
      </c>
      <c r="AB193" t="b">
        <f>IF(AA193=1,'Vehicle Data'!I$14,IF(AA193=2,'Vehicle Data'!I$15,IF(AA193=3,'Vehicle Data'!I$16)))</f>
        <v>0</v>
      </c>
      <c r="AC193">
        <f>IF(Z193&lt;'Vehicle Data'!C$16,'Vehicle Data'!I$15,IF(Z193&lt;'Vehicle Data'!C$15,'Vehicle Data'!I$15,IF(Z192&gt;'Vehicle Data'!C$15,'Vehicle Data'!I$16)))</f>
        <v>0.46202745420001456</v>
      </c>
      <c r="AD193">
        <f>IF(O193=0.6,'Vehicle Data'!F$21,IF(O193=0.9,'Vehicle Data'!F$20))</f>
        <v>3.5315999999999996</v>
      </c>
      <c r="AE193" s="100">
        <f t="shared" si="88"/>
        <v>0.46202745420001456</v>
      </c>
      <c r="AF193" s="158">
        <f t="shared" si="110"/>
        <v>0.2455247247924548</v>
      </c>
      <c r="AG193" s="148">
        <f t="shared" si="92"/>
        <v>0.46475439741965652</v>
      </c>
      <c r="AH193" s="148">
        <f t="shared" si="111"/>
        <v>48.168164998609988</v>
      </c>
      <c r="AJ193">
        <f>(Z193^2)*'Vehicle Data'!C$31</f>
        <v>34.747987635408258</v>
      </c>
      <c r="AK193">
        <f>IF(O193=0.6,'Vehicle Data'!C$6*'Vehicle Data'!D$21*9.81,IF(O193=0.9,'Vehicle Data'!C$6*9.81*'Vehicle Data'!D$20))</f>
        <v>86.131799999999998</v>
      </c>
      <c r="AL193">
        <f t="shared" si="89"/>
        <v>-439.47698632437965</v>
      </c>
      <c r="AN193">
        <f>IF(AG193&gt;0,AG193*'Vehicle Data'!C$6)</f>
        <v>204.02718046722921</v>
      </c>
      <c r="AO193">
        <f t="shared" si="93"/>
        <v>-235.44980585715044</v>
      </c>
      <c r="AP193">
        <f>AO193*'Vehicle Data'!F$3</f>
        <v>-60.180970377087654</v>
      </c>
      <c r="AQ193">
        <f>IF(AE193='Vehicle Data'!I$15,AP193/'Vehicle Data'!G$15,IF(AE193='Vehicle Data'!I$16,AP193/'Vehicle Data'!G$16,IF(AE193='Vehicle Data'!I$14,Data!AP193/'Vehicle Data'!G204)))</f>
        <v>-11.110171260436154</v>
      </c>
      <c r="AR193">
        <f>IF(Z193&lt;'Vehicle Data'!C$16, Z193*'Vehicle Data'!F$7*'Vehicle Data'!G$14,IF(Z193&lt;'Vehicle Data'!C$15,Z193*'Vehicle Data'!F$7*'Vehicle Data'!G$15,IF(Z193&gt;'Vehicle Data'!C$15,Z193*'Vehicle Data'!F$7*'Vehicle Data'!G$16)))</f>
        <v>84.589276013885183</v>
      </c>
      <c r="AS193">
        <f t="shared" si="112"/>
        <v>5075.356560833111</v>
      </c>
      <c r="AT193">
        <f t="shared" si="117"/>
        <v>-11</v>
      </c>
      <c r="AU193">
        <f t="shared" si="113"/>
        <v>5000</v>
      </c>
      <c r="AW193" t="e">
        <f>VLOOKUP(AT193,BSFC!A$64:A$82,1,FALSE)</f>
        <v>#N/A</v>
      </c>
      <c r="AX193" t="e" cm="1">
        <f t="array" ref="AX193">_xlfn.XLOOKUP(AT193,BSFC!A$64:A$82,,-1,_xlfn.XLOOKUP(Data!AU193,BSFC!C$63:Q$63,BSFC!B$64:Q$82,,-1))</f>
        <v>#VALUE!</v>
      </c>
      <c r="AY193">
        <f>HLOOKUP(AU193,BSFC!F$63:Q$63,1)</f>
        <v>5000</v>
      </c>
      <c r="AZ193">
        <f>IF(AT193&gt;0,MATCH(AT193,BSFC!A$64:A$83,0),IF(AT193&lt;=0,0))</f>
        <v>0</v>
      </c>
      <c r="BA193">
        <f>MATCH(AU193,BSFC!C$63:Q$63,0)</f>
        <v>10</v>
      </c>
      <c r="BB193" t="b" cm="1">
        <f t="array" ref="BB193">IF(AZ193&gt;0,INDEX(BSFC!C$64:Q$83,Data!AZ193,Data!BA193))</f>
        <v>0</v>
      </c>
      <c r="BC193">
        <f>0.5*'Vehicle Data'!C$6*Data!Z193^2</f>
        <v>20754.240233937715</v>
      </c>
      <c r="BD193">
        <f t="shared" si="94"/>
        <v>1.3789025558719818</v>
      </c>
      <c r="BE193">
        <f t="shared" si="114"/>
        <v>0</v>
      </c>
      <c r="BF193">
        <f t="shared" si="115"/>
        <v>0</v>
      </c>
      <c r="BG193">
        <f t="shared" si="95"/>
        <v>50.281607301649309</v>
      </c>
      <c r="BH193">
        <f t="shared" si="118"/>
        <v>-5881.1097829197033</v>
      </c>
      <c r="BI193" s="148">
        <f t="shared" si="96"/>
        <v>6871.6622130335309</v>
      </c>
      <c r="BO193">
        <f t="shared" si="97"/>
        <v>-1403.5129883657219</v>
      </c>
      <c r="BP193">
        <f t="shared" si="98"/>
        <v>201187.63810415653</v>
      </c>
      <c r="BQ193">
        <f t="shared" si="99"/>
        <v>267220.04667061201</v>
      </c>
      <c r="BR193" s="148">
        <f t="shared" si="100"/>
        <v>332635.26528326812</v>
      </c>
      <c r="BS193" s="156" t="b">
        <f t="shared" si="101"/>
        <v>0</v>
      </c>
      <c r="BT193" s="156">
        <f t="shared" si="102"/>
        <v>0</v>
      </c>
      <c r="BU193">
        <f t="shared" si="103"/>
        <v>1639.9059911557138</v>
      </c>
      <c r="BV193">
        <f t="shared" si="104"/>
        <v>1639.9059911557138</v>
      </c>
      <c r="BW193" s="148">
        <f t="shared" si="105"/>
        <v>455.4</v>
      </c>
      <c r="BX193" s="148">
        <f t="shared" si="106"/>
        <v>3129354.9718154697</v>
      </c>
      <c r="BY193" s="148">
        <f t="shared" si="107"/>
        <v>0.20744810788119775</v>
      </c>
      <c r="BZ193">
        <f t="shared" si="90"/>
        <v>48.168164998609988</v>
      </c>
      <c r="CB193">
        <f t="shared" si="108"/>
        <v>1639.9059911557138</v>
      </c>
      <c r="CC193" s="162">
        <f t="shared" si="91"/>
        <v>6679.1887967371013</v>
      </c>
      <c r="CD193">
        <f t="shared" si="116"/>
        <v>64683.27813363052</v>
      </c>
    </row>
    <row r="194" spans="4:82" x14ac:dyDescent="0.2">
      <c r="D194" s="22">
        <f t="shared" si="81"/>
        <v>-8.8407397001256313E-2</v>
      </c>
      <c r="E194" s="23">
        <v>10.085903946753412</v>
      </c>
      <c r="F194" s="23">
        <f>IF(K194&lt;6,1,IF(Data!K194&lt;9,2,IF(K194&gt;9,3)))</f>
        <v>3</v>
      </c>
      <c r="G194" s="23">
        <v>1091.8870959248682</v>
      </c>
      <c r="H194" s="23">
        <v>220.46666499999998</v>
      </c>
      <c r="I194" s="64">
        <v>45.656210301020579</v>
      </c>
      <c r="J194" s="65">
        <f t="shared" si="82"/>
        <v>-16.108133213553121</v>
      </c>
      <c r="K194" s="65">
        <f t="shared" si="83"/>
        <v>18.262484120408232</v>
      </c>
      <c r="L194" s="65">
        <f t="shared" si="84"/>
        <v>-6.443253285421263</v>
      </c>
      <c r="M194">
        <f t="shared" si="85"/>
        <v>20.171807893506823</v>
      </c>
      <c r="N194">
        <f t="shared" si="86"/>
        <v>-0.20000286222929908</v>
      </c>
      <c r="O194">
        <f>IF(L194&lt;'Vehicle Data'!F$21,'Vehicle Data'!C$21,IF(L194&gt;'Vehicle Data'!C$21,'Vehicle Data'!C$20))</f>
        <v>0.6</v>
      </c>
      <c r="P194">
        <f>('Vehicle Data'!C$6*9.81*'Vehicle Data'!C$5*SIN(D194))/'Vehicle Data'!C$9</f>
        <v>-58.799790308189436</v>
      </c>
      <c r="Q194" s="107">
        <f>'Vehicle Data'!C$6*9.81*SIN(D194)</f>
        <v>-380.23864399295837</v>
      </c>
      <c r="R194">
        <f t="shared" ref="R194:R210" si="120">G193</f>
        <v>1089.5814850469587</v>
      </c>
      <c r="S194">
        <f>IF(Data!O194=0.6,'Vehicle Data'!E$21,IF(Data!O194 = 0.9,'Vehicle Data'!E$20))+(P194*O194)</f>
        <v>1515.092525815086</v>
      </c>
      <c r="T194">
        <f>IF(F194=3,'Vehicle Data'!H$16,IF(F194=2,'Vehicle Data'!H$15,IF(F194 = 1,'Vehicle Data'!G$14)))</f>
        <v>466.23005239380637</v>
      </c>
      <c r="U194" s="148">
        <f t="shared" si="87"/>
        <v>373.44300292364267</v>
      </c>
      <c r="V194" s="70" t="s">
        <v>77</v>
      </c>
      <c r="W194" s="99" t="s">
        <v>84</v>
      </c>
      <c r="X194">
        <f>IF(V194="S",'Vehicle Data'!C$14,IF(Data!V194 = "T1",'Vehicle Data'!P$2,IF(Data!V194="T2",'Vehicle Data'!P$3)))</f>
        <v>13.411199999999999</v>
      </c>
      <c r="Z194">
        <f t="shared" si="119"/>
        <v>9.8346900219386875</v>
      </c>
      <c r="AB194" t="b">
        <f>IF(AA194=1,'Vehicle Data'!I$14,IF(AA194=2,'Vehicle Data'!I$15,IF(AA194=3,'Vehicle Data'!I$16)))</f>
        <v>0</v>
      </c>
      <c r="AC194">
        <f>IF(Z194&lt;'Vehicle Data'!C$16,'Vehicle Data'!I$15,IF(Z194&lt;'Vehicle Data'!C$15,'Vehicle Data'!I$15,IF(Z193&gt;'Vehicle Data'!C$15,'Vehicle Data'!I$16)))</f>
        <v>0.46202745420001456</v>
      </c>
      <c r="AD194">
        <f>IF(O194=0.6,'Vehicle Data'!F$21,IF(O194=0.9,'Vehicle Data'!F$20))</f>
        <v>3.5315999999999996</v>
      </c>
      <c r="AE194" s="100">
        <f t="shared" si="88"/>
        <v>0.46202745420001456</v>
      </c>
      <c r="AF194" s="158">
        <f t="shared" si="110"/>
        <v>0.23864764307612391</v>
      </c>
      <c r="AG194" s="148">
        <f t="shared" si="92"/>
        <v>0.46464691921087209</v>
      </c>
      <c r="AH194" s="148">
        <f t="shared" si="111"/>
        <v>48.406812641686109</v>
      </c>
      <c r="AJ194">
        <f>(Z194^2)*'Vehicle Data'!C$31</f>
        <v>35.545014476650501</v>
      </c>
      <c r="AK194">
        <f>IF(O194=0.6,'Vehicle Data'!C$6*'Vehicle Data'!D$21*9.81,IF(O194=0.9,'Vehicle Data'!C$6*9.81*'Vehicle Data'!D$20))</f>
        <v>86.131799999999998</v>
      </c>
      <c r="AL194">
        <f t="shared" si="89"/>
        <v>-258.56182951630785</v>
      </c>
      <c r="AN194">
        <f>IF(AG194&gt;0,AG194*'Vehicle Data'!C$6)</f>
        <v>203.97999753357286</v>
      </c>
      <c r="AO194">
        <f t="shared" si="93"/>
        <v>-54.581831982734997</v>
      </c>
      <c r="AP194">
        <f>AO194*'Vehicle Data'!F$3</f>
        <v>-13.951116254787065</v>
      </c>
      <c r="AQ194">
        <f>IF(AE194='Vehicle Data'!I$15,AP194/'Vehicle Data'!G$15,IF(AE194='Vehicle Data'!I$16,AP194/'Vehicle Data'!G$16,IF(AE194='Vehicle Data'!I$14,Data!AP194/'Vehicle Data'!G205)))</f>
        <v>-2.5755532005171999</v>
      </c>
      <c r="AR194">
        <f>IF(Z194&lt;'Vehicle Data'!C$16, Z194*'Vehicle Data'!F$7*'Vehicle Data'!G$14,IF(Z194&lt;'Vehicle Data'!C$15,Z194*'Vehicle Data'!F$7*'Vehicle Data'!G$15,IF(Z194&gt;'Vehicle Data'!C$15,Z194*'Vehicle Data'!F$7*'Vehicle Data'!G$16)))</f>
        <v>85.553902899033176</v>
      </c>
      <c r="AS194">
        <f t="shared" si="112"/>
        <v>5133.2341739419908</v>
      </c>
      <c r="AT194">
        <f t="shared" si="117"/>
        <v>-3</v>
      </c>
      <c r="AU194">
        <f t="shared" si="113"/>
        <v>5000</v>
      </c>
      <c r="AW194" t="e">
        <f>VLOOKUP(AT194,BSFC!A$64:A$82,1,FALSE)</f>
        <v>#N/A</v>
      </c>
      <c r="AX194" t="e" cm="1">
        <f t="array" ref="AX194">_xlfn.XLOOKUP(AT194,BSFC!A$64:A$82,,-1,_xlfn.XLOOKUP(Data!AU194,BSFC!C$63:Q$63,BSFC!B$64:Q$82,,-1))</f>
        <v>#VALUE!</v>
      </c>
      <c r="AY194">
        <f>HLOOKUP(AU194,BSFC!F$63:Q$63,1)</f>
        <v>5000</v>
      </c>
      <c r="AZ194">
        <f>IF(AT194&gt;0,MATCH(AT194,BSFC!A$64:A$83,0),IF(AT194&lt;=0,0))</f>
        <v>0</v>
      </c>
      <c r="BA194">
        <f>MATCH(AU194,BSFC!C$63:Q$63,0)</f>
        <v>10</v>
      </c>
      <c r="BB194" t="b" cm="1">
        <f t="array" ref="BB194">IF(AZ194&gt;0,INDEX(BSFC!C$64:Q$83,Data!AZ194,Data!BA194))</f>
        <v>0</v>
      </c>
      <c r="BC194">
        <f>0.5*'Vehicle Data'!C$6*Data!Z194^2</f>
        <v>21230.287558162672</v>
      </c>
      <c r="BD194">
        <f t="shared" si="94"/>
        <v>6.4979271417635163</v>
      </c>
      <c r="BE194">
        <f t="shared" si="114"/>
        <v>0</v>
      </c>
      <c r="BF194">
        <f t="shared" si="115"/>
        <v>0</v>
      </c>
      <c r="BG194">
        <f t="shared" si="95"/>
        <v>50.281607301649309</v>
      </c>
      <c r="BH194">
        <f t="shared" si="118"/>
        <v>-1378.9025558719818</v>
      </c>
      <c r="BI194" s="148">
        <f t="shared" si="96"/>
        <v>6871.6622130335309</v>
      </c>
      <c r="BO194">
        <f t="shared" si="97"/>
        <v>-319.76258937567638</v>
      </c>
      <c r="BP194">
        <f t="shared" si="98"/>
        <v>200867.87551478087</v>
      </c>
      <c r="BQ194">
        <f t="shared" si="99"/>
        <v>267220.04667061201</v>
      </c>
      <c r="BR194" s="148">
        <f t="shared" si="100"/>
        <v>334228.77926523698</v>
      </c>
      <c r="BS194" s="156" t="b">
        <f t="shared" si="101"/>
        <v>0</v>
      </c>
      <c r="BT194" s="156">
        <f t="shared" si="102"/>
        <v>0</v>
      </c>
      <c r="BU194">
        <f t="shared" si="103"/>
        <v>1593.5139819688545</v>
      </c>
      <c r="BV194">
        <f t="shared" si="104"/>
        <v>1593.5139819688545</v>
      </c>
      <c r="BW194" s="148">
        <f t="shared" si="105"/>
        <v>455.4</v>
      </c>
      <c r="BX194" s="148">
        <f t="shared" si="106"/>
        <v>3129354.9718154697</v>
      </c>
      <c r="BY194" s="148">
        <f t="shared" si="107"/>
        <v>0.20157951871906007</v>
      </c>
      <c r="BZ194">
        <f t="shared" si="90"/>
        <v>48.406812641686109</v>
      </c>
      <c r="CB194">
        <f t="shared" si="108"/>
        <v>1593.5139819688545</v>
      </c>
      <c r="CC194" s="162">
        <f t="shared" si="91"/>
        <v>6677.2667914452304</v>
      </c>
      <c r="CD194">
        <f t="shared" si="116"/>
        <v>66276.792115599368</v>
      </c>
    </row>
    <row r="195" spans="4:82" x14ac:dyDescent="0.2">
      <c r="D195" s="22">
        <f t="shared" ref="D195:D210" si="121">ASIN((N195)/(G196-G195))</f>
        <v>-0.13527965497370459</v>
      </c>
      <c r="E195" s="23">
        <v>9.8859010845241126</v>
      </c>
      <c r="F195" s="23">
        <f>IF(K195&lt;6,1,IF(Data!K195&lt;9,2,IF(K195&gt;9,3)))</f>
        <v>3</v>
      </c>
      <c r="G195" s="23">
        <v>1094.1523320865667</v>
      </c>
      <c r="H195" s="23">
        <v>220.51666499999999</v>
      </c>
      <c r="I195" s="64">
        <v>44.85080364034274</v>
      </c>
      <c r="J195" s="65">
        <f t="shared" ref="J195:J210" si="122">(I196-I195)/(H196-H195)</f>
        <v>-16.366979109841655</v>
      </c>
      <c r="K195" s="65">
        <f t="shared" ref="K195:K210" si="123">I195/2.5</f>
        <v>17.940321456137095</v>
      </c>
      <c r="L195" s="65">
        <f t="shared" ref="L195:L210" si="124">(K196-K195)/(H196-H195)</f>
        <v>-6.5467916439366327</v>
      </c>
      <c r="M195">
        <f t="shared" ref="M195:M210" si="125">2*E195</f>
        <v>19.771802169048225</v>
      </c>
      <c r="N195">
        <f t="shared" ref="N195:N210" si="126">E196-E195</f>
        <v>-0.29999713777051795</v>
      </c>
      <c r="O195">
        <f>IF(L195&lt;'Vehicle Data'!F$21,'Vehicle Data'!C$21,IF(L195&gt;'Vehicle Data'!C$21,'Vehicle Data'!C$20))</f>
        <v>0.6</v>
      </c>
      <c r="P195">
        <f>('Vehicle Data'!C$6*9.81*'Vehicle Data'!C$5*SIN(D195))/'Vehicle Data'!C$9</f>
        <v>-89.817319491794251</v>
      </c>
      <c r="Q195" s="107">
        <f>'Vehicle Data'!C$6*9.81*SIN(D195)</f>
        <v>-580.81866604693607</v>
      </c>
      <c r="R195">
        <f t="shared" si="120"/>
        <v>1091.8870959248682</v>
      </c>
      <c r="S195">
        <f>IF(Data!O195=0.6,'Vehicle Data'!E$21,IF(Data!O195 = 0.9,'Vehicle Data'!E$20))+(P195*O195)</f>
        <v>1496.4820083049233</v>
      </c>
      <c r="T195">
        <f>IF(F195=3,'Vehicle Data'!H$16,IF(F195=2,'Vehicle Data'!H$15,IF(F195 = 1,'Vehicle Data'!G$14)))</f>
        <v>466.23005239380637</v>
      </c>
      <c r="U195" s="148">
        <f t="shared" ref="U195:U210" si="127">R195-R$2</f>
        <v>375.7486138015521</v>
      </c>
      <c r="V195" s="70" t="s">
        <v>77</v>
      </c>
      <c r="W195" s="99" t="s">
        <v>84</v>
      </c>
      <c r="X195">
        <f>IF(V195="S",'Vehicle Data'!C$14,IF(Data!V195 = "T1",'Vehicle Data'!P$2,IF(Data!V195="T2",'Vehicle Data'!P$3)))</f>
        <v>13.411199999999999</v>
      </c>
      <c r="Z195">
        <f t="shared" si="119"/>
        <v>9.9424161488147877</v>
      </c>
      <c r="AB195" t="b">
        <f>IF(AA195=1,'Vehicle Data'!I$14,IF(AA195=2,'Vehicle Data'!I$15,IF(AA195=3,'Vehicle Data'!I$16)))</f>
        <v>0</v>
      </c>
      <c r="AC195">
        <f>IF(Z195&lt;'Vehicle Data'!C$16,'Vehicle Data'!I$15,IF(Z195&lt;'Vehicle Data'!C$15,'Vehicle Data'!I$15,IF(Z194&gt;'Vehicle Data'!C$15,'Vehicle Data'!I$16)))</f>
        <v>0.46202745420001456</v>
      </c>
      <c r="AD195">
        <f>IF(O195=0.6,'Vehicle Data'!F$21,IF(O195=0.9,'Vehicle Data'!F$20))</f>
        <v>3.5315999999999996</v>
      </c>
      <c r="AE195" s="100">
        <f t="shared" ref="AE195:AE210" si="128">IF(W195="a",AC195,IF(W195="b",AD195*-1))</f>
        <v>0.46202745420001456</v>
      </c>
      <c r="AF195" s="158">
        <f t="shared" si="110"/>
        <v>0.23189643678154395</v>
      </c>
      <c r="AG195" s="148">
        <f t="shared" si="92"/>
        <v>0.46454412310605164</v>
      </c>
      <c r="AH195" s="148">
        <f t="shared" si="111"/>
        <v>48.638709078467656</v>
      </c>
      <c r="AJ195">
        <f>(Z195^2)*'Vehicle Data'!C$31</f>
        <v>36.327977287008316</v>
      </c>
      <c r="AK195">
        <f>IF(O195=0.6,'Vehicle Data'!C$6*'Vehicle Data'!D$21*9.81,IF(O195=0.9,'Vehicle Data'!C$6*9.81*'Vehicle Data'!D$20))</f>
        <v>86.131799999999998</v>
      </c>
      <c r="AL195">
        <f t="shared" ref="AL195:AL210" si="129">AJ195+AK195+Q195</f>
        <v>-458.35888875992777</v>
      </c>
      <c r="AN195">
        <f>IF(AG195&gt;0,AG195*'Vehicle Data'!C$6)</f>
        <v>203.93487004355666</v>
      </c>
      <c r="AO195">
        <f t="shared" si="93"/>
        <v>-254.42401871637111</v>
      </c>
      <c r="AP195">
        <f>AO195*'Vehicle Data'!F$3</f>
        <v>-65.030779183904457</v>
      </c>
      <c r="AQ195">
        <f>IF(AE195='Vehicle Data'!I$15,AP195/'Vehicle Data'!G$15,IF(AE195='Vehicle Data'!I$16,AP195/'Vehicle Data'!G$16,IF(AE195='Vehicle Data'!I$14,Data!AP195/'Vehicle Data'!G206)))</f>
        <v>-12.005507545087031</v>
      </c>
      <c r="AR195">
        <f>IF(Z195&lt;'Vehicle Data'!C$16, Z195*'Vehicle Data'!F$7*'Vehicle Data'!G$14,IF(Z195&lt;'Vehicle Data'!C$15,Z195*'Vehicle Data'!F$7*'Vehicle Data'!G$15,IF(Z195&gt;'Vehicle Data'!C$15,Z195*'Vehicle Data'!F$7*'Vehicle Data'!G$16)))</f>
        <v>86.49103366552275</v>
      </c>
      <c r="AS195">
        <f t="shared" si="112"/>
        <v>5189.4620199313649</v>
      </c>
      <c r="AT195">
        <f t="shared" si="117"/>
        <v>-12</v>
      </c>
      <c r="AU195">
        <f t="shared" si="113"/>
        <v>5000</v>
      </c>
      <c r="AW195" t="e">
        <f>VLOOKUP(AT195,BSFC!A$64:A$82,1,FALSE)</f>
        <v>#N/A</v>
      </c>
      <c r="AX195" t="e" cm="1">
        <f t="array" ref="AX195">_xlfn.XLOOKUP(AT195,BSFC!A$64:A$82,,-1,_xlfn.XLOOKUP(Data!AU195,BSFC!C$63:Q$63,BSFC!B$64:Q$82,,-1))</f>
        <v>#VALUE!</v>
      </c>
      <c r="AY195">
        <f>HLOOKUP(AU195,BSFC!F$63:Q$63,1)</f>
        <v>5000</v>
      </c>
      <c r="AZ195">
        <f>IF(AT195&gt;0,MATCH(AT195,BSFC!A$64:A$83,0),IF(AT195&lt;=0,0))</f>
        <v>0</v>
      </c>
      <c r="BA195">
        <f>MATCH(AU195,BSFC!C$63:Q$63,0)</f>
        <v>10</v>
      </c>
      <c r="BB195" t="b" cm="1">
        <f t="array" ref="BB195">IF(AZ195&gt;0,INDEX(BSFC!C$64:Q$83,Data!AZ195,Data!BA195))</f>
        <v>0</v>
      </c>
      <c r="BC195">
        <f>0.5*'Vehicle Data'!C$6*Data!Z195^2</f>
        <v>21697.93473332877</v>
      </c>
      <c r="BD195">
        <f t="shared" si="94"/>
        <v>0</v>
      </c>
      <c r="BE195">
        <f t="shared" si="114"/>
        <v>0</v>
      </c>
      <c r="BF195">
        <f t="shared" si="115"/>
        <v>0</v>
      </c>
      <c r="BG195">
        <f t="shared" si="95"/>
        <v>50.281607301649309</v>
      </c>
      <c r="BH195">
        <f t="shared" si="118"/>
        <v>-6497.9271417635164</v>
      </c>
      <c r="BI195" s="148">
        <f t="shared" si="96"/>
        <v>6871.6622130335309</v>
      </c>
      <c r="BO195">
        <f t="shared" si="97"/>
        <v>-1465.0291239831979</v>
      </c>
      <c r="BP195">
        <f t="shared" si="98"/>
        <v>199402.84639079767</v>
      </c>
      <c r="BQ195">
        <f t="shared" si="99"/>
        <v>267220.04667061201</v>
      </c>
      <c r="BR195" s="148">
        <f t="shared" si="100"/>
        <v>335778.07107055211</v>
      </c>
      <c r="BS195" s="156" t="b">
        <f t="shared" si="101"/>
        <v>0</v>
      </c>
      <c r="BT195" s="156">
        <f t="shared" si="102"/>
        <v>0</v>
      </c>
      <c r="BU195">
        <f t="shared" si="103"/>
        <v>1549.2918053151263</v>
      </c>
      <c r="BV195">
        <f t="shared" si="104"/>
        <v>1549.2918053151263</v>
      </c>
      <c r="BW195" s="148">
        <f t="shared" si="105"/>
        <v>455.4</v>
      </c>
      <c r="BX195" s="148">
        <f t="shared" si="106"/>
        <v>3129354.9718154697</v>
      </c>
      <c r="BY195" s="148">
        <f t="shared" si="107"/>
        <v>0.19598541337236347</v>
      </c>
      <c r="BZ195">
        <f t="shared" ref="BZ195:BZ258" si="130">AH195</f>
        <v>48.638709078467656</v>
      </c>
      <c r="CB195">
        <f t="shared" si="108"/>
        <v>1549.2918053151263</v>
      </c>
      <c r="CC195" s="162">
        <f t="shared" ref="CC195:CC258" si="131">CB195/(BZ195-BZ194)</f>
        <v>6680.9642563615771</v>
      </c>
      <c r="CD195">
        <f t="shared" si="116"/>
        <v>67826.083920914491</v>
      </c>
    </row>
    <row r="196" spans="4:82" x14ac:dyDescent="0.2">
      <c r="D196" s="22">
        <f t="shared" si="121"/>
        <v>-0.1378028096821646</v>
      </c>
      <c r="E196" s="23">
        <v>9.5859039467535947</v>
      </c>
      <c r="F196" s="23">
        <f>IF(K196&lt;6,1,IF(Data!K196&lt;9,2,IF(K196&gt;9,3)))</f>
        <v>3</v>
      </c>
      <c r="G196" s="23">
        <v>1096.3767176806873</v>
      </c>
      <c r="H196" s="23">
        <v>220.566665</v>
      </c>
      <c r="I196" s="64">
        <v>44.032454684850471</v>
      </c>
      <c r="J196" s="65">
        <f t="shared" si="122"/>
        <v>-15.79245069171121</v>
      </c>
      <c r="K196" s="65">
        <f t="shared" si="123"/>
        <v>17.612981873940189</v>
      </c>
      <c r="L196" s="65">
        <f t="shared" si="124"/>
        <v>-6.3169802766845127</v>
      </c>
      <c r="M196">
        <f t="shared" si="125"/>
        <v>19.171807893507189</v>
      </c>
      <c r="N196">
        <f t="shared" si="126"/>
        <v>-0.30000138864842896</v>
      </c>
      <c r="O196">
        <f>IF(L196&lt;'Vehicle Data'!F$21,'Vehicle Data'!C$21,IF(L196&gt;'Vehicle Data'!C$21,'Vehicle Data'!C$20))</f>
        <v>0.6</v>
      </c>
      <c r="P196">
        <f>('Vehicle Data'!C$6*9.81*'Vehicle Data'!C$5*SIN(D196))/'Vehicle Data'!C$9</f>
        <v>-91.482018761150869</v>
      </c>
      <c r="Q196" s="107">
        <f>'Vehicle Data'!C$6*9.81*SIN(D196)</f>
        <v>-591.58372132210889</v>
      </c>
      <c r="R196">
        <f t="shared" si="120"/>
        <v>1094.1523320865667</v>
      </c>
      <c r="S196">
        <f>IF(Data!O196=0.6,'Vehicle Data'!E$21,IF(Data!O196 = 0.9,'Vehicle Data'!E$20))+(P196*O196)</f>
        <v>1495.4831887433093</v>
      </c>
      <c r="T196">
        <f>IF(F196=3,'Vehicle Data'!H$16,IF(F196=2,'Vehicle Data'!H$15,IF(F196 = 1,'Vehicle Data'!G$14)))</f>
        <v>466.23005239380637</v>
      </c>
      <c r="U196" s="148">
        <f t="shared" si="127"/>
        <v>378.01384996325066</v>
      </c>
      <c r="V196" s="70" t="s">
        <v>77</v>
      </c>
      <c r="W196" s="99" t="s">
        <v>84</v>
      </c>
      <c r="X196">
        <f>IF(V196="S",'Vehicle Data'!C$14,IF(Data!V196 = "T1",'Vehicle Data'!P$2,IF(Data!V196="T2",'Vehicle Data'!P$3)))</f>
        <v>13.411199999999999</v>
      </c>
      <c r="Z196">
        <f t="shared" si="119"/>
        <v>10.047131006915151</v>
      </c>
      <c r="AB196" t="b">
        <f>IF(AA196=1,'Vehicle Data'!I$14,IF(AA196=2,'Vehicle Data'!I$15,IF(AA196=3,'Vehicle Data'!I$16)))</f>
        <v>0</v>
      </c>
      <c r="AC196">
        <v>1.3037776999999999</v>
      </c>
      <c r="AD196">
        <f>IF(O196=0.6,'Vehicle Data'!F$21,IF(O196=0.9,'Vehicle Data'!F$20))</f>
        <v>3.5315999999999996</v>
      </c>
      <c r="AE196" s="100">
        <f t="shared" si="128"/>
        <v>1.3037776999999999</v>
      </c>
      <c r="AF196" s="158">
        <f t="shared" si="110"/>
        <v>0.22546099579466719</v>
      </c>
      <c r="AG196" s="148">
        <f t="shared" ref="AG196:AG259" si="132">(Z196-Z195)/AF196</f>
        <v>0.46444777612767218</v>
      </c>
      <c r="AH196" s="148">
        <f t="shared" si="111"/>
        <v>48.864170074262326</v>
      </c>
      <c r="AJ196">
        <f>(Z196^2)*'Vehicle Data'!C$31</f>
        <v>37.097229240267588</v>
      </c>
      <c r="AK196">
        <f>IF(O196=0.6,'Vehicle Data'!C$6*'Vehicle Data'!D$21*9.81,IF(O196=0.9,'Vehicle Data'!C$6*9.81*'Vehicle Data'!D$20))</f>
        <v>86.131799999999998</v>
      </c>
      <c r="AL196">
        <f t="shared" si="129"/>
        <v>-468.35469208184134</v>
      </c>
      <c r="AN196">
        <f>IF(AG196&gt;0,AG196*'Vehicle Data'!C$6)</f>
        <v>203.89257372004809</v>
      </c>
      <c r="AO196">
        <f t="shared" ref="AO196:AO210" si="133">AN196+AL196</f>
        <v>-264.46211836179327</v>
      </c>
      <c r="AP196">
        <f>AO196*'Vehicle Data'!F$3</f>
        <v>-67.596517453274359</v>
      </c>
      <c r="AQ196" t="b">
        <f>IF(AE196='Vehicle Data'!I$15,AP196/'Vehicle Data'!G$15,IF(AE196='Vehicle Data'!I$16,AP196/'Vehicle Data'!G$16,IF(AE196='Vehicle Data'!I$14,Data!AP196/'Vehicle Data'!G207)))</f>
        <v>0</v>
      </c>
      <c r="AR196">
        <f>IF(Z196&lt;'Vehicle Data'!C$16, Z196*'Vehicle Data'!F$7*'Vehicle Data'!G$14,IF(Z196&lt;'Vehicle Data'!C$15,Z196*'Vehicle Data'!F$7*'Vehicle Data'!G$15,IF(Z196&gt;'Vehicle Data'!C$15,Z196*'Vehicle Data'!F$7*'Vehicle Data'!G$16)))</f>
        <v>87.401968812641755</v>
      </c>
      <c r="AS196">
        <f t="shared" si="112"/>
        <v>5244.118128758505</v>
      </c>
      <c r="AT196">
        <f t="shared" si="117"/>
        <v>0</v>
      </c>
      <c r="AU196">
        <f t="shared" si="113"/>
        <v>5000</v>
      </c>
      <c r="AW196" t="e">
        <f>VLOOKUP(AT196,BSFC!A$64:A$82,1,FALSE)</f>
        <v>#N/A</v>
      </c>
      <c r="AX196" t="e" cm="1">
        <f t="array" ref="AX196">_xlfn.XLOOKUP(AT196,BSFC!A$64:A$82,,-1,_xlfn.XLOOKUP(Data!AU196,BSFC!C$63:Q$63,BSFC!B$64:Q$82,,-1))</f>
        <v>#VALUE!</v>
      </c>
      <c r="AY196">
        <f>HLOOKUP(AU196,BSFC!F$63:Q$63,1)</f>
        <v>5000</v>
      </c>
      <c r="AZ196">
        <f>IF(AT196&gt;0,MATCH(AT196,BSFC!A$64:A$83,0),IF(AT196&lt;=0,0))</f>
        <v>0</v>
      </c>
      <c r="BA196">
        <f>MATCH(AU196,BSFC!C$63:Q$63,0)</f>
        <v>10</v>
      </c>
      <c r="BB196" t="b" cm="1">
        <f t="array" ref="BB196">IF(AZ196&gt;0,INDEX(BSFC!C$64:Q$83,Data!AZ196,Data!BA196))</f>
        <v>0</v>
      </c>
      <c r="BC196">
        <f>0.5*'Vehicle Data'!C$6*Data!Z196^2</f>
        <v>22157.392702690431</v>
      </c>
      <c r="BD196">
        <f t="shared" ref="BD196:BD259" si="134">ABS(AQ197*(AS197/9.588))/1000</f>
        <v>3.5864720281922668</v>
      </c>
      <c r="BE196">
        <f t="shared" si="114"/>
        <v>0</v>
      </c>
      <c r="BF196">
        <f t="shared" si="115"/>
        <v>0</v>
      </c>
      <c r="BG196">
        <f t="shared" ref="BG196:BG259" si="135">BG195+BF196</f>
        <v>50.281607301649309</v>
      </c>
      <c r="BH196">
        <f t="shared" si="118"/>
        <v>0</v>
      </c>
      <c r="BI196" s="148">
        <f t="shared" ref="BI196:BI259" si="136">BM$9</f>
        <v>6871.6622130335309</v>
      </c>
      <c r="BO196">
        <f t="shared" ref="BO196:BO259" si="137">BH196*AF197</f>
        <v>0</v>
      </c>
      <c r="BP196">
        <f t="shared" ref="BP196:BP259" si="138">BP195+BO196</f>
        <v>199402.84639079767</v>
      </c>
      <c r="BQ196">
        <f t="shared" ref="BQ196:BQ259" si="139">IF(BO196&gt;0,BQ195+BO196,IF(BO196&lt;=0,BQ195))</f>
        <v>267220.04667061201</v>
      </c>
      <c r="BR196" s="148">
        <f t="shared" ref="BR196:BR259" si="140">(BM$9*AF197)+BR195</f>
        <v>337257.51327557274</v>
      </c>
      <c r="BS196" s="156" t="b">
        <f t="shared" ref="BS196:BS259" si="141">IF(BO196&gt;0,BO196)</f>
        <v>0</v>
      </c>
      <c r="BT196" s="156">
        <f t="shared" ref="BT196:BT259" si="142">IF(BH196&gt;=0,BH196, IF(BH196&lt;0,0))</f>
        <v>0</v>
      </c>
      <c r="BU196">
        <f t="shared" ref="BU196:BU259" si="143">BI196*AF197</f>
        <v>1479.4422050206522</v>
      </c>
      <c r="BV196">
        <f t="shared" ref="BV196:BV259" si="144">BM$9*AF197</f>
        <v>1479.4422050206522</v>
      </c>
      <c r="BW196" s="148">
        <f t="shared" ref="BW196:BW259" si="145">BN$9</f>
        <v>455.4</v>
      </c>
      <c r="BX196" s="148">
        <f t="shared" ref="BX196:BX259" si="146">BW196*BI196</f>
        <v>3129354.9718154697</v>
      </c>
      <c r="BY196" s="148">
        <f t="shared" ref="BY196:BY259" si="147">((BX196/3600)*AF197)/1000</f>
        <v>0.18714943893511249</v>
      </c>
      <c r="BZ196">
        <f t="shared" si="130"/>
        <v>48.864170074262326</v>
      </c>
      <c r="CB196">
        <f t="shared" ref="CB196:CB259" si="148">BU196-BS196</f>
        <v>1479.4422050206522</v>
      </c>
      <c r="CC196" s="162">
        <f t="shared" si="131"/>
        <v>6561.8543012557211</v>
      </c>
      <c r="CD196">
        <f t="shared" si="116"/>
        <v>69305.526125935139</v>
      </c>
    </row>
    <row r="197" spans="4:82" x14ac:dyDescent="0.2">
      <c r="D197" s="22">
        <f t="shared" si="121"/>
        <v>-0.13288009181467</v>
      </c>
      <c r="E197" s="23">
        <v>9.2859025581051657</v>
      </c>
      <c r="F197" s="23">
        <f>IF(K197&lt;6,1,IF(Data!K197&lt;9,2,IF(K197&gt;9,3)))</f>
        <v>3</v>
      </c>
      <c r="G197" s="23">
        <v>1098.5606570518587</v>
      </c>
      <c r="H197" s="23">
        <v>220.61666499999998</v>
      </c>
      <c r="I197" s="64">
        <v>43.24283215026518</v>
      </c>
      <c r="J197" s="65">
        <f t="shared" si="122"/>
        <v>-15.168623118003911</v>
      </c>
      <c r="K197" s="65">
        <f t="shared" si="123"/>
        <v>17.297132860106071</v>
      </c>
      <c r="L197" s="65">
        <f t="shared" si="124"/>
        <v>-6.0674492472015791</v>
      </c>
      <c r="M197">
        <f t="shared" si="125"/>
        <v>18.571805116210331</v>
      </c>
      <c r="N197">
        <f t="shared" si="126"/>
        <v>-0.28420095810516699</v>
      </c>
      <c r="O197">
        <f>IF(L197&lt;'Vehicle Data'!F$21,'Vehicle Data'!C$21,IF(L197&gt;'Vehicle Data'!C$21,'Vehicle Data'!C$20))</f>
        <v>0.6</v>
      </c>
      <c r="P197">
        <f>('Vehicle Data'!C$6*9.81*'Vehicle Data'!C$5*SIN(D197))/'Vehicle Data'!C$9</f>
        <v>-88.233631457817623</v>
      </c>
      <c r="Q197" s="107">
        <f>'Vehicle Data'!C$6*9.81*SIN(D197)</f>
        <v>-570.57748342722061</v>
      </c>
      <c r="R197">
        <f t="shared" si="120"/>
        <v>1096.3767176806873</v>
      </c>
      <c r="S197">
        <f>IF(Data!O197=0.6,'Vehicle Data'!E$21,IF(Data!O197 = 0.9,'Vehicle Data'!E$20))+(P197*O197)</f>
        <v>1497.4322211253091</v>
      </c>
      <c r="T197">
        <f>IF(F197=3,'Vehicle Data'!H$16,IF(F197=2,'Vehicle Data'!H$15,IF(F197 = 1,'Vehicle Data'!G$14)))</f>
        <v>466.23005239380637</v>
      </c>
      <c r="U197" s="148">
        <f t="shared" si="127"/>
        <v>380.23823555737124</v>
      </c>
      <c r="V197" s="70" t="s">
        <v>77</v>
      </c>
      <c r="W197" s="99" t="s">
        <v>84</v>
      </c>
      <c r="X197">
        <f>IF(V197="S",'Vehicle Data'!C$14,IF(Data!V197 = "T1",'Vehicle Data'!P$2,IF(Data!V197="T2",'Vehicle Data'!P$3)))</f>
        <v>13.411199999999999</v>
      </c>
      <c r="Z197">
        <f t="shared" si="119"/>
        <v>10.331749616485446</v>
      </c>
      <c r="AB197" t="b">
        <f>IF(AA197=1,'Vehicle Data'!I$14,IF(AA197=2,'Vehicle Data'!I$15,IF(AA197=3,'Vehicle Data'!I$16)))</f>
        <v>0</v>
      </c>
      <c r="AC197">
        <f>IF(Z197&lt;'Vehicle Data'!C$16,'Vehicle Data'!I$15,IF(Z197&lt;'Vehicle Data'!C$15,'Vehicle Data'!I$15,IF(Z196&gt;'Vehicle Data'!C$15,'Vehicle Data'!I$16)))</f>
        <v>0.46202745420001456</v>
      </c>
      <c r="AD197">
        <f>IF(O197=0.6,'Vehicle Data'!F$21,IF(O197=0.9,'Vehicle Data'!F$20))</f>
        <v>3.5315999999999996</v>
      </c>
      <c r="AE197" s="100">
        <f t="shared" si="128"/>
        <v>0.46202745420001456</v>
      </c>
      <c r="AF197" s="158">
        <f t="shared" ref="AF197:AF210" si="149">(U197-U196)/Z197</f>
        <v>0.21529611892368394</v>
      </c>
      <c r="AG197" s="148">
        <f t="shared" si="132"/>
        <v>1.3219867176109363</v>
      </c>
      <c r="AH197" s="148">
        <f t="shared" ref="AH197:AH260" si="150">AH196+AF197</f>
        <v>49.079466193186008</v>
      </c>
      <c r="AJ197">
        <f>(Z197^2)*'Vehicle Data'!C$31</f>
        <v>39.22880592562209</v>
      </c>
      <c r="AK197">
        <f>IF(O197=0.6,'Vehicle Data'!C$6*'Vehicle Data'!D$21*9.81,IF(O197=0.9,'Vehicle Data'!C$6*9.81*'Vehicle Data'!D$20))</f>
        <v>86.131799999999998</v>
      </c>
      <c r="AL197">
        <f t="shared" si="129"/>
        <v>-445.21687750159856</v>
      </c>
      <c r="AN197">
        <f>IF(AG197&gt;0,AG197*'Vehicle Data'!C$6)</f>
        <v>580.35216903120102</v>
      </c>
      <c r="AO197">
        <f t="shared" si="133"/>
        <v>135.13529152960245</v>
      </c>
      <c r="AP197">
        <f>AO197*'Vehicle Data'!F$3</f>
        <v>34.540580514966386</v>
      </c>
      <c r="AQ197">
        <f>IF(AE197='Vehicle Data'!I$15,AP197/'Vehicle Data'!G$15,IF(AE197='Vehicle Data'!I$16,AP197/'Vehicle Data'!G$16,IF(AE197='Vehicle Data'!I$14,Data!AP197/'Vehicle Data'!G208)))</f>
        <v>6.3766297311527582</v>
      </c>
      <c r="AR197">
        <f>IF(Z197&lt;'Vehicle Data'!C$16, Z197*'Vehicle Data'!F$7*'Vehicle Data'!G$14,IF(Z197&lt;'Vehicle Data'!C$15,Z197*'Vehicle Data'!F$7*'Vehicle Data'!G$15,IF(Z197&gt;'Vehicle Data'!C$15,Z197*'Vehicle Data'!F$7*'Vehicle Data'!G$16)))</f>
        <v>89.877922079304525</v>
      </c>
      <c r="AS197">
        <f t="shared" ref="AS197:AS267" si="151">AR197*60</f>
        <v>5392.6753247582719</v>
      </c>
      <c r="AT197">
        <f t="shared" ref="AT197:AT210" si="152">ROUND(AQ197,0)</f>
        <v>6</v>
      </c>
      <c r="AU197">
        <f t="shared" ref="AU197:AU209" si="153">MROUND(AS197,500)</f>
        <v>5500</v>
      </c>
      <c r="AW197">
        <f>VLOOKUP(AT197,BSFC!A$64:A$82,1,FALSE)</f>
        <v>6</v>
      </c>
      <c r="AX197" t="e" cm="1">
        <f t="array" ref="AX197">_xlfn.XLOOKUP(AT197,BSFC!A$64:A$82,,-1,_xlfn.XLOOKUP(Data!AU197,BSFC!C$63:Q$63,BSFC!B$64:Q$82,,-1))</f>
        <v>#VALUE!</v>
      </c>
      <c r="AY197">
        <f>HLOOKUP(AU197,BSFC!F$63:Q$63,1)</f>
        <v>5500</v>
      </c>
      <c r="AZ197">
        <f>IF(AT197&gt;0,MATCH(AT197,BSFC!A$64:A$83,0),IF(AT197&lt;=0,0))</f>
        <v>17</v>
      </c>
      <c r="BA197">
        <f>MATCH(AU197,BSFC!C$63:Q$63,0)</f>
        <v>11</v>
      </c>
      <c r="BB197" cm="1">
        <f t="array" ref="BB197">IF(AZ197&gt;0,INDEX(BSFC!C$64:Q$83,Data!AZ197,Data!BA197))</f>
        <v>664</v>
      </c>
      <c r="BC197">
        <f>0.5*'Vehicle Data'!C$6*Data!Z197^2</f>
        <v>23430.538505235501</v>
      </c>
      <c r="BD197">
        <f t="shared" si="134"/>
        <v>3.3607524242129632</v>
      </c>
      <c r="BE197">
        <f t="shared" ref="BE197:BE252" si="154">BB197*BD197</f>
        <v>2231.5396096774075</v>
      </c>
      <c r="BF197">
        <f t="shared" ref="BF197:BF252" si="155">(BE197/3600)*AF197</f>
        <v>0.13345606033000509</v>
      </c>
      <c r="BG197">
        <f t="shared" si="135"/>
        <v>50.415063361979314</v>
      </c>
      <c r="BH197">
        <f t="shared" si="118"/>
        <v>3586.4720281922669</v>
      </c>
      <c r="BI197" s="148">
        <f t="shared" si="136"/>
        <v>6871.6622130335309</v>
      </c>
      <c r="BO197">
        <f t="shared" si="137"/>
        <v>751.04710593459083</v>
      </c>
      <c r="BP197">
        <f t="shared" si="138"/>
        <v>200153.89349673226</v>
      </c>
      <c r="BQ197">
        <f t="shared" si="139"/>
        <v>267971.09377654659</v>
      </c>
      <c r="BR197" s="148">
        <f t="shared" si="140"/>
        <v>338696.51572073059</v>
      </c>
      <c r="BS197" s="156">
        <f t="shared" si="141"/>
        <v>751.04710593459083</v>
      </c>
      <c r="BT197" s="156">
        <f t="shared" si="142"/>
        <v>3586.4720281922669</v>
      </c>
      <c r="BU197">
        <f t="shared" si="143"/>
        <v>1439.0024451578538</v>
      </c>
      <c r="BV197">
        <f t="shared" si="144"/>
        <v>1439.0024451578538</v>
      </c>
      <c r="BW197" s="148">
        <f t="shared" si="145"/>
        <v>455.4</v>
      </c>
      <c r="BX197" s="148">
        <f t="shared" si="146"/>
        <v>3129354.9718154697</v>
      </c>
      <c r="BY197" s="148">
        <f t="shared" si="147"/>
        <v>0.18203380931246846</v>
      </c>
      <c r="BZ197">
        <f t="shared" si="130"/>
        <v>49.079466193186008</v>
      </c>
      <c r="CB197">
        <f t="shared" si="148"/>
        <v>687.95533922326297</v>
      </c>
      <c r="CC197" s="162">
        <f t="shared" si="131"/>
        <v>3195.3912716240325</v>
      </c>
      <c r="CD197">
        <f t="shared" ref="CD197:CD260" si="156">CB197+CD196</f>
        <v>69993.481465158402</v>
      </c>
    </row>
    <row r="198" spans="4:82" x14ac:dyDescent="0.2">
      <c r="D198" s="22">
        <f t="shared" si="121"/>
        <v>-4.7487407732836003E-2</v>
      </c>
      <c r="E198" s="23">
        <v>9.0017015999999987</v>
      </c>
      <c r="F198" s="23">
        <f>IF(K198&lt;6,1,IF(Data!K198&lt;9,2,IF(K198&gt;9,3)))</f>
        <v>3</v>
      </c>
      <c r="G198" s="23">
        <v>1100.7057417068199</v>
      </c>
      <c r="H198" s="23">
        <v>220.66666499999999</v>
      </c>
      <c r="I198" s="64">
        <v>42.484400994364812</v>
      </c>
      <c r="J198" s="65">
        <f t="shared" si="122"/>
        <v>-15.514697512459497</v>
      </c>
      <c r="K198" s="65">
        <f t="shared" si="123"/>
        <v>16.993760397745923</v>
      </c>
      <c r="L198" s="65">
        <f t="shared" si="124"/>
        <v>-6.2058790049837702</v>
      </c>
      <c r="M198">
        <f t="shared" si="125"/>
        <v>18.003403199999997</v>
      </c>
      <c r="N198">
        <f t="shared" si="126"/>
        <v>-9.9998399999998711E-2</v>
      </c>
      <c r="O198">
        <f>IF(L198&lt;'Vehicle Data'!F$21,'Vehicle Data'!C$21,IF(L198&gt;'Vehicle Data'!C$21,'Vehicle Data'!C$20))</f>
        <v>0.6</v>
      </c>
      <c r="P198">
        <f>('Vehicle Data'!C$6*9.81*'Vehicle Data'!C$5*SIN(D198))/'Vehicle Data'!C$9</f>
        <v>-31.61318673325453</v>
      </c>
      <c r="Q198" s="107">
        <f>'Vehicle Data'!C$6*9.81*SIN(D198)</f>
        <v>-204.43194087504597</v>
      </c>
      <c r="R198">
        <f t="shared" si="120"/>
        <v>1098.5606570518587</v>
      </c>
      <c r="S198">
        <f>IF(Data!O198=0.6,'Vehicle Data'!E$21,IF(Data!O198 = 0.9,'Vehicle Data'!E$20))+(P198*O198)</f>
        <v>1531.4044879600469</v>
      </c>
      <c r="T198">
        <f>IF(F198=3,'Vehicle Data'!H$16,IF(F198=2,'Vehicle Data'!H$15,IF(F198 = 1,'Vehicle Data'!G$14)))</f>
        <v>466.23005239380637</v>
      </c>
      <c r="U198" s="148">
        <f t="shared" si="127"/>
        <v>382.42217492854263</v>
      </c>
      <c r="V198" s="70" t="s">
        <v>77</v>
      </c>
      <c r="W198" s="99" t="s">
        <v>84</v>
      </c>
      <c r="X198">
        <f>IF(V198="S",'Vehicle Data'!C$14,IF(Data!V198 = "T1",'Vehicle Data'!P$2,IF(Data!V198="T2",'Vehicle Data'!P$3)))</f>
        <v>13.411199999999999</v>
      </c>
      <c r="Z198">
        <f t="shared" si="119"/>
        <v>10.428956325219037</v>
      </c>
      <c r="AB198" t="b">
        <f>IF(AA198=1,'Vehicle Data'!I$14,IF(AA198=2,'Vehicle Data'!I$15,IF(AA198=3,'Vehicle Data'!I$16)))</f>
        <v>0</v>
      </c>
      <c r="AC198">
        <f>IF(Z198&lt;'Vehicle Data'!C$16,'Vehicle Data'!I$15,IF(Z198&lt;'Vehicle Data'!C$15,'Vehicle Data'!I$15,IF(Z197&gt;'Vehicle Data'!C$15,'Vehicle Data'!I$16)))</f>
        <v>0.46202745420001456</v>
      </c>
      <c r="AD198">
        <f>IF(O198=0.6,'Vehicle Data'!F$21,IF(O198=0.9,'Vehicle Data'!F$20))</f>
        <v>3.5315999999999996</v>
      </c>
      <c r="AE198" s="100">
        <f t="shared" si="128"/>
        <v>0.46202745420001456</v>
      </c>
      <c r="AF198" s="158">
        <f t="shared" si="149"/>
        <v>0.2094111148869465</v>
      </c>
      <c r="AG198" s="148">
        <f t="shared" si="132"/>
        <v>0.46419077987369117</v>
      </c>
      <c r="AH198" s="148">
        <f t="shared" si="150"/>
        <v>49.288877308072955</v>
      </c>
      <c r="AJ198">
        <f>(Z198^2)*'Vehicle Data'!C$31</f>
        <v>39.970450287247374</v>
      </c>
      <c r="AK198">
        <f>IF(O198=0.6,'Vehicle Data'!C$6*'Vehicle Data'!D$21*9.81,IF(O198=0.9,'Vehicle Data'!C$6*9.81*'Vehicle Data'!D$20))</f>
        <v>86.131799999999998</v>
      </c>
      <c r="AL198">
        <f t="shared" si="129"/>
        <v>-78.329690587798595</v>
      </c>
      <c r="AN198">
        <f>IF(AG198&gt;0,AG198*'Vehicle Data'!C$6)</f>
        <v>203.77975236455043</v>
      </c>
      <c r="AO198">
        <f t="shared" si="133"/>
        <v>125.45006177675184</v>
      </c>
      <c r="AP198">
        <f>AO198*'Vehicle Data'!F$3</f>
        <v>32.06503579013777</v>
      </c>
      <c r="AQ198">
        <f>IF(AE198='Vehicle Data'!I$15,AP198/'Vehicle Data'!G$15,IF(AE198='Vehicle Data'!I$16,AP198/'Vehicle Data'!G$16,IF(AE198='Vehicle Data'!I$14,Data!AP198/'Vehicle Data'!G209)))</f>
        <v>5.9196127425036931</v>
      </c>
      <c r="AR198">
        <f>IF(Z198&lt;'Vehicle Data'!C$16, Z198*'Vehicle Data'!F$7*'Vehicle Data'!G$14,IF(Z198&lt;'Vehicle Data'!C$15,Z198*'Vehicle Data'!F$7*'Vehicle Data'!G$15,IF(Z198&gt;'Vehicle Data'!C$15,Z198*'Vehicle Data'!F$7*'Vehicle Data'!G$16)))</f>
        <v>90.723542358294139</v>
      </c>
      <c r="AS198">
        <f t="shared" si="151"/>
        <v>5443.4125414976479</v>
      </c>
      <c r="AT198">
        <f t="shared" si="152"/>
        <v>6</v>
      </c>
      <c r="AU198">
        <f t="shared" si="153"/>
        <v>5500</v>
      </c>
      <c r="AW198">
        <f>VLOOKUP(AT198,BSFC!A$64:A$82,1,FALSE)</f>
        <v>6</v>
      </c>
      <c r="AX198" t="e" cm="1">
        <f t="array" ref="AX198">_xlfn.XLOOKUP(AT198,BSFC!A$64:A$82,,-1,_xlfn.XLOOKUP(Data!AU198,BSFC!C$63:Q$63,BSFC!B$64:Q$82,,-1))</f>
        <v>#VALUE!</v>
      </c>
      <c r="AY198">
        <f>HLOOKUP(AU198,BSFC!F$63:Q$63,1)</f>
        <v>5500</v>
      </c>
      <c r="AZ198">
        <f>IF(AT198&gt;0,MATCH(AT198,BSFC!A$64:A$83,0),IF(AT198&lt;=0,0))</f>
        <v>17</v>
      </c>
      <c r="BA198">
        <f>MATCH(AU198,BSFC!C$63:Q$63,0)</f>
        <v>11</v>
      </c>
      <c r="BB198" cm="1">
        <f t="array" ref="BB198">IF(AZ198&gt;0,INDEX(BSFC!C$64:Q$83,Data!AZ198,Data!BA198))</f>
        <v>664</v>
      </c>
      <c r="BC198">
        <f>0.5*'Vehicle Data'!C$6*Data!Z198^2</f>
        <v>23873.507042315094</v>
      </c>
      <c r="BD198">
        <f t="shared" si="134"/>
        <v>8.9363363461116343</v>
      </c>
      <c r="BE198">
        <f t="shared" si="154"/>
        <v>5933.7273338181249</v>
      </c>
      <c r="BF198">
        <f t="shared" si="155"/>
        <v>0.34516346011388949</v>
      </c>
      <c r="BG198">
        <f t="shared" si="135"/>
        <v>50.760226822093202</v>
      </c>
      <c r="BH198">
        <f t="shared" si="118"/>
        <v>3360.752424212963</v>
      </c>
      <c r="BI198" s="148">
        <f t="shared" si="136"/>
        <v>6871.6622130335309</v>
      </c>
      <c r="BO198">
        <f t="shared" si="137"/>
        <v>685.0437255458354</v>
      </c>
      <c r="BP198">
        <f t="shared" si="138"/>
        <v>200838.93722227809</v>
      </c>
      <c r="BQ198">
        <f t="shared" si="139"/>
        <v>268656.1375020924</v>
      </c>
      <c r="BR198" s="148">
        <f t="shared" si="140"/>
        <v>340097.21071069594</v>
      </c>
      <c r="BS198" s="156">
        <f t="shared" si="141"/>
        <v>685.0437255458354</v>
      </c>
      <c r="BT198" s="156">
        <f t="shared" si="142"/>
        <v>3360.752424212963</v>
      </c>
      <c r="BU198">
        <f t="shared" si="143"/>
        <v>1400.6949899653582</v>
      </c>
      <c r="BV198">
        <f t="shared" si="144"/>
        <v>1400.6949899653582</v>
      </c>
      <c r="BW198" s="148">
        <f t="shared" si="145"/>
        <v>455.4</v>
      </c>
      <c r="BX198" s="148">
        <f t="shared" si="146"/>
        <v>3129354.9718154697</v>
      </c>
      <c r="BY198" s="148">
        <f t="shared" si="147"/>
        <v>0.1771879162306178</v>
      </c>
      <c r="BZ198">
        <f t="shared" si="130"/>
        <v>49.288877308072955</v>
      </c>
      <c r="CB198">
        <f t="shared" si="148"/>
        <v>715.65126441952282</v>
      </c>
      <c r="CC198" s="162">
        <f t="shared" si="131"/>
        <v>3417.4464178077383</v>
      </c>
      <c r="CD198">
        <f t="shared" si="156"/>
        <v>70709.132729577919</v>
      </c>
    </row>
    <row r="199" spans="4:82" x14ac:dyDescent="0.2">
      <c r="D199" s="22">
        <f t="shared" si="121"/>
        <v>0</v>
      </c>
      <c r="E199" s="23">
        <v>8.9017032</v>
      </c>
      <c r="F199" s="23">
        <f>IF(K199&lt;6,1,IF(Data!K199&lt;9,2,IF(K199&gt;9,3)))</f>
        <v>3</v>
      </c>
      <c r="G199" s="23">
        <v>1102.8123210779918</v>
      </c>
      <c r="H199" s="23">
        <v>220.71666499999998</v>
      </c>
      <c r="I199" s="64">
        <v>41.708666118742102</v>
      </c>
      <c r="J199" s="65">
        <f t="shared" si="122"/>
        <v>-16.151301331152176</v>
      </c>
      <c r="K199" s="65">
        <f t="shared" si="123"/>
        <v>16.683466447496841</v>
      </c>
      <c r="L199" s="65">
        <f t="shared" si="124"/>
        <v>-6.4605205324608992</v>
      </c>
      <c r="M199">
        <f t="shared" si="125"/>
        <v>17.8034064</v>
      </c>
      <c r="N199">
        <f t="shared" si="126"/>
        <v>0</v>
      </c>
      <c r="O199">
        <f>IF(L199&lt;'Vehicle Data'!F$21,'Vehicle Data'!C$21,IF(L199&gt;'Vehicle Data'!C$21,'Vehicle Data'!C$20))</f>
        <v>0.6</v>
      </c>
      <c r="P199">
        <f>('Vehicle Data'!C$6*9.81*'Vehicle Data'!C$5*SIN(D199))/'Vehicle Data'!C$9</f>
        <v>0</v>
      </c>
      <c r="Q199" s="107">
        <f>'Vehicle Data'!C$6*9.81*SIN(D199)</f>
        <v>0</v>
      </c>
      <c r="R199">
        <f t="shared" si="120"/>
        <v>1100.7057417068199</v>
      </c>
      <c r="S199">
        <f>IF(Data!O199=0.6,'Vehicle Data'!E$21,IF(Data!O199 = 0.9,'Vehicle Data'!E$20))+(P199*O199)</f>
        <v>1550.3723999999997</v>
      </c>
      <c r="T199">
        <f>IF(F199=3,'Vehicle Data'!H$16,IF(F199=2,'Vehicle Data'!H$15,IF(F199 = 1,'Vehicle Data'!G$14)))</f>
        <v>466.23005239380637</v>
      </c>
      <c r="U199" s="148">
        <f t="shared" si="127"/>
        <v>384.56725958350387</v>
      </c>
      <c r="V199" s="70" t="s">
        <v>77</v>
      </c>
      <c r="W199" s="99" t="s">
        <v>84</v>
      </c>
      <c r="X199">
        <f>IF(V199="S",'Vehicle Data'!C$14,IF(Data!V199 = "T1",'Vehicle Data'!P$2,IF(Data!V199="T2",'Vehicle Data'!P$3)))</f>
        <v>13.411199999999999</v>
      </c>
      <c r="Z199">
        <f t="shared" si="119"/>
        <v>10.523559570681238</v>
      </c>
      <c r="AB199" t="b">
        <f>IF(AA199=1,'Vehicle Data'!I$14,IF(AA199=2,'Vehicle Data'!I$15,IF(AA199=3,'Vehicle Data'!I$16)))</f>
        <v>0</v>
      </c>
      <c r="AC199">
        <f>IF(Z199&lt;'Vehicle Data'!C$16,'Vehicle Data'!I$15,IF(Z199&lt;'Vehicle Data'!C$15,'Vehicle Data'!I$15,IF(Z198&gt;'Vehicle Data'!C$15,'Vehicle Data'!I$16)))</f>
        <v>0.46202745420001456</v>
      </c>
      <c r="AD199">
        <f>IF(O199=0.6,'Vehicle Data'!F$21,IF(O199=0.9,'Vehicle Data'!F$20))</f>
        <v>3.5315999999999996</v>
      </c>
      <c r="AE199" s="100">
        <f t="shared" si="128"/>
        <v>0.46202745420001456</v>
      </c>
      <c r="AF199" s="158">
        <f t="shared" si="149"/>
        <v>0.20383641490826632</v>
      </c>
      <c r="AG199" s="148">
        <f t="shared" si="132"/>
        <v>0.46411356628684747</v>
      </c>
      <c r="AH199" s="148">
        <f t="shared" si="150"/>
        <v>49.492713722981222</v>
      </c>
      <c r="AJ199">
        <f>(Z199^2)*'Vehicle Data'!C$31</f>
        <v>40.698899968846192</v>
      </c>
      <c r="AK199">
        <f>IF(O199=0.6,'Vehicle Data'!C$6*'Vehicle Data'!D$21*9.81,IF(O199=0.9,'Vehicle Data'!C$6*9.81*'Vehicle Data'!D$20))</f>
        <v>86.131799999999998</v>
      </c>
      <c r="AL199">
        <f t="shared" si="129"/>
        <v>126.83069996884619</v>
      </c>
      <c r="AN199">
        <f>IF(AG199&gt;0,AG199*'Vehicle Data'!C$6)</f>
        <v>203.74585559992605</v>
      </c>
      <c r="AO199">
        <f t="shared" si="133"/>
        <v>330.57655556877222</v>
      </c>
      <c r="AP199">
        <f>AO199*'Vehicle Data'!F$3</f>
        <v>84.495367603378185</v>
      </c>
      <c r="AQ199">
        <f>IF(AE199='Vehicle Data'!I$15,AP199/'Vehicle Data'!G$15,IF(AE199='Vehicle Data'!I$16,AP199/'Vehicle Data'!G$16,IF(AE199='Vehicle Data'!I$14,Data!AP199/'Vehicle Data'!G210)))</f>
        <v>15.598917712773341</v>
      </c>
      <c r="AR199">
        <f>IF(Z199&lt;'Vehicle Data'!C$16, Z199*'Vehicle Data'!F$7*'Vehicle Data'!G$14,IF(Z199&lt;'Vehicle Data'!C$15,Z199*'Vehicle Data'!F$7*'Vehicle Data'!G$15,IF(Z199&gt;'Vehicle Data'!C$15,Z199*'Vehicle Data'!F$7*'Vehicle Data'!G$16)))</f>
        <v>91.54651459820731</v>
      </c>
      <c r="AS199">
        <f t="shared" si="151"/>
        <v>5492.7908758924386</v>
      </c>
      <c r="AT199">
        <f t="shared" si="152"/>
        <v>16</v>
      </c>
      <c r="AU199">
        <f t="shared" si="153"/>
        <v>5500</v>
      </c>
      <c r="AW199">
        <f>VLOOKUP(AT199,BSFC!A$64:A$82,1,FALSE)</f>
        <v>16</v>
      </c>
      <c r="AX199" t="e" cm="1">
        <f t="array" ref="AX199">_xlfn.XLOOKUP(AT199,BSFC!A$64:A$82,,-1,_xlfn.XLOOKUP(Data!AU199,BSFC!C$63:Q$63,BSFC!B$64:Q$82,,-1))</f>
        <v>#VALUE!</v>
      </c>
      <c r="AY199">
        <f>HLOOKUP(AU199,BSFC!F$63:Q$63,1)</f>
        <v>5500</v>
      </c>
      <c r="AZ199">
        <f>IF(AT199&gt;0,MATCH(AT199,BSFC!A$64:A$83,0),IF(AT199&lt;=0,0))</f>
        <v>7</v>
      </c>
      <c r="BA199">
        <f>MATCH(AU199,BSFC!C$63:Q$63,0)</f>
        <v>11</v>
      </c>
      <c r="BB199" cm="1">
        <f t="array" ref="BB199">IF(AZ199&gt;0,INDEX(BSFC!C$64:Q$83,Data!AZ199,Data!BA199))</f>
        <v>632.5</v>
      </c>
      <c r="BC199">
        <f>0.5*'Vehicle Data'!C$6*Data!Z199^2</f>
        <v>24308.594675270033</v>
      </c>
      <c r="BD199">
        <f t="shared" si="134"/>
        <v>9.033160285996761</v>
      </c>
      <c r="BE199">
        <f t="shared" si="154"/>
        <v>5713.4738808929515</v>
      </c>
      <c r="BF199">
        <f t="shared" si="155"/>
        <v>0.32350389793145506</v>
      </c>
      <c r="BG199">
        <f t="shared" si="135"/>
        <v>51.083730720024654</v>
      </c>
      <c r="BH199">
        <f t="shared" si="118"/>
        <v>8936.3363461116351</v>
      </c>
      <c r="BI199" s="148">
        <f t="shared" si="136"/>
        <v>6871.6622130335309</v>
      </c>
      <c r="BO199">
        <f t="shared" si="137"/>
        <v>1773.3357964277175</v>
      </c>
      <c r="BP199">
        <f t="shared" si="138"/>
        <v>202612.2730187058</v>
      </c>
      <c r="BQ199">
        <f t="shared" si="139"/>
        <v>270429.47329852014</v>
      </c>
      <c r="BR199" s="148">
        <f t="shared" si="140"/>
        <v>341460.83044381335</v>
      </c>
      <c r="BS199" s="156">
        <f t="shared" si="141"/>
        <v>1773.3357964277175</v>
      </c>
      <c r="BT199" s="156">
        <f t="shared" si="142"/>
        <v>8936.3363461116351</v>
      </c>
      <c r="BU199">
        <f t="shared" si="143"/>
        <v>1363.6197331173998</v>
      </c>
      <c r="BV199">
        <f t="shared" si="144"/>
        <v>1363.6197331173998</v>
      </c>
      <c r="BW199" s="148">
        <f t="shared" si="145"/>
        <v>455.4</v>
      </c>
      <c r="BX199" s="148">
        <f t="shared" si="146"/>
        <v>3129354.9718154697</v>
      </c>
      <c r="BY199" s="148">
        <f t="shared" si="147"/>
        <v>0.17249789623935105</v>
      </c>
      <c r="BZ199">
        <f t="shared" si="130"/>
        <v>49.492713722981222</v>
      </c>
      <c r="CB199">
        <f t="shared" si="148"/>
        <v>-409.71606331031762</v>
      </c>
      <c r="CC199" s="162">
        <f t="shared" si="131"/>
        <v>-2010.0238884926603</v>
      </c>
      <c r="CD199">
        <f t="shared" si="156"/>
        <v>70299.4166662676</v>
      </c>
    </row>
    <row r="200" spans="4:82" x14ac:dyDescent="0.2">
      <c r="D200" s="22">
        <f t="shared" si="121"/>
        <v>0</v>
      </c>
      <c r="E200" s="23">
        <v>8.9017032</v>
      </c>
      <c r="F200" s="23">
        <f>IF(K200&lt;6,1,IF(Data!K200&lt;9,2,IF(K200&gt;9,3)))</f>
        <v>3</v>
      </c>
      <c r="G200" s="23">
        <v>1104.879291955901</v>
      </c>
      <c r="H200" s="23">
        <v>220.76666499999999</v>
      </c>
      <c r="I200" s="64">
        <v>40.901101052184309</v>
      </c>
      <c r="J200" s="65">
        <f t="shared" si="122"/>
        <v>-15.75517953777077</v>
      </c>
      <c r="K200" s="65">
        <f t="shared" si="123"/>
        <v>16.360440420873722</v>
      </c>
      <c r="L200" s="65">
        <f t="shared" si="124"/>
        <v>-6.3020718151082518</v>
      </c>
      <c r="M200">
        <f t="shared" si="125"/>
        <v>17.8034064</v>
      </c>
      <c r="N200">
        <f t="shared" si="126"/>
        <v>0</v>
      </c>
      <c r="O200">
        <f>IF(L200&lt;'Vehicle Data'!F$21,'Vehicle Data'!C$21,IF(L200&gt;'Vehicle Data'!C$21,'Vehicle Data'!C$20))</f>
        <v>0.6</v>
      </c>
      <c r="P200">
        <f>('Vehicle Data'!C$6*9.81*'Vehicle Data'!C$5*SIN(D200))/'Vehicle Data'!C$9</f>
        <v>0</v>
      </c>
      <c r="Q200" s="107">
        <f>'Vehicle Data'!C$6*9.81*SIN(D200)</f>
        <v>0</v>
      </c>
      <c r="R200">
        <f t="shared" si="120"/>
        <v>1102.8123210779918</v>
      </c>
      <c r="S200">
        <f>IF(Data!O200=0.6,'Vehicle Data'!E$21,IF(Data!O200 = 0.9,'Vehicle Data'!E$20))+(P200*O200)</f>
        <v>1550.3723999999997</v>
      </c>
      <c r="T200">
        <f>IF(F200=3,'Vehicle Data'!H$16,IF(F200=2,'Vehicle Data'!H$15,IF(F200 = 1,'Vehicle Data'!G$14)))</f>
        <v>466.23005239380637</v>
      </c>
      <c r="U200" s="148">
        <f t="shared" si="127"/>
        <v>386.67383895467572</v>
      </c>
      <c r="V200" s="70" t="s">
        <v>77</v>
      </c>
      <c r="W200" s="99" t="s">
        <v>84</v>
      </c>
      <c r="X200">
        <f>IF(V200="S",'Vehicle Data'!C$14,IF(Data!V200 = "T1",'Vehicle Data'!P$2,IF(Data!V200="T2",'Vehicle Data'!P$3)))</f>
        <v>13.411199999999999</v>
      </c>
      <c r="Z200">
        <f t="shared" si="119"/>
        <v>10.615644165360022</v>
      </c>
      <c r="AB200" t="b">
        <f>IF(AA200=1,'Vehicle Data'!I$14,IF(AA200=2,'Vehicle Data'!I$15,IF(AA200=3,'Vehicle Data'!I$16)))</f>
        <v>0</v>
      </c>
      <c r="AC200">
        <f>IF(Z200&lt;'Vehicle Data'!C$16,'Vehicle Data'!I$15,IF(Z200&lt;'Vehicle Data'!C$15,'Vehicle Data'!I$15,IF(Z199&gt;'Vehicle Data'!C$15,'Vehicle Data'!I$16)))</f>
        <v>0.46202745420001456</v>
      </c>
      <c r="AD200">
        <f>IF(O200=0.6,'Vehicle Data'!F$21,IF(O200=0.9,'Vehicle Data'!F$20))</f>
        <v>3.5315999999999996</v>
      </c>
      <c r="AE200" s="100">
        <f t="shared" si="128"/>
        <v>0.46202745420001456</v>
      </c>
      <c r="AF200" s="158">
        <f t="shared" si="149"/>
        <v>0.19844103083690764</v>
      </c>
      <c r="AG200" s="148">
        <f t="shared" si="132"/>
        <v>0.46404009438181998</v>
      </c>
      <c r="AH200" s="148">
        <f t="shared" si="150"/>
        <v>49.691154753818132</v>
      </c>
      <c r="AJ200">
        <f>(Z200^2)*'Vehicle Data'!C$31</f>
        <v>41.4142736342368</v>
      </c>
      <c r="AK200">
        <f>IF(O200=0.6,'Vehicle Data'!C$6*'Vehicle Data'!D$21*9.81,IF(O200=0.9,'Vehicle Data'!C$6*9.81*'Vehicle Data'!D$20))</f>
        <v>86.131799999999998</v>
      </c>
      <c r="AL200">
        <f t="shared" si="129"/>
        <v>127.54607363423679</v>
      </c>
      <c r="AN200">
        <f>IF(AG200&gt;0,AG200*'Vehicle Data'!C$6)</f>
        <v>203.71360143361898</v>
      </c>
      <c r="AO200">
        <f t="shared" si="133"/>
        <v>331.25967506785577</v>
      </c>
      <c r="AP200">
        <f>AO200*'Vehicle Data'!F$3</f>
        <v>84.669972947343936</v>
      </c>
      <c r="AQ200">
        <f>IF(AE200='Vehicle Data'!I$15,AP200/'Vehicle Data'!G$15,IF(AE200='Vehicle Data'!I$16,AP200/'Vehicle Data'!G$16,IF(AE200='Vehicle Data'!I$14,Data!AP200/'Vehicle Data'!G211)))</f>
        <v>15.631152076265517</v>
      </c>
      <c r="AR200">
        <f>IF(Z200&lt;'Vehicle Data'!C$16, Z200*'Vehicle Data'!F$7*'Vehicle Data'!G$14,IF(Z200&lt;'Vehicle Data'!C$15,Z200*'Vehicle Data'!F$7*'Vehicle Data'!G$15,IF(Z200&gt;'Vehicle Data'!C$15,Z200*'Vehicle Data'!F$7*'Vehicle Data'!G$16)))</f>
        <v>92.347576599558792</v>
      </c>
      <c r="AS200">
        <f t="shared" si="151"/>
        <v>5540.8545959735275</v>
      </c>
      <c r="AT200">
        <f t="shared" si="152"/>
        <v>16</v>
      </c>
      <c r="AU200">
        <f t="shared" si="153"/>
        <v>5500</v>
      </c>
      <c r="AW200">
        <f>VLOOKUP(AT200,BSFC!A$64:A$82,1,FALSE)</f>
        <v>16</v>
      </c>
      <c r="AX200" t="e" cm="1">
        <f t="array" ref="AX200">_xlfn.XLOOKUP(AT200,BSFC!A$64:A$82,,-1,_xlfn.XLOOKUP(Data!AU200,BSFC!C$63:Q$63,BSFC!B$64:Q$82,,-1))</f>
        <v>#VALUE!</v>
      </c>
      <c r="AY200">
        <f>HLOOKUP(AU200,BSFC!F$63:Q$63,1)</f>
        <v>5500</v>
      </c>
      <c r="AZ200">
        <f>IF(AT200&gt;0,MATCH(AT200,BSFC!A$64:A$83,0),IF(AT200&lt;=0,0))</f>
        <v>7</v>
      </c>
      <c r="BA200">
        <f>MATCH(AU200,BSFC!C$63:Q$63,0)</f>
        <v>11</v>
      </c>
      <c r="BB200" cm="1">
        <f t="array" ref="BB200">IF(AZ200&gt;0,INDEX(BSFC!C$64:Q$83,Data!AZ200,Data!BA200))</f>
        <v>632.5</v>
      </c>
      <c r="BC200">
        <f>0.5*'Vehicle Data'!C$6*Data!Z200^2</f>
        <v>24735.872279496532</v>
      </c>
      <c r="BD200">
        <f t="shared" si="134"/>
        <v>3.1735043426934615</v>
      </c>
      <c r="BE200">
        <f t="shared" si="154"/>
        <v>2007.2414967536145</v>
      </c>
      <c r="BF200">
        <f t="shared" si="155"/>
        <v>0.11064418659844574</v>
      </c>
      <c r="BG200">
        <f t="shared" si="135"/>
        <v>51.194374906623096</v>
      </c>
      <c r="BH200">
        <f t="shared" si="118"/>
        <v>9033.1602859967606</v>
      </c>
      <c r="BI200" s="148">
        <f t="shared" si="136"/>
        <v>6871.6622130335309</v>
      </c>
      <c r="BO200">
        <f t="shared" si="137"/>
        <v>1744.1272745118531</v>
      </c>
      <c r="BP200">
        <f t="shared" si="138"/>
        <v>204356.40029321765</v>
      </c>
      <c r="BQ200">
        <f t="shared" si="139"/>
        <v>272173.60057303199</v>
      </c>
      <c r="BR200" s="148">
        <f t="shared" si="140"/>
        <v>342787.6145489912</v>
      </c>
      <c r="BS200" s="156">
        <f t="shared" si="141"/>
        <v>1744.1272745118531</v>
      </c>
      <c r="BT200" s="156">
        <f t="shared" si="142"/>
        <v>9033.1602859967606</v>
      </c>
      <c r="BU200">
        <f t="shared" si="143"/>
        <v>1326.7841051778453</v>
      </c>
      <c r="BV200">
        <f t="shared" si="144"/>
        <v>1326.7841051778453</v>
      </c>
      <c r="BW200" s="148">
        <f t="shared" si="145"/>
        <v>455.4</v>
      </c>
      <c r="BX200" s="148">
        <f t="shared" si="146"/>
        <v>3129354.9718154697</v>
      </c>
      <c r="BY200" s="148">
        <f t="shared" si="147"/>
        <v>0.16783818930499739</v>
      </c>
      <c r="BZ200">
        <f t="shared" si="130"/>
        <v>49.691154753818132</v>
      </c>
      <c r="CB200">
        <f t="shared" si="148"/>
        <v>-417.34316933400783</v>
      </c>
      <c r="CC200" s="162">
        <f t="shared" si="131"/>
        <v>-2103.109259077587</v>
      </c>
      <c r="CD200">
        <f t="shared" si="156"/>
        <v>69882.07349693359</v>
      </c>
    </row>
    <row r="201" spans="4:82" x14ac:dyDescent="0.2">
      <c r="D201" s="22">
        <f t="shared" si="121"/>
        <v>-5.0299252407294326E-2</v>
      </c>
      <c r="E201" s="23">
        <v>8.9017032</v>
      </c>
      <c r="F201" s="23">
        <f>IF(K201&lt;6,1,IF(Data!K201&lt;9,2,IF(K201&gt;9,3)))</f>
        <v>3</v>
      </c>
      <c r="G201" s="23">
        <v>1106.9056818946522</v>
      </c>
      <c r="H201" s="23">
        <v>220.816665</v>
      </c>
      <c r="I201" s="64">
        <v>40.113342075295591</v>
      </c>
      <c r="J201" s="65">
        <f t="shared" si="122"/>
        <v>-14.761745665986926</v>
      </c>
      <c r="K201" s="65">
        <f t="shared" si="123"/>
        <v>16.045336830118238</v>
      </c>
      <c r="L201" s="65">
        <f t="shared" si="124"/>
        <v>-5.9046982663947984</v>
      </c>
      <c r="M201">
        <f t="shared" si="125"/>
        <v>17.8034064</v>
      </c>
      <c r="N201">
        <f t="shared" si="126"/>
        <v>-9.9998400000000487E-2</v>
      </c>
      <c r="O201">
        <f>IF(L201&lt;'Vehicle Data'!F$21,'Vehicle Data'!C$21,IF(L201&gt;'Vehicle Data'!C$21,'Vehicle Data'!C$20))</f>
        <v>0.6</v>
      </c>
      <c r="P201">
        <f>('Vehicle Data'!C$6*9.81*'Vehicle Data'!C$5*SIN(D201))/'Vehicle Data'!C$9</f>
        <v>-33.483545527756249</v>
      </c>
      <c r="Q201" s="107">
        <f>'Vehicle Data'!C$6*9.81*SIN(D201)</f>
        <v>-216.52692774615704</v>
      </c>
      <c r="R201">
        <f t="shared" si="120"/>
        <v>1104.879291955901</v>
      </c>
      <c r="S201">
        <f>IF(Data!O201=0.6,'Vehicle Data'!E$21,IF(Data!O201 = 0.9,'Vehicle Data'!E$20))+(P201*O201)</f>
        <v>1530.282272683346</v>
      </c>
      <c r="T201">
        <f>IF(F201=3,'Vehicle Data'!H$16,IF(F201=2,'Vehicle Data'!H$15,IF(F201 = 1,'Vehicle Data'!G$14)))</f>
        <v>466.23005239380637</v>
      </c>
      <c r="U201" s="148">
        <f t="shared" si="127"/>
        <v>388.74080983258489</v>
      </c>
      <c r="V201" s="70" t="s">
        <v>77</v>
      </c>
      <c r="W201" s="99" t="s">
        <v>84</v>
      </c>
      <c r="X201">
        <f>IF(V201="S",'Vehicle Data'!C$14,IF(Data!V201 = "T1",'Vehicle Data'!P$2,IF(Data!V201="T2",'Vehicle Data'!P$3)))</f>
        <v>13.411199999999999</v>
      </c>
      <c r="Z201">
        <f t="shared" si="119"/>
        <v>10.705227490847365</v>
      </c>
      <c r="AB201" t="b">
        <f>IF(AA201=1,'Vehicle Data'!I$14,IF(AA201=2,'Vehicle Data'!I$15,IF(AA201=3,'Vehicle Data'!I$16)))</f>
        <v>0</v>
      </c>
      <c r="AC201">
        <f>IF(Z201&lt;'Vehicle Data'!C$16,'Vehicle Data'!I$15,IF(Z201&lt;'Vehicle Data'!C$15,'Vehicle Data'!I$15,IF(Z200&gt;'Vehicle Data'!C$15,'Vehicle Data'!I$16)))</f>
        <v>0.46202745420001456</v>
      </c>
      <c r="AD201">
        <f>IF(O201=0.6,'Vehicle Data'!F$21,IF(O201=0.9,'Vehicle Data'!F$20))</f>
        <v>3.5315999999999996</v>
      </c>
      <c r="AE201" s="100">
        <f t="shared" si="128"/>
        <v>0.46202745420001456</v>
      </c>
      <c r="AF201" s="158">
        <f t="shared" si="149"/>
        <v>0.19308051880974655</v>
      </c>
      <c r="AG201" s="148">
        <f t="shared" si="132"/>
        <v>0.46396874236501662</v>
      </c>
      <c r="AH201" s="148">
        <f t="shared" si="150"/>
        <v>49.884235272627876</v>
      </c>
      <c r="AJ201">
        <f>(Z201^2)*'Vehicle Data'!C$31</f>
        <v>42.116196644316872</v>
      </c>
      <c r="AK201">
        <f>IF(O201=0.6,'Vehicle Data'!C$6*'Vehicle Data'!D$21*9.81,IF(O201=0.9,'Vehicle Data'!C$6*9.81*'Vehicle Data'!D$20))</f>
        <v>86.131799999999998</v>
      </c>
      <c r="AL201">
        <f t="shared" si="129"/>
        <v>-88.278931101840186</v>
      </c>
      <c r="AN201">
        <f>IF(AG201&gt;0,AG201*'Vehicle Data'!C$6)</f>
        <v>203.68227789824229</v>
      </c>
      <c r="AO201">
        <f t="shared" si="133"/>
        <v>115.4033467964021</v>
      </c>
      <c r="AP201">
        <f>AO201*'Vehicle Data'!F$3</f>
        <v>29.497095441160376</v>
      </c>
      <c r="AQ201">
        <f>IF(AE201='Vehicle Data'!I$15,AP201/'Vehicle Data'!G$15,IF(AE201='Vehicle Data'!I$16,AP201/'Vehicle Data'!G$16,IF(AE201='Vehicle Data'!I$14,Data!AP201/'Vehicle Data'!G212)))</f>
        <v>5.4455383484725655</v>
      </c>
      <c r="AR201">
        <f>IF(Z201&lt;'Vehicle Data'!C$16, Z201*'Vehicle Data'!F$7*'Vehicle Data'!G$14,IF(Z201&lt;'Vehicle Data'!C$15,Z201*'Vehicle Data'!F$7*'Vehicle Data'!G$15,IF(Z201&gt;'Vehicle Data'!C$15,Z201*'Vehicle Data'!F$7*'Vehicle Data'!G$16)))</f>
        <v>93.12687956823595</v>
      </c>
      <c r="AS201">
        <f t="shared" si="151"/>
        <v>5587.6127740941574</v>
      </c>
      <c r="AT201">
        <f t="shared" si="152"/>
        <v>5</v>
      </c>
      <c r="AU201">
        <f t="shared" si="153"/>
        <v>5500</v>
      </c>
      <c r="AW201">
        <f>VLOOKUP(AT201,BSFC!A$64:A$82,1,FALSE)</f>
        <v>5</v>
      </c>
      <c r="AX201" t="e" cm="1">
        <f t="array" ref="AX201">_xlfn.XLOOKUP(AT201,BSFC!A$64:A$82,,-1,_xlfn.XLOOKUP(Data!AU201,BSFC!C$63:Q$63,BSFC!B$64:Q$82,,-1))</f>
        <v>#VALUE!</v>
      </c>
      <c r="AY201">
        <f>HLOOKUP(AU201,BSFC!F$63:Q$63,1)</f>
        <v>5500</v>
      </c>
      <c r="AZ201">
        <f>IF(AT201&gt;0,MATCH(AT201,BSFC!A$64:A$83,0),IF(AT201&lt;=0,0))</f>
        <v>18</v>
      </c>
      <c r="BA201">
        <f>MATCH(AU201,BSFC!C$63:Q$63,0)</f>
        <v>11</v>
      </c>
      <c r="BB201" cm="1">
        <f t="array" ref="BB201">IF(AZ201&gt;0,INDEX(BSFC!C$64:Q$83,Data!AZ201,Data!BA201))</f>
        <v>666.9</v>
      </c>
      <c r="BC201">
        <f>0.5*'Vehicle Data'!C$6*Data!Z201^2</f>
        <v>25155.11609095932</v>
      </c>
      <c r="BD201">
        <f t="shared" si="134"/>
        <v>8.2532119062426599</v>
      </c>
      <c r="BE201">
        <f t="shared" si="154"/>
        <v>5504.0670202732299</v>
      </c>
      <c r="BF201">
        <f t="shared" si="155"/>
        <v>0.29520225439943637</v>
      </c>
      <c r="BG201">
        <f t="shared" si="135"/>
        <v>51.489577161022531</v>
      </c>
      <c r="BH201">
        <f t="shared" si="118"/>
        <v>3173.5043426934617</v>
      </c>
      <c r="BI201" s="148">
        <f t="shared" si="136"/>
        <v>6871.6622130335309</v>
      </c>
      <c r="BO201">
        <f t="shared" si="137"/>
        <v>595.8636503839665</v>
      </c>
      <c r="BP201">
        <f t="shared" si="138"/>
        <v>204952.26394360163</v>
      </c>
      <c r="BQ201">
        <f t="shared" si="139"/>
        <v>272769.46422341594</v>
      </c>
      <c r="BR201" s="148">
        <f t="shared" si="140"/>
        <v>344077.851866577</v>
      </c>
      <c r="BS201" s="156">
        <f t="shared" si="141"/>
        <v>595.8636503839665</v>
      </c>
      <c r="BT201" s="156">
        <f t="shared" si="142"/>
        <v>3173.5043426934617</v>
      </c>
      <c r="BU201">
        <f t="shared" si="143"/>
        <v>1290.2373175858083</v>
      </c>
      <c r="BV201">
        <f t="shared" si="144"/>
        <v>1290.2373175858083</v>
      </c>
      <c r="BW201" s="148">
        <f t="shared" si="145"/>
        <v>455.4</v>
      </c>
      <c r="BX201" s="148">
        <f t="shared" si="146"/>
        <v>3129354.9718154697</v>
      </c>
      <c r="BY201" s="148">
        <f t="shared" si="147"/>
        <v>0.16321502067460472</v>
      </c>
      <c r="BZ201">
        <f t="shared" si="130"/>
        <v>49.884235272627876</v>
      </c>
      <c r="CB201">
        <f t="shared" si="148"/>
        <v>694.37366720184184</v>
      </c>
      <c r="CC201" s="162">
        <f t="shared" si="131"/>
        <v>3596.29066403151</v>
      </c>
      <c r="CD201">
        <f t="shared" si="156"/>
        <v>70576.447164135432</v>
      </c>
    </row>
    <row r="202" spans="4:82" x14ac:dyDescent="0.2">
      <c r="D202" s="22">
        <f t="shared" si="121"/>
        <v>-8.1005036960945555E-3</v>
      </c>
      <c r="E202" s="23">
        <v>8.8017047999999996</v>
      </c>
      <c r="F202" s="23">
        <f>IF(K202&lt;6,1,IF(Data!K202&lt;9,2,IF(K202&gt;9,3)))</f>
        <v>3</v>
      </c>
      <c r="G202" s="23">
        <v>1108.8945897590859</v>
      </c>
      <c r="H202" s="23">
        <v>220.86666499999998</v>
      </c>
      <c r="I202" s="64">
        <v>39.375254791996497</v>
      </c>
      <c r="J202" s="65">
        <f t="shared" si="122"/>
        <v>-15.764286745606849</v>
      </c>
      <c r="K202" s="65">
        <f t="shared" si="123"/>
        <v>15.750101916798599</v>
      </c>
      <c r="L202" s="65">
        <f t="shared" si="124"/>
        <v>-6.3057146982427401</v>
      </c>
      <c r="M202">
        <f t="shared" si="125"/>
        <v>17.603409599999999</v>
      </c>
      <c r="N202">
        <f t="shared" si="126"/>
        <v>-1.5802241894833813E-2</v>
      </c>
      <c r="O202">
        <f>IF(L202&lt;'Vehicle Data'!F$21,'Vehicle Data'!C$21,IF(L202&gt;'Vehicle Data'!C$21,'Vehicle Data'!C$20))</f>
        <v>0.6</v>
      </c>
      <c r="P202">
        <f>('Vehicle Data'!C$6*9.81*'Vehicle Data'!C$5*SIN(D202))/'Vehicle Data'!C$9</f>
        <v>-5.394613406118677</v>
      </c>
      <c r="Q202" s="107">
        <f>'Vehicle Data'!C$6*9.81*SIN(D202)</f>
        <v>-34.885166692900775</v>
      </c>
      <c r="R202">
        <f t="shared" si="120"/>
        <v>1106.9056818946522</v>
      </c>
      <c r="S202">
        <f>IF(Data!O202=0.6,'Vehicle Data'!E$21,IF(Data!O202 = 0.9,'Vehicle Data'!E$20))+(P202*O202)</f>
        <v>1547.1356319563286</v>
      </c>
      <c r="T202">
        <f>IF(F202=3,'Vehicle Data'!H$16,IF(F202=2,'Vehicle Data'!H$15,IF(F202 = 1,'Vehicle Data'!G$14)))</f>
        <v>466.23005239380637</v>
      </c>
      <c r="U202" s="148">
        <f t="shared" si="127"/>
        <v>390.7671997713361</v>
      </c>
      <c r="V202" s="70" t="s">
        <v>77</v>
      </c>
      <c r="W202" s="99" t="s">
        <v>84</v>
      </c>
      <c r="X202">
        <f>IF(V202="S",'Vehicle Data'!C$14,IF(Data!V202 = "T1",'Vehicle Data'!P$2,IF(Data!V202="T2",'Vehicle Data'!P$3)))</f>
        <v>13.411199999999999</v>
      </c>
      <c r="Z202">
        <f t="shared" si="119"/>
        <v>10.792330202510932</v>
      </c>
      <c r="AB202" t="b">
        <f>IF(AA202=1,'Vehicle Data'!I$14,IF(AA202=2,'Vehicle Data'!I$15,IF(AA202=3,'Vehicle Data'!I$16)))</f>
        <v>0</v>
      </c>
      <c r="AC202">
        <f>IF(Z202&lt;'Vehicle Data'!C$16,'Vehicle Data'!I$15,IF(Z202&lt;'Vehicle Data'!C$15,'Vehicle Data'!I$15,IF(Z201&gt;'Vehicle Data'!C$15,'Vehicle Data'!I$16)))</f>
        <v>0.46202745420001456</v>
      </c>
      <c r="AD202">
        <f>IF(O202=0.6,'Vehicle Data'!F$21,IF(O202=0.9,'Vehicle Data'!F$20))</f>
        <v>3.5315999999999996</v>
      </c>
      <c r="AE202" s="100">
        <f t="shared" si="128"/>
        <v>0.46202745420001456</v>
      </c>
      <c r="AF202" s="158">
        <f t="shared" si="149"/>
        <v>0.1877620403311743</v>
      </c>
      <c r="AG202" s="148">
        <f t="shared" si="132"/>
        <v>0.46389947355671785</v>
      </c>
      <c r="AH202" s="148">
        <f t="shared" si="150"/>
        <v>50.071997312959049</v>
      </c>
      <c r="AJ202">
        <f>(Z202^2)*'Vehicle Data'!C$31</f>
        <v>42.804338766010915</v>
      </c>
      <c r="AK202">
        <f>IF(O202=0.6,'Vehicle Data'!C$6*'Vehicle Data'!D$21*9.81,IF(O202=0.9,'Vehicle Data'!C$6*9.81*'Vehicle Data'!D$20))</f>
        <v>86.131799999999998</v>
      </c>
      <c r="AL202">
        <f t="shared" si="129"/>
        <v>94.050972073110131</v>
      </c>
      <c r="AN202">
        <f>IF(AG202&gt;0,AG202*'Vehicle Data'!C$6)</f>
        <v>203.65186889139915</v>
      </c>
      <c r="AO202">
        <f t="shared" si="133"/>
        <v>297.70284096450928</v>
      </c>
      <c r="AP202">
        <f>AO202*'Vehicle Data'!F$3</f>
        <v>76.092846150528572</v>
      </c>
      <c r="AQ202">
        <f>IF(AE202='Vehicle Data'!I$15,AP202/'Vehicle Data'!G$15,IF(AE202='Vehicle Data'!I$16,AP202/'Vehicle Data'!G$16,IF(AE202='Vehicle Data'!I$14,Data!AP202/'Vehicle Data'!G213)))</f>
        <v>14.047705564220317</v>
      </c>
      <c r="AR202">
        <f>IF(Z202&lt;'Vehicle Data'!C$16, Z202*'Vehicle Data'!F$7*'Vehicle Data'!G$14,IF(Z202&lt;'Vehicle Data'!C$15,Z202*'Vehicle Data'!F$7*'Vehicle Data'!G$15,IF(Z202&gt;'Vehicle Data'!C$15,Z202*'Vehicle Data'!F$7*'Vehicle Data'!G$16)))</f>
        <v>93.884603189344901</v>
      </c>
      <c r="AS202">
        <f t="shared" si="151"/>
        <v>5633.0761913606939</v>
      </c>
      <c r="AT202">
        <f t="shared" si="152"/>
        <v>14</v>
      </c>
      <c r="AU202">
        <f t="shared" si="153"/>
        <v>5500</v>
      </c>
      <c r="AW202">
        <f>VLOOKUP(AT202,BSFC!A$64:A$82,1,FALSE)</f>
        <v>14</v>
      </c>
      <c r="AX202" t="e" cm="1">
        <f t="array" ref="AX202">_xlfn.XLOOKUP(AT202,BSFC!A$64:A$82,,-1,_xlfn.XLOOKUP(Data!AU202,BSFC!C$63:Q$63,BSFC!B$64:Q$82,,-1))</f>
        <v>#VALUE!</v>
      </c>
      <c r="AY202">
        <f>HLOOKUP(AU202,BSFC!F$63:Q$63,1)</f>
        <v>5500</v>
      </c>
      <c r="AZ202">
        <f>IF(AT202&gt;0,MATCH(AT202,BSFC!A$64:A$83,0),IF(AT202&lt;=0,0))</f>
        <v>9</v>
      </c>
      <c r="BA202">
        <f>MATCH(AU202,BSFC!C$63:Q$63,0)</f>
        <v>11</v>
      </c>
      <c r="BB202" cm="1">
        <f t="array" ref="BB202">IF(AZ202&gt;0,INDEX(BSFC!C$64:Q$83,Data!AZ202,Data!BA202))</f>
        <v>638.75</v>
      </c>
      <c r="BC202">
        <f>0.5*'Vehicle Data'!C$6*Data!Z202^2</f>
        <v>25566.128868406511</v>
      </c>
      <c r="BD202">
        <f t="shared" si="134"/>
        <v>3.0147217367661661</v>
      </c>
      <c r="BE202">
        <f t="shared" si="154"/>
        <v>1925.6535093593886</v>
      </c>
      <c r="BF202">
        <f t="shared" si="155"/>
        <v>0.10043461996894579</v>
      </c>
      <c r="BG202">
        <f t="shared" si="135"/>
        <v>51.590011780991475</v>
      </c>
      <c r="BH202">
        <f t="shared" si="118"/>
        <v>8253.2119062426591</v>
      </c>
      <c r="BI202" s="148">
        <f t="shared" si="136"/>
        <v>6871.6622130335309</v>
      </c>
      <c r="BO202">
        <f t="shared" si="137"/>
        <v>1509.1166195121389</v>
      </c>
      <c r="BP202">
        <f t="shared" si="138"/>
        <v>206461.38056311378</v>
      </c>
      <c r="BQ202">
        <f t="shared" si="139"/>
        <v>274278.58084292809</v>
      </c>
      <c r="BR202" s="148">
        <f t="shared" si="140"/>
        <v>345334.34930868418</v>
      </c>
      <c r="BS202" s="156">
        <f t="shared" si="141"/>
        <v>1509.1166195121389</v>
      </c>
      <c r="BT202" s="156">
        <f t="shared" si="142"/>
        <v>8253.2119062426591</v>
      </c>
      <c r="BU202">
        <f t="shared" si="143"/>
        <v>1256.497442107185</v>
      </c>
      <c r="BV202">
        <f t="shared" si="144"/>
        <v>1256.497442107185</v>
      </c>
      <c r="BW202" s="148">
        <f t="shared" si="145"/>
        <v>455.4</v>
      </c>
      <c r="BX202" s="148">
        <f t="shared" si="146"/>
        <v>3129354.9718154697</v>
      </c>
      <c r="BY202" s="148">
        <f t="shared" si="147"/>
        <v>0.15894692642655886</v>
      </c>
      <c r="BZ202">
        <f t="shared" si="130"/>
        <v>50.071997312959049</v>
      </c>
      <c r="CB202">
        <f t="shared" si="148"/>
        <v>-252.61917740495392</v>
      </c>
      <c r="CC202" s="162">
        <f t="shared" si="131"/>
        <v>-1345.4219871033958</v>
      </c>
      <c r="CD202">
        <f t="shared" si="156"/>
        <v>70323.827986730481</v>
      </c>
    </row>
    <row r="203" spans="4:82" x14ac:dyDescent="0.2">
      <c r="D203" s="22">
        <f t="shared" si="121"/>
        <v>-5.2348114525143222E-2</v>
      </c>
      <c r="E203" s="23">
        <v>8.7859025581051657</v>
      </c>
      <c r="F203" s="23">
        <f>IF(K203&lt;6,1,IF(Data!K203&lt;9,2,IF(K203&gt;9,3)))</f>
        <v>3</v>
      </c>
      <c r="G203" s="23">
        <v>1110.8453838464686</v>
      </c>
      <c r="H203" s="23">
        <v>220.91666499999999</v>
      </c>
      <c r="I203" s="64">
        <v>38.587040454715975</v>
      </c>
      <c r="J203" s="65">
        <f t="shared" si="122"/>
        <v>-16.146622275220572</v>
      </c>
      <c r="K203" s="65">
        <f t="shared" si="123"/>
        <v>15.43481618188639</v>
      </c>
      <c r="L203" s="65">
        <f t="shared" si="124"/>
        <v>-6.4586489100882361</v>
      </c>
      <c r="M203">
        <f t="shared" si="125"/>
        <v>17.571805116210331</v>
      </c>
      <c r="N203">
        <f t="shared" si="126"/>
        <v>-9.9999073581233944E-2</v>
      </c>
      <c r="O203">
        <f>IF(L203&lt;'Vehicle Data'!F$21,'Vehicle Data'!C$21,IF(L203&gt;'Vehicle Data'!C$21,'Vehicle Data'!C$20))</f>
        <v>0.6</v>
      </c>
      <c r="P203">
        <f>('Vehicle Data'!C$6*9.81*'Vehicle Data'!C$5*SIN(D203))/'Vehicle Data'!C$9</f>
        <v>-34.846224222519929</v>
      </c>
      <c r="Q203" s="107">
        <f>'Vehicle Data'!C$6*9.81*SIN(D203)</f>
        <v>-225.33891663896219</v>
      </c>
      <c r="R203">
        <f t="shared" si="120"/>
        <v>1108.8945897590859</v>
      </c>
      <c r="S203">
        <f>IF(Data!O203=0.6,'Vehicle Data'!E$21,IF(Data!O203 = 0.9,'Vehicle Data'!E$20))+(P203*O203)</f>
        <v>1529.4646654664878</v>
      </c>
      <c r="T203">
        <f>IF(F203=3,'Vehicle Data'!H$16,IF(F203=2,'Vehicle Data'!H$15,IF(F203 = 1,'Vehicle Data'!G$14)))</f>
        <v>466.23005239380637</v>
      </c>
      <c r="U203" s="148">
        <f t="shared" si="127"/>
        <v>392.75610763576981</v>
      </c>
      <c r="V203" s="70" t="s">
        <v>77</v>
      </c>
      <c r="W203" s="99" t="s">
        <v>84</v>
      </c>
      <c r="X203">
        <f>IF(V203="S",'Vehicle Data'!C$14,IF(Data!V203 = "T1",'Vehicle Data'!P$2,IF(Data!V203="T2",'Vehicle Data'!P$3)))</f>
        <v>13.411199999999999</v>
      </c>
      <c r="Z203">
        <f t="shared" si="119"/>
        <v>10.877143525508664</v>
      </c>
      <c r="AB203" t="b">
        <f>IF(AA203=1,'Vehicle Data'!I$14,IF(AA203=2,'Vehicle Data'!I$15,IF(AA203=3,'Vehicle Data'!I$16)))</f>
        <v>0</v>
      </c>
      <c r="AC203">
        <f>IF(Z203&lt;'Vehicle Data'!C$16,'Vehicle Data'!I$15,IF(Z203&lt;'Vehicle Data'!C$15,'Vehicle Data'!I$15,IF(Z202&gt;'Vehicle Data'!C$15,'Vehicle Data'!I$16)))</f>
        <v>0.46202745420001456</v>
      </c>
      <c r="AD203">
        <f>IF(O203=0.6,'Vehicle Data'!F$21,IF(O203=0.9,'Vehicle Data'!F$20))</f>
        <v>3.5315999999999996</v>
      </c>
      <c r="AE203" s="100">
        <f t="shared" si="128"/>
        <v>0.46202745420001456</v>
      </c>
      <c r="AF203" s="158">
        <f t="shared" si="149"/>
        <v>0.18285203829198374</v>
      </c>
      <c r="AG203" s="148">
        <f t="shared" si="132"/>
        <v>0.46383580839443328</v>
      </c>
      <c r="AH203" s="148">
        <f t="shared" si="150"/>
        <v>50.254849351251032</v>
      </c>
      <c r="AJ203">
        <f>(Z203^2)*'Vehicle Data'!C$31</f>
        <v>43.479752343384298</v>
      </c>
      <c r="AK203">
        <f>IF(O203=0.6,'Vehicle Data'!C$6*'Vehicle Data'!D$21*9.81,IF(O203=0.9,'Vehicle Data'!C$6*9.81*'Vehicle Data'!D$20))</f>
        <v>86.131799999999998</v>
      </c>
      <c r="AL203">
        <f t="shared" si="129"/>
        <v>-95.7273642955779</v>
      </c>
      <c r="AN203">
        <f>IF(AG203&gt;0,AG203*'Vehicle Data'!C$6)</f>
        <v>203.6239198851562</v>
      </c>
      <c r="AO203">
        <f t="shared" si="133"/>
        <v>107.8965555895783</v>
      </c>
      <c r="AP203">
        <f>AO203*'Vehicle Data'!F$3</f>
        <v>27.578359608696214</v>
      </c>
      <c r="AQ203">
        <f>IF(AE203='Vehicle Data'!I$15,AP203/'Vehicle Data'!G$15,IF(AE203='Vehicle Data'!I$16,AP203/'Vehicle Data'!G$16,IF(AE203='Vehicle Data'!I$14,Data!AP203/'Vehicle Data'!G214)))</f>
        <v>5.0913153512586744</v>
      </c>
      <c r="AR203">
        <f>IF(Z203&lt;'Vehicle Data'!C$16, Z203*'Vehicle Data'!F$7*'Vehicle Data'!G$14,IF(Z203&lt;'Vehicle Data'!C$15,Z203*'Vehicle Data'!F$7*'Vehicle Data'!G$15,IF(Z203&gt;'Vehicle Data'!C$15,Z203*'Vehicle Data'!F$7*'Vehicle Data'!G$16)))</f>
        <v>94.622410968146852</v>
      </c>
      <c r="AS203">
        <f t="shared" si="151"/>
        <v>5677.3446580888112</v>
      </c>
      <c r="AT203">
        <f t="shared" si="152"/>
        <v>5</v>
      </c>
      <c r="AU203">
        <f t="shared" si="153"/>
        <v>5500</v>
      </c>
      <c r="AW203">
        <f>VLOOKUP(AT203,BSFC!A$64:A$82,1,FALSE)</f>
        <v>5</v>
      </c>
      <c r="AX203" t="e" cm="1">
        <f t="array" ref="AX203">_xlfn.XLOOKUP(AT203,BSFC!A$64:A$82,,-1,_xlfn.XLOOKUP(Data!AU203,BSFC!C$63:Q$63,BSFC!B$64:Q$82,,-1))</f>
        <v>#VALUE!</v>
      </c>
      <c r="AY203">
        <f>HLOOKUP(AU203,BSFC!F$63:Q$63,1)</f>
        <v>5500</v>
      </c>
      <c r="AZ203">
        <f>IF(AT203&gt;0,MATCH(AT203,BSFC!A$64:A$83,0),IF(AT203&lt;=0,0))</f>
        <v>18</v>
      </c>
      <c r="BA203">
        <f>MATCH(AU203,BSFC!C$63:Q$63,0)</f>
        <v>11</v>
      </c>
      <c r="BB203" cm="1">
        <f t="array" ref="BB203">IF(AZ203&gt;0,INDEX(BSFC!C$64:Q$83,Data!AZ203,Data!BA203))</f>
        <v>666.9</v>
      </c>
      <c r="BC203">
        <f>0.5*'Vehicle Data'!C$6*Data!Z203^2</f>
        <v>25969.539154756058</v>
      </c>
      <c r="BD203">
        <f t="shared" si="134"/>
        <v>2.5537160864344544</v>
      </c>
      <c r="BE203">
        <f t="shared" si="154"/>
        <v>1703.0732580431375</v>
      </c>
      <c r="BF203">
        <f t="shared" si="155"/>
        <v>8.6502893498265898E-2</v>
      </c>
      <c r="BG203">
        <f t="shared" si="135"/>
        <v>51.676514674489738</v>
      </c>
      <c r="BH203">
        <f t="shared" si="118"/>
        <v>3014.721736766166</v>
      </c>
      <c r="BI203" s="148">
        <f t="shared" si="136"/>
        <v>6871.6622130335309</v>
      </c>
      <c r="BO203">
        <f t="shared" si="137"/>
        <v>536.61182056182201</v>
      </c>
      <c r="BP203">
        <f t="shared" si="138"/>
        <v>206997.99238367559</v>
      </c>
      <c r="BQ203">
        <f t="shared" si="139"/>
        <v>274815.1926634899</v>
      </c>
      <c r="BR203" s="148">
        <f t="shared" si="140"/>
        <v>346557.48546929623</v>
      </c>
      <c r="BS203" s="156">
        <f t="shared" si="141"/>
        <v>536.61182056182201</v>
      </c>
      <c r="BT203" s="156">
        <f t="shared" si="142"/>
        <v>3014.721736766166</v>
      </c>
      <c r="BU203">
        <f t="shared" si="143"/>
        <v>1223.1361606120308</v>
      </c>
      <c r="BV203">
        <f t="shared" si="144"/>
        <v>1223.1361606120308</v>
      </c>
      <c r="BW203" s="148">
        <f t="shared" si="145"/>
        <v>455.4</v>
      </c>
      <c r="BX203" s="148">
        <f t="shared" si="146"/>
        <v>3129354.9718154697</v>
      </c>
      <c r="BY203" s="148">
        <f t="shared" si="147"/>
        <v>0.15472672431742188</v>
      </c>
      <c r="BZ203">
        <f t="shared" si="130"/>
        <v>50.254849351251032</v>
      </c>
      <c r="CB203">
        <f t="shared" si="148"/>
        <v>686.52434005020882</v>
      </c>
      <c r="CC203" s="162">
        <f t="shared" si="131"/>
        <v>3754.5347947062373</v>
      </c>
      <c r="CD203">
        <f t="shared" si="156"/>
        <v>71010.352326780689</v>
      </c>
    </row>
    <row r="204" spans="4:82" x14ac:dyDescent="0.2">
      <c r="D204" s="22">
        <f t="shared" si="121"/>
        <v>-9.8748767517272268E-2</v>
      </c>
      <c r="E204" s="23">
        <v>8.6859034845239318</v>
      </c>
      <c r="F204" s="23">
        <f>IF(K204&lt;6,1,IF(Data!K204&lt;9,2,IF(K204&gt;9,3)))</f>
        <v>3</v>
      </c>
      <c r="G204" s="23">
        <v>1112.7565273662726</v>
      </c>
      <c r="H204" s="23">
        <v>220.96666499999998</v>
      </c>
      <c r="I204" s="64">
        <v>37.779709340955222</v>
      </c>
      <c r="J204" s="65">
        <f t="shared" si="122"/>
        <v>-17.707863781131106</v>
      </c>
      <c r="K204" s="65">
        <f t="shared" si="123"/>
        <v>15.111883736382088</v>
      </c>
      <c r="L204" s="65">
        <f t="shared" si="124"/>
        <v>-7.0831455124524352</v>
      </c>
      <c r="M204">
        <f t="shared" si="125"/>
        <v>17.371806969047864</v>
      </c>
      <c r="N204">
        <f t="shared" si="126"/>
        <v>-0.18420188452393305</v>
      </c>
      <c r="O204">
        <f>IF(L204&lt;'Vehicle Data'!F$21,'Vehicle Data'!C$21,IF(L204&gt;'Vehicle Data'!C$21,'Vehicle Data'!C$20))</f>
        <v>0.6</v>
      </c>
      <c r="P204">
        <f>('Vehicle Data'!C$6*9.81*'Vehicle Data'!C$5*SIN(D204))/'Vehicle Data'!C$9</f>
        <v>-65.656644375071409</v>
      </c>
      <c r="Q204" s="107">
        <f>'Vehicle Data'!C$6*9.81*SIN(D204)</f>
        <v>-424.57963362546172</v>
      </c>
      <c r="R204">
        <f t="shared" si="120"/>
        <v>1110.8453838464686</v>
      </c>
      <c r="S204">
        <f>IF(Data!O204=0.6,'Vehicle Data'!E$21,IF(Data!O204 = 0.9,'Vehicle Data'!E$20))+(P204*O204)</f>
        <v>1510.978413374957</v>
      </c>
      <c r="T204">
        <f>IF(F204=3,'Vehicle Data'!H$16,IF(F204=2,'Vehicle Data'!H$15,IF(F204 = 1,'Vehicle Data'!G$14)))</f>
        <v>466.23005239380637</v>
      </c>
      <c r="U204" s="148">
        <f t="shared" si="127"/>
        <v>394.70690172315255</v>
      </c>
      <c r="V204" s="70" t="s">
        <v>77</v>
      </c>
      <c r="W204" s="99" t="s">
        <v>84</v>
      </c>
      <c r="X204">
        <f>IF(V204="S",'Vehicle Data'!C$14,IF(Data!V204 = "T1",'Vehicle Data'!P$2,IF(Data!V204="T2",'Vehicle Data'!P$3)))</f>
        <v>13.411199999999999</v>
      </c>
      <c r="Z204">
        <f>SQRT(Z203^2+2*AE203*(U204-U203))</f>
        <v>10.959693979588977</v>
      </c>
      <c r="AB204" t="b">
        <f>IF(AA204=1,'Vehicle Data'!I$14,IF(AA204=2,'Vehicle Data'!I$15,IF(AA204=3,'Vehicle Data'!I$16)))</f>
        <v>0</v>
      </c>
      <c r="AC204">
        <f>IF(Z204&lt;'Vehicle Data'!C$16,'Vehicle Data'!I$15,IF(Z204&lt;'Vehicle Data'!C$15,'Vehicle Data'!I$15,IF(Z203&gt;'Vehicle Data'!C$15,'Vehicle Data'!I$16)))</f>
        <v>0.46202745420001456</v>
      </c>
      <c r="AD204">
        <f>IF(O204=0.6,'Vehicle Data'!F$21,IF(O204=0.9,'Vehicle Data'!F$20))</f>
        <v>3.5315999999999996</v>
      </c>
      <c r="AE204" s="100">
        <f t="shared" si="128"/>
        <v>0.46202745420001456</v>
      </c>
      <c r="AF204" s="158">
        <f t="shared" si="149"/>
        <v>0.17799713121697103</v>
      </c>
      <c r="AG204" s="148">
        <f t="shared" si="132"/>
        <v>0.46377407049154534</v>
      </c>
      <c r="AH204" s="148">
        <f t="shared" si="150"/>
        <v>50.432846482468001</v>
      </c>
      <c r="AJ204">
        <f>(Z204^2)*'Vehicle Data'!C$31</f>
        <v>44.142222856392792</v>
      </c>
      <c r="AK204">
        <f>IF(O204=0.6,'Vehicle Data'!C$6*'Vehicle Data'!D$21*9.81,IF(O204=0.9,'Vehicle Data'!C$6*9.81*'Vehicle Data'!D$20))</f>
        <v>86.131799999999998</v>
      </c>
      <c r="AL204">
        <f t="shared" si="129"/>
        <v>-294.30561076906895</v>
      </c>
      <c r="AN204">
        <f>IF(AG204&gt;0,AG204*'Vehicle Data'!C$6)</f>
        <v>203.59681694578842</v>
      </c>
      <c r="AO204">
        <f t="shared" si="133"/>
        <v>-90.70879382328053</v>
      </c>
      <c r="AP204">
        <f>AO204*'Vehicle Data'!F$3</f>
        <v>-23.185167701230505</v>
      </c>
      <c r="AQ204">
        <f>IF(AE204='Vehicle Data'!I$15,AP204/'Vehicle Data'!G$15,IF(AE204='Vehicle Data'!I$16,AP204/'Vehicle Data'!G$16,IF(AE204='Vehicle Data'!I$14,Data!AP204/'Vehicle Data'!G215)))</f>
        <v>-4.2802763439765821</v>
      </c>
      <c r="AR204">
        <f>IF(Z204&lt;'Vehicle Data'!C$16, Z204*'Vehicle Data'!F$7*'Vehicle Data'!G$14,IF(Z204&lt;'Vehicle Data'!C$15,Z204*'Vehicle Data'!F$7*'Vehicle Data'!G$15,IF(Z204&gt;'Vehicle Data'!C$15,Z204*'Vehicle Data'!F$7*'Vehicle Data'!G$16)))</f>
        <v>95.340533605149488</v>
      </c>
      <c r="AS204">
        <f t="shared" si="151"/>
        <v>5720.4320163089697</v>
      </c>
      <c r="AT204">
        <v>4</v>
      </c>
      <c r="AU204">
        <f t="shared" si="153"/>
        <v>5500</v>
      </c>
      <c r="AW204">
        <f>VLOOKUP(AT204,BSFC!A$64:A$82,1,FALSE)</f>
        <v>4</v>
      </c>
      <c r="AX204" t="e" cm="1">
        <f t="array" ref="AX204">_xlfn.XLOOKUP(AT204,BSFC!A$64:A$82,,-1,_xlfn.XLOOKUP(Data!AU204,BSFC!C$63:Q$63,BSFC!B$64:Q$82,,-1))</f>
        <v>#VALUE!</v>
      </c>
      <c r="AY204">
        <f>HLOOKUP(AU204,BSFC!F$63:Q$63,1)</f>
        <v>5500</v>
      </c>
      <c r="AZ204">
        <f>IF(AT204&gt;0,MATCH(AT204,BSFC!A$64:A$83,0),IF(AT204&lt;=0,0))</f>
        <v>19</v>
      </c>
      <c r="BA204">
        <f>MATCH(AU204,BSFC!C$63:Q$63,0)</f>
        <v>11</v>
      </c>
      <c r="BB204" cm="1">
        <f t="array" ref="BB204">IF(AZ204&gt;0,INDEX(BSFC!C$64:Q$83,Data!AZ204,Data!BA204))</f>
        <v>670</v>
      </c>
      <c r="BC204">
        <f>0.5*'Vehicle Data'!C$6*Data!Z204^2</f>
        <v>26365.21882170943</v>
      </c>
      <c r="BD204">
        <f t="shared" si="134"/>
        <v>2.7951287007683852</v>
      </c>
      <c r="BE204">
        <f t="shared" si="154"/>
        <v>1872.736229514818</v>
      </c>
      <c r="BF204">
        <f t="shared" si="155"/>
        <v>9.2594910105479072E-2</v>
      </c>
      <c r="BG204">
        <f t="shared" si="135"/>
        <v>51.76910958459522</v>
      </c>
      <c r="BH204">
        <f t="shared" si="118"/>
        <v>-2553.7160864344542</v>
      </c>
      <c r="BI204" s="148">
        <f t="shared" si="136"/>
        <v>6871.6622130335309</v>
      </c>
      <c r="BO204">
        <f t="shared" si="137"/>
        <v>-442.07718222520265</v>
      </c>
      <c r="BP204">
        <f t="shared" si="138"/>
        <v>206555.91520145038</v>
      </c>
      <c r="BQ204">
        <f t="shared" si="139"/>
        <v>274815.1926634899</v>
      </c>
      <c r="BR204" s="148">
        <f t="shared" si="140"/>
        <v>347747.04803832195</v>
      </c>
      <c r="BS204" s="156" t="b">
        <f t="shared" si="141"/>
        <v>0</v>
      </c>
      <c r="BT204" s="156">
        <f t="shared" si="142"/>
        <v>0</v>
      </c>
      <c r="BU204">
        <f t="shared" si="143"/>
        <v>1189.5625690257148</v>
      </c>
      <c r="BV204">
        <f t="shared" si="144"/>
        <v>1189.5625690257148</v>
      </c>
      <c r="BW204" s="148">
        <f t="shared" si="145"/>
        <v>455.4</v>
      </c>
      <c r="BX204" s="148">
        <f t="shared" si="146"/>
        <v>3129354.9718154697</v>
      </c>
      <c r="BY204" s="148">
        <f t="shared" si="147"/>
        <v>0.15047966498175291</v>
      </c>
      <c r="BZ204">
        <f t="shared" si="130"/>
        <v>50.432846482468001</v>
      </c>
      <c r="CB204">
        <f t="shared" si="148"/>
        <v>1189.5625690257148</v>
      </c>
      <c r="CC204" s="162">
        <f t="shared" si="131"/>
        <v>6683.0434900419814</v>
      </c>
      <c r="CD204">
        <f t="shared" si="156"/>
        <v>72199.914895806403</v>
      </c>
    </row>
    <row r="205" spans="4:82" x14ac:dyDescent="0.2">
      <c r="D205" s="22">
        <f t="shared" si="121"/>
        <v>-5.481121412768504E-2</v>
      </c>
      <c r="E205" s="23">
        <v>8.5017015999999987</v>
      </c>
      <c r="F205" s="23">
        <f>IF(K205&lt;6,1,IF(Data!K205&lt;9,2,IF(K205&gt;9,3)))</f>
        <v>3</v>
      </c>
      <c r="G205" s="23">
        <v>1114.6249212576568</v>
      </c>
      <c r="H205" s="23">
        <v>221.01666499999999</v>
      </c>
      <c r="I205" s="64">
        <v>36.894316151898465</v>
      </c>
      <c r="J205" s="65">
        <f t="shared" si="122"/>
        <v>-16.307442358513512</v>
      </c>
      <c r="K205" s="65">
        <f t="shared" si="123"/>
        <v>14.757726460759386</v>
      </c>
      <c r="L205" s="65">
        <f t="shared" si="124"/>
        <v>-6.5229769434054052</v>
      </c>
      <c r="M205">
        <f t="shared" si="125"/>
        <v>17.003403199999997</v>
      </c>
      <c r="N205">
        <f t="shared" si="126"/>
        <v>-9.9998399999998711E-2</v>
      </c>
      <c r="O205">
        <f>IF(L205&lt;'Vehicle Data'!F$21,'Vehicle Data'!C$21,IF(L205&gt;'Vehicle Data'!C$21,'Vehicle Data'!C$20))</f>
        <v>0.6</v>
      </c>
      <c r="P205">
        <f>('Vehicle Data'!C$6*9.81*'Vehicle Data'!C$5*SIN(D205))/'Vehicle Data'!C$9</f>
        <v>-36.484214185496413</v>
      </c>
      <c r="Q205" s="107">
        <f>'Vehicle Data'!C$6*9.81*SIN(D205)</f>
        <v>-235.9312517328768</v>
      </c>
      <c r="R205">
        <f t="shared" si="120"/>
        <v>1112.7565273662726</v>
      </c>
      <c r="S205">
        <f>IF(Data!O205=0.6,'Vehicle Data'!E$21,IF(Data!O205 = 0.9,'Vehicle Data'!E$20))+(P205*O205)</f>
        <v>1528.4818714887019</v>
      </c>
      <c r="T205">
        <f>IF(F205=3,'Vehicle Data'!H$16,IF(F205=2,'Vehicle Data'!H$15,IF(F205 = 1,'Vehicle Data'!G$14)))</f>
        <v>466.23005239380637</v>
      </c>
      <c r="U205" s="148">
        <f t="shared" si="127"/>
        <v>396.61804524295655</v>
      </c>
      <c r="V205" s="70" t="s">
        <v>77</v>
      </c>
      <c r="W205" s="99" t="s">
        <v>84</v>
      </c>
      <c r="X205">
        <f>IF(V205="S",'Vehicle Data'!C$14,IF(Data!V205 = "T1",'Vehicle Data'!P$2,IF(Data!V205="T2",'Vehicle Data'!P$3)))</f>
        <v>13.411199999999999</v>
      </c>
      <c r="Z205">
        <f t="shared" si="119"/>
        <v>11.039968010658846</v>
      </c>
      <c r="AB205" t="b">
        <f>IF(AA205=1,'Vehicle Data'!I$14,IF(AA205=2,'Vehicle Data'!I$15,IF(AA205=3,'Vehicle Data'!I$16)))</f>
        <v>0</v>
      </c>
      <c r="AC205">
        <f>IF(Z205&lt;'Vehicle Data'!C$16,'Vehicle Data'!I$15,IF(Z205&lt;'Vehicle Data'!C$15,'Vehicle Data'!I$15,IF(Z204&gt;'Vehicle Data'!C$15,'Vehicle Data'!I$16)))</f>
        <v>0.46202745420001456</v>
      </c>
      <c r="AD205">
        <f>IF(O205=0.6,'Vehicle Data'!F$21,IF(O205=0.9,'Vehicle Data'!F$20))</f>
        <v>3.5315999999999996</v>
      </c>
      <c r="AE205" s="100">
        <f t="shared" si="128"/>
        <v>0.46202745420001456</v>
      </c>
      <c r="AF205" s="158">
        <f t="shared" si="149"/>
        <v>0.17311132767403248</v>
      </c>
      <c r="AG205" s="148">
        <f t="shared" si="132"/>
        <v>0.46371333492990713</v>
      </c>
      <c r="AH205" s="148">
        <f t="shared" si="150"/>
        <v>50.605957810142037</v>
      </c>
      <c r="AJ205">
        <f>(Z205^2)*'Vehicle Data'!C$31</f>
        <v>44.791228426066226</v>
      </c>
      <c r="AK205">
        <f>IF(O205=0.6,'Vehicle Data'!C$6*'Vehicle Data'!D$21*9.81,IF(O205=0.9,'Vehicle Data'!C$6*9.81*'Vehicle Data'!D$20))</f>
        <v>86.131799999999998</v>
      </c>
      <c r="AL205">
        <f t="shared" si="129"/>
        <v>-105.00822330681058</v>
      </c>
      <c r="AN205">
        <f>IF(AG205&gt;0,AG205*'Vehicle Data'!C$6)</f>
        <v>203.57015403422923</v>
      </c>
      <c r="AO205">
        <f t="shared" si="133"/>
        <v>98.561930727418655</v>
      </c>
      <c r="AP205">
        <f>AO205*'Vehicle Data'!F$3</f>
        <v>25.192429493928209</v>
      </c>
      <c r="AQ205">
        <f>IF(AE205='Vehicle Data'!I$15,AP205/'Vehicle Data'!G$15,IF(AE205='Vehicle Data'!I$16,AP205/'Vehicle Data'!G$16,IF(AE205='Vehicle Data'!I$14,Data!AP205/'Vehicle Data'!G216)))</f>
        <v>4.6508423574799487</v>
      </c>
      <c r="AR205">
        <f>IF(Z205&lt;'Vehicle Data'!C$16, Z205*'Vehicle Data'!F$7*'Vehicle Data'!G$14,IF(Z205&lt;'Vehicle Data'!C$15,Z205*'Vehicle Data'!F$7*'Vehicle Data'!G$15,IF(Z205&gt;'Vehicle Data'!C$15,Z205*'Vehicle Data'!F$7*'Vehicle Data'!G$16)))</f>
        <v>96.038853190631627</v>
      </c>
      <c r="AS205">
        <f t="shared" si="151"/>
        <v>5762.3311914378974</v>
      </c>
      <c r="AT205">
        <f t="shared" si="152"/>
        <v>5</v>
      </c>
      <c r="AU205">
        <f t="shared" si="153"/>
        <v>6000</v>
      </c>
      <c r="AW205">
        <f>VLOOKUP(AT205,BSFC!A$64:A$82,1,FALSE)</f>
        <v>5</v>
      </c>
      <c r="AX205" t="e" cm="1">
        <f t="array" ref="AX205">_xlfn.XLOOKUP(AT205,BSFC!A$64:A$82,,-1,_xlfn.XLOOKUP(Data!AU205,BSFC!C$63:Q$63,BSFC!B$64:Q$82,,-1))</f>
        <v>#VALUE!</v>
      </c>
      <c r="AY205">
        <f>HLOOKUP(AU205,BSFC!F$63:Q$63,1)</f>
        <v>6000</v>
      </c>
      <c r="AZ205">
        <f>IF(AT205&gt;0,MATCH(AT205,BSFC!A$64:A$83,0),IF(AT205&lt;=0,0))</f>
        <v>18</v>
      </c>
      <c r="BA205">
        <f>MATCH(AU205,BSFC!C$63:Q$63,0)</f>
        <v>12</v>
      </c>
      <c r="BB205" cm="1">
        <f t="array" ref="BB205">IF(AZ205&gt;0,INDEX(BSFC!C$64:Q$83,Data!AZ205,Data!BA205))</f>
        <v>600</v>
      </c>
      <c r="BC205">
        <f>0.5*'Vehicle Data'!C$6*Data!Z205^2</f>
        <v>26752.856161963358</v>
      </c>
      <c r="BD205">
        <f t="shared" si="134"/>
        <v>33.541883289250187</v>
      </c>
      <c r="BE205">
        <f t="shared" si="154"/>
        <v>20125.129973550112</v>
      </c>
      <c r="BF205">
        <f t="shared" si="155"/>
        <v>0.96774665814825722</v>
      </c>
      <c r="BG205">
        <f t="shared" si="135"/>
        <v>52.736856242743478</v>
      </c>
      <c r="BH205">
        <f t="shared" si="118"/>
        <v>2795.128700768385</v>
      </c>
      <c r="BI205" s="148">
        <f t="shared" si="136"/>
        <v>6871.6622130335309</v>
      </c>
      <c r="BO205">
        <f t="shared" si="137"/>
        <v>497.37156096648675</v>
      </c>
      <c r="BP205">
        <f t="shared" si="138"/>
        <v>207053.28676241686</v>
      </c>
      <c r="BQ205">
        <f t="shared" si="139"/>
        <v>275312.56422445638</v>
      </c>
      <c r="BR205" s="148">
        <f t="shared" si="140"/>
        <v>348969.80724808259</v>
      </c>
      <c r="BS205" s="156">
        <f t="shared" si="141"/>
        <v>497.37156096648675</v>
      </c>
      <c r="BT205" s="156">
        <f t="shared" si="142"/>
        <v>2795.128700768385</v>
      </c>
      <c r="BU205">
        <f t="shared" si="143"/>
        <v>1222.7592097606669</v>
      </c>
      <c r="BV205">
        <f t="shared" si="144"/>
        <v>1222.7592097606669</v>
      </c>
      <c r="BW205" s="148">
        <f t="shared" si="145"/>
        <v>455.4</v>
      </c>
      <c r="BX205" s="148">
        <f t="shared" si="146"/>
        <v>3129354.9718154697</v>
      </c>
      <c r="BY205" s="148">
        <f t="shared" si="147"/>
        <v>0.15467904003472435</v>
      </c>
      <c r="BZ205">
        <f t="shared" si="130"/>
        <v>50.605957810142037</v>
      </c>
      <c r="CB205">
        <f t="shared" si="148"/>
        <v>725.38764879418011</v>
      </c>
      <c r="CC205" s="162">
        <f t="shared" si="131"/>
        <v>4190.2956816324922</v>
      </c>
      <c r="CD205">
        <f t="shared" si="156"/>
        <v>72925.302544600578</v>
      </c>
    </row>
    <row r="206" spans="4:82" x14ac:dyDescent="0.2">
      <c r="D206" s="22">
        <f t="shared" si="121"/>
        <v>-8.84161799070525E-3</v>
      </c>
      <c r="E206" s="23">
        <v>8.4017032</v>
      </c>
      <c r="F206" s="23">
        <f>IF(K206&lt;6,1,IF(Data!K206&lt;9,2,IF(K206&gt;9,3)))</f>
        <v>3</v>
      </c>
      <c r="G206" s="23">
        <v>1116.4502500612507</v>
      </c>
      <c r="H206" s="23">
        <v>221.066665</v>
      </c>
      <c r="I206" s="64">
        <v>36.078944033972604</v>
      </c>
      <c r="J206" s="65">
        <f t="shared" si="122"/>
        <v>-14.538014131482823</v>
      </c>
      <c r="K206" s="65">
        <f t="shared" si="123"/>
        <v>14.431577613589042</v>
      </c>
      <c r="L206" s="65">
        <f t="shared" si="124"/>
        <v>-5.8152056525931366</v>
      </c>
      <c r="M206">
        <f t="shared" si="125"/>
        <v>16.8034064</v>
      </c>
      <c r="N206">
        <f t="shared" si="126"/>
        <v>-1.5802115475887391E-2</v>
      </c>
      <c r="O206">
        <f>IF(L206&lt;'Vehicle Data'!F$21,'Vehicle Data'!C$21,IF(L206&gt;'Vehicle Data'!C$21,'Vehicle Data'!C$20))</f>
        <v>0.6</v>
      </c>
      <c r="P206">
        <f>('Vehicle Data'!C$6*9.81*'Vehicle Data'!C$5*SIN(D206))/'Vehicle Data'!C$9</f>
        <v>-5.8881537394421875</v>
      </c>
      <c r="Q206" s="107">
        <f>'Vehicle Data'!C$6*9.81*SIN(D206)</f>
        <v>-38.076727515059481</v>
      </c>
      <c r="R206">
        <f t="shared" si="120"/>
        <v>1114.6249212576568</v>
      </c>
      <c r="S206">
        <f>IF(Data!O206=0.6,'Vehicle Data'!E$21,IF(Data!O206 = 0.9,'Vehicle Data'!E$20))+(P206*O206)</f>
        <v>1546.8395077563343</v>
      </c>
      <c r="T206">
        <f>IF(F206=3,'Vehicle Data'!H$16,IF(F206=2,'Vehicle Data'!H$15,IF(F206 = 1,'Vehicle Data'!G$14)))</f>
        <v>466.23005239380637</v>
      </c>
      <c r="U206" s="148">
        <f t="shared" si="127"/>
        <v>398.48643913434069</v>
      </c>
      <c r="V206" s="70" t="s">
        <v>77</v>
      </c>
      <c r="W206" s="99" t="s">
        <v>84</v>
      </c>
      <c r="X206">
        <f>IF(V206="S",'Vehicle Data'!C$14,IF(Data!V206 = "T1",'Vehicle Data'!P$2,IF(Data!V206="T2",'Vehicle Data'!P$3)))</f>
        <v>13.411199999999999</v>
      </c>
      <c r="Z206">
        <v>10.5</v>
      </c>
      <c r="AB206" t="b">
        <f>IF(AA206=1,'Vehicle Data'!I$14,IF(AA206=2,'Vehicle Data'!I$15,IF(AA206=3,'Vehicle Data'!I$16)))</f>
        <v>0</v>
      </c>
      <c r="AC206">
        <f>IF(Z206&lt;'Vehicle Data'!C$16,'Vehicle Data'!I$15,IF(Z206&lt;'Vehicle Data'!C$15,'Vehicle Data'!I$15,IF(Z205&gt;'Vehicle Data'!C$15,'Vehicle Data'!I$16)))</f>
        <v>0.46202745420001456</v>
      </c>
      <c r="AD206">
        <f>IF(O206=0.6,'Vehicle Data'!F$21,IF(O206=0.9,'Vehicle Data'!F$20))</f>
        <v>3.5315999999999996</v>
      </c>
      <c r="AE206" s="100">
        <f t="shared" si="128"/>
        <v>0.46202745420001456</v>
      </c>
      <c r="AF206" s="158">
        <f t="shared" si="149"/>
        <v>0.17794227536991716</v>
      </c>
      <c r="AG206" s="148">
        <f t="shared" si="132"/>
        <v>-3.0345122289592403</v>
      </c>
      <c r="AH206" s="148">
        <f t="shared" si="150"/>
        <v>50.783900085511952</v>
      </c>
      <c r="AJ206">
        <f>(Z206^2)*'Vehicle Data'!C$31</f>
        <v>40.516875000000013</v>
      </c>
      <c r="AK206">
        <f>IF(O206=0.6,'Vehicle Data'!C$6*'Vehicle Data'!D$21*9.81,IF(O206=0.9,'Vehicle Data'!C$6*9.81*'Vehicle Data'!D$20))</f>
        <v>86.131799999999998</v>
      </c>
      <c r="AL206">
        <f t="shared" si="129"/>
        <v>88.571947484940523</v>
      </c>
      <c r="AN206">
        <f>IF(AG206&lt;0,AG206*'Vehicle Data'!C$6)</f>
        <v>-1332.1508685131066</v>
      </c>
      <c r="AO206">
        <f t="shared" si="133"/>
        <v>-1243.5789210281662</v>
      </c>
      <c r="AP206">
        <f>AO206*'Vehicle Data'!F$3</f>
        <v>-317.85877221479927</v>
      </c>
      <c r="AQ206">
        <f>IF(AE206='Vehicle Data'!I$15,AP206/'Vehicle Data'!G$15,IF(AE206='Vehicle Data'!I$16,AP206/'Vehicle Data'!G$16,IF(AE206='Vehicle Data'!I$14,Data!AP206/'Vehicle Data'!G217)))</f>
        <v>-58.680765262018753</v>
      </c>
      <c r="AR206">
        <f>IF(Z206&lt;'Vehicle Data'!C$16, Z206*'Vehicle Data'!F$7*'Vehicle Data'!G$14,IF(Z206&lt;'Vehicle Data'!C$15,Z206*'Vehicle Data'!F$7*'Vehicle Data'!G$15,IF(Z206&gt;'Vehicle Data'!C$15,Z206*'Vehicle Data'!F$7*'Vehicle Data'!G$16)))</f>
        <v>91.34156525888811</v>
      </c>
      <c r="AS206">
        <f t="shared" si="151"/>
        <v>5480.4939155332868</v>
      </c>
      <c r="AT206">
        <f t="shared" si="152"/>
        <v>-59</v>
      </c>
      <c r="AU206">
        <f t="shared" si="153"/>
        <v>5500</v>
      </c>
      <c r="AW206" t="e">
        <f>VLOOKUP(AT206,BSFC!A$64:A$82,1,FALSE)</f>
        <v>#N/A</v>
      </c>
      <c r="AX206" t="e" cm="1">
        <f t="array" ref="AX206">_xlfn.XLOOKUP(AT206,BSFC!A$64:A$82,,-1,_xlfn.XLOOKUP(Data!AU206,BSFC!C$63:Q$63,BSFC!B$64:Q$82,,-1))</f>
        <v>#VALUE!</v>
      </c>
      <c r="AY206">
        <f>HLOOKUP(AU206,BSFC!F$63:Q$63,1)</f>
        <v>5500</v>
      </c>
      <c r="AZ206">
        <f>IF(AT206&gt;0,MATCH(AT206,BSFC!A$64:A$83,0),IF(AT206&lt;=0,0))</f>
        <v>0</v>
      </c>
      <c r="BA206">
        <f>MATCH(AU206,BSFC!C$63:Q$63,0)</f>
        <v>11</v>
      </c>
      <c r="BB206" t="b" cm="1">
        <f t="array" ref="BB206">IF(AZ206&gt;0,INDEX(BSFC!C$64:Q$83,Data!AZ206,Data!BA206))</f>
        <v>0</v>
      </c>
      <c r="BC206">
        <f>0.5*'Vehicle Data'!C$6*Data!Z206^2</f>
        <v>24199.875</v>
      </c>
      <c r="BD206">
        <f t="shared" si="134"/>
        <v>16.078150358879054</v>
      </c>
      <c r="BE206">
        <v>0</v>
      </c>
      <c r="BF206">
        <f t="shared" si="155"/>
        <v>0</v>
      </c>
      <c r="BG206">
        <f t="shared" si="135"/>
        <v>52.736856242743478</v>
      </c>
      <c r="BH206">
        <f t="shared" si="118"/>
        <v>-33541.883289250189</v>
      </c>
      <c r="BI206" s="148">
        <f t="shared" si="136"/>
        <v>6871.6622130335309</v>
      </c>
      <c r="BO206">
        <f t="shared" si="137"/>
        <v>-5944.1714266655208</v>
      </c>
      <c r="BP206">
        <f t="shared" si="138"/>
        <v>201109.11533575132</v>
      </c>
      <c r="BQ206">
        <f t="shared" si="139"/>
        <v>275312.56422445638</v>
      </c>
      <c r="BR206" s="148">
        <f t="shared" si="140"/>
        <v>350187.57840983191</v>
      </c>
      <c r="BS206" s="156" t="b">
        <f t="shared" si="141"/>
        <v>0</v>
      </c>
      <c r="BT206" s="156">
        <f t="shared" si="142"/>
        <v>0</v>
      </c>
      <c r="BU206">
        <f t="shared" si="143"/>
        <v>1217.771161749343</v>
      </c>
      <c r="BV206">
        <f t="shared" si="144"/>
        <v>1217.771161749343</v>
      </c>
      <c r="BW206" s="148">
        <f t="shared" si="145"/>
        <v>455.4</v>
      </c>
      <c r="BX206" s="148">
        <f t="shared" si="146"/>
        <v>3129354.9718154697</v>
      </c>
      <c r="BY206" s="148">
        <f t="shared" si="147"/>
        <v>0.15404805196129187</v>
      </c>
      <c r="BZ206">
        <f t="shared" si="130"/>
        <v>50.783900085511952</v>
      </c>
      <c r="CB206">
        <f t="shared" si="148"/>
        <v>1217.771161749343</v>
      </c>
      <c r="CC206" s="162">
        <f t="shared" si="131"/>
        <v>6843.6303807950108</v>
      </c>
      <c r="CD206">
        <f t="shared" si="156"/>
        <v>74143.073706349925</v>
      </c>
    </row>
    <row r="207" spans="4:82" x14ac:dyDescent="0.2">
      <c r="D207" s="22">
        <f t="shared" si="121"/>
        <v>-4.813391848855228E-2</v>
      </c>
      <c r="E207" s="23">
        <v>8.3859010845241126</v>
      </c>
      <c r="F207" s="23">
        <f>IF(K207&lt;6,1,IF(Data!K207&lt;9,2,IF(K207&gt;9,3)))</f>
        <v>3</v>
      </c>
      <c r="G207" s="23">
        <v>1118.2375158513685</v>
      </c>
      <c r="H207" s="23">
        <v>221.11666499999998</v>
      </c>
      <c r="I207" s="64">
        <v>35.352043327398711</v>
      </c>
      <c r="J207" s="65">
        <f t="shared" si="122"/>
        <v>-15.498825303385956</v>
      </c>
      <c r="K207" s="65">
        <f t="shared" si="123"/>
        <v>14.140817330959484</v>
      </c>
      <c r="L207" s="65">
        <f t="shared" si="124"/>
        <v>-6.1995301213543756</v>
      </c>
      <c r="M207">
        <f t="shared" si="125"/>
        <v>16.771802169048225</v>
      </c>
      <c r="N207">
        <f t="shared" si="126"/>
        <v>-8.4196284524113096E-2</v>
      </c>
      <c r="O207">
        <f>'Vehicle Data'!C$20</f>
        <v>0.9</v>
      </c>
      <c r="P207">
        <f>('Vehicle Data'!C$6*9.81*'Vehicle Data'!C$5*SIN(D207))/'Vehicle Data'!C$9</f>
        <v>-32.043249893553408</v>
      </c>
      <c r="Q207" s="107">
        <f>'Vehicle Data'!C$6*9.81*SIN(D207)</f>
        <v>-207.21301597831206</v>
      </c>
      <c r="R207">
        <f t="shared" si="120"/>
        <v>1116.4502500612507</v>
      </c>
      <c r="S207">
        <f>IF(Data!O207=0.6,'Vehicle Data'!E$21,IF(Data!O207 = 0.9,'Vehicle Data'!E$20))+(P207*O207)</f>
        <v>2296.7196750958019</v>
      </c>
      <c r="T207">
        <f>IF(F207=3,'Vehicle Data'!H$16,IF(F207=2,'Vehicle Data'!H$15,IF(F207 = 1,'Vehicle Data'!G$14)))</f>
        <v>466.23005239380637</v>
      </c>
      <c r="U207" s="148">
        <f t="shared" si="127"/>
        <v>400.31176793793463</v>
      </c>
      <c r="V207" s="70" t="s">
        <v>77</v>
      </c>
      <c r="W207" s="99" t="s">
        <v>84</v>
      </c>
      <c r="X207">
        <f>IF(V207="S",'Vehicle Data'!C$14,IF(Data!V207 = "T1",'Vehicle Data'!P$2,IF(Data!V207="T2",'Vehicle Data'!P$3)))</f>
        <v>13.411199999999999</v>
      </c>
      <c r="Z207">
        <v>10.3</v>
      </c>
      <c r="AB207" t="b">
        <f>IF(AA207=1,'Vehicle Data'!I$14,IF(AA207=2,'Vehicle Data'!I$15,IF(AA207=3,'Vehicle Data'!I$16)))</f>
        <v>0</v>
      </c>
      <c r="AC207">
        <f>IF(Z207&lt;'Vehicle Data'!C$16,'Vehicle Data'!I$15,IF(Z207&lt;'Vehicle Data'!C$15,'Vehicle Data'!I$15,IF(Z206&gt;'Vehicle Data'!C$15,'Vehicle Data'!I$16)))</f>
        <v>0.46202745420001456</v>
      </c>
      <c r="AD207">
        <f>IF(O207=0.6,'Vehicle Data'!F$21,IF(O207=0.9,'Vehicle Data'!F$20))</f>
        <v>5.2973999999999997</v>
      </c>
      <c r="AE207" s="100">
        <f t="shared" si="128"/>
        <v>0.46202745420001456</v>
      </c>
      <c r="AF207" s="158">
        <f t="shared" si="149"/>
        <v>0.1772163886984415</v>
      </c>
      <c r="AG207" s="148">
        <f t="shared" si="132"/>
        <v>-1.1285637940649342</v>
      </c>
      <c r="AH207" s="148">
        <f t="shared" si="150"/>
        <v>50.961116474210392</v>
      </c>
      <c r="AJ207">
        <f>(Z207^2)*'Vehicle Data'!C$31</f>
        <v>38.988075000000016</v>
      </c>
      <c r="AK207">
        <f>IF(O207=0.6,'Vehicle Data'!C$6*'Vehicle Data'!D$21*9.81,IF(O207=0.9,'Vehicle Data'!C$6*9.81*'Vehicle Data'!D$20))</f>
        <v>55.985669999999999</v>
      </c>
      <c r="AL207">
        <f t="shared" si="129"/>
        <v>-112.23927097831205</v>
      </c>
      <c r="AN207">
        <f>IF(AG207&lt;0,AG207*'Vehicle Data'!C$6)</f>
        <v>-495.4395055945061</v>
      </c>
      <c r="AO207">
        <f t="shared" si="133"/>
        <v>-607.67877657281815</v>
      </c>
      <c r="AP207">
        <f>AO207*'Vehicle Data'!F$3</f>
        <v>-155.32269529201233</v>
      </c>
      <c r="AQ207">
        <f>IF(AE207='Vehicle Data'!I$15,AP207/'Vehicle Data'!G$15,IF(AE207='Vehicle Data'!I$16,AP207/'Vehicle Data'!G$16,IF(AE207='Vehicle Data'!I$14,Data!AP207/'Vehicle Data'!G218)))</f>
        <v>-28.674541711673665</v>
      </c>
      <c r="AR207">
        <f>IF(Z207&lt;'Vehicle Data'!C$16, Z207*'Vehicle Data'!F$7*'Vehicle Data'!G$14,IF(Z207&lt;'Vehicle Data'!C$15,Z207*'Vehicle Data'!F$7*'Vehicle Data'!G$15,IF(Z207&gt;'Vehicle Data'!C$15,Z207*'Vehicle Data'!F$7*'Vehicle Data'!G$16)))</f>
        <v>89.601725920623579</v>
      </c>
      <c r="AS207">
        <f t="shared" si="151"/>
        <v>5376.1035552374151</v>
      </c>
      <c r="AT207">
        <v>5</v>
      </c>
      <c r="AU207">
        <f t="shared" si="153"/>
        <v>5500</v>
      </c>
      <c r="AW207">
        <f>VLOOKUP(AT207,BSFC!A$64:A$82,1,FALSE)</f>
        <v>5</v>
      </c>
      <c r="AX207" t="e" cm="1">
        <f t="array" ref="AX207">_xlfn.XLOOKUP(AT207,BSFC!A$64:A$82,,-1,_xlfn.XLOOKUP(Data!AU207,BSFC!C$63:Q$63,BSFC!B$64:Q$82,,-1))</f>
        <v>#VALUE!</v>
      </c>
      <c r="AY207">
        <f>HLOOKUP(AU207,BSFC!F$63:Q$63,1)</f>
        <v>5500</v>
      </c>
      <c r="AZ207">
        <f>IF(AT207&gt;0,MATCH(AT207,BSFC!A$64:A$83,0),IF(AT207&lt;=0,0))</f>
        <v>18</v>
      </c>
      <c r="BA207">
        <f>MATCH(AU207,BSFC!C$63:Q$63,0)</f>
        <v>11</v>
      </c>
      <c r="BB207" cm="1">
        <f t="array" ref="BB207">IF(AZ207&gt;0,INDEX(BSFC!C$64:Q$83,Data!AZ207,Data!BA207))</f>
        <v>666.9</v>
      </c>
      <c r="BC207">
        <f>0.5*'Vehicle Data'!C$6*Data!Z207^2</f>
        <v>23286.755000000005</v>
      </c>
      <c r="BD207">
        <f t="shared" si="134"/>
        <v>16.546564019812553</v>
      </c>
      <c r="BE207">
        <v>0</v>
      </c>
      <c r="BF207">
        <f t="shared" si="155"/>
        <v>0</v>
      </c>
      <c r="BG207">
        <f t="shared" si="135"/>
        <v>52.736856242743478</v>
      </c>
      <c r="BH207">
        <f t="shared" si="118"/>
        <v>-16078.150358879053</v>
      </c>
      <c r="BI207" s="148">
        <f t="shared" si="136"/>
        <v>6871.6622130335309</v>
      </c>
      <c r="BO207">
        <f t="shared" si="137"/>
        <v>-2873.5928104794307</v>
      </c>
      <c r="BP207">
        <f t="shared" si="138"/>
        <v>198235.5225252719</v>
      </c>
      <c r="BQ207">
        <f t="shared" si="139"/>
        <v>275312.56422445638</v>
      </c>
      <c r="BR207" s="148">
        <f t="shared" si="140"/>
        <v>351415.7270892919</v>
      </c>
      <c r="BS207" s="156" t="b">
        <f t="shared" si="141"/>
        <v>0</v>
      </c>
      <c r="BT207" s="156">
        <f t="shared" si="142"/>
        <v>0</v>
      </c>
      <c r="BU207">
        <f t="shared" si="143"/>
        <v>1228.1486794599809</v>
      </c>
      <c r="BV207">
        <f t="shared" si="144"/>
        <v>1228.1486794599809</v>
      </c>
      <c r="BW207" s="148">
        <f t="shared" si="145"/>
        <v>455.4</v>
      </c>
      <c r="BX207" s="148">
        <f t="shared" si="146"/>
        <v>3129354.9718154697</v>
      </c>
      <c r="BY207" s="148">
        <f t="shared" si="147"/>
        <v>0.15536080795168758</v>
      </c>
      <c r="BZ207">
        <f t="shared" si="130"/>
        <v>50.961116474210392</v>
      </c>
      <c r="CB207">
        <f t="shared" si="148"/>
        <v>1228.1486794599809</v>
      </c>
      <c r="CC207" s="162">
        <f t="shared" si="131"/>
        <v>6930.2206668360523</v>
      </c>
      <c r="CD207">
        <f t="shared" si="156"/>
        <v>75371.222385809902</v>
      </c>
    </row>
    <row r="208" spans="4:82" x14ac:dyDescent="0.2">
      <c r="D208" s="22">
        <f t="shared" si="121"/>
        <v>0</v>
      </c>
      <c r="E208" s="23">
        <v>8.3017047999999996</v>
      </c>
      <c r="F208" s="23">
        <f>IF(K208&lt;6,1,IF(Data!K208&lt;9,2,IF(K208&gt;9,3)))</f>
        <v>3</v>
      </c>
      <c r="G208" s="23">
        <v>1119.9874005063298</v>
      </c>
      <c r="H208" s="23">
        <v>221.16666499999999</v>
      </c>
      <c r="I208" s="64">
        <v>34.577102062229237</v>
      </c>
      <c r="J208" s="65">
        <f t="shared" si="122"/>
        <v>-16.294258802782636</v>
      </c>
      <c r="K208" s="65">
        <f t="shared" si="123"/>
        <v>13.830840824891695</v>
      </c>
      <c r="L208" s="65">
        <f t="shared" si="124"/>
        <v>-6.5177035211130478</v>
      </c>
      <c r="M208">
        <f t="shared" si="125"/>
        <v>16.603409599999999</v>
      </c>
      <c r="N208">
        <v>0</v>
      </c>
      <c r="O208">
        <f>'Vehicle Data'!C$20</f>
        <v>0.9</v>
      </c>
      <c r="P208">
        <f>('Vehicle Data'!C$6*9.81*'Vehicle Data'!C$5*SIN(D208))/'Vehicle Data'!C$9</f>
        <v>0</v>
      </c>
      <c r="Q208" s="107">
        <f>'Vehicle Data'!C$6*9.81*SIN(D208)</f>
        <v>0</v>
      </c>
      <c r="R208">
        <f t="shared" si="120"/>
        <v>1118.2375158513685</v>
      </c>
      <c r="S208">
        <f>IF(Data!O208=0.6,'Vehicle Data'!E$21,IF(Data!O208 = 0.9,'Vehicle Data'!E$20))+(P208*O208)</f>
        <v>2325.5585999999998</v>
      </c>
      <c r="T208">
        <f>IF(F208=3,'Vehicle Data'!H$16,IF(F208=2,'Vehicle Data'!H$15,IF(F208 = 1,'Vehicle Data'!G$14)))</f>
        <v>466.23005239380637</v>
      </c>
      <c r="U208" s="148">
        <f t="shared" si="127"/>
        <v>402.0990337280524</v>
      </c>
      <c r="V208" s="70" t="s">
        <v>77</v>
      </c>
      <c r="W208" s="99" t="s">
        <v>84</v>
      </c>
      <c r="X208">
        <f>IF(V208="S",'Vehicle Data'!C$14,IF(Data!V208 = "T1",'Vehicle Data'!P$2,IF(Data!V208="T2",'Vehicle Data'!P$3)))</f>
        <v>13.411199999999999</v>
      </c>
      <c r="Z208">
        <v>10</v>
      </c>
      <c r="AB208" t="b">
        <f>IF(AA208=1,'Vehicle Data'!I$14,IF(AA208=2,'Vehicle Data'!I$15,IF(AA208=3,'Vehicle Data'!I$16)))</f>
        <v>0</v>
      </c>
      <c r="AC208">
        <f>IF(Z208&lt;'Vehicle Data'!C$16,'Vehicle Data'!I$15,IF(Z208&lt;'Vehicle Data'!C$15,'Vehicle Data'!I$15,IF(Z207&gt;'Vehicle Data'!C$15,'Vehicle Data'!I$16)))</f>
        <v>0.46202745420001456</v>
      </c>
      <c r="AD208">
        <f>IF(O208=0.6,'Vehicle Data'!F$21,IF(O208=0.9,'Vehicle Data'!F$20))</f>
        <v>5.2973999999999997</v>
      </c>
      <c r="AE208" s="100">
        <f t="shared" si="128"/>
        <v>0.46202745420001456</v>
      </c>
      <c r="AF208" s="158">
        <f t="shared" si="149"/>
        <v>0.17872657901177719</v>
      </c>
      <c r="AG208" s="148">
        <f t="shared" si="132"/>
        <v>-1.678541611766833</v>
      </c>
      <c r="AH208" s="148">
        <f t="shared" si="150"/>
        <v>51.139843053222172</v>
      </c>
      <c r="AJ208">
        <f>(Z208^2)*'Vehicle Data'!C$31</f>
        <v>36.750000000000007</v>
      </c>
      <c r="AK208">
        <f>IF(O208=0.6,'Vehicle Data'!C$6*'Vehicle Data'!D$21*9.81,IF(O208=0.9,'Vehicle Data'!C$6*9.81*'Vehicle Data'!D$20))</f>
        <v>55.985669999999999</v>
      </c>
      <c r="AL208">
        <f t="shared" si="129"/>
        <v>92.735669999999999</v>
      </c>
      <c r="AN208">
        <f>IF(AG208&lt;0,AG208*'Vehicle Data'!C$6)</f>
        <v>-736.87976756563967</v>
      </c>
      <c r="AO208">
        <f t="shared" si="133"/>
        <v>-644.14409756563964</v>
      </c>
      <c r="AP208">
        <f>AO208*'Vehicle Data'!F$3</f>
        <v>-164.64323133777748</v>
      </c>
      <c r="AQ208">
        <f>IF(AE208='Vehicle Data'!I$15,AP208/'Vehicle Data'!G$15,IF(AE208='Vehicle Data'!I$16,AP208/'Vehicle Data'!G$16,IF(AE208='Vehicle Data'!I$14,Data!AP208/'Vehicle Data'!G219)))</f>
        <v>-30.395231010278668</v>
      </c>
      <c r="AR208">
        <f>IF(Z208&lt;'Vehicle Data'!C$16, Z208*'Vehicle Data'!F$7*'Vehicle Data'!G$14,IF(Z208&lt;'Vehicle Data'!C$15,Z208*'Vehicle Data'!F$7*'Vehicle Data'!G$15,IF(Z208&gt;'Vehicle Data'!C$15,Z208*'Vehicle Data'!F$7*'Vehicle Data'!G$16)))</f>
        <v>86.991966913226761</v>
      </c>
      <c r="AS208">
        <f t="shared" si="151"/>
        <v>5219.5180147936053</v>
      </c>
      <c r="AT208">
        <f t="shared" si="152"/>
        <v>-30</v>
      </c>
      <c r="AU208">
        <f t="shared" si="153"/>
        <v>5000</v>
      </c>
      <c r="AW208" t="e">
        <f>VLOOKUP(AT208,BSFC!A$64:A$82,1,FALSE)</f>
        <v>#N/A</v>
      </c>
      <c r="AX208" t="e" cm="1">
        <f t="array" ref="AX208">_xlfn.XLOOKUP(AT208,BSFC!A$64:A$82,,-1,_xlfn.XLOOKUP(Data!AU208,BSFC!C$63:Q$63,BSFC!B$64:Q$82,,-1))</f>
        <v>#VALUE!</v>
      </c>
      <c r="AY208">
        <f>HLOOKUP(AU208,BSFC!F$63:Q$63,1)</f>
        <v>5000</v>
      </c>
      <c r="AZ208">
        <f>IF(AT208&gt;0,MATCH(AT208,BSFC!A$64:A$83,0),IF(AT208&lt;=0,0))</f>
        <v>0</v>
      </c>
      <c r="BA208">
        <f>MATCH(AU208,BSFC!C$63:Q$63,0)</f>
        <v>10</v>
      </c>
      <c r="BB208" t="b" cm="1">
        <f t="array" ref="BB208">IF(AZ208&gt;0,INDEX(BSFC!C$64:Q$83,Data!AZ208,Data!BA208))</f>
        <v>0</v>
      </c>
      <c r="BC208">
        <f>0.5*'Vehicle Data'!C$6*Data!Z208^2</f>
        <v>21950</v>
      </c>
      <c r="BD208">
        <f t="shared" si="134"/>
        <v>26.904565468135907</v>
      </c>
      <c r="BE208">
        <v>0</v>
      </c>
      <c r="BF208">
        <f t="shared" si="155"/>
        <v>0</v>
      </c>
      <c r="BG208">
        <f t="shared" si="135"/>
        <v>52.736856242743478</v>
      </c>
      <c r="BH208">
        <f t="shared" si="118"/>
        <v>-16546.564019812555</v>
      </c>
      <c r="BI208" s="148">
        <f t="shared" si="136"/>
        <v>6871.6622130335309</v>
      </c>
      <c r="BO208">
        <f t="shared" si="137"/>
        <v>-3047.8503653268272</v>
      </c>
      <c r="BP208">
        <f t="shared" si="138"/>
        <v>195187.67215994507</v>
      </c>
      <c r="BQ208">
        <f t="shared" si="139"/>
        <v>275312.56422445638</v>
      </c>
      <c r="BR208" s="148">
        <f t="shared" si="140"/>
        <v>352681.47616936191</v>
      </c>
      <c r="BS208" s="156" t="b">
        <f t="shared" si="141"/>
        <v>0</v>
      </c>
      <c r="BT208" s="156">
        <f t="shared" si="142"/>
        <v>0</v>
      </c>
      <c r="BU208">
        <f t="shared" si="143"/>
        <v>1265.7490800699818</v>
      </c>
      <c r="BV208">
        <f t="shared" si="144"/>
        <v>1265.7490800699818</v>
      </c>
      <c r="BW208" s="148">
        <f t="shared" si="145"/>
        <v>455.4</v>
      </c>
      <c r="BX208" s="148">
        <f t="shared" si="146"/>
        <v>3129354.9718154697</v>
      </c>
      <c r="BY208" s="148">
        <f t="shared" si="147"/>
        <v>0.16011725862885268</v>
      </c>
      <c r="BZ208">
        <f t="shared" si="130"/>
        <v>51.139843053222172</v>
      </c>
      <c r="CB208">
        <f t="shared" si="148"/>
        <v>1265.7490800699818</v>
      </c>
      <c r="CC208" s="162">
        <f t="shared" si="131"/>
        <v>7082.0416698433828</v>
      </c>
      <c r="CD208">
        <f t="shared" si="156"/>
        <v>76636.971465879891</v>
      </c>
    </row>
    <row r="209" spans="4:82" x14ac:dyDescent="0.2">
      <c r="D209" s="22">
        <f t="shared" si="121"/>
        <v>0</v>
      </c>
      <c r="E209" s="23">
        <v>8.3175069154760681</v>
      </c>
      <c r="F209" s="23">
        <f>IF(K209&lt;6,1,IF(Data!K209&lt;9,2,IF(K209&gt;9,3)))</f>
        <v>3</v>
      </c>
      <c r="G209" s="23">
        <v>1121.6975334585552</v>
      </c>
      <c r="H209" s="23">
        <v>221.21666499999998</v>
      </c>
      <c r="I209" s="64">
        <v>33.762389122090383</v>
      </c>
      <c r="J209" s="65">
        <f t="shared" si="122"/>
        <v>-16.183639389133631</v>
      </c>
      <c r="K209" s="65">
        <f t="shared" si="123"/>
        <v>13.504955648836154</v>
      </c>
      <c r="L209" s="65">
        <f t="shared" si="124"/>
        <v>-6.473455755653446</v>
      </c>
      <c r="M209">
        <f t="shared" si="125"/>
        <v>16.635013830952136</v>
      </c>
      <c r="N209">
        <v>0</v>
      </c>
      <c r="O209">
        <f>'Vehicle Data'!C$20</f>
        <v>0.9</v>
      </c>
      <c r="P209">
        <f>('Vehicle Data'!C$6*9.81*'Vehicle Data'!C$5*SIN(D209))/'Vehicle Data'!C$9</f>
        <v>0</v>
      </c>
      <c r="Q209" s="107">
        <f>'Vehicle Data'!C$6*9.81*SIN(D209)</f>
        <v>0</v>
      </c>
      <c r="R209">
        <f t="shared" si="120"/>
        <v>1119.9874005063298</v>
      </c>
      <c r="S209">
        <f>IF(Data!O209=0.6,'Vehicle Data'!E$21,IF(Data!O209 = 0.9,'Vehicle Data'!E$20))+(P209*O209)</f>
        <v>2325.5585999999998</v>
      </c>
      <c r="T209">
        <f>IF(F209=3,'Vehicle Data'!H$16,IF(F209=2,'Vehicle Data'!H$15,IF(F209 = 1,'Vehicle Data'!G$14)))</f>
        <v>466.23005239380637</v>
      </c>
      <c r="U209" s="148">
        <f t="shared" si="127"/>
        <v>403.84891838301371</v>
      </c>
      <c r="V209" s="70" t="s">
        <v>77</v>
      </c>
      <c r="W209" s="99" t="s">
        <v>84</v>
      </c>
      <c r="X209">
        <f>IF(V209="S",'Vehicle Data'!C$14,IF(Data!V209 = "T1",'Vehicle Data'!P$2,IF(Data!V209="T2",'Vehicle Data'!P$3)))</f>
        <v>13.411199999999999</v>
      </c>
      <c r="Z209">
        <v>9.5</v>
      </c>
      <c r="AB209" t="b">
        <f>IF(AA209=1,'Vehicle Data'!I$14,IF(AA209=2,'Vehicle Data'!I$15,IF(AA209=3,'Vehicle Data'!I$16)))</f>
        <v>0</v>
      </c>
      <c r="AC209">
        <f>IF(Z209&lt;'Vehicle Data'!C$16,'Vehicle Data'!I$15,IF(Z209&lt;'Vehicle Data'!C$15,'Vehicle Data'!I$15,IF(Z208&gt;'Vehicle Data'!C$15,'Vehicle Data'!I$16)))</f>
        <v>0.46202745420001456</v>
      </c>
      <c r="AD209">
        <f>IF(O209=0.6,'Vehicle Data'!F$21,IF(O209=0.9,'Vehicle Data'!F$20))</f>
        <v>5.2973999999999997</v>
      </c>
      <c r="AE209" s="100">
        <f t="shared" si="128"/>
        <v>0.46202745420001456</v>
      </c>
      <c r="AF209" s="158">
        <f t="shared" si="149"/>
        <v>0.18419838473276909</v>
      </c>
      <c r="AG209" s="148">
        <f t="shared" si="132"/>
        <v>-2.7144646285872098</v>
      </c>
      <c r="AH209" s="148">
        <f t="shared" si="150"/>
        <v>51.324041437954939</v>
      </c>
      <c r="AJ209">
        <f>(Z209^2)*'Vehicle Data'!C$31</f>
        <v>33.166875000000012</v>
      </c>
      <c r="AK209">
        <f>IF(O209=0.6,'Vehicle Data'!C$6*'Vehicle Data'!D$21*9.81,IF(O209=0.9,'Vehicle Data'!C$6*9.81*'Vehicle Data'!D$20))</f>
        <v>55.985669999999999</v>
      </c>
      <c r="AL209">
        <f t="shared" si="129"/>
        <v>89.152545000000003</v>
      </c>
      <c r="AN209">
        <f>IF(AG209&lt;0,AG209*'Vehicle Data'!C$6)</f>
        <v>-1191.6499719497851</v>
      </c>
      <c r="AO209">
        <f t="shared" si="133"/>
        <v>-1102.4974269497852</v>
      </c>
      <c r="AP209">
        <f>AO209*'Vehicle Data'!F$3</f>
        <v>-281.79834232836509</v>
      </c>
      <c r="AQ209">
        <f>IF(AE209='Vehicle Data'!I$15,AP209/'Vehicle Data'!G$15,IF(AE209='Vehicle Data'!I$16,AP209/'Vehicle Data'!G$16,IF(AE209='Vehicle Data'!I$14,Data!AP209/'Vehicle Data'!G220)))</f>
        <v>-52.023552039086638</v>
      </c>
      <c r="AR209">
        <f>IF(Z209&lt;'Vehicle Data'!C$16, Z209*'Vehicle Data'!F$7*'Vehicle Data'!G$14,IF(Z209&lt;'Vehicle Data'!C$15,Z209*'Vehicle Data'!F$7*'Vehicle Data'!G$15,IF(Z209&gt;'Vehicle Data'!C$15,Z209*'Vehicle Data'!F$7*'Vehicle Data'!G$16)))</f>
        <v>82.642368567565427</v>
      </c>
      <c r="AS209">
        <f t="shared" si="151"/>
        <v>4958.5421140539256</v>
      </c>
      <c r="AT209">
        <f t="shared" si="152"/>
        <v>-52</v>
      </c>
      <c r="AU209">
        <f t="shared" si="153"/>
        <v>5000</v>
      </c>
      <c r="AW209" t="e">
        <f>VLOOKUP(AT209,BSFC!A$64:A$82,1,FALSE)</f>
        <v>#N/A</v>
      </c>
      <c r="AX209" t="e" cm="1">
        <f t="array" ref="AX209">_xlfn.XLOOKUP(AT209,BSFC!A$64:A$82,,-1,_xlfn.XLOOKUP(Data!AU209,BSFC!C$63:Q$63,BSFC!B$64:Q$82,,-1))</f>
        <v>#VALUE!</v>
      </c>
      <c r="AY209">
        <f>HLOOKUP(AU209,BSFC!F$63:Q$63,1)</f>
        <v>5000</v>
      </c>
      <c r="AZ209">
        <f>IF(AT209&gt;0,MATCH(AT209,BSFC!A$64:A$83,0),IF(AT209&lt;=0,0))</f>
        <v>0</v>
      </c>
      <c r="BA209">
        <f>MATCH(AU209,BSFC!C$63:Q$63,0)</f>
        <v>10</v>
      </c>
      <c r="BB209" t="b" cm="1">
        <f t="array" ref="BB209">IF(AZ209&gt;0,INDEX(BSFC!C$64:Q$83,Data!AZ209,Data!BA209))</f>
        <v>0</v>
      </c>
      <c r="BC209">
        <f>0.5*'Vehicle Data'!C$6*Data!Z209^2</f>
        <v>19809.875</v>
      </c>
      <c r="BD209">
        <f t="shared" si="134"/>
        <v>0</v>
      </c>
      <c r="BE209">
        <v>0</v>
      </c>
      <c r="BF209">
        <f t="shared" si="155"/>
        <v>0</v>
      </c>
      <c r="BG209">
        <f t="shared" si="135"/>
        <v>52.736856242743478</v>
      </c>
      <c r="BH209">
        <f t="shared" si="118"/>
        <v>-26904.565468135908</v>
      </c>
      <c r="BI209" s="148">
        <f t="shared" si="136"/>
        <v>6871.6622130335309</v>
      </c>
      <c r="BO209">
        <f t="shared" si="137"/>
        <v>-5112.2648858183775</v>
      </c>
      <c r="BP209">
        <f t="shared" si="138"/>
        <v>190075.40727412669</v>
      </c>
      <c r="BQ209">
        <f t="shared" si="139"/>
        <v>275312.56422445638</v>
      </c>
      <c r="BR209" s="148">
        <f t="shared" si="140"/>
        <v>353987.19350125868</v>
      </c>
      <c r="BS209" s="156" t="b">
        <f t="shared" si="141"/>
        <v>0</v>
      </c>
      <c r="BT209" s="156">
        <f t="shared" si="142"/>
        <v>0</v>
      </c>
      <c r="BU209">
        <f t="shared" si="143"/>
        <v>1305.7173318967675</v>
      </c>
      <c r="BV209">
        <f t="shared" si="144"/>
        <v>1305.7173318967675</v>
      </c>
      <c r="BW209" s="148">
        <f t="shared" si="145"/>
        <v>455.4</v>
      </c>
      <c r="BX209" s="148">
        <f t="shared" si="146"/>
        <v>3129354.9718154697</v>
      </c>
      <c r="BY209" s="148">
        <f t="shared" si="147"/>
        <v>0.16517324248494106</v>
      </c>
      <c r="BZ209">
        <f t="shared" si="130"/>
        <v>51.324041437954939</v>
      </c>
      <c r="CB209">
        <f t="shared" si="148"/>
        <v>1305.7173318967675</v>
      </c>
      <c r="CC209" s="162">
        <f t="shared" si="131"/>
        <v>7088.6470247341695</v>
      </c>
      <c r="CD209">
        <f t="shared" si="156"/>
        <v>77942.68879777666</v>
      </c>
    </row>
    <row r="210" spans="4:82" x14ac:dyDescent="0.2">
      <c r="D210" s="22">
        <f t="shared" si="121"/>
        <v>2.3640901921193011E-3</v>
      </c>
      <c r="E210" s="23">
        <v>8.6017071999999999</v>
      </c>
      <c r="F210" s="23">
        <f>IF(K210&lt;6,1,IF(Data!K210&lt;9,2,IF(K210&gt;9,3)))</f>
        <v>3</v>
      </c>
      <c r="G210" s="23">
        <v>1123.3660875459377</v>
      </c>
      <c r="H210" s="23">
        <v>221.26666499999999</v>
      </c>
      <c r="I210" s="64">
        <v>32.953207152633517</v>
      </c>
      <c r="J210" s="65">
        <f t="shared" si="122"/>
        <v>-1.7259380906490898</v>
      </c>
      <c r="K210" s="65">
        <f t="shared" si="123"/>
        <v>13.181282861053408</v>
      </c>
      <c r="L210" s="65">
        <f t="shared" si="124"/>
        <v>-0.69037523625963693</v>
      </c>
      <c r="M210">
        <f t="shared" si="125"/>
        <v>17.2034144</v>
      </c>
      <c r="N210">
        <f t="shared" si="126"/>
        <v>9.9998400000000487E-2</v>
      </c>
      <c r="O210">
        <f>'Vehicle Data'!C$20</f>
        <v>0.9</v>
      </c>
      <c r="P210">
        <f>('Vehicle Data'!C$6*9.81*'Vehicle Data'!C$5*SIN(D210))/'Vehicle Data'!C$9</f>
        <v>1.5744058294107366</v>
      </c>
      <c r="Q210" s="107">
        <f>'Vehicle Data'!C$6*9.81*SIN(D210)</f>
        <v>10.181157696856097</v>
      </c>
      <c r="R210">
        <f t="shared" si="120"/>
        <v>1121.6975334585552</v>
      </c>
      <c r="S210">
        <f>IF(Data!O210=0.6,'Vehicle Data'!E$21,IF(Data!O210 = 0.9,'Vehicle Data'!E$20))+(P210*O210)</f>
        <v>2326.9755652464696</v>
      </c>
      <c r="T210">
        <f>IF(F210=3,'Vehicle Data'!H$16,IF(F210=2,'Vehicle Data'!H$15,IF(F210 = 1,'Vehicle Data'!G$14)))</f>
        <v>466.23005239380637</v>
      </c>
      <c r="U210" s="148">
        <f t="shared" si="127"/>
        <v>405.55905133523913</v>
      </c>
      <c r="V210" s="70" t="s">
        <v>77</v>
      </c>
      <c r="W210" s="99" t="s">
        <v>84</v>
      </c>
      <c r="X210">
        <f>IF(V210="S",'Vehicle Data'!C$14,IF(Data!V210 = "T1",'Vehicle Data'!P$2,IF(Data!V210="T2",'Vehicle Data'!P$3)))</f>
        <v>13.411199999999999</v>
      </c>
      <c r="Z210">
        <v>9</v>
      </c>
      <c r="AB210" t="b">
        <f>IF(AA210=1,'Vehicle Data'!I$14,IF(AA210=2,'Vehicle Data'!I$15,IF(AA210=3,'Vehicle Data'!I$16)))</f>
        <v>0</v>
      </c>
      <c r="AC210">
        <f>IF(Z210&lt;'Vehicle Data'!C$16,'Vehicle Data'!I$15,IF(Z210&lt;'Vehicle Data'!C$15,'Vehicle Data'!I$15,IF(Z209&gt;'Vehicle Data'!C$15,'Vehicle Data'!I$16)))</f>
        <v>0.46202745420001456</v>
      </c>
      <c r="AD210">
        <f>IF(O210=0.6,'Vehicle Data'!F$21,IF(O210=0.9,'Vehicle Data'!F$20))</f>
        <v>5.2973999999999997</v>
      </c>
      <c r="AE210" s="100">
        <f t="shared" si="128"/>
        <v>0.46202745420001456</v>
      </c>
      <c r="AF210" s="158">
        <f t="shared" si="149"/>
        <v>0.19001477246949131</v>
      </c>
      <c r="AG210" s="148">
        <f t="shared" si="132"/>
        <v>-2.6313743584345781</v>
      </c>
      <c r="AH210" s="148">
        <f t="shared" si="150"/>
        <v>51.514056210424428</v>
      </c>
      <c r="AJ210">
        <f>(Z210^2)*'Vehicle Data'!C$31</f>
        <v>29.767500000000009</v>
      </c>
      <c r="AK210">
        <f>IF(O210=0.6,'Vehicle Data'!C$6*'Vehicle Data'!D$21*9.81,IF(O210=0.9,'Vehicle Data'!C$6*9.81*'Vehicle Data'!D$20))</f>
        <v>55.985669999999999</v>
      </c>
      <c r="AL210">
        <f t="shared" si="129"/>
        <v>95.934327696856116</v>
      </c>
      <c r="AN210">
        <f>IF(AG210&lt;0,AG210*'Vehicle Data'!C$6)</f>
        <v>-1155.1733433527797</v>
      </c>
      <c r="AO210">
        <f t="shared" si="133"/>
        <v>-1059.2390156559236</v>
      </c>
      <c r="AP210">
        <f>AO210*'Vehicle Data'!F$3</f>
        <v>-270.74149240165406</v>
      </c>
      <c r="AQ210">
        <f>IF(AE210='Vehicle Data'!I$15,AP210/'Vehicle Data'!G$15,IF(AE210='Vehicle Data'!I$16,AP210/'Vehicle Data'!G$16,IF(AE210='Vehicle Data'!I$14,Data!AP210/'Vehicle Data'!G221)))</f>
        <v>-49.982317151763013</v>
      </c>
      <c r="AR210" t="b">
        <f>IF(Z210&lt;'Vehicle Data'!C$16, Z210*'Vehicle Data'!F$7*'Vehicle Data'!G$14,IF(Z210&lt;'Vehicle Data'!C$15,Z210*'Vehicle Data'!F$7*'Vehicle Data'!G$15,IF(Z210&gt;'Vehicle Data'!C$15,Z210*'Vehicle Data'!F$7*'Vehicle Data'!G$16)))</f>
        <v>0</v>
      </c>
      <c r="AS210">
        <f t="shared" si="151"/>
        <v>0</v>
      </c>
      <c r="AT210">
        <f t="shared" si="152"/>
        <v>-50</v>
      </c>
      <c r="AU210">
        <v>5500</v>
      </c>
      <c r="AW210" t="e">
        <f>VLOOKUP(AT210,BSFC!A$64:A$82,1,FALSE)</f>
        <v>#N/A</v>
      </c>
      <c r="AX210" t="e" cm="1">
        <f t="array" ref="AX210">_xlfn.XLOOKUP(AT210,BSFC!A$64:A$82,,-1,_xlfn.XLOOKUP(Data!AU210,BSFC!C$63:Q$63,BSFC!B$64:Q$82,,-1))</f>
        <v>#VALUE!</v>
      </c>
      <c r="AY210">
        <f>HLOOKUP(AU210,BSFC!F$63:Q$63,1)</f>
        <v>5500</v>
      </c>
      <c r="AZ210">
        <f>IF(AT210&gt;0,MATCH(AT210,BSFC!A$64:A$83,0),IF(AT210&lt;=0,0))</f>
        <v>0</v>
      </c>
      <c r="BA210">
        <f>MATCH(AU210,BSFC!C$63:Q$63,0)</f>
        <v>11</v>
      </c>
      <c r="BB210" t="b" cm="1">
        <f t="array" ref="BB210">IF(AZ210&gt;0,INDEX(BSFC!C$64:Q$83,Data!AZ210,Data!BA210))</f>
        <v>0</v>
      </c>
      <c r="BC210">
        <f>0.5*'Vehicle Data'!C$6*Data!Z210^2</f>
        <v>17779.5</v>
      </c>
      <c r="BD210">
        <f t="shared" si="134"/>
        <v>22.415947554998041</v>
      </c>
      <c r="BE210">
        <v>0</v>
      </c>
      <c r="BF210">
        <f t="shared" si="155"/>
        <v>0</v>
      </c>
      <c r="BG210">
        <f t="shared" si="135"/>
        <v>52.736856242743478</v>
      </c>
      <c r="BH210">
        <f t="shared" si="118"/>
        <v>0</v>
      </c>
      <c r="BI210" s="148">
        <f t="shared" si="136"/>
        <v>6871.6622130335309</v>
      </c>
      <c r="BO210">
        <f t="shared" si="137"/>
        <v>0</v>
      </c>
      <c r="BP210">
        <f t="shared" si="138"/>
        <v>190075.40727412669</v>
      </c>
      <c r="BQ210">
        <f t="shared" si="139"/>
        <v>275312.56422445638</v>
      </c>
      <c r="BR210" s="148">
        <f t="shared" si="140"/>
        <v>355336.10409804329</v>
      </c>
      <c r="BS210" s="156" t="b">
        <f t="shared" si="141"/>
        <v>0</v>
      </c>
      <c r="BT210" s="156">
        <f t="shared" si="142"/>
        <v>0</v>
      </c>
      <c r="BU210">
        <f t="shared" si="143"/>
        <v>1348.9105967845992</v>
      </c>
      <c r="BV210">
        <f t="shared" si="144"/>
        <v>1348.9105967845992</v>
      </c>
      <c r="BW210" s="148">
        <f t="shared" si="145"/>
        <v>455.4</v>
      </c>
      <c r="BX210" s="148">
        <f t="shared" si="146"/>
        <v>3129354.9718154697</v>
      </c>
      <c r="BY210" s="148">
        <f t="shared" si="147"/>
        <v>0.17063719049325177</v>
      </c>
      <c r="BZ210">
        <f t="shared" si="130"/>
        <v>51.514056210424428</v>
      </c>
      <c r="CB210">
        <f t="shared" si="148"/>
        <v>1348.9105967845992</v>
      </c>
      <c r="CC210" s="162">
        <f t="shared" si="131"/>
        <v>7098.977512399445</v>
      </c>
      <c r="CD210">
        <f t="shared" si="156"/>
        <v>79291.599394561257</v>
      </c>
    </row>
    <row r="211" spans="4:82" ht="16" thickBot="1" x14ac:dyDescent="0.25">
      <c r="D211" s="22">
        <f t="shared" ref="D211:D266" si="157">ASIN((N211)/(G212-G211))</f>
        <v>2.0938869342782985E-3</v>
      </c>
      <c r="E211" s="23">
        <v>8.7017056000000004</v>
      </c>
      <c r="F211" s="23">
        <f>IF(K211&lt;6,1,IF(Data!K211&lt;9,2,IF(K211&gt;9,3)))</f>
        <v>3</v>
      </c>
      <c r="G211" s="23">
        <v>1165.6650207594942</v>
      </c>
      <c r="H211" s="23">
        <v>222.66666499999999</v>
      </c>
      <c r="I211" s="64">
        <v>30.536893825724782</v>
      </c>
      <c r="J211" s="65">
        <f t="shared" ref="J211:J266" si="158">(I212-I211)/(H212-H211)</f>
        <v>-4.5097748743965944</v>
      </c>
      <c r="K211" s="65">
        <f t="shared" ref="K211:K266" si="159">I211/2.5</f>
        <v>12.214757530289912</v>
      </c>
      <c r="L211" s="65">
        <f t="shared" ref="L211:L266" si="160">(K212-K211)/(H212-H211)</f>
        <v>-1.8039099497586377</v>
      </c>
      <c r="M211">
        <f t="shared" ref="M211:M266" si="161">2*E211</f>
        <v>17.403411200000001</v>
      </c>
      <c r="N211">
        <f t="shared" ref="N211:N263" si="162">E212-E211</f>
        <v>-0.30000240000000034</v>
      </c>
      <c r="O211">
        <f>'Vehicle Data'!C$20</f>
        <v>0.9</v>
      </c>
      <c r="P211">
        <f>('Vehicle Data'!C$6*9.81*'Vehicle Data'!C$5*SIN(D211))/'Vehicle Data'!C$9</f>
        <v>1.3944596819001649</v>
      </c>
      <c r="Q211" s="107">
        <f>'Vehicle Data'!C$6*9.81*SIN(D211)</f>
        <v>9.0175059429544007</v>
      </c>
      <c r="R211">
        <f t="shared" ref="R211:R266" si="163">G210</f>
        <v>1123.3660875459377</v>
      </c>
      <c r="S211">
        <f>IF(Data!O211=0.6,'Vehicle Data'!E$21,IF(Data!O211 = 0.9,'Vehicle Data'!E$20))+(P211*O211)</f>
        <v>2326.8136137137099</v>
      </c>
      <c r="T211">
        <f>IF(F211=3,'Vehicle Data'!H$16,IF(F211=2,'Vehicle Data'!H$15,IF(F211 = 1,'Vehicle Data'!G$14)))</f>
        <v>466.23005239380637</v>
      </c>
      <c r="U211" s="148">
        <f t="shared" ref="U211:U266" si="164">R211-R$2</f>
        <v>407.22760542262165</v>
      </c>
      <c r="V211" s="70" t="s">
        <v>77</v>
      </c>
      <c r="W211" s="99" t="s">
        <v>84</v>
      </c>
      <c r="X211">
        <f>IF(V211="S",'Vehicle Data'!C$14,IF(Data!V211 = "T1",'Vehicle Data'!P$2,IF(Data!V211="T2",'Vehicle Data'!P$3)))</f>
        <v>13.411199999999999</v>
      </c>
      <c r="Z211">
        <v>8.5</v>
      </c>
      <c r="AB211" t="b">
        <f>IF(AA211=1,'Vehicle Data'!I$14,IF(AA211=2,'Vehicle Data'!I$15,IF(AA211=3,'Vehicle Data'!I$16)))</f>
        <v>0</v>
      </c>
      <c r="AC211">
        <f>IF(Z211&lt;'Vehicle Data'!C$16,'Vehicle Data'!I$15,IF(Z211&lt;'Vehicle Data'!C$15,'Vehicle Data'!I$15,IF(Z210&gt;'Vehicle Data'!C$15,'Vehicle Data'!I$16)))</f>
        <v>0.98256251041858167</v>
      </c>
      <c r="AD211">
        <f>IF(O211=0.6,'Vehicle Data'!F$21,IF(O211=0.9,'Vehicle Data'!F$20))</f>
        <v>5.2973999999999997</v>
      </c>
      <c r="AE211" s="100">
        <f t="shared" ref="AE211" si="165">IF(W211="a",AC211,IF(W211="b",AD211*-1))</f>
        <v>0.98256251041858167</v>
      </c>
      <c r="AF211" s="158">
        <f t="shared" ref="AF211:AF266" si="166">(U211-U210)/Z211</f>
        <v>0.19630048086853147</v>
      </c>
      <c r="AG211" s="148">
        <f t="shared" si="132"/>
        <v>-2.54711551284923</v>
      </c>
      <c r="AH211" s="148">
        <f t="shared" si="150"/>
        <v>51.710356691292958</v>
      </c>
      <c r="AJ211">
        <f>(Z211^2)*'Vehicle Data'!C$31</f>
        <v>26.551875000000006</v>
      </c>
      <c r="AK211">
        <f>IF(O211=0.6,'Vehicle Data'!C$6*'Vehicle Data'!D$21*9.81,IF(O211=0.9,'Vehicle Data'!C$6*9.81*'Vehicle Data'!D$20))</f>
        <v>55.985669999999999</v>
      </c>
      <c r="AL211">
        <f t="shared" ref="AL211:AL266" si="167">AJ211+AK211+Q211</f>
        <v>91.555050942954409</v>
      </c>
      <c r="AN211">
        <f>IF(AG211&lt;0,AG211*'Vehicle Data'!C$6)</f>
        <v>-1118.1837101408119</v>
      </c>
      <c r="AO211">
        <f t="shared" ref="AO211:AO266" si="168">AN211+AL211</f>
        <v>-1026.6286591978574</v>
      </c>
      <c r="AP211">
        <f>AO211*'Vehicle Data'!F$3</f>
        <v>-262.40628529097233</v>
      </c>
      <c r="AQ211">
        <f>IF(AE211='Vehicle Data'!I$15,AP211/'Vehicle Data'!G$15,IF(AE211='Vehicle Data'!I$16,AP211/'Vehicle Data'!G$16,IF(AE211='Vehicle Data'!I$14,Data!AP211/'Vehicle Data'!G222)))</f>
        <v>-32.509528511191441</v>
      </c>
      <c r="AR211">
        <f>IF(Z211&lt;'Vehicle Data'!C$16, Z211*'Vehicle Data'!F$7*'Vehicle Data'!G$14,IF(Z211&lt;'Vehicle Data'!C$15,Z211*'Vehicle Data'!F$7*'Vehicle Data'!G$15,IF(Z211&gt;'Vehicle Data'!C$15,Z211*'Vehicle Data'!F$7*'Vehicle Data'!G$16)))</f>
        <v>110.18518518518519</v>
      </c>
      <c r="AS211">
        <f t="shared" si="151"/>
        <v>6611.1111111111113</v>
      </c>
      <c r="AT211">
        <v>4</v>
      </c>
      <c r="AU211">
        <f t="shared" ref="AU211:AU266" si="169">MROUND(AS211,500)</f>
        <v>6500</v>
      </c>
      <c r="AW211">
        <f>VLOOKUP(AT211,BSFC!A$64:A$82,1,FALSE)</f>
        <v>4</v>
      </c>
      <c r="AX211" t="e" cm="1">
        <f t="array" ref="AX211">_xlfn.XLOOKUP(AT211,BSFC!A$64:A$82,,-1,_xlfn.XLOOKUP(Data!AU211,BSFC!C$63:Q$63,BSFC!B$64:Q$82,,-1))</f>
        <v>#VALUE!</v>
      </c>
      <c r="AY211">
        <f>HLOOKUP(AU211,BSFC!F$63:Q$63,1)</f>
        <v>6500</v>
      </c>
      <c r="AZ211">
        <f>IF(AT211&gt;0,MATCH(AT211,BSFC!A$64:A$83,0),IF(AT211&lt;=0,0))</f>
        <v>19</v>
      </c>
      <c r="BA211">
        <f>MATCH(AU211,BSFC!C$63:Q$63,0)</f>
        <v>13</v>
      </c>
      <c r="BB211" cm="1">
        <f t="array" ref="BB211">IF(AZ211&gt;0,INDEX(BSFC!C$64:Q$83,Data!AZ211,Data!BA211))</f>
        <v>650</v>
      </c>
      <c r="BC211">
        <f>0.5*'Vehicle Data'!C$6*Data!Z211^2</f>
        <v>15858.875</v>
      </c>
      <c r="BD211">
        <f t="shared" si="134"/>
        <v>13.465906457145509</v>
      </c>
      <c r="BE211">
        <f t="shared" si="154"/>
        <v>8752.8391971445817</v>
      </c>
      <c r="BF211">
        <f t="shared" si="155"/>
        <v>0.47727403982344785</v>
      </c>
      <c r="BG211">
        <f t="shared" si="135"/>
        <v>53.214130282566927</v>
      </c>
      <c r="BH211">
        <f t="shared" si="118"/>
        <v>-22415.947554998042</v>
      </c>
      <c r="BI211" s="148">
        <f t="shared" si="136"/>
        <v>6871.6622130335309</v>
      </c>
      <c r="BO211">
        <f t="shared" si="137"/>
        <v>-6276.4653153994523</v>
      </c>
      <c r="BP211">
        <f t="shared" si="138"/>
        <v>183798.94195872723</v>
      </c>
      <c r="BQ211">
        <f t="shared" si="139"/>
        <v>275312.56422445638</v>
      </c>
      <c r="BR211" s="148">
        <f t="shared" si="140"/>
        <v>357260.1695176927</v>
      </c>
      <c r="BS211" s="156" t="b">
        <f t="shared" si="141"/>
        <v>0</v>
      </c>
      <c r="BT211" s="156">
        <f t="shared" si="142"/>
        <v>0</v>
      </c>
      <c r="BU211">
        <f t="shared" si="143"/>
        <v>1924.0654196493888</v>
      </c>
      <c r="BV211">
        <f t="shared" si="144"/>
        <v>1924.0654196493888</v>
      </c>
      <c r="BW211" s="148">
        <f t="shared" si="145"/>
        <v>455.4</v>
      </c>
      <c r="BX211" s="148">
        <f t="shared" si="146"/>
        <v>3129354.9718154697</v>
      </c>
      <c r="BY211" s="148">
        <f t="shared" si="147"/>
        <v>0.24339427558564763</v>
      </c>
      <c r="BZ211">
        <f t="shared" si="130"/>
        <v>51.710356691292958</v>
      </c>
      <c r="CB211">
        <f t="shared" si="148"/>
        <v>1924.0654196493888</v>
      </c>
      <c r="CC211" s="162">
        <f t="shared" si="131"/>
        <v>9801.6337562515273</v>
      </c>
      <c r="CD211">
        <f t="shared" si="156"/>
        <v>81215.664814210642</v>
      </c>
    </row>
    <row r="212" spans="4:82" x14ac:dyDescent="0.2">
      <c r="D212" s="22">
        <f t="shared" si="157"/>
        <v>4.2415328728376389E-2</v>
      </c>
      <c r="E212" s="23">
        <v>8.4017032</v>
      </c>
      <c r="F212" s="23">
        <f>IF(K212&lt;6,1,IF(Data!K212&lt;9,2,IF(K212&gt;9,3)))</f>
        <v>3</v>
      </c>
      <c r="G212" s="23">
        <v>1022.3895581216832</v>
      </c>
      <c r="H212" s="23">
        <v>219.01666499999999</v>
      </c>
      <c r="I212" s="64">
        <v>46.997572117272377</v>
      </c>
      <c r="J212" s="65">
        <f t="shared" si="158"/>
        <v>1.3397314169050185</v>
      </c>
      <c r="K212" s="65">
        <f t="shared" si="159"/>
        <v>18.79902884690895</v>
      </c>
      <c r="L212" s="65">
        <f t="shared" si="160"/>
        <v>0.53589256676199315</v>
      </c>
      <c r="M212">
        <f t="shared" si="161"/>
        <v>16.8034064</v>
      </c>
      <c r="N212">
        <f t="shared" si="162"/>
        <v>9.9998399999998711E-2</v>
      </c>
      <c r="O212">
        <f>IF(L212&lt;'Vehicle Data'!F$21,'Vehicle Data'!C$21,IF(L212&gt;'Vehicle Data'!C$21,'Vehicle Data'!C$20))</f>
        <v>0.6</v>
      </c>
      <c r="P212">
        <f>('Vehicle Data'!C$6*9.81*'Vehicle Data'!C$5*SIN(D212))/'Vehicle Data'!C$9</f>
        <v>28.238762545357893</v>
      </c>
      <c r="Q212" s="107">
        <f>'Vehicle Data'!C$6*9.81*SIN(D212)</f>
        <v>182.61066445998102</v>
      </c>
      <c r="R212" s="101">
        <f t="shared" si="163"/>
        <v>1165.6650207594942</v>
      </c>
      <c r="S212" s="101">
        <f>IF(Data!O212=0.6,'Vehicle Data'!E$21,IF(Data!O212 = 0.9,'Vehicle Data'!E$20))+(P212*O212)</f>
        <v>1567.3156575272144</v>
      </c>
      <c r="T212" s="101">
        <f>IF(F212=3,'Vehicle Data'!H$16,IF(F212=2,'Vehicle Data'!H$15,IF(F212 = 1,'Vehicle Data'!G$14)))</f>
        <v>466.23005239380637</v>
      </c>
      <c r="U212" s="148">
        <f t="shared" si="164"/>
        <v>449.52653863617809</v>
      </c>
      <c r="V212" s="102" t="s">
        <v>77</v>
      </c>
      <c r="W212" s="103" t="s">
        <v>84</v>
      </c>
      <c r="X212" s="101">
        <f>IF(V212="S",'Vehicle Data'!C$14,IF(Data!V212 = "T1",'Vehicle Data'!P$2,IF(Data!V212="T2",'Vehicle Data'!P$3)))</f>
        <v>13.411199999999999</v>
      </c>
      <c r="Y212" s="101"/>
      <c r="Z212" s="104">
        <v>8.3000000000000007</v>
      </c>
      <c r="AA212" s="101"/>
      <c r="AB212" s="101" t="b">
        <f>IF(AA212=1,'Vehicle Data'!I$14,IF(AA212=2,'Vehicle Data'!I$15,IF(AA212=3,'Vehicle Data'!I$16)))</f>
        <v>0</v>
      </c>
      <c r="AC212" s="101">
        <f>IF(Z212&lt;'Vehicle Data'!C$16,'Vehicle Data'!I$15,IF(Z212&lt;'Vehicle Data'!C$15,'Vehicle Data'!I$15,IF(Z211&gt;'Vehicle Data'!C$15,'Vehicle Data'!I$16)))</f>
        <v>0.98256251041858167</v>
      </c>
      <c r="AD212">
        <f>IF(O212=0.6,'Vehicle Data'!F$21,IF(O212=0.9,'Vehicle Data'!F$20))</f>
        <v>3.5315999999999996</v>
      </c>
      <c r="AE212" s="101">
        <f>(Data!H$15-Data!Q212)/'Vehicle Data'!C$6</f>
        <v>6.5845103735806293E-2</v>
      </c>
      <c r="AF212" s="158">
        <v>0.28000000000000003</v>
      </c>
      <c r="AG212" s="148">
        <f t="shared" si="132"/>
        <v>-0.71428571428571164</v>
      </c>
      <c r="AH212" s="148">
        <f t="shared" si="150"/>
        <v>51.990356691292959</v>
      </c>
      <c r="AI212" s="101"/>
      <c r="AJ212" s="101">
        <f>(Z212^2)*'Vehicle Data'!C$31</f>
        <v>25.317075000000013</v>
      </c>
      <c r="AK212" s="101">
        <f>IF(O212=0.6,'Vehicle Data'!C$6*'Vehicle Data'!D$21*9.81,IF(O212=0.9,'Vehicle Data'!C$6*9.81*'Vehicle Data'!D$20))</f>
        <v>86.131799999999998</v>
      </c>
      <c r="AL212" s="101">
        <f t="shared" si="167"/>
        <v>294.05953945998101</v>
      </c>
      <c r="AM212" s="101"/>
      <c r="AN212">
        <f>IF(AG212&lt;0,AG212*'Vehicle Data'!C$6)</f>
        <v>-313.57142857142742</v>
      </c>
      <c r="AO212" s="101">
        <f t="shared" si="168"/>
        <v>-19.511889111446408</v>
      </c>
      <c r="AP212" s="101">
        <f>AO212*'Vehicle Data'!F$3</f>
        <v>-4.9872388568857016</v>
      </c>
      <c r="AQ212">
        <v>20</v>
      </c>
      <c r="AR212">
        <f>IF(Z212&lt;'Vehicle Data'!C$16, Z212*'Vehicle Data'!F$7*'Vehicle Data'!G$14,IF(Z212&lt;'Vehicle Data'!C$15,Z212*'Vehicle Data'!F$7*'Vehicle Data'!G$15,IF(Z212&gt;'Vehicle Data'!C$15,Z212*'Vehicle Data'!F$7*'Vehicle Data'!G$16)))</f>
        <v>107.59259259259261</v>
      </c>
      <c r="AS212">
        <f t="shared" si="151"/>
        <v>6455.5555555555566</v>
      </c>
      <c r="AT212">
        <f t="shared" ref="AT212:AT266" si="170">ROUND(AQ212,0)</f>
        <v>20</v>
      </c>
      <c r="AU212">
        <f t="shared" si="169"/>
        <v>6500</v>
      </c>
      <c r="AW212">
        <f>VLOOKUP(AT212,BSFC!A$64:A$82,1,FALSE)</f>
        <v>20</v>
      </c>
      <c r="AX212" t="e" cm="1">
        <f t="array" ref="AX212">_xlfn.XLOOKUP(AT212,BSFC!A$64:A$82,,-1,_xlfn.XLOOKUP(Data!AU212,BSFC!C$63:Q$63,BSFC!B$64:Q$82,,-1))</f>
        <v>#VALUE!</v>
      </c>
      <c r="AY212">
        <f>HLOOKUP(AU212,BSFC!F$63:Q$63,1)</f>
        <v>6500</v>
      </c>
      <c r="AZ212">
        <f>IF(AT212&gt;0,MATCH(AT212,BSFC!A$64:A$83,0),IF(AT212&lt;=0,0))</f>
        <v>3</v>
      </c>
      <c r="BA212">
        <f>MATCH(AU212,BSFC!C$63:Q$63,0)</f>
        <v>13</v>
      </c>
      <c r="BB212" cm="1">
        <f t="array" ref="BB212">IF(AZ212&gt;0,INDEX(BSFC!C$64:Q$83,Data!AZ212,Data!BA212))</f>
        <v>494.7</v>
      </c>
      <c r="BC212">
        <f>0.5*'Vehicle Data'!C$6*Data!Z212^2</f>
        <v>15121.355000000003</v>
      </c>
      <c r="BD212">
        <f t="shared" si="134"/>
        <v>13.465906457145509</v>
      </c>
      <c r="BE212">
        <f t="shared" si="154"/>
        <v>6661.5839243498831</v>
      </c>
      <c r="BF212">
        <f t="shared" si="155"/>
        <v>0.51812319411610208</v>
      </c>
      <c r="BG212">
        <f t="shared" si="135"/>
        <v>53.732253476683027</v>
      </c>
      <c r="BH212">
        <f t="shared" si="118"/>
        <v>13465.906457145509</v>
      </c>
      <c r="BI212" s="148">
        <f t="shared" si="136"/>
        <v>6871.6622130335309</v>
      </c>
      <c r="BO212">
        <f t="shared" si="137"/>
        <v>3770.4538080007428</v>
      </c>
      <c r="BP212">
        <f t="shared" si="138"/>
        <v>187569.39576672798</v>
      </c>
      <c r="BQ212">
        <f t="shared" si="139"/>
        <v>279083.0180324571</v>
      </c>
      <c r="BR212" s="148">
        <f t="shared" si="140"/>
        <v>359184.23493734212</v>
      </c>
      <c r="BS212" s="156">
        <f t="shared" si="141"/>
        <v>3770.4538080007428</v>
      </c>
      <c r="BT212" s="156">
        <f t="shared" si="142"/>
        <v>13465.906457145509</v>
      </c>
      <c r="BU212">
        <f t="shared" si="143"/>
        <v>1924.0654196493888</v>
      </c>
      <c r="BV212">
        <f t="shared" si="144"/>
        <v>1924.0654196493888</v>
      </c>
      <c r="BW212" s="148">
        <f t="shared" si="145"/>
        <v>455.4</v>
      </c>
      <c r="BX212" s="148">
        <f t="shared" si="146"/>
        <v>3129354.9718154697</v>
      </c>
      <c r="BY212" s="148">
        <f t="shared" si="147"/>
        <v>0.24339427558564763</v>
      </c>
      <c r="BZ212">
        <f t="shared" si="130"/>
        <v>51.990356691292959</v>
      </c>
      <c r="CB212">
        <f t="shared" si="148"/>
        <v>-1846.388388351354</v>
      </c>
      <c r="CC212" s="162">
        <f t="shared" si="131"/>
        <v>-6594.244244111952</v>
      </c>
      <c r="CD212">
        <f t="shared" si="156"/>
        <v>79369.276425859294</v>
      </c>
    </row>
    <row r="213" spans="4:82" x14ac:dyDescent="0.2">
      <c r="D213" s="22">
        <f t="shared" si="157"/>
        <v>0</v>
      </c>
      <c r="E213" s="23">
        <v>8.5017015999999987</v>
      </c>
      <c r="F213" s="23">
        <f>IF(K213&lt;6,1,IF(Data!K213&lt;9,2,IF(K213&gt;9,3)))</f>
        <v>3</v>
      </c>
      <c r="G213" s="23">
        <v>1024.7478656757876</v>
      </c>
      <c r="H213" s="23">
        <v>219.066665</v>
      </c>
      <c r="I213" s="64">
        <v>47.064558688117643</v>
      </c>
      <c r="J213" s="65">
        <f t="shared" si="158"/>
        <v>1.4354312780726908</v>
      </c>
      <c r="K213" s="65">
        <f t="shared" si="159"/>
        <v>18.825823475247056</v>
      </c>
      <c r="L213" s="65">
        <f t="shared" si="160"/>
        <v>0.57417251122911894</v>
      </c>
      <c r="M213">
        <f t="shared" si="161"/>
        <v>17.003403199999997</v>
      </c>
      <c r="N213">
        <f t="shared" si="162"/>
        <v>0</v>
      </c>
      <c r="O213">
        <f>IF(L213&lt;'Vehicle Data'!F$21,'Vehicle Data'!C$21,IF(L213&gt;'Vehicle Data'!C$21,'Vehicle Data'!C$20))</f>
        <v>0.6</v>
      </c>
      <c r="P213">
        <f>('Vehicle Data'!C$6*9.81*'Vehicle Data'!C$5*SIN(D213))/'Vehicle Data'!C$9</f>
        <v>0</v>
      </c>
      <c r="Q213" s="107">
        <f>'Vehicle Data'!C$6*9.81*SIN(D213)</f>
        <v>0</v>
      </c>
      <c r="R213" s="101">
        <f t="shared" si="163"/>
        <v>1022.3895581216832</v>
      </c>
      <c r="S213" s="101">
        <f>IF(Data!O213=0.6,'Vehicle Data'!E$21,IF(Data!O213 = 0.9,'Vehicle Data'!E$20))+(P213*O213)</f>
        <v>1550.3723999999997</v>
      </c>
      <c r="T213" s="101">
        <f>IF(F213=3,'Vehicle Data'!H$16,IF(F213=2,'Vehicle Data'!H$15,IF(F213 = 1,'Vehicle Data'!G$14)))</f>
        <v>466.23005239380637</v>
      </c>
      <c r="U213" s="148">
        <f t="shared" si="164"/>
        <v>306.25107599836713</v>
      </c>
      <c r="V213" s="102" t="s">
        <v>77</v>
      </c>
      <c r="W213" s="103" t="s">
        <v>84</v>
      </c>
      <c r="X213" s="101">
        <f>IF(V213="S",'Vehicle Data'!C$14,IF(Data!V213 = "T1",'Vehicle Data'!P$2,IF(Data!V213="T2",'Vehicle Data'!P$3)))</f>
        <v>13.411199999999999</v>
      </c>
      <c r="Y213" s="101"/>
      <c r="Z213" s="105">
        <v>8.3000000000000007</v>
      </c>
      <c r="AA213" s="101"/>
      <c r="AB213" s="101" t="b">
        <f>IF(AA213=1,'Vehicle Data'!I$14,IF(AA213=2,'Vehicle Data'!I$15,IF(AA213=3,'Vehicle Data'!I$16)))</f>
        <v>0</v>
      </c>
      <c r="AC213" s="101">
        <f>IF(Z213&lt;'Vehicle Data'!C$16,'Vehicle Data'!I$15,IF(Z213&lt;'Vehicle Data'!C$15,'Vehicle Data'!I$15,IF(Z212&gt;'Vehicle Data'!C$15,'Vehicle Data'!I$16)))</f>
        <v>0.98256251041858167</v>
      </c>
      <c r="AD213">
        <f>IF(O213=0.6,'Vehicle Data'!F$21,IF(O213=0.9,'Vehicle Data'!F$20))</f>
        <v>3.5315999999999996</v>
      </c>
      <c r="AE213" s="101">
        <f>(Data!H$15-Data!Q213)/'Vehicle Data'!C$6</f>
        <v>0.48181472665148062</v>
      </c>
      <c r="AF213" s="158">
        <v>0.28000000000000003</v>
      </c>
      <c r="AG213" s="148">
        <f t="shared" si="132"/>
        <v>0</v>
      </c>
      <c r="AH213" s="148">
        <f t="shared" si="150"/>
        <v>52.27035669129296</v>
      </c>
      <c r="AI213" s="101"/>
      <c r="AJ213" s="101">
        <f>(Z213^2)*'Vehicle Data'!C$31</f>
        <v>25.317075000000013</v>
      </c>
      <c r="AK213" s="101">
        <f>IF(O213=0.6,'Vehicle Data'!C$6*'Vehicle Data'!D$21*9.81,IF(O213=0.9,'Vehicle Data'!C$6*9.81*'Vehicle Data'!D$20))</f>
        <v>86.131799999999998</v>
      </c>
      <c r="AL213" s="101">
        <f t="shared" si="167"/>
        <v>111.44887500000002</v>
      </c>
      <c r="AM213" s="101"/>
      <c r="AN213" t="b">
        <f>IF(AG213&gt;0,AG213*'Vehicle Data'!C$6)</f>
        <v>0</v>
      </c>
      <c r="AO213" s="101">
        <f t="shared" si="168"/>
        <v>111.44887500000002</v>
      </c>
      <c r="AP213" s="101">
        <f>AO213*'Vehicle Data'!F$3</f>
        <v>28.486332450000003</v>
      </c>
      <c r="AQ213">
        <v>20</v>
      </c>
      <c r="AR213">
        <f>IF(Z213&lt;'Vehicle Data'!C$16, Z213*'Vehicle Data'!F$7*'Vehicle Data'!G$14,IF(Z213&lt;'Vehicle Data'!C$15,Z213*'Vehicle Data'!F$7*'Vehicle Data'!G$15,IF(Z213&gt;'Vehicle Data'!C$15,Z213*'Vehicle Data'!F$7*'Vehicle Data'!G$16)))</f>
        <v>107.59259259259261</v>
      </c>
      <c r="AS213">
        <f t="shared" si="151"/>
        <v>6455.5555555555566</v>
      </c>
      <c r="AT213">
        <f t="shared" si="170"/>
        <v>20</v>
      </c>
      <c r="AU213">
        <f t="shared" si="169"/>
        <v>6500</v>
      </c>
      <c r="AW213">
        <f>VLOOKUP(AT213,BSFC!A$64:A$82,1,FALSE)</f>
        <v>20</v>
      </c>
      <c r="AX213" t="e" cm="1">
        <f t="array" ref="AX213">_xlfn.XLOOKUP(AT213,BSFC!A$64:A$82,,-1,_xlfn.XLOOKUP(Data!AU213,BSFC!C$63:Q$63,BSFC!B$64:Q$82,,-1))</f>
        <v>#VALUE!</v>
      </c>
      <c r="AY213">
        <f>HLOOKUP(AU213,BSFC!F$63:Q$63,1)</f>
        <v>6500</v>
      </c>
      <c r="AZ213">
        <f>IF(AT213&gt;0,MATCH(AT213,BSFC!A$64:A$83,0),IF(AT213&lt;=0,0))</f>
        <v>3</v>
      </c>
      <c r="BA213">
        <f>MATCH(AU213,BSFC!C$63:Q$63,0)</f>
        <v>13</v>
      </c>
      <c r="BB213" cm="1">
        <f t="array" ref="BB213">IF(AZ213&gt;0,INDEX(BSFC!C$64:Q$83,Data!AZ213,Data!BA213))</f>
        <v>494.7</v>
      </c>
      <c r="BC213">
        <f>0.5*'Vehicle Data'!C$6*Data!Z213^2</f>
        <v>15121.355000000003</v>
      </c>
      <c r="BD213">
        <f t="shared" si="134"/>
        <v>13.465906457145509</v>
      </c>
      <c r="BE213">
        <f t="shared" si="154"/>
        <v>6661.5839243498831</v>
      </c>
      <c r="BF213">
        <f t="shared" si="155"/>
        <v>0.51812319411610208</v>
      </c>
      <c r="BG213">
        <f t="shared" si="135"/>
        <v>54.250376670799128</v>
      </c>
      <c r="BH213">
        <f t="shared" si="118"/>
        <v>13465.906457145509</v>
      </c>
      <c r="BI213" s="148">
        <f t="shared" si="136"/>
        <v>6871.6622130335309</v>
      </c>
      <c r="BO213">
        <f t="shared" si="137"/>
        <v>3826.1143278011168</v>
      </c>
      <c r="BP213">
        <f t="shared" si="138"/>
        <v>191395.51009452911</v>
      </c>
      <c r="BQ213">
        <f t="shared" si="139"/>
        <v>282909.1323602582</v>
      </c>
      <c r="BR213" s="148">
        <f t="shared" si="140"/>
        <v>361136.70396219159</v>
      </c>
      <c r="BS213" s="156">
        <f t="shared" si="141"/>
        <v>3826.1143278011168</v>
      </c>
      <c r="BT213" s="156">
        <f t="shared" si="142"/>
        <v>13465.906457145509</v>
      </c>
      <c r="BU213">
        <f t="shared" si="143"/>
        <v>1952.4690248494737</v>
      </c>
      <c r="BV213">
        <f t="shared" si="144"/>
        <v>1952.4690248494737</v>
      </c>
      <c r="BW213" s="148">
        <f t="shared" si="145"/>
        <v>455.4</v>
      </c>
      <c r="BX213" s="148">
        <f t="shared" si="146"/>
        <v>3129354.9718154697</v>
      </c>
      <c r="BY213" s="148">
        <f t="shared" si="147"/>
        <v>0.2469873316434584</v>
      </c>
      <c r="BZ213">
        <f t="shared" si="130"/>
        <v>52.27035669129296</v>
      </c>
      <c r="CB213">
        <f t="shared" si="148"/>
        <v>-1873.6453029516431</v>
      </c>
      <c r="CC213" s="162">
        <f t="shared" si="131"/>
        <v>-6691.5903676844127</v>
      </c>
      <c r="CD213">
        <f t="shared" si="156"/>
        <v>77495.631122907653</v>
      </c>
    </row>
    <row r="214" spans="4:82" x14ac:dyDescent="0.2">
      <c r="D214" s="22">
        <f t="shared" si="157"/>
        <v>0</v>
      </c>
      <c r="E214" s="23">
        <v>8.5017015999999987</v>
      </c>
      <c r="F214" s="23">
        <f>IF(K214&lt;6,1,IF(Data!K214&lt;9,2,IF(K214&gt;9,3)))</f>
        <v>3</v>
      </c>
      <c r="G214" s="23">
        <v>1027.109204736628</v>
      </c>
      <c r="H214" s="23">
        <v>219.11666499999998</v>
      </c>
      <c r="I214" s="64">
        <v>47.136330252021253</v>
      </c>
      <c r="J214" s="65">
        <f t="shared" si="158"/>
        <v>1.6751852609225637</v>
      </c>
      <c r="K214" s="65">
        <f t="shared" si="159"/>
        <v>18.854532100808502</v>
      </c>
      <c r="L214" s="65">
        <f t="shared" si="160"/>
        <v>0.67007410436899706</v>
      </c>
      <c r="M214">
        <f t="shared" si="161"/>
        <v>17.003403199999997</v>
      </c>
      <c r="N214">
        <f t="shared" si="162"/>
        <v>0</v>
      </c>
      <c r="O214">
        <f>IF(L214&lt;'Vehicle Data'!F$21,'Vehicle Data'!C$21,IF(L214&gt;'Vehicle Data'!C$21,'Vehicle Data'!C$20))</f>
        <v>0.6</v>
      </c>
      <c r="P214">
        <f>('Vehicle Data'!C$6*9.81*'Vehicle Data'!C$5*SIN(D214))/'Vehicle Data'!C$9</f>
        <v>0</v>
      </c>
      <c r="Q214" s="107">
        <f>'Vehicle Data'!C$6*9.81*SIN(D214)</f>
        <v>0</v>
      </c>
      <c r="R214" s="101">
        <f t="shared" si="163"/>
        <v>1024.7478656757876</v>
      </c>
      <c r="S214" s="101">
        <f>IF(Data!O214=0.6,'Vehicle Data'!E$21,IF(Data!O214 = 0.9,'Vehicle Data'!E$20))+(P214*O214)</f>
        <v>1550.3723999999997</v>
      </c>
      <c r="T214" s="101">
        <f>IF(F214=3,'Vehicle Data'!H$16,IF(F214=2,'Vehicle Data'!H$15,IF(F214 = 1,'Vehicle Data'!G$14)))</f>
        <v>466.23005239380637</v>
      </c>
      <c r="U214" s="148">
        <f t="shared" si="164"/>
        <v>308.60938355247151</v>
      </c>
      <c r="V214" s="102" t="s">
        <v>77</v>
      </c>
      <c r="W214" s="103" t="s">
        <v>84</v>
      </c>
      <c r="X214" s="101">
        <f>IF(V214="S",'Vehicle Data'!C$14,IF(Data!V214 = "T1",'Vehicle Data'!P$2,IF(Data!V214="T2",'Vehicle Data'!P$3)))</f>
        <v>13.411199999999999</v>
      </c>
      <c r="Y214" s="101"/>
      <c r="Z214" s="105">
        <v>8.3000000000000007</v>
      </c>
      <c r="AA214" s="101"/>
      <c r="AB214" s="101" t="b">
        <f>IF(AA214=1,'Vehicle Data'!I$14,IF(AA214=2,'Vehicle Data'!I$15,IF(AA214=3,'Vehicle Data'!I$16)))</f>
        <v>0</v>
      </c>
      <c r="AC214" s="101">
        <f>IF(Z214&lt;'Vehicle Data'!C$16,'Vehicle Data'!I$15,IF(Z214&lt;'Vehicle Data'!C$15,'Vehicle Data'!I$15,IF(Z213&gt;'Vehicle Data'!C$15,'Vehicle Data'!I$16)))</f>
        <v>0.98256251041858167</v>
      </c>
      <c r="AD214">
        <f>IF(O214=0.6,'Vehicle Data'!F$21,IF(O214=0.9,'Vehicle Data'!F$20))</f>
        <v>3.5315999999999996</v>
      </c>
      <c r="AE214" s="101">
        <f>(Data!H$15-Data!Q214)/'Vehicle Data'!C$6</f>
        <v>0.48181472665148062</v>
      </c>
      <c r="AF214" s="158">
        <f t="shared" si="166"/>
        <v>0.28413344025354037</v>
      </c>
      <c r="AG214" s="148">
        <f t="shared" si="132"/>
        <v>0</v>
      </c>
      <c r="AH214" s="148">
        <f t="shared" si="150"/>
        <v>52.554490131546501</v>
      </c>
      <c r="AI214" s="101"/>
      <c r="AJ214" s="101">
        <f>(Z214^2)*'Vehicle Data'!C$31</f>
        <v>25.317075000000013</v>
      </c>
      <c r="AK214" s="101">
        <f>IF(O214=0.6,'Vehicle Data'!C$6*'Vehicle Data'!D$21*9.81,IF(O214=0.9,'Vehicle Data'!C$6*9.81*'Vehicle Data'!D$20))</f>
        <v>86.131799999999998</v>
      </c>
      <c r="AL214" s="101">
        <f t="shared" si="167"/>
        <v>111.44887500000002</v>
      </c>
      <c r="AM214" s="101"/>
      <c r="AN214" t="b">
        <f>IF(AG214&gt;0,AG214*'Vehicle Data'!C$6)</f>
        <v>0</v>
      </c>
      <c r="AO214" s="101">
        <f t="shared" si="168"/>
        <v>111.44887500000002</v>
      </c>
      <c r="AP214" s="101">
        <f>AO214*'Vehicle Data'!F$3</f>
        <v>28.486332450000003</v>
      </c>
      <c r="AQ214">
        <v>20</v>
      </c>
      <c r="AR214">
        <f>IF(Z214&lt;'Vehicle Data'!C$16, Z214*'Vehicle Data'!F$7*'Vehicle Data'!G$14,IF(Z214&lt;'Vehicle Data'!C$15,Z214*'Vehicle Data'!F$7*'Vehicle Data'!G$15,IF(Z214&gt;'Vehicle Data'!C$15,Z214*'Vehicle Data'!F$7*'Vehicle Data'!G$16)))</f>
        <v>107.59259259259261</v>
      </c>
      <c r="AS214">
        <f t="shared" si="151"/>
        <v>6455.5555555555566</v>
      </c>
      <c r="AT214">
        <f t="shared" si="170"/>
        <v>20</v>
      </c>
      <c r="AU214">
        <f t="shared" si="169"/>
        <v>6500</v>
      </c>
      <c r="AW214">
        <f>VLOOKUP(AT214,BSFC!A$64:A$82,1,FALSE)</f>
        <v>20</v>
      </c>
      <c r="AX214" t="e" cm="1">
        <f t="array" ref="AX214">_xlfn.XLOOKUP(AT214,BSFC!A$64:A$82,,-1,_xlfn.XLOOKUP(Data!AU214,BSFC!C$63:Q$63,BSFC!B$64:Q$82,,-1))</f>
        <v>#VALUE!</v>
      </c>
      <c r="AY214">
        <f>HLOOKUP(AU214,BSFC!F$63:Q$63,1)</f>
        <v>6500</v>
      </c>
      <c r="AZ214">
        <f>IF(AT214&gt;0,MATCH(AT214,BSFC!A$64:A$83,0),IF(AT214&lt;=0,0))</f>
        <v>3</v>
      </c>
      <c r="BA214">
        <f>MATCH(AU214,BSFC!C$63:Q$63,0)</f>
        <v>13</v>
      </c>
      <c r="BB214" cm="1">
        <f t="array" ref="BB214">IF(AZ214&gt;0,INDEX(BSFC!C$64:Q$83,Data!AZ214,Data!BA214))</f>
        <v>494.7</v>
      </c>
      <c r="BC214">
        <f>0.5*'Vehicle Data'!C$6*Data!Z214^2</f>
        <v>15121.355000000003</v>
      </c>
      <c r="BD214">
        <f t="shared" si="134"/>
        <v>13.465906457145509</v>
      </c>
      <c r="BE214">
        <f t="shared" si="154"/>
        <v>6661.5839243498831</v>
      </c>
      <c r="BF214">
        <f t="shared" si="155"/>
        <v>0.52577187721200347</v>
      </c>
      <c r="BG214">
        <f t="shared" si="135"/>
        <v>54.776148548011129</v>
      </c>
      <c r="BH214">
        <f t="shared" si="118"/>
        <v>13465.906457145509</v>
      </c>
      <c r="BI214" s="148">
        <f t="shared" si="136"/>
        <v>6871.6622130335309</v>
      </c>
      <c r="BO214">
        <f t="shared" si="137"/>
        <v>3831.0326393833157</v>
      </c>
      <c r="BP214">
        <f t="shared" si="138"/>
        <v>195226.54273391241</v>
      </c>
      <c r="BQ214">
        <f t="shared" si="139"/>
        <v>286740.16499964154</v>
      </c>
      <c r="BR214" s="148">
        <f t="shared" si="140"/>
        <v>363091.6828051479</v>
      </c>
      <c r="BS214" s="156">
        <f t="shared" si="141"/>
        <v>3831.0326393833157</v>
      </c>
      <c r="BT214" s="156">
        <f t="shared" si="142"/>
        <v>13465.906457145509</v>
      </c>
      <c r="BU214">
        <f t="shared" si="143"/>
        <v>1954.9788429563259</v>
      </c>
      <c r="BV214">
        <f t="shared" si="144"/>
        <v>1954.9788429563259</v>
      </c>
      <c r="BW214" s="148">
        <f t="shared" si="145"/>
        <v>455.4</v>
      </c>
      <c r="BX214" s="148">
        <f t="shared" si="146"/>
        <v>3129354.9718154697</v>
      </c>
      <c r="BY214" s="148">
        <f t="shared" si="147"/>
        <v>0.24730482363397518</v>
      </c>
      <c r="BZ214">
        <f t="shared" si="130"/>
        <v>52.554490131546501</v>
      </c>
      <c r="CB214">
        <f t="shared" si="148"/>
        <v>-1876.0537964269897</v>
      </c>
      <c r="CC214" s="162">
        <f t="shared" si="131"/>
        <v>-6602.7208721118141</v>
      </c>
      <c r="CD214">
        <f t="shared" si="156"/>
        <v>75619.577326480663</v>
      </c>
    </row>
    <row r="215" spans="4:82" x14ac:dyDescent="0.2">
      <c r="D215" s="22">
        <f t="shared" si="157"/>
        <v>0</v>
      </c>
      <c r="E215" s="23">
        <v>8.5017015999999987</v>
      </c>
      <c r="F215" s="23">
        <f>IF(K215&lt;6,1,IF(Data!K215&lt;9,2,IF(K215&gt;9,3)))</f>
        <v>3</v>
      </c>
      <c r="G215" s="23">
        <v>1029.4735543650477</v>
      </c>
      <c r="H215" s="23">
        <v>219.16666499999999</v>
      </c>
      <c r="I215" s="64">
        <v>47.2200895150674</v>
      </c>
      <c r="J215" s="65">
        <f t="shared" si="158"/>
        <v>1.7482084246637719</v>
      </c>
      <c r="K215" s="65">
        <f t="shared" si="159"/>
        <v>18.888035806026959</v>
      </c>
      <c r="L215" s="65">
        <f t="shared" si="160"/>
        <v>0.69928336986552297</v>
      </c>
      <c r="M215">
        <f t="shared" si="161"/>
        <v>17.003403199999997</v>
      </c>
      <c r="N215">
        <f t="shared" si="162"/>
        <v>0</v>
      </c>
      <c r="O215">
        <f>IF(L215&lt;'Vehicle Data'!F$21,'Vehicle Data'!C$21,IF(L215&gt;'Vehicle Data'!C$21,'Vehicle Data'!C$20))</f>
        <v>0.6</v>
      </c>
      <c r="P215">
        <f>('Vehicle Data'!C$6*9.81*'Vehicle Data'!C$5*SIN(D215))/'Vehicle Data'!C$9</f>
        <v>0</v>
      </c>
      <c r="Q215" s="107">
        <f>'Vehicle Data'!C$6*9.81*SIN(D215)</f>
        <v>0</v>
      </c>
      <c r="R215" s="101">
        <f t="shared" si="163"/>
        <v>1027.109204736628</v>
      </c>
      <c r="S215" s="101">
        <f>IF(Data!O215=0.6,'Vehicle Data'!E$21,IF(Data!O215 = 0.9,'Vehicle Data'!E$20))+(P215*O215)</f>
        <v>1550.3723999999997</v>
      </c>
      <c r="T215" s="101">
        <f>IF(F215=3,'Vehicle Data'!H$16,IF(F215=2,'Vehicle Data'!H$15,IF(F215 = 1,'Vehicle Data'!G$14)))</f>
        <v>466.23005239380637</v>
      </c>
      <c r="U215" s="148">
        <f t="shared" si="164"/>
        <v>310.97072261331198</v>
      </c>
      <c r="V215" s="102" t="s">
        <v>77</v>
      </c>
      <c r="W215" s="103" t="s">
        <v>84</v>
      </c>
      <c r="X215" s="101">
        <f>IF(V215="S",'Vehicle Data'!C$14,IF(Data!V215 = "T1",'Vehicle Data'!P$2,IF(Data!V215="T2",'Vehicle Data'!P$3)))</f>
        <v>13.411199999999999</v>
      </c>
      <c r="Y215" s="101"/>
      <c r="Z215" s="105">
        <v>8.3000000000000007</v>
      </c>
      <c r="AA215" s="101"/>
      <c r="AB215" s="101" t="b">
        <f>IF(AA215=1,'Vehicle Data'!I$14,IF(AA215=2,'Vehicle Data'!I$15,IF(AA215=3,'Vehicle Data'!I$16)))</f>
        <v>0</v>
      </c>
      <c r="AC215" s="101">
        <f>IF(Z215&lt;'Vehicle Data'!C$16,'Vehicle Data'!I$15,IF(Z215&lt;'Vehicle Data'!C$15,'Vehicle Data'!I$15,IF(Z214&gt;'Vehicle Data'!C$15,'Vehicle Data'!I$16)))</f>
        <v>0.98256251041858167</v>
      </c>
      <c r="AD215">
        <f>IF(O215=0.6,'Vehicle Data'!F$21,IF(O215=0.9,'Vehicle Data'!F$20))</f>
        <v>3.5315999999999996</v>
      </c>
      <c r="AE215" s="101">
        <f>(Data!H$15-Data!Q215)/'Vehicle Data'!C$6</f>
        <v>0.48181472665148062</v>
      </c>
      <c r="AF215" s="158">
        <f t="shared" si="166"/>
        <v>0.28449868202897161</v>
      </c>
      <c r="AG215" s="148">
        <f t="shared" si="132"/>
        <v>0</v>
      </c>
      <c r="AH215" s="148">
        <f t="shared" si="150"/>
        <v>52.838988813575476</v>
      </c>
      <c r="AI215" s="101"/>
      <c r="AJ215" s="101">
        <f>(Z215^2)*'Vehicle Data'!C$31</f>
        <v>25.317075000000013</v>
      </c>
      <c r="AK215" s="101">
        <f>IF(O215=0.6,'Vehicle Data'!C$6*'Vehicle Data'!D$21*9.81,IF(O215=0.9,'Vehicle Data'!C$6*9.81*'Vehicle Data'!D$20))</f>
        <v>86.131799999999998</v>
      </c>
      <c r="AL215" s="101">
        <f t="shared" si="167"/>
        <v>111.44887500000002</v>
      </c>
      <c r="AM215" s="101"/>
      <c r="AN215" t="b">
        <f>IF(AG215&gt;0,AG215*'Vehicle Data'!C$6)</f>
        <v>0</v>
      </c>
      <c r="AO215" s="101">
        <f t="shared" si="168"/>
        <v>111.44887500000002</v>
      </c>
      <c r="AP215" s="101">
        <f>AO215*'Vehicle Data'!F$3</f>
        <v>28.486332450000003</v>
      </c>
      <c r="AQ215">
        <v>20</v>
      </c>
      <c r="AR215">
        <f>IF(Z215&lt;'Vehicle Data'!C$16, Z215*'Vehicle Data'!F$7*'Vehicle Data'!G$14,IF(Z215&lt;'Vehicle Data'!C$15,Z215*'Vehicle Data'!F$7*'Vehicle Data'!G$15,IF(Z215&gt;'Vehicle Data'!C$15,Z215*'Vehicle Data'!F$7*'Vehicle Data'!G$16)))</f>
        <v>107.59259259259261</v>
      </c>
      <c r="AS215">
        <f t="shared" si="151"/>
        <v>6455.5555555555566</v>
      </c>
      <c r="AT215">
        <f t="shared" si="170"/>
        <v>20</v>
      </c>
      <c r="AU215">
        <f t="shared" si="169"/>
        <v>6500</v>
      </c>
      <c r="AW215">
        <f>VLOOKUP(AT215,BSFC!A$64:A$82,1,FALSE)</f>
        <v>20</v>
      </c>
      <c r="AX215" t="e" cm="1">
        <f t="array" ref="AX215">_xlfn.XLOOKUP(AT215,BSFC!A$64:A$82,,-1,_xlfn.XLOOKUP(Data!AU215,BSFC!C$63:Q$63,BSFC!B$64:Q$82,,-1))</f>
        <v>#VALUE!</v>
      </c>
      <c r="AY215">
        <f>HLOOKUP(AU215,BSFC!F$63:Q$63,1)</f>
        <v>6500</v>
      </c>
      <c r="AZ215">
        <f>IF(AT215&gt;0,MATCH(AT215,BSFC!A$64:A$83,0),IF(AT215&lt;=0,0))</f>
        <v>3</v>
      </c>
      <c r="BA215">
        <f>MATCH(AU215,BSFC!C$63:Q$63,0)</f>
        <v>13</v>
      </c>
      <c r="BB215" cm="1">
        <f t="array" ref="BB215">IF(AZ215&gt;0,INDEX(BSFC!C$64:Q$83,Data!AZ215,Data!BA215))</f>
        <v>494.7</v>
      </c>
      <c r="BC215">
        <f>0.5*'Vehicle Data'!C$6*Data!Z215^2</f>
        <v>15121.355000000003</v>
      </c>
      <c r="BD215">
        <f t="shared" si="134"/>
        <v>13.465906457145509</v>
      </c>
      <c r="BE215">
        <f t="shared" si="154"/>
        <v>6661.5839243498831</v>
      </c>
      <c r="BF215">
        <f t="shared" si="155"/>
        <v>0.52644773519525723</v>
      </c>
      <c r="BG215">
        <f t="shared" si="135"/>
        <v>55.302596283206384</v>
      </c>
      <c r="BH215">
        <f t="shared" si="118"/>
        <v>13465.906457145509</v>
      </c>
      <c r="BI215" s="148">
        <f t="shared" si="136"/>
        <v>6871.6622130335309</v>
      </c>
      <c r="BO215">
        <f t="shared" si="137"/>
        <v>3835.9169793115061</v>
      </c>
      <c r="BP215">
        <f t="shared" si="138"/>
        <v>199062.45971322391</v>
      </c>
      <c r="BQ215">
        <f t="shared" si="139"/>
        <v>290576.08197895304</v>
      </c>
      <c r="BR215" s="148">
        <f t="shared" si="140"/>
        <v>365049.15413045045</v>
      </c>
      <c r="BS215" s="156">
        <f t="shared" si="141"/>
        <v>3835.9169793115061</v>
      </c>
      <c r="BT215" s="156">
        <f t="shared" si="142"/>
        <v>13465.906457145509</v>
      </c>
      <c r="BU215">
        <f t="shared" si="143"/>
        <v>1957.4713253025363</v>
      </c>
      <c r="BV215">
        <f t="shared" si="144"/>
        <v>1957.4713253025363</v>
      </c>
      <c r="BW215" s="148">
        <f t="shared" si="145"/>
        <v>455.4</v>
      </c>
      <c r="BX215" s="148">
        <f t="shared" si="146"/>
        <v>3129354.9718154697</v>
      </c>
      <c r="BY215" s="148">
        <f t="shared" si="147"/>
        <v>0.2476201226507708</v>
      </c>
      <c r="BZ215">
        <f t="shared" si="130"/>
        <v>52.838988813575476</v>
      </c>
      <c r="CB215">
        <f t="shared" si="148"/>
        <v>-1878.4456540089698</v>
      </c>
      <c r="CC215" s="162">
        <f t="shared" si="131"/>
        <v>-6602.6515153334158</v>
      </c>
      <c r="CD215">
        <f t="shared" si="156"/>
        <v>73741.131672471689</v>
      </c>
    </row>
    <row r="216" spans="4:82" x14ac:dyDescent="0.2">
      <c r="D216" s="22">
        <f t="shared" si="157"/>
        <v>0</v>
      </c>
      <c r="E216" s="23">
        <v>8.5017015999999987</v>
      </c>
      <c r="F216" s="23">
        <f>IF(K216&lt;6,1,IF(Data!K216&lt;9,2,IF(K216&gt;9,3)))</f>
        <v>3</v>
      </c>
      <c r="G216" s="23">
        <v>1031.8417313515729</v>
      </c>
      <c r="H216" s="23">
        <v>219.21666499999998</v>
      </c>
      <c r="I216" s="64">
        <v>47.307499936300559</v>
      </c>
      <c r="J216" s="65">
        <f t="shared" si="158"/>
        <v>1.5682777950178903</v>
      </c>
      <c r="K216" s="65">
        <f t="shared" si="159"/>
        <v>18.922999974520224</v>
      </c>
      <c r="L216" s="65">
        <f t="shared" si="160"/>
        <v>0.62731111800715611</v>
      </c>
      <c r="M216">
        <f t="shared" si="161"/>
        <v>17.003403199999997</v>
      </c>
      <c r="N216">
        <f t="shared" si="162"/>
        <v>0</v>
      </c>
      <c r="O216">
        <f>IF(L216&lt;'Vehicle Data'!F$21,'Vehicle Data'!C$21,IF(L216&gt;'Vehicle Data'!C$21,'Vehicle Data'!C$20))</f>
        <v>0.6</v>
      </c>
      <c r="P216">
        <f>('Vehicle Data'!C$6*9.81*'Vehicle Data'!C$5*SIN(D216))/'Vehicle Data'!C$9</f>
        <v>0</v>
      </c>
      <c r="Q216" s="107">
        <f>'Vehicle Data'!C$6*9.81*SIN(D216)</f>
        <v>0</v>
      </c>
      <c r="R216" s="101">
        <f t="shared" si="163"/>
        <v>1029.4735543650477</v>
      </c>
      <c r="S216" s="101">
        <f>IF(Data!O216=0.6,'Vehicle Data'!E$21,IF(Data!O216 = 0.9,'Vehicle Data'!E$20))+(P216*O216)</f>
        <v>1550.3723999999997</v>
      </c>
      <c r="T216" s="101">
        <f>IF(F216=3,'Vehicle Data'!H$16,IF(F216=2,'Vehicle Data'!H$15,IF(F216 = 1,'Vehicle Data'!G$14)))</f>
        <v>466.23005239380637</v>
      </c>
      <c r="U216" s="148">
        <f t="shared" si="164"/>
        <v>313.33507224173161</v>
      </c>
      <c r="V216" s="102" t="s">
        <v>77</v>
      </c>
      <c r="W216" s="103" t="s">
        <v>84</v>
      </c>
      <c r="X216" s="101">
        <f>IF(V216="S",'Vehicle Data'!C$14,IF(Data!V216 = "T1",'Vehicle Data'!P$2,IF(Data!V216="T2",'Vehicle Data'!P$3)))</f>
        <v>13.411199999999999</v>
      </c>
      <c r="Y216" s="101"/>
      <c r="Z216" s="105">
        <v>8.3000000000000007</v>
      </c>
      <c r="AA216" s="101"/>
      <c r="AB216" s="101" t="b">
        <f>IF(AA216=1,'Vehicle Data'!I$14,IF(AA216=2,'Vehicle Data'!I$15,IF(AA216=3,'Vehicle Data'!I$16)))</f>
        <v>0</v>
      </c>
      <c r="AC216" s="101">
        <f>IF(Z216&lt;'Vehicle Data'!C$16,'Vehicle Data'!I$15,IF(Z216&lt;'Vehicle Data'!C$15,'Vehicle Data'!I$15,IF(Z215&gt;'Vehicle Data'!C$15,'Vehicle Data'!I$16)))</f>
        <v>0.98256251041858167</v>
      </c>
      <c r="AD216">
        <f>IF(O216=0.6,'Vehicle Data'!F$21,IF(O216=0.9,'Vehicle Data'!F$20))</f>
        <v>3.5315999999999996</v>
      </c>
      <c r="AE216" s="101">
        <f>(Data!H$15-Data!Q216)/'Vehicle Data'!C$6</f>
        <v>0.48181472665148062</v>
      </c>
      <c r="AF216" s="158">
        <f t="shared" si="166"/>
        <v>0.28486140101441343</v>
      </c>
      <c r="AG216" s="148">
        <f t="shared" si="132"/>
        <v>0</v>
      </c>
      <c r="AH216" s="148">
        <f t="shared" si="150"/>
        <v>53.123850214589886</v>
      </c>
      <c r="AI216" s="101"/>
      <c r="AJ216" s="101">
        <f>(Z216^2)*'Vehicle Data'!C$31</f>
        <v>25.317075000000013</v>
      </c>
      <c r="AK216" s="101">
        <f>IF(O216=0.6,'Vehicle Data'!C$6*'Vehicle Data'!D$21*9.81,IF(O216=0.9,'Vehicle Data'!C$6*9.81*'Vehicle Data'!D$20))</f>
        <v>86.131799999999998</v>
      </c>
      <c r="AL216" s="101">
        <f t="shared" si="167"/>
        <v>111.44887500000002</v>
      </c>
      <c r="AM216" s="101"/>
      <c r="AN216" t="b">
        <f>IF(AG216&gt;0,AG216*'Vehicle Data'!C$6)</f>
        <v>0</v>
      </c>
      <c r="AO216" s="101">
        <f t="shared" si="168"/>
        <v>111.44887500000002</v>
      </c>
      <c r="AP216" s="101">
        <f>AO216*'Vehicle Data'!F$3</f>
        <v>28.486332450000003</v>
      </c>
      <c r="AQ216">
        <v>20</v>
      </c>
      <c r="AR216">
        <f>IF(Z216&lt;'Vehicle Data'!C$16, Z216*'Vehicle Data'!F$7*'Vehicle Data'!G$14,IF(Z216&lt;'Vehicle Data'!C$15,Z216*'Vehicle Data'!F$7*'Vehicle Data'!G$15,IF(Z216&gt;'Vehicle Data'!C$15,Z216*'Vehicle Data'!F$7*'Vehicle Data'!G$16)))</f>
        <v>107.59259259259261</v>
      </c>
      <c r="AS216">
        <f t="shared" si="151"/>
        <v>6455.5555555555566</v>
      </c>
      <c r="AT216">
        <f t="shared" si="170"/>
        <v>20</v>
      </c>
      <c r="AU216">
        <f t="shared" si="169"/>
        <v>6500</v>
      </c>
      <c r="AW216">
        <f>VLOOKUP(AT216,BSFC!A$64:A$82,1,FALSE)</f>
        <v>20</v>
      </c>
      <c r="AX216" t="e" cm="1">
        <f t="array" ref="AX216">_xlfn.XLOOKUP(AT216,BSFC!A$64:A$82,,-1,_xlfn.XLOOKUP(Data!AU216,BSFC!C$63:Q$63,BSFC!B$64:Q$82,,-1))</f>
        <v>#VALUE!</v>
      </c>
      <c r="AY216">
        <f>HLOOKUP(AU216,BSFC!F$63:Q$63,1)</f>
        <v>6500</v>
      </c>
      <c r="AZ216">
        <f>IF(AT216&gt;0,MATCH(AT216,BSFC!A$64:A$83,0),IF(AT216&lt;=0,0))</f>
        <v>3</v>
      </c>
      <c r="BA216">
        <f>MATCH(AU216,BSFC!C$63:Q$63,0)</f>
        <v>13</v>
      </c>
      <c r="BB216" cm="1">
        <f t="array" ref="BB216">IF(AZ216&gt;0,INDEX(BSFC!C$64:Q$83,Data!AZ216,Data!BA216))</f>
        <v>494.7</v>
      </c>
      <c r="BC216">
        <f>0.5*'Vehicle Data'!C$6*Data!Z216^2</f>
        <v>15121.355000000003</v>
      </c>
      <c r="BD216">
        <f t="shared" si="134"/>
        <v>13.465906457145509</v>
      </c>
      <c r="BE216">
        <f t="shared" si="154"/>
        <v>6661.5839243498831</v>
      </c>
      <c r="BF216">
        <f t="shared" si="155"/>
        <v>0.52711892490705614</v>
      </c>
      <c r="BG216">
        <f t="shared" si="135"/>
        <v>55.829715208113441</v>
      </c>
      <c r="BH216">
        <f t="shared" ref="BH216:BH279" si="171">AQ216*(AS216/9.588)</f>
        <v>13465.906457145509</v>
      </c>
      <c r="BI216" s="148">
        <f t="shared" si="136"/>
        <v>6871.6622130335309</v>
      </c>
      <c r="BO216">
        <f t="shared" si="137"/>
        <v>3842.1264788570202</v>
      </c>
      <c r="BP216">
        <f t="shared" si="138"/>
        <v>202904.58619208093</v>
      </c>
      <c r="BQ216">
        <f t="shared" si="139"/>
        <v>294418.20845781005</v>
      </c>
      <c r="BR216" s="148">
        <f t="shared" si="140"/>
        <v>367009.79416805058</v>
      </c>
      <c r="BS216" s="156">
        <f t="shared" si="141"/>
        <v>3842.1264788570202</v>
      </c>
      <c r="BT216" s="156">
        <f t="shared" si="142"/>
        <v>13465.906457145509</v>
      </c>
      <c r="BU216">
        <f t="shared" si="143"/>
        <v>1960.6400376001116</v>
      </c>
      <c r="BV216">
        <f t="shared" si="144"/>
        <v>1960.6400376001116</v>
      </c>
      <c r="BW216" s="148">
        <f t="shared" si="145"/>
        <v>455.4</v>
      </c>
      <c r="BX216" s="148">
        <f t="shared" si="146"/>
        <v>3129354.9718154697</v>
      </c>
      <c r="BY216" s="148">
        <f t="shared" si="147"/>
        <v>0.24802096475641408</v>
      </c>
      <c r="BZ216">
        <f t="shared" si="130"/>
        <v>53.123850214589886</v>
      </c>
      <c r="CB216">
        <f t="shared" si="148"/>
        <v>-1881.4864412569086</v>
      </c>
      <c r="CC216" s="162">
        <f t="shared" si="131"/>
        <v>-6604.9188642505105</v>
      </c>
      <c r="CD216">
        <f t="shared" si="156"/>
        <v>71859.645231214774</v>
      </c>
    </row>
    <row r="217" spans="4:82" x14ac:dyDescent="0.2">
      <c r="D217" s="22">
        <f t="shared" si="157"/>
        <v>0</v>
      </c>
      <c r="E217" s="23">
        <v>8.5017015999999987</v>
      </c>
      <c r="F217" s="23">
        <f>IF(K217&lt;6,1,IF(Data!K217&lt;9,2,IF(K217&gt;9,3)))</f>
        <v>3</v>
      </c>
      <c r="G217" s="23">
        <v>1034.2134283380981</v>
      </c>
      <c r="H217" s="23">
        <v>219.26666499999999</v>
      </c>
      <c r="I217" s="64">
        <v>47.385913826051471</v>
      </c>
      <c r="J217" s="65">
        <f t="shared" si="158"/>
        <v>1.5120651498572473</v>
      </c>
      <c r="K217" s="65">
        <f t="shared" si="159"/>
        <v>18.954365530420588</v>
      </c>
      <c r="L217" s="65">
        <f t="shared" si="160"/>
        <v>0.60482605994288463</v>
      </c>
      <c r="M217">
        <f t="shared" si="161"/>
        <v>17.003403199999997</v>
      </c>
      <c r="N217">
        <f t="shared" si="162"/>
        <v>0</v>
      </c>
      <c r="O217">
        <f>IF(L217&lt;'Vehicle Data'!F$21,'Vehicle Data'!C$21,IF(L217&gt;'Vehicle Data'!C$21,'Vehicle Data'!C$20))</f>
        <v>0.6</v>
      </c>
      <c r="P217">
        <f>('Vehicle Data'!C$6*9.81*'Vehicle Data'!C$5*SIN(D217))/'Vehicle Data'!C$9</f>
        <v>0</v>
      </c>
      <c r="Q217" s="107">
        <f>'Vehicle Data'!C$6*9.81*SIN(D217)</f>
        <v>0</v>
      </c>
      <c r="R217" s="101">
        <f t="shared" si="163"/>
        <v>1031.8417313515729</v>
      </c>
      <c r="S217" s="101">
        <f>IF(Data!O217=0.6,'Vehicle Data'!E$21,IF(Data!O217 = 0.9,'Vehicle Data'!E$20))+(P217*O217)</f>
        <v>1550.3723999999997</v>
      </c>
      <c r="T217" s="101">
        <f>IF(F217=3,'Vehicle Data'!H$16,IF(F217=2,'Vehicle Data'!H$15,IF(F217 = 1,'Vehicle Data'!G$14)))</f>
        <v>466.23005239380637</v>
      </c>
      <c r="U217" s="148">
        <f t="shared" si="164"/>
        <v>315.70324922825682</v>
      </c>
      <c r="V217" s="102" t="s">
        <v>77</v>
      </c>
      <c r="W217" s="103" t="s">
        <v>84</v>
      </c>
      <c r="X217" s="101">
        <f>IF(V217="S",'Vehicle Data'!C$14,IF(Data!V217 = "T1",'Vehicle Data'!P$2,IF(Data!V217="T2",'Vehicle Data'!P$3)))</f>
        <v>13.411199999999999</v>
      </c>
      <c r="Y217" s="101"/>
      <c r="Z217" s="105">
        <v>8.3000000000000007</v>
      </c>
      <c r="AA217" s="101"/>
      <c r="AB217" s="101" t="b">
        <f>IF(AA217=1,'Vehicle Data'!I$14,IF(AA217=2,'Vehicle Data'!I$15,IF(AA217=3,'Vehicle Data'!I$16)))</f>
        <v>0</v>
      </c>
      <c r="AC217" s="101">
        <f>IF(Z217&lt;'Vehicle Data'!C$16,'Vehicle Data'!I$15,IF(Z217&lt;'Vehicle Data'!C$15,'Vehicle Data'!I$15,IF(Z216&gt;'Vehicle Data'!C$15,'Vehicle Data'!I$16)))</f>
        <v>0.98256251041858167</v>
      </c>
      <c r="AD217">
        <f>IF(O217=0.6,'Vehicle Data'!F$21,IF(O217=0.9,'Vehicle Data'!F$20))</f>
        <v>3.5315999999999996</v>
      </c>
      <c r="AE217" s="101">
        <f>(Data!H$15-Data!Q217)/'Vehicle Data'!C$6</f>
        <v>0.48181472665148062</v>
      </c>
      <c r="AF217" s="158">
        <f t="shared" si="166"/>
        <v>0.28532252849701367</v>
      </c>
      <c r="AG217" s="148">
        <f t="shared" si="132"/>
        <v>0</v>
      </c>
      <c r="AH217" s="148">
        <f t="shared" si="150"/>
        <v>53.409172743086899</v>
      </c>
      <c r="AI217" s="101"/>
      <c r="AJ217" s="101">
        <f>(Z217^2)*'Vehicle Data'!C$31</f>
        <v>25.317075000000013</v>
      </c>
      <c r="AK217" s="101">
        <f>IF(O217=0.6,'Vehicle Data'!C$6*'Vehicle Data'!D$21*9.81,IF(O217=0.9,'Vehicle Data'!C$6*9.81*'Vehicle Data'!D$20))</f>
        <v>86.131799999999998</v>
      </c>
      <c r="AL217" s="101">
        <f t="shared" si="167"/>
        <v>111.44887500000002</v>
      </c>
      <c r="AM217" s="101"/>
      <c r="AN217" t="b">
        <f>IF(AG217&gt;0,AG217*'Vehicle Data'!C$6)</f>
        <v>0</v>
      </c>
      <c r="AO217" s="101">
        <f t="shared" si="168"/>
        <v>111.44887500000002</v>
      </c>
      <c r="AP217" s="101">
        <f>AO217*'Vehicle Data'!F$3</f>
        <v>28.486332450000003</v>
      </c>
      <c r="AQ217">
        <v>20</v>
      </c>
      <c r="AR217">
        <f>IF(Z217&lt;'Vehicle Data'!C$16, Z217*'Vehicle Data'!F$7*'Vehicle Data'!G$14,IF(Z217&lt;'Vehicle Data'!C$15,Z217*'Vehicle Data'!F$7*'Vehicle Data'!G$15,IF(Z217&gt;'Vehicle Data'!C$15,Z217*'Vehicle Data'!F$7*'Vehicle Data'!G$16)))</f>
        <v>107.59259259259261</v>
      </c>
      <c r="AS217">
        <f t="shared" si="151"/>
        <v>6455.5555555555566</v>
      </c>
      <c r="AT217">
        <f t="shared" si="170"/>
        <v>20</v>
      </c>
      <c r="AU217">
        <f t="shared" si="169"/>
        <v>6500</v>
      </c>
      <c r="AW217">
        <f>VLOOKUP(AT217,BSFC!A$64:A$82,1,FALSE)</f>
        <v>20</v>
      </c>
      <c r="AX217" t="e" cm="1">
        <f t="array" ref="AX217">_xlfn.XLOOKUP(AT217,BSFC!A$64:A$82,,-1,_xlfn.XLOOKUP(Data!AU217,BSFC!C$63:Q$63,BSFC!B$64:Q$82,,-1))</f>
        <v>#VALUE!</v>
      </c>
      <c r="AY217">
        <f>HLOOKUP(AU217,BSFC!F$63:Q$63,1)</f>
        <v>6500</v>
      </c>
      <c r="AZ217">
        <f>IF(AT217&gt;0,MATCH(AT217,BSFC!A$64:A$83,0),IF(AT217&lt;=0,0))</f>
        <v>3</v>
      </c>
      <c r="BA217">
        <f>MATCH(AU217,BSFC!C$63:Q$63,0)</f>
        <v>13</v>
      </c>
      <c r="BB217" cm="1">
        <f t="array" ref="BB217">IF(AZ217&gt;0,INDEX(BSFC!C$64:Q$83,Data!AZ217,Data!BA217))</f>
        <v>494.7</v>
      </c>
      <c r="BC217">
        <f>0.5*'Vehicle Data'!C$6*Data!Z217^2</f>
        <v>15121.355000000003</v>
      </c>
      <c r="BD217">
        <f t="shared" si="134"/>
        <v>13.465906457145509</v>
      </c>
      <c r="BE217">
        <f t="shared" si="154"/>
        <v>6661.5839243498831</v>
      </c>
      <c r="BF217">
        <f t="shared" si="155"/>
        <v>0.52797221363626878</v>
      </c>
      <c r="BG217">
        <f t="shared" si="135"/>
        <v>56.357687421749709</v>
      </c>
      <c r="BH217">
        <f t="shared" si="171"/>
        <v>13465.906457145509</v>
      </c>
      <c r="BI217" s="148">
        <f t="shared" si="136"/>
        <v>6871.6622130335309</v>
      </c>
      <c r="BO217">
        <f t="shared" si="137"/>
        <v>3847.8373211135126</v>
      </c>
      <c r="BP217">
        <f t="shared" si="138"/>
        <v>206752.42351319443</v>
      </c>
      <c r="BQ217">
        <f t="shared" si="139"/>
        <v>298266.04577892355</v>
      </c>
      <c r="BR217" s="148">
        <f t="shared" si="140"/>
        <v>368973.34845275787</v>
      </c>
      <c r="BS217" s="156">
        <f t="shared" si="141"/>
        <v>3847.8373211135126</v>
      </c>
      <c r="BT217" s="156">
        <f t="shared" si="142"/>
        <v>13465.906457145509</v>
      </c>
      <c r="BU217">
        <f t="shared" si="143"/>
        <v>1963.5542847073095</v>
      </c>
      <c r="BV217">
        <f t="shared" si="144"/>
        <v>1963.5542847073095</v>
      </c>
      <c r="BW217" s="148">
        <f t="shared" si="145"/>
        <v>455.4</v>
      </c>
      <c r="BX217" s="148">
        <f t="shared" si="146"/>
        <v>3129354.9718154697</v>
      </c>
      <c r="BY217" s="148">
        <f t="shared" si="147"/>
        <v>0.24838961701547463</v>
      </c>
      <c r="BZ217">
        <f t="shared" si="130"/>
        <v>53.409172743086899</v>
      </c>
      <c r="CB217">
        <f t="shared" si="148"/>
        <v>-1884.2830364062031</v>
      </c>
      <c r="CC217" s="162">
        <f t="shared" si="131"/>
        <v>-6604.0457664945106</v>
      </c>
      <c r="CD217">
        <f t="shared" si="156"/>
        <v>69975.362194808564</v>
      </c>
    </row>
    <row r="218" spans="4:82" x14ac:dyDescent="0.2">
      <c r="D218" s="22">
        <f t="shared" si="157"/>
        <v>0</v>
      </c>
      <c r="E218" s="23">
        <v>8.5017015999999987</v>
      </c>
      <c r="F218" s="23">
        <f>IF(K218&lt;6,1,IF(Data!K218&lt;9,2,IF(K218&gt;9,3)))</f>
        <v>3</v>
      </c>
      <c r="G218" s="23">
        <v>1036.5883379665186</v>
      </c>
      <c r="H218" s="23">
        <v>219.316665</v>
      </c>
      <c r="I218" s="64">
        <v>47.461517083544351</v>
      </c>
      <c r="J218" s="65">
        <f t="shared" si="158"/>
        <v>1.5093780383831219</v>
      </c>
      <c r="K218" s="65">
        <f t="shared" si="159"/>
        <v>18.98460683341774</v>
      </c>
      <c r="L218" s="65">
        <f t="shared" si="160"/>
        <v>0.60375121535329146</v>
      </c>
      <c r="M218">
        <f t="shared" si="161"/>
        <v>17.003403199999997</v>
      </c>
      <c r="N218">
        <f t="shared" si="162"/>
        <v>0</v>
      </c>
      <c r="O218">
        <f>IF(L218&lt;'Vehicle Data'!F$21,'Vehicle Data'!C$21,IF(L218&gt;'Vehicle Data'!C$21,'Vehicle Data'!C$20))</f>
        <v>0.6</v>
      </c>
      <c r="P218">
        <f>('Vehicle Data'!C$6*9.81*'Vehicle Data'!C$5*SIN(D218))/'Vehicle Data'!C$9</f>
        <v>0</v>
      </c>
      <c r="Q218" s="107">
        <f>'Vehicle Data'!C$6*9.81*SIN(D218)</f>
        <v>0</v>
      </c>
      <c r="R218" s="101">
        <f t="shared" si="163"/>
        <v>1034.2134283380981</v>
      </c>
      <c r="S218" s="101">
        <f>IF(Data!O218=0.6,'Vehicle Data'!E$21,IF(Data!O218 = 0.9,'Vehicle Data'!E$20))+(P218*O218)</f>
        <v>1550.3723999999997</v>
      </c>
      <c r="T218" s="101">
        <f>IF(F218=3,'Vehicle Data'!H$16,IF(F218=2,'Vehicle Data'!H$15,IF(F218 = 1,'Vehicle Data'!G$14)))</f>
        <v>466.23005239380637</v>
      </c>
      <c r="U218" s="148">
        <f t="shared" si="164"/>
        <v>318.07494621478202</v>
      </c>
      <c r="V218" s="102" t="s">
        <v>77</v>
      </c>
      <c r="W218" s="103" t="s">
        <v>84</v>
      </c>
      <c r="X218" s="101">
        <f>IF(V218="S",'Vehicle Data'!C$14,IF(Data!V218 = "T1",'Vehicle Data'!P$2,IF(Data!V218="T2",'Vehicle Data'!P$3)))</f>
        <v>13.411199999999999</v>
      </c>
      <c r="Y218" s="101"/>
      <c r="Z218" s="105">
        <v>8.3000000000000007</v>
      </c>
      <c r="AA218" s="101"/>
      <c r="AB218" s="101" t="b">
        <f>IF(AA218=1,'Vehicle Data'!I$14,IF(AA218=2,'Vehicle Data'!I$15,IF(AA218=3,'Vehicle Data'!I$16)))</f>
        <v>0</v>
      </c>
      <c r="AC218" s="101">
        <f>IF(Z218&lt;'Vehicle Data'!C$16,'Vehicle Data'!I$15,IF(Z218&lt;'Vehicle Data'!C$15,'Vehicle Data'!I$15,IF(Z217&gt;'Vehicle Data'!C$15,'Vehicle Data'!I$16)))</f>
        <v>0.98256251041858167</v>
      </c>
      <c r="AD218">
        <f>IF(O218=0.6,'Vehicle Data'!F$21,IF(O218=0.9,'Vehicle Data'!F$20))</f>
        <v>3.5315999999999996</v>
      </c>
      <c r="AE218" s="101">
        <f>(Data!H$15-Data!Q218)/'Vehicle Data'!C$6</f>
        <v>0.48181472665148062</v>
      </c>
      <c r="AF218" s="158">
        <f t="shared" si="166"/>
        <v>0.28574662488255348</v>
      </c>
      <c r="AG218" s="148">
        <f t="shared" si="132"/>
        <v>0</v>
      </c>
      <c r="AH218" s="148">
        <f t="shared" si="150"/>
        <v>53.694919367969455</v>
      </c>
      <c r="AI218" s="101"/>
      <c r="AJ218" s="101">
        <f>(Z218^2)*'Vehicle Data'!C$31</f>
        <v>25.317075000000013</v>
      </c>
      <c r="AK218" s="101">
        <f>IF(O218=0.6,'Vehicle Data'!C$6*'Vehicle Data'!D$21*9.81,IF(O218=0.9,'Vehicle Data'!C$6*9.81*'Vehicle Data'!D$20))</f>
        <v>86.131799999999998</v>
      </c>
      <c r="AL218" s="101">
        <f t="shared" si="167"/>
        <v>111.44887500000002</v>
      </c>
      <c r="AM218" s="101"/>
      <c r="AN218" t="b">
        <f>IF(AG218&gt;0,AG218*'Vehicle Data'!C$6)</f>
        <v>0</v>
      </c>
      <c r="AO218" s="101">
        <f t="shared" si="168"/>
        <v>111.44887500000002</v>
      </c>
      <c r="AP218" s="101">
        <f>AO218*'Vehicle Data'!F$3</f>
        <v>28.486332450000003</v>
      </c>
      <c r="AQ218">
        <v>20</v>
      </c>
      <c r="AR218">
        <f>IF(Z218&lt;'Vehicle Data'!C$16, Z218*'Vehicle Data'!F$7*'Vehicle Data'!G$14,IF(Z218&lt;'Vehicle Data'!C$15,Z218*'Vehicle Data'!F$7*'Vehicle Data'!G$15,IF(Z218&gt;'Vehicle Data'!C$15,Z218*'Vehicle Data'!F$7*'Vehicle Data'!G$16)))</f>
        <v>107.59259259259261</v>
      </c>
      <c r="AS218">
        <f t="shared" si="151"/>
        <v>6455.5555555555566</v>
      </c>
      <c r="AT218">
        <f t="shared" si="170"/>
        <v>20</v>
      </c>
      <c r="AU218">
        <f t="shared" si="169"/>
        <v>6500</v>
      </c>
      <c r="AW218">
        <f>VLOOKUP(AT218,BSFC!A$64:A$82,1,FALSE)</f>
        <v>20</v>
      </c>
      <c r="AX218" t="e" cm="1">
        <f t="array" ref="AX218">_xlfn.XLOOKUP(AT218,BSFC!A$64:A$82,,-1,_xlfn.XLOOKUP(Data!AU218,BSFC!C$63:Q$63,BSFC!B$64:Q$82,,-1))</f>
        <v>#VALUE!</v>
      </c>
      <c r="AY218">
        <f>HLOOKUP(AU218,BSFC!F$63:Q$63,1)</f>
        <v>6500</v>
      </c>
      <c r="AZ218">
        <f>IF(AT218&gt;0,MATCH(AT218,BSFC!A$64:A$83,0),IF(AT218&lt;=0,0))</f>
        <v>3</v>
      </c>
      <c r="BA218">
        <f>MATCH(AU218,BSFC!C$63:Q$63,0)</f>
        <v>13</v>
      </c>
      <c r="BB218" cm="1">
        <f t="array" ref="BB218">IF(AZ218&gt;0,INDEX(BSFC!C$64:Q$83,Data!AZ218,Data!BA218))</f>
        <v>494.7</v>
      </c>
      <c r="BC218">
        <f>0.5*'Vehicle Data'!C$6*Data!Z218^2</f>
        <v>15121.355000000003</v>
      </c>
      <c r="BD218">
        <f t="shared" si="134"/>
        <v>13.465906457145509</v>
      </c>
      <c r="BE218">
        <f t="shared" si="154"/>
        <v>6661.5839243498831</v>
      </c>
      <c r="BF218">
        <f t="shared" si="155"/>
        <v>0.52875697854301518</v>
      </c>
      <c r="BG218">
        <f t="shared" si="135"/>
        <v>56.886444400292724</v>
      </c>
      <c r="BH218">
        <f t="shared" si="171"/>
        <v>13465.906457145509</v>
      </c>
      <c r="BI218" s="148">
        <f t="shared" si="136"/>
        <v>6871.6622130335309</v>
      </c>
      <c r="BO218">
        <f t="shared" si="137"/>
        <v>3853.0495060824592</v>
      </c>
      <c r="BP218">
        <f t="shared" si="138"/>
        <v>210605.47301927689</v>
      </c>
      <c r="BQ218">
        <f t="shared" si="139"/>
        <v>302119.09528500598</v>
      </c>
      <c r="BR218" s="148">
        <f t="shared" si="140"/>
        <v>370939.56251938274</v>
      </c>
      <c r="BS218" s="156">
        <f t="shared" si="141"/>
        <v>3853.0495060824592</v>
      </c>
      <c r="BT218" s="156">
        <f t="shared" si="142"/>
        <v>13465.906457145509</v>
      </c>
      <c r="BU218">
        <f t="shared" si="143"/>
        <v>1966.2140666248833</v>
      </c>
      <c r="BV218">
        <f t="shared" si="144"/>
        <v>1966.2140666248833</v>
      </c>
      <c r="BW218" s="148">
        <f t="shared" si="145"/>
        <v>455.4</v>
      </c>
      <c r="BX218" s="148">
        <f t="shared" si="146"/>
        <v>3129354.9718154697</v>
      </c>
      <c r="BY218" s="148">
        <f t="shared" si="147"/>
        <v>0.24872607942804772</v>
      </c>
      <c r="BZ218">
        <f t="shared" si="130"/>
        <v>53.694919367969455</v>
      </c>
      <c r="CB218">
        <f t="shared" si="148"/>
        <v>-1886.8354394575758</v>
      </c>
      <c r="CC218" s="162">
        <f t="shared" si="131"/>
        <v>-6603.1766437594124</v>
      </c>
      <c r="CD218">
        <f t="shared" si="156"/>
        <v>68088.526755350991</v>
      </c>
    </row>
    <row r="219" spans="4:82" x14ac:dyDescent="0.2">
      <c r="D219" s="22">
        <f t="shared" si="157"/>
        <v>0</v>
      </c>
      <c r="E219" s="23">
        <v>8.5017015999999987</v>
      </c>
      <c r="F219" s="23">
        <f>IF(K219&lt;6,1,IF(Data!K219&lt;9,2,IF(K219&gt;9,3)))</f>
        <v>3</v>
      </c>
      <c r="G219" s="23">
        <v>1038.9663170273589</v>
      </c>
      <c r="H219" s="23">
        <v>219.36666499999998</v>
      </c>
      <c r="I219" s="64">
        <v>47.536985985463481</v>
      </c>
      <c r="J219" s="65">
        <f t="shared" si="158"/>
        <v>1.5135701037153493</v>
      </c>
      <c r="K219" s="65">
        <f t="shared" si="159"/>
        <v>19.014794394185394</v>
      </c>
      <c r="L219" s="65">
        <f t="shared" si="160"/>
        <v>0.60542804148611129</v>
      </c>
      <c r="M219">
        <f t="shared" si="161"/>
        <v>17.003403199999997</v>
      </c>
      <c r="N219">
        <f t="shared" si="162"/>
        <v>0</v>
      </c>
      <c r="O219">
        <f>IF(L219&lt;'Vehicle Data'!F$21,'Vehicle Data'!C$21,IF(L219&gt;'Vehicle Data'!C$21,'Vehicle Data'!C$20))</f>
        <v>0.6</v>
      </c>
      <c r="P219">
        <f>('Vehicle Data'!C$6*9.81*'Vehicle Data'!C$5*SIN(D219))/'Vehicle Data'!C$9</f>
        <v>0</v>
      </c>
      <c r="Q219" s="107">
        <f>'Vehicle Data'!C$6*9.81*SIN(D219)</f>
        <v>0</v>
      </c>
      <c r="R219" s="101">
        <f t="shared" si="163"/>
        <v>1036.5883379665186</v>
      </c>
      <c r="S219" s="101">
        <f>IF(Data!O219=0.6,'Vehicle Data'!E$21,IF(Data!O219 = 0.9,'Vehicle Data'!E$20))+(P219*O219)</f>
        <v>1550.3723999999997</v>
      </c>
      <c r="T219" s="101">
        <f>IF(F219=3,'Vehicle Data'!H$16,IF(F219=2,'Vehicle Data'!H$15,IF(F219 = 1,'Vehicle Data'!G$14)))</f>
        <v>466.23005239380637</v>
      </c>
      <c r="U219" s="148">
        <f t="shared" si="164"/>
        <v>320.4498558432025</v>
      </c>
      <c r="V219" s="102" t="s">
        <v>77</v>
      </c>
      <c r="W219" s="103" t="s">
        <v>84</v>
      </c>
      <c r="X219" s="101">
        <f>IF(V219="S",'Vehicle Data'!C$14,IF(Data!V219 = "T1",'Vehicle Data'!P$2,IF(Data!V219="T2",'Vehicle Data'!P$3)))</f>
        <v>13.411199999999999</v>
      </c>
      <c r="Y219" s="101"/>
      <c r="Z219" s="105">
        <v>8.3000000000000007</v>
      </c>
      <c r="AA219" s="101"/>
      <c r="AB219" s="101" t="b">
        <f>IF(AA219=1,'Vehicle Data'!I$14,IF(AA219=2,'Vehicle Data'!I$15,IF(AA219=3,'Vehicle Data'!I$16)))</f>
        <v>0</v>
      </c>
      <c r="AC219" s="101">
        <f>IF(Z219&lt;'Vehicle Data'!C$16,'Vehicle Data'!I$15,IF(Z219&lt;'Vehicle Data'!C$15,'Vehicle Data'!I$15,IF(Z218&gt;'Vehicle Data'!C$15,'Vehicle Data'!I$16)))</f>
        <v>0.98256251041858167</v>
      </c>
      <c r="AD219">
        <f>IF(O219=0.6,'Vehicle Data'!F$21,IF(O219=0.9,'Vehicle Data'!F$20))</f>
        <v>3.5315999999999996</v>
      </c>
      <c r="AE219" s="101">
        <f>(Data!H$15-Data!Q219)/'Vehicle Data'!C$6</f>
        <v>0.48181472665148062</v>
      </c>
      <c r="AF219" s="158">
        <f t="shared" si="166"/>
        <v>0.28613369017114243</v>
      </c>
      <c r="AG219" s="148">
        <f t="shared" si="132"/>
        <v>0</v>
      </c>
      <c r="AH219" s="148">
        <f t="shared" si="150"/>
        <v>53.981053058140596</v>
      </c>
      <c r="AI219" s="101"/>
      <c r="AJ219" s="101">
        <f>(Z219^2)*'Vehicle Data'!C$31</f>
        <v>25.317075000000013</v>
      </c>
      <c r="AK219" s="101">
        <f>IF(O219=0.6,'Vehicle Data'!C$6*'Vehicle Data'!D$21*9.81,IF(O219=0.9,'Vehicle Data'!C$6*9.81*'Vehicle Data'!D$20))</f>
        <v>86.131799999999998</v>
      </c>
      <c r="AL219" s="101">
        <f t="shared" si="167"/>
        <v>111.44887500000002</v>
      </c>
      <c r="AM219" s="101"/>
      <c r="AN219" t="b">
        <f>IF(AG219&gt;0,AG219*'Vehicle Data'!C$6)</f>
        <v>0</v>
      </c>
      <c r="AO219" s="101">
        <f t="shared" si="168"/>
        <v>111.44887500000002</v>
      </c>
      <c r="AP219" s="101">
        <f>AO219*'Vehicle Data'!F$3</f>
        <v>28.486332450000003</v>
      </c>
      <c r="AQ219">
        <v>20</v>
      </c>
      <c r="AR219">
        <f>IF(Z219&lt;'Vehicle Data'!C$16, Z219*'Vehicle Data'!F$7*'Vehicle Data'!G$14,IF(Z219&lt;'Vehicle Data'!C$15,Z219*'Vehicle Data'!F$7*'Vehicle Data'!G$15,IF(Z219&gt;'Vehicle Data'!C$15,Z219*'Vehicle Data'!F$7*'Vehicle Data'!G$16)))</f>
        <v>107.59259259259261</v>
      </c>
      <c r="AS219">
        <f t="shared" si="151"/>
        <v>6455.5555555555566</v>
      </c>
      <c r="AT219">
        <f t="shared" si="170"/>
        <v>20</v>
      </c>
      <c r="AU219">
        <f t="shared" si="169"/>
        <v>6500</v>
      </c>
      <c r="AW219">
        <f>VLOOKUP(AT219,BSFC!A$64:A$82,1,FALSE)</f>
        <v>20</v>
      </c>
      <c r="AX219" t="e" cm="1">
        <f t="array" ref="AX219">_xlfn.XLOOKUP(AT219,BSFC!A$64:A$82,,-1,_xlfn.XLOOKUP(Data!AU219,BSFC!C$63:Q$63,BSFC!B$64:Q$82,,-1))</f>
        <v>#VALUE!</v>
      </c>
      <c r="AY219">
        <f>HLOOKUP(AU219,BSFC!F$63:Q$63,1)</f>
        <v>6500</v>
      </c>
      <c r="AZ219">
        <f>IF(AT219&gt;0,MATCH(AT219,BSFC!A$64:A$83,0),IF(AT219&lt;=0,0))</f>
        <v>3</v>
      </c>
      <c r="BA219">
        <f>MATCH(AU219,BSFC!C$63:Q$63,0)</f>
        <v>13</v>
      </c>
      <c r="BB219" cm="1">
        <f t="array" ref="BB219">IF(AZ219&gt;0,INDEX(BSFC!C$64:Q$83,Data!AZ219,Data!BA219))</f>
        <v>494.7</v>
      </c>
      <c r="BC219">
        <f>0.5*'Vehicle Data'!C$6*Data!Z219^2</f>
        <v>15121.355000000003</v>
      </c>
      <c r="BD219">
        <f t="shared" si="134"/>
        <v>13.465906457145509</v>
      </c>
      <c r="BE219">
        <f t="shared" si="154"/>
        <v>6661.5839243498831</v>
      </c>
      <c r="BF219">
        <f t="shared" si="155"/>
        <v>0.52947321962749794</v>
      </c>
      <c r="BG219">
        <f t="shared" si="135"/>
        <v>57.415917619920222</v>
      </c>
      <c r="BH219">
        <f t="shared" si="171"/>
        <v>13465.906457145509</v>
      </c>
      <c r="BI219" s="148">
        <f t="shared" si="136"/>
        <v>6871.6622130335309</v>
      </c>
      <c r="BO219">
        <f t="shared" si="137"/>
        <v>3858.0293482320553</v>
      </c>
      <c r="BP219">
        <f t="shared" si="138"/>
        <v>214463.50236750895</v>
      </c>
      <c r="BQ219">
        <f t="shared" si="139"/>
        <v>305977.12463323801</v>
      </c>
      <c r="BR219" s="148">
        <f t="shared" si="140"/>
        <v>372908.31780320941</v>
      </c>
      <c r="BS219" s="156">
        <f t="shared" si="141"/>
        <v>3858.0293482320553</v>
      </c>
      <c r="BT219" s="156">
        <f t="shared" si="142"/>
        <v>13465.906457145509</v>
      </c>
      <c r="BU219">
        <f t="shared" si="143"/>
        <v>1968.7552838266477</v>
      </c>
      <c r="BV219">
        <f t="shared" si="144"/>
        <v>1968.7552838266477</v>
      </c>
      <c r="BW219" s="148">
        <f t="shared" si="145"/>
        <v>455.4</v>
      </c>
      <c r="BX219" s="148">
        <f t="shared" si="146"/>
        <v>3129354.9718154697</v>
      </c>
      <c r="BY219" s="148">
        <f t="shared" si="147"/>
        <v>0.24904754340407093</v>
      </c>
      <c r="BZ219">
        <f t="shared" si="130"/>
        <v>53.981053058140596</v>
      </c>
      <c r="CB219">
        <f t="shared" si="148"/>
        <v>-1889.2740644054077</v>
      </c>
      <c r="CC219" s="162">
        <f t="shared" si="131"/>
        <v>-6602.766920859277</v>
      </c>
      <c r="CD219">
        <f t="shared" si="156"/>
        <v>66199.252690945577</v>
      </c>
    </row>
    <row r="220" spans="4:82" ht="16" thickBot="1" x14ac:dyDescent="0.25">
      <c r="D220" s="22">
        <f t="shared" si="157"/>
        <v>0</v>
      </c>
      <c r="E220" s="23">
        <v>8.5017015999999987</v>
      </c>
      <c r="F220" s="23">
        <f>IF(K220&lt;6,1,IF(Data!K220&lt;9,2,IF(K220&gt;9,3)))</f>
        <v>3</v>
      </c>
      <c r="G220" s="23">
        <v>1041.3473487300948</v>
      </c>
      <c r="H220" s="23">
        <v>219.41666499999999</v>
      </c>
      <c r="I220" s="64">
        <v>47.612664490649266</v>
      </c>
      <c r="J220" s="65">
        <f t="shared" si="158"/>
        <v>1.5377309334422011</v>
      </c>
      <c r="K220" s="65">
        <f t="shared" si="159"/>
        <v>19.045065796259706</v>
      </c>
      <c r="L220" s="65">
        <f t="shared" si="160"/>
        <v>0.61509237337688216</v>
      </c>
      <c r="M220">
        <f t="shared" si="161"/>
        <v>17.003403199999997</v>
      </c>
      <c r="N220">
        <f t="shared" si="162"/>
        <v>0</v>
      </c>
      <c r="O220">
        <f>IF(L220&lt;'Vehicle Data'!F$21,'Vehicle Data'!C$21,IF(L220&gt;'Vehicle Data'!C$21,'Vehicle Data'!C$20))</f>
        <v>0.6</v>
      </c>
      <c r="P220">
        <f>('Vehicle Data'!C$6*9.81*'Vehicle Data'!C$5*SIN(D220))/'Vehicle Data'!C$9</f>
        <v>0</v>
      </c>
      <c r="Q220" s="107">
        <f>'Vehicle Data'!C$6*9.81*SIN(D220)</f>
        <v>0</v>
      </c>
      <c r="R220" s="101">
        <f t="shared" si="163"/>
        <v>1038.9663170273589</v>
      </c>
      <c r="S220" s="101">
        <f>IF(Data!O220=0.6,'Vehicle Data'!E$21,IF(Data!O220 = 0.9,'Vehicle Data'!E$20))+(P220*O220)</f>
        <v>1550.3723999999997</v>
      </c>
      <c r="T220" s="101">
        <f>IF(F220=3,'Vehicle Data'!H$16,IF(F220=2,'Vehicle Data'!H$15,IF(F220 = 1,'Vehicle Data'!G$14)))</f>
        <v>466.23005239380637</v>
      </c>
      <c r="U220" s="148">
        <f t="shared" si="164"/>
        <v>322.82783490404279</v>
      </c>
      <c r="V220" s="102" t="s">
        <v>77</v>
      </c>
      <c r="W220" s="103" t="s">
        <v>84</v>
      </c>
      <c r="X220" s="101">
        <f>IF(V220="S",'Vehicle Data'!C$14,IF(Data!V220 = "T1",'Vehicle Data'!P$2,IF(Data!V220="T2",'Vehicle Data'!P$3)))</f>
        <v>13.411199999999999</v>
      </c>
      <c r="Y220" s="101"/>
      <c r="Z220" s="105">
        <v>8.3000000000000007</v>
      </c>
      <c r="AA220" s="101"/>
      <c r="AB220" s="101" t="b">
        <f>IF(AA220=1,'Vehicle Data'!I$14,IF(AA220=2,'Vehicle Data'!I$15,IF(AA220=3,'Vehicle Data'!I$16)))</f>
        <v>0</v>
      </c>
      <c r="AC220" s="101">
        <f>IF(Z220&lt;'Vehicle Data'!C$16,'Vehicle Data'!I$15,IF(Z220&lt;'Vehicle Data'!C$15,'Vehicle Data'!I$15,IF(Z219&gt;'Vehicle Data'!C$15,'Vehicle Data'!I$16)))</f>
        <v>0.98256251041858167</v>
      </c>
      <c r="AD220">
        <f>IF(O220=0.6,'Vehicle Data'!F$21,IF(O220=0.9,'Vehicle Data'!F$20))</f>
        <v>3.5315999999999996</v>
      </c>
      <c r="AE220" s="101">
        <f>(Data!H$15-Data!Q220)/'Vehicle Data'!C$6</f>
        <v>0.48181472665148062</v>
      </c>
      <c r="AF220" s="158">
        <f t="shared" si="166"/>
        <v>0.28650350130605889</v>
      </c>
      <c r="AG220" s="148">
        <f t="shared" si="132"/>
        <v>0</v>
      </c>
      <c r="AH220" s="148">
        <f t="shared" si="150"/>
        <v>54.267556559446653</v>
      </c>
      <c r="AI220" s="101"/>
      <c r="AJ220" s="101">
        <f>(Z220^2)*'Vehicle Data'!C$31</f>
        <v>25.317075000000013</v>
      </c>
      <c r="AK220" s="101">
        <f>IF(O220=0.6,'Vehicle Data'!C$6*'Vehicle Data'!D$21*9.81,IF(O220=0.9,'Vehicle Data'!C$6*9.81*'Vehicle Data'!D$20))</f>
        <v>86.131799999999998</v>
      </c>
      <c r="AL220" s="101">
        <f t="shared" si="167"/>
        <v>111.44887500000002</v>
      </c>
      <c r="AM220" s="101"/>
      <c r="AN220" t="b">
        <f>IF(AG220&gt;0,AG220*'Vehicle Data'!C$6)</f>
        <v>0</v>
      </c>
      <c r="AO220" s="101">
        <f t="shared" si="168"/>
        <v>111.44887500000002</v>
      </c>
      <c r="AP220" s="101">
        <f>AO220*'Vehicle Data'!F$3</f>
        <v>28.486332450000003</v>
      </c>
      <c r="AQ220">
        <v>20</v>
      </c>
      <c r="AR220">
        <f>IF(Z220&lt;'Vehicle Data'!C$16, Z220*'Vehicle Data'!F$7*'Vehicle Data'!G$14,IF(Z220&lt;'Vehicle Data'!C$15,Z220*'Vehicle Data'!F$7*'Vehicle Data'!G$15,IF(Z220&gt;'Vehicle Data'!C$15,Z220*'Vehicle Data'!F$7*'Vehicle Data'!G$16)))</f>
        <v>107.59259259259261</v>
      </c>
      <c r="AS220">
        <f t="shared" si="151"/>
        <v>6455.5555555555566</v>
      </c>
      <c r="AT220">
        <f t="shared" si="170"/>
        <v>20</v>
      </c>
      <c r="AU220">
        <f t="shared" si="169"/>
        <v>6500</v>
      </c>
      <c r="AW220">
        <f>VLOOKUP(AT220,BSFC!A$64:A$82,1,FALSE)</f>
        <v>20</v>
      </c>
      <c r="AX220" t="e" cm="1">
        <f t="array" ref="AX220">_xlfn.XLOOKUP(AT220,BSFC!A$64:A$82,,-1,_xlfn.XLOOKUP(Data!AU220,BSFC!C$63:Q$63,BSFC!B$64:Q$82,,-1))</f>
        <v>#VALUE!</v>
      </c>
      <c r="AY220">
        <f>HLOOKUP(AU220,BSFC!F$63:Q$63,1)</f>
        <v>6500</v>
      </c>
      <c r="AZ220">
        <f>IF(AT220&gt;0,MATCH(AT220,BSFC!A$64:A$83,0),IF(AT220&lt;=0,0))</f>
        <v>3</v>
      </c>
      <c r="BA220">
        <f>MATCH(AU220,BSFC!C$63:Q$63,0)</f>
        <v>13</v>
      </c>
      <c r="BB220" cm="1">
        <f t="array" ref="BB220">IF(AZ220&gt;0,INDEX(BSFC!C$64:Q$83,Data!AZ220,Data!BA220))</f>
        <v>494.7</v>
      </c>
      <c r="BC220">
        <f>0.5*'Vehicle Data'!C$6*Data!Z220^2</f>
        <v>15121.355000000003</v>
      </c>
      <c r="BD220">
        <f t="shared" si="134"/>
        <v>13.465906457145509</v>
      </c>
      <c r="BE220">
        <f t="shared" si="154"/>
        <v>6661.5839243498831</v>
      </c>
      <c r="BF220">
        <f t="shared" si="155"/>
        <v>0.53015753293622159</v>
      </c>
      <c r="BG220">
        <f t="shared" si="135"/>
        <v>57.946075152856444</v>
      </c>
      <c r="BH220">
        <f t="shared" si="171"/>
        <v>13465.906457145509</v>
      </c>
      <c r="BI220" s="148">
        <f t="shared" si="136"/>
        <v>6871.6622130335309</v>
      </c>
      <c r="BO220">
        <f t="shared" si="137"/>
        <v>3862.9819494627254</v>
      </c>
      <c r="BP220">
        <f t="shared" si="138"/>
        <v>218326.48431697168</v>
      </c>
      <c r="BQ220">
        <f t="shared" si="139"/>
        <v>309840.10658270074</v>
      </c>
      <c r="BR220" s="148">
        <f t="shared" si="140"/>
        <v>374879.60040317639</v>
      </c>
      <c r="BS220" s="156">
        <f t="shared" si="141"/>
        <v>3862.9819494627254</v>
      </c>
      <c r="BT220" s="156">
        <f t="shared" si="142"/>
        <v>13465.906457145509</v>
      </c>
      <c r="BU220">
        <f t="shared" si="143"/>
        <v>1971.2825999669556</v>
      </c>
      <c r="BV220">
        <f t="shared" si="144"/>
        <v>1971.2825999669556</v>
      </c>
      <c r="BW220" s="148">
        <f t="shared" si="145"/>
        <v>455.4</v>
      </c>
      <c r="BX220" s="148">
        <f t="shared" si="146"/>
        <v>3129354.9718154697</v>
      </c>
      <c r="BY220" s="148">
        <f t="shared" si="147"/>
        <v>0.24936724889581985</v>
      </c>
      <c r="BZ220">
        <f t="shared" si="130"/>
        <v>54.267556559446653</v>
      </c>
      <c r="CB220">
        <f t="shared" si="148"/>
        <v>-1891.6993494957699</v>
      </c>
      <c r="CC220" s="162">
        <f t="shared" si="131"/>
        <v>-6602.7093591256316</v>
      </c>
      <c r="CD220">
        <f t="shared" si="156"/>
        <v>64307.553341449806</v>
      </c>
    </row>
    <row r="221" spans="4:82" x14ac:dyDescent="0.2">
      <c r="D221" s="22">
        <f t="shared" si="157"/>
        <v>0</v>
      </c>
      <c r="E221" s="23">
        <v>8.5017015999999987</v>
      </c>
      <c r="F221" s="23">
        <f>IF(K221&lt;6,1,IF(Data!K221&lt;9,2,IF(K221&gt;9,3)))</f>
        <v>3</v>
      </c>
      <c r="G221" s="23">
        <v>1022.3895581216832</v>
      </c>
      <c r="H221" s="23">
        <v>219.01666499999999</v>
      </c>
      <c r="I221" s="64">
        <v>46.997572117272377</v>
      </c>
      <c r="J221" s="65">
        <f t="shared" si="158"/>
        <v>1.3397314169050185</v>
      </c>
      <c r="K221" s="65">
        <f t="shared" si="159"/>
        <v>18.79902884690895</v>
      </c>
      <c r="L221" s="65">
        <f t="shared" si="160"/>
        <v>0.53589256676199315</v>
      </c>
      <c r="M221">
        <f t="shared" si="161"/>
        <v>17.003403199999997</v>
      </c>
      <c r="N221">
        <f t="shared" si="162"/>
        <v>0</v>
      </c>
      <c r="O221">
        <f>IF(L221&lt;'Vehicle Data'!F$21,'Vehicle Data'!C$21,IF(L221&gt;'Vehicle Data'!C$21,'Vehicle Data'!C$20))</f>
        <v>0.6</v>
      </c>
      <c r="P221">
        <f>('Vehicle Data'!C$6*9.81*'Vehicle Data'!C$5*SIN(D221))/'Vehicle Data'!C$9</f>
        <v>0</v>
      </c>
      <c r="Q221" s="107">
        <f>'Vehicle Data'!C$6*9.81*SIN(D221)</f>
        <v>0</v>
      </c>
      <c r="R221" s="101">
        <f t="shared" si="163"/>
        <v>1041.3473487300948</v>
      </c>
      <c r="S221" s="101">
        <f>IF(Data!O221=0.6,'Vehicle Data'!E$21,IF(Data!O221 = 0.9,'Vehicle Data'!E$20))+(P221*O221)</f>
        <v>1550.3723999999997</v>
      </c>
      <c r="T221" s="101">
        <f>IF(F221=3,'Vehicle Data'!H$16,IF(F221=2,'Vehicle Data'!H$15,IF(F221 = 1,'Vehicle Data'!G$14)))</f>
        <v>466.23005239380637</v>
      </c>
      <c r="U221" s="148">
        <f t="shared" si="164"/>
        <v>325.20886660677877</v>
      </c>
      <c r="V221" s="102" t="s">
        <v>77</v>
      </c>
      <c r="W221" s="103" t="s">
        <v>84</v>
      </c>
      <c r="X221" s="101">
        <f>IF(V221="S",'Vehicle Data'!C$14,IF(Data!V221 = "T1",'Vehicle Data'!P$2,IF(Data!V221="T2",'Vehicle Data'!P$3)))</f>
        <v>13.411199999999999</v>
      </c>
      <c r="Y221" s="101"/>
      <c r="Z221" s="104">
        <v>8.3000000000000007</v>
      </c>
      <c r="AA221" s="101"/>
      <c r="AB221" s="101" t="b">
        <f>IF(AA221=1,'Vehicle Data'!I$14,IF(AA221=2,'Vehicle Data'!I$15,IF(AA221=3,'Vehicle Data'!I$16)))</f>
        <v>0</v>
      </c>
      <c r="AC221" s="101">
        <f>IF(Z221&lt;'Vehicle Data'!C$16,'Vehicle Data'!I$15,IF(Z221&lt;'Vehicle Data'!C$15,'Vehicle Data'!I$15,IF(Z220&gt;'Vehicle Data'!C$15,'Vehicle Data'!I$16)))</f>
        <v>0.98256251041858167</v>
      </c>
      <c r="AD221">
        <f>IF(O221=0.6,'Vehicle Data'!F$21,IF(O221=0.9,'Vehicle Data'!F$20))</f>
        <v>3.5315999999999996</v>
      </c>
      <c r="AE221" s="101">
        <f>(Data!H$15-Data!Q221)/'Vehicle Data'!C$6</f>
        <v>0.48181472665148062</v>
      </c>
      <c r="AF221" s="158">
        <f t="shared" si="166"/>
        <v>0.28687128948626284</v>
      </c>
      <c r="AG221" s="148">
        <f t="shared" si="132"/>
        <v>0</v>
      </c>
      <c r="AH221" s="148">
        <f t="shared" si="150"/>
        <v>54.554427848932917</v>
      </c>
      <c r="AI221" s="101"/>
      <c r="AJ221" s="101">
        <f>(Z221^2)*'Vehicle Data'!C$31</f>
        <v>25.317075000000013</v>
      </c>
      <c r="AK221" s="101">
        <f>IF(O221=0.6,'Vehicle Data'!C$6*'Vehicle Data'!D$21*9.81,IF(O221=0.9,'Vehicle Data'!C$6*9.81*'Vehicle Data'!D$20))</f>
        <v>86.131799999999998</v>
      </c>
      <c r="AL221" s="101">
        <f t="shared" si="167"/>
        <v>111.44887500000002</v>
      </c>
      <c r="AM221" s="101"/>
      <c r="AN221" t="b">
        <f>IF(AG221&gt;0,AG221*'Vehicle Data'!C$6)</f>
        <v>0</v>
      </c>
      <c r="AO221" s="101">
        <f t="shared" si="168"/>
        <v>111.44887500000002</v>
      </c>
      <c r="AP221" s="101">
        <f>AO221*'Vehicle Data'!F$3</f>
        <v>28.486332450000003</v>
      </c>
      <c r="AQ221">
        <v>20</v>
      </c>
      <c r="AR221">
        <f>IF(Z221&lt;'Vehicle Data'!C$16, Z221*'Vehicle Data'!F$7*'Vehicle Data'!G$14,IF(Z221&lt;'Vehicle Data'!C$15,Z221*'Vehicle Data'!F$7*'Vehicle Data'!G$15,IF(Z221&gt;'Vehicle Data'!C$15,Z221*'Vehicle Data'!F$7*'Vehicle Data'!G$16)))</f>
        <v>107.59259259259261</v>
      </c>
      <c r="AS221">
        <f t="shared" si="151"/>
        <v>6455.5555555555566</v>
      </c>
      <c r="AT221">
        <f t="shared" si="170"/>
        <v>20</v>
      </c>
      <c r="AU221">
        <f t="shared" si="169"/>
        <v>6500</v>
      </c>
      <c r="AW221">
        <f>VLOOKUP(AT221,BSFC!A$64:A$82,1,FALSE)</f>
        <v>20</v>
      </c>
      <c r="AX221" t="e" cm="1">
        <f t="array" ref="AX221">_xlfn.XLOOKUP(AT221,BSFC!A$64:A$82,,-1,_xlfn.XLOOKUP(Data!AU221,BSFC!C$63:Q$63,BSFC!B$64:Q$82,,-1))</f>
        <v>#VALUE!</v>
      </c>
      <c r="AY221">
        <f>HLOOKUP(AU221,BSFC!F$63:Q$63,1)</f>
        <v>6500</v>
      </c>
      <c r="AZ221">
        <f>IF(AT221&gt;0,MATCH(AT221,BSFC!A$64:A$83,0),IF(AT221&lt;=0,0))</f>
        <v>3</v>
      </c>
      <c r="BA221">
        <f>MATCH(AU221,BSFC!C$63:Q$63,0)</f>
        <v>13</v>
      </c>
      <c r="BB221" cm="1">
        <f t="array" ref="BB221">IF(AZ221&gt;0,INDEX(BSFC!C$64:Q$83,Data!AZ221,Data!BA221))</f>
        <v>494.7</v>
      </c>
      <c r="BC221">
        <f>0.5*'Vehicle Data'!C$6*Data!Z221^2</f>
        <v>15121.355000000003</v>
      </c>
      <c r="BD221">
        <f t="shared" si="134"/>
        <v>13.465906457145509</v>
      </c>
      <c r="BE221">
        <f t="shared" si="154"/>
        <v>6661.5839243498831</v>
      </c>
      <c r="BF221">
        <f t="shared" si="155"/>
        <v>0.53083810288866951</v>
      </c>
      <c r="BG221">
        <f t="shared" si="135"/>
        <v>58.476913255745117</v>
      </c>
      <c r="BH221">
        <f t="shared" si="171"/>
        <v>13465.906457145509</v>
      </c>
      <c r="BI221" s="148">
        <f t="shared" si="136"/>
        <v>6871.6622130335309</v>
      </c>
      <c r="BO221">
        <f t="shared" si="137"/>
        <v>3770.4538080007428</v>
      </c>
      <c r="BP221">
        <f t="shared" si="138"/>
        <v>222096.93812497242</v>
      </c>
      <c r="BQ221">
        <f t="shared" si="139"/>
        <v>313610.56039070146</v>
      </c>
      <c r="BR221" s="148">
        <f t="shared" si="140"/>
        <v>376803.6658228258</v>
      </c>
      <c r="BS221" s="156">
        <f t="shared" si="141"/>
        <v>3770.4538080007428</v>
      </c>
      <c r="BT221" s="156">
        <f t="shared" si="142"/>
        <v>13465.906457145509</v>
      </c>
      <c r="BU221">
        <f t="shared" si="143"/>
        <v>1924.0654196493888</v>
      </c>
      <c r="BV221">
        <f t="shared" si="144"/>
        <v>1924.0654196493888</v>
      </c>
      <c r="BW221" s="148">
        <f t="shared" si="145"/>
        <v>455.4</v>
      </c>
      <c r="BX221" s="148">
        <f t="shared" si="146"/>
        <v>3129354.9718154697</v>
      </c>
      <c r="BY221" s="148">
        <f t="shared" si="147"/>
        <v>0.24339427558564763</v>
      </c>
      <c r="BZ221">
        <f t="shared" si="130"/>
        <v>54.554427848932917</v>
      </c>
      <c r="CB221">
        <f t="shared" si="148"/>
        <v>-1846.388388351354</v>
      </c>
      <c r="CC221" s="162">
        <f t="shared" si="131"/>
        <v>-6436.2954956486274</v>
      </c>
      <c r="CD221">
        <f t="shared" si="156"/>
        <v>62461.16495309845</v>
      </c>
    </row>
    <row r="222" spans="4:82" x14ac:dyDescent="0.2">
      <c r="D222" s="22">
        <f t="shared" si="157"/>
        <v>4.9062920242046774E-2</v>
      </c>
      <c r="E222" s="23">
        <v>8.5017015999999987</v>
      </c>
      <c r="F222" s="23">
        <f>IF(K222&lt;6,1,IF(Data!K222&lt;9,2,IF(K222&gt;9,3)))</f>
        <v>3</v>
      </c>
      <c r="G222" s="23">
        <v>1024.7478656757876</v>
      </c>
      <c r="H222" s="23">
        <v>219.066665</v>
      </c>
      <c r="I222" s="64">
        <v>47.064558688117643</v>
      </c>
      <c r="J222" s="65">
        <f t="shared" si="158"/>
        <v>1.4354312780726908</v>
      </c>
      <c r="K222" s="65">
        <f t="shared" si="159"/>
        <v>18.825823475247056</v>
      </c>
      <c r="L222" s="65">
        <f t="shared" si="160"/>
        <v>0.57417251122911894</v>
      </c>
      <c r="M222">
        <f t="shared" si="161"/>
        <v>17.003403199999997</v>
      </c>
      <c r="N222">
        <f t="shared" si="162"/>
        <v>0.11580771547588853</v>
      </c>
      <c r="O222">
        <f>IF(L222&lt;'Vehicle Data'!F$21,'Vehicle Data'!C$21,IF(L222&gt;'Vehicle Data'!C$21,'Vehicle Data'!C$20))</f>
        <v>0.6</v>
      </c>
      <c r="P222">
        <f>('Vehicle Data'!C$6*9.81*'Vehicle Data'!C$5*SIN(D222))/'Vehicle Data'!C$9</f>
        <v>32.661204407245584</v>
      </c>
      <c r="Q222" s="107">
        <f>'Vehicle Data'!C$6*9.81*SIN(D222)</f>
        <v>211.20912183352144</v>
      </c>
      <c r="R222" s="101">
        <f t="shared" si="163"/>
        <v>1022.3895581216832</v>
      </c>
      <c r="S222" s="101">
        <f>IF(Data!O222=0.6,'Vehicle Data'!E$21,IF(Data!O222 = 0.9,'Vehicle Data'!E$20))+(P222*O222)</f>
        <v>1569.9691226443472</v>
      </c>
      <c r="T222" s="101">
        <f>IF(F222=3,'Vehicle Data'!H$16,IF(F222=2,'Vehicle Data'!H$15,IF(F222 = 1,'Vehicle Data'!G$14)))</f>
        <v>466.23005239380637</v>
      </c>
      <c r="U222" s="148">
        <f t="shared" si="164"/>
        <v>306.25107599836713</v>
      </c>
      <c r="V222" s="102" t="s">
        <v>77</v>
      </c>
      <c r="W222" s="103" t="s">
        <v>84</v>
      </c>
      <c r="X222" s="101">
        <f>IF(V222="S",'Vehicle Data'!C$14,IF(Data!V222 = "T1",'Vehicle Data'!P$2,IF(Data!V222="T2",'Vehicle Data'!P$3)))</f>
        <v>13.411199999999999</v>
      </c>
      <c r="Y222" s="101"/>
      <c r="Z222" s="105">
        <v>8.3000000000000007</v>
      </c>
      <c r="AA222" s="101"/>
      <c r="AB222" s="101" t="b">
        <f>IF(AA222=1,'Vehicle Data'!I$14,IF(AA222=2,'Vehicle Data'!I$15,IF(AA222=3,'Vehicle Data'!I$16)))</f>
        <v>0</v>
      </c>
      <c r="AC222" s="101">
        <f>IF(Z222&lt;'Vehicle Data'!C$16,'Vehicle Data'!I$15,IF(Z222&lt;'Vehicle Data'!C$15,'Vehicle Data'!I$15,IF(Z221&gt;'Vehicle Data'!C$15,'Vehicle Data'!I$16)))</f>
        <v>0.98256251041858167</v>
      </c>
      <c r="AD222">
        <f>IF(O222=0.6,'Vehicle Data'!F$21,IF(O222=0.9,'Vehicle Data'!F$20))</f>
        <v>3.5315999999999996</v>
      </c>
      <c r="AE222" s="101">
        <f>(Data!H$15-Data!Q222)/'Vehicle Data'!C$6</f>
        <v>7.0055390997392393E-4</v>
      </c>
      <c r="AF222" s="158">
        <v>0.28000000000000003</v>
      </c>
      <c r="AG222" s="148">
        <f t="shared" si="132"/>
        <v>0</v>
      </c>
      <c r="AH222" s="148">
        <f t="shared" si="150"/>
        <v>54.834427848932918</v>
      </c>
      <c r="AI222" s="101"/>
      <c r="AJ222" s="101">
        <f>(Z222^2)*'Vehicle Data'!C$31</f>
        <v>25.317075000000013</v>
      </c>
      <c r="AK222" s="101">
        <f>IF(O222=0.6,'Vehicle Data'!C$6*'Vehicle Data'!D$21*9.81,IF(O222=0.9,'Vehicle Data'!C$6*9.81*'Vehicle Data'!D$20))</f>
        <v>86.131799999999998</v>
      </c>
      <c r="AL222" s="101">
        <f t="shared" si="167"/>
        <v>322.65799683352145</v>
      </c>
      <c r="AM222" s="101"/>
      <c r="AN222" t="b">
        <f>IF(AG222&gt;0,AG222*'Vehicle Data'!C$6)</f>
        <v>0</v>
      </c>
      <c r="AO222" s="101">
        <f t="shared" si="168"/>
        <v>322.65799683352145</v>
      </c>
      <c r="AP222" s="101">
        <f>AO222*'Vehicle Data'!F$3</f>
        <v>82.471383990648079</v>
      </c>
      <c r="AQ222">
        <v>20</v>
      </c>
      <c r="AR222">
        <f>IF(Z222&lt;'Vehicle Data'!C$16, Z222*'Vehicle Data'!F$7*'Vehicle Data'!G$14,IF(Z222&lt;'Vehicle Data'!C$15,Z222*'Vehicle Data'!F$7*'Vehicle Data'!G$15,IF(Z222&gt;'Vehicle Data'!C$15,Z222*'Vehicle Data'!F$7*'Vehicle Data'!G$16)))</f>
        <v>107.59259259259261</v>
      </c>
      <c r="AS222">
        <f t="shared" si="151"/>
        <v>6455.5555555555566</v>
      </c>
      <c r="AT222">
        <f t="shared" si="170"/>
        <v>20</v>
      </c>
      <c r="AU222">
        <f t="shared" si="169"/>
        <v>6500</v>
      </c>
      <c r="AW222">
        <f>VLOOKUP(AT222,BSFC!A$64:A$82,1,FALSE)</f>
        <v>20</v>
      </c>
      <c r="AX222" t="e" cm="1">
        <f t="array" ref="AX222">_xlfn.XLOOKUP(AT222,BSFC!A$64:A$82,,-1,_xlfn.XLOOKUP(Data!AU222,BSFC!C$63:Q$63,BSFC!B$64:Q$82,,-1))</f>
        <v>#VALUE!</v>
      </c>
      <c r="AY222">
        <f>HLOOKUP(AU222,BSFC!F$63:Q$63,1)</f>
        <v>6500</v>
      </c>
      <c r="AZ222">
        <f>IF(AT222&gt;0,MATCH(AT222,BSFC!A$64:A$83,0),IF(AT222&lt;=0,0))</f>
        <v>3</v>
      </c>
      <c r="BA222">
        <f>MATCH(AU222,BSFC!C$63:Q$63,0)</f>
        <v>13</v>
      </c>
      <c r="BB222" cm="1">
        <f t="array" ref="BB222">IF(AZ222&gt;0,INDEX(BSFC!C$64:Q$83,Data!AZ222,Data!BA222))</f>
        <v>494.7</v>
      </c>
      <c r="BC222">
        <f>0.5*'Vehicle Data'!C$6*Data!Z222^2</f>
        <v>15121.355000000003</v>
      </c>
      <c r="BD222">
        <f t="shared" si="134"/>
        <v>13.465906457145509</v>
      </c>
      <c r="BE222">
        <f t="shared" si="154"/>
        <v>6661.5839243498831</v>
      </c>
      <c r="BF222">
        <f t="shared" si="155"/>
        <v>0.51812319411610208</v>
      </c>
      <c r="BG222">
        <f t="shared" si="135"/>
        <v>58.995036449861217</v>
      </c>
      <c r="BH222">
        <f t="shared" si="171"/>
        <v>13465.906457145509</v>
      </c>
      <c r="BI222" s="148">
        <f t="shared" si="136"/>
        <v>6871.6622130335309</v>
      </c>
      <c r="BO222">
        <f t="shared" si="137"/>
        <v>3826.1143278011168</v>
      </c>
      <c r="BP222">
        <f t="shared" si="138"/>
        <v>225923.05245277355</v>
      </c>
      <c r="BQ222">
        <f t="shared" si="139"/>
        <v>317436.67471850256</v>
      </c>
      <c r="BR222" s="148">
        <f t="shared" si="140"/>
        <v>378756.13484767528</v>
      </c>
      <c r="BS222" s="156">
        <f t="shared" si="141"/>
        <v>3826.1143278011168</v>
      </c>
      <c r="BT222" s="156">
        <f t="shared" si="142"/>
        <v>13465.906457145509</v>
      </c>
      <c r="BU222">
        <f t="shared" si="143"/>
        <v>1952.4690248494737</v>
      </c>
      <c r="BV222">
        <f t="shared" si="144"/>
        <v>1952.4690248494737</v>
      </c>
      <c r="BW222" s="148">
        <f t="shared" si="145"/>
        <v>455.4</v>
      </c>
      <c r="BX222" s="148">
        <f t="shared" si="146"/>
        <v>3129354.9718154697</v>
      </c>
      <c r="BY222" s="148">
        <f t="shared" si="147"/>
        <v>0.2469873316434584</v>
      </c>
      <c r="BZ222">
        <f t="shared" si="130"/>
        <v>54.834427848932918</v>
      </c>
      <c r="CB222">
        <f t="shared" si="148"/>
        <v>-1873.6453029516431</v>
      </c>
      <c r="CC222" s="162">
        <f t="shared" si="131"/>
        <v>-6691.5903676844127</v>
      </c>
      <c r="CD222">
        <f t="shared" si="156"/>
        <v>60587.519650146809</v>
      </c>
    </row>
    <row r="223" spans="4:82" x14ac:dyDescent="0.2">
      <c r="D223" s="22">
        <f t="shared" si="157"/>
        <v>0.12049093976819797</v>
      </c>
      <c r="E223" s="23">
        <v>8.6175093154758873</v>
      </c>
      <c r="F223" s="23">
        <f>IF(K223&lt;6,1,IF(Data!K223&lt;9,2,IF(K223&gt;9,3)))</f>
        <v>3</v>
      </c>
      <c r="G223" s="23">
        <v>1027.109204736628</v>
      </c>
      <c r="H223" s="23">
        <v>219.11666499999998</v>
      </c>
      <c r="I223" s="64">
        <v>47.136330252021253</v>
      </c>
      <c r="J223" s="65">
        <f t="shared" si="158"/>
        <v>1.6751852609225637</v>
      </c>
      <c r="K223" s="65">
        <f t="shared" si="159"/>
        <v>18.854532100808502</v>
      </c>
      <c r="L223" s="65">
        <f t="shared" si="160"/>
        <v>0.67007410436899706</v>
      </c>
      <c r="M223">
        <f t="shared" si="161"/>
        <v>17.235018630951775</v>
      </c>
      <c r="N223">
        <f t="shared" si="162"/>
        <v>0.28419388452411276</v>
      </c>
      <c r="O223">
        <f>IF(L223&lt;'Vehicle Data'!F$21,'Vehicle Data'!C$21,IF(L223&gt;'Vehicle Data'!C$21,'Vehicle Data'!C$20))</f>
        <v>0.6</v>
      </c>
      <c r="P223">
        <f>('Vehicle Data'!C$6*9.81*'Vehicle Data'!C$5*SIN(D223))/'Vehicle Data'!C$9</f>
        <v>80.049031598978715</v>
      </c>
      <c r="Q223" s="107">
        <f>'Vehicle Data'!C$6*9.81*SIN(D223)</f>
        <v>517.65040434006244</v>
      </c>
      <c r="R223" s="101">
        <f t="shared" si="163"/>
        <v>1024.7478656757876</v>
      </c>
      <c r="S223" s="101">
        <f>IF(Data!O223=0.6,'Vehicle Data'!E$21,IF(Data!O223 = 0.9,'Vehicle Data'!E$20))+(P223*O223)</f>
        <v>1598.4018189593869</v>
      </c>
      <c r="T223" s="101">
        <f>IF(F223=3,'Vehicle Data'!H$16,IF(F223=2,'Vehicle Data'!H$15,IF(F223 = 1,'Vehicle Data'!G$14)))</f>
        <v>466.23005239380637</v>
      </c>
      <c r="U223" s="148">
        <f t="shared" si="164"/>
        <v>308.60938355247151</v>
      </c>
      <c r="V223" s="102" t="s">
        <v>77</v>
      </c>
      <c r="W223" s="103" t="s">
        <v>84</v>
      </c>
      <c r="X223" s="101">
        <f>IF(V223="S",'Vehicle Data'!C$14,IF(Data!V223 = "T1",'Vehicle Data'!P$2,IF(Data!V223="T2",'Vehicle Data'!P$3)))</f>
        <v>13.411199999999999</v>
      </c>
      <c r="Y223" s="101"/>
      <c r="Z223" s="105">
        <v>8.3000000000000007</v>
      </c>
      <c r="AA223" s="101"/>
      <c r="AB223" s="101" t="b">
        <f>IF(AA223=1,'Vehicle Data'!I$14,IF(AA223=2,'Vehicle Data'!I$15,IF(AA223=3,'Vehicle Data'!I$16)))</f>
        <v>0</v>
      </c>
      <c r="AC223" s="101">
        <f>IF(Z223&lt;'Vehicle Data'!C$16,'Vehicle Data'!I$15,IF(Z223&lt;'Vehicle Data'!C$15,'Vehicle Data'!I$15,IF(Z222&gt;'Vehicle Data'!C$15,'Vehicle Data'!I$16)))</f>
        <v>0.98256251041858167</v>
      </c>
      <c r="AD223">
        <f>IF(O223=0.6,'Vehicle Data'!F$21,IF(O223=0.9,'Vehicle Data'!F$20))</f>
        <v>3.5315999999999996</v>
      </c>
      <c r="AE223" s="101">
        <f>(Data!H$15-Data!Q223)/'Vehicle Data'!C$6</f>
        <v>-0.6973433697951309</v>
      </c>
      <c r="AF223" s="158">
        <f t="shared" si="166"/>
        <v>0.28413344025354037</v>
      </c>
      <c r="AG223" s="148">
        <f t="shared" si="132"/>
        <v>0</v>
      </c>
      <c r="AH223" s="148">
        <f t="shared" si="150"/>
        <v>55.118561289186459</v>
      </c>
      <c r="AI223" s="101"/>
      <c r="AJ223" s="101">
        <f>(Z223^2)*'Vehicle Data'!C$31</f>
        <v>25.317075000000013</v>
      </c>
      <c r="AK223" s="101">
        <f>IF(O223=0.6,'Vehicle Data'!C$6*'Vehicle Data'!D$21*9.81,IF(O223=0.9,'Vehicle Data'!C$6*9.81*'Vehicle Data'!D$20))</f>
        <v>86.131799999999998</v>
      </c>
      <c r="AL223" s="101">
        <f t="shared" si="167"/>
        <v>629.09927934006248</v>
      </c>
      <c r="AM223" s="101"/>
      <c r="AN223" t="b">
        <f>IF(AG223&gt;0,AG223*'Vehicle Data'!C$6)</f>
        <v>0</v>
      </c>
      <c r="AO223" s="101">
        <f t="shared" si="168"/>
        <v>629.09927934006248</v>
      </c>
      <c r="AP223" s="101">
        <f>AO223*'Vehicle Data'!F$3</f>
        <v>160.79777579931996</v>
      </c>
      <c r="AQ223">
        <v>20</v>
      </c>
      <c r="AR223">
        <f>IF(Z223&lt;'Vehicle Data'!C$16, Z223*'Vehicle Data'!F$7*'Vehicle Data'!G$14,IF(Z223&lt;'Vehicle Data'!C$15,Z223*'Vehicle Data'!F$7*'Vehicle Data'!G$15,IF(Z223&gt;'Vehicle Data'!C$15,Z223*'Vehicle Data'!F$7*'Vehicle Data'!G$16)))</f>
        <v>107.59259259259261</v>
      </c>
      <c r="AS223">
        <f t="shared" si="151"/>
        <v>6455.5555555555566</v>
      </c>
      <c r="AT223">
        <f t="shared" si="170"/>
        <v>20</v>
      </c>
      <c r="AU223">
        <f t="shared" si="169"/>
        <v>6500</v>
      </c>
      <c r="AW223">
        <f>VLOOKUP(AT223,BSFC!A$64:A$82,1,FALSE)</f>
        <v>20</v>
      </c>
      <c r="AX223" t="e" cm="1">
        <f t="array" ref="AX223">_xlfn.XLOOKUP(AT223,BSFC!A$64:A$82,,-1,_xlfn.XLOOKUP(Data!AU223,BSFC!C$63:Q$63,BSFC!B$64:Q$82,,-1))</f>
        <v>#VALUE!</v>
      </c>
      <c r="AY223">
        <f>HLOOKUP(AU223,BSFC!F$63:Q$63,1)</f>
        <v>6500</v>
      </c>
      <c r="AZ223">
        <f>IF(AT223&gt;0,MATCH(AT223,BSFC!A$64:A$83,0),IF(AT223&lt;=0,0))</f>
        <v>3</v>
      </c>
      <c r="BA223">
        <f>MATCH(AU223,BSFC!C$63:Q$63,0)</f>
        <v>13</v>
      </c>
      <c r="BB223" cm="1">
        <f t="array" ref="BB223">IF(AZ223&gt;0,INDEX(BSFC!C$64:Q$83,Data!AZ223,Data!BA223))</f>
        <v>494.7</v>
      </c>
      <c r="BC223">
        <f>0.5*'Vehicle Data'!C$6*Data!Z223^2</f>
        <v>15121.355000000003</v>
      </c>
      <c r="BD223">
        <f t="shared" si="134"/>
        <v>13.465906457145509</v>
      </c>
      <c r="BE223">
        <f t="shared" si="154"/>
        <v>6661.5839243498831</v>
      </c>
      <c r="BF223">
        <f t="shared" si="155"/>
        <v>0.52577187721200347</v>
      </c>
      <c r="BG223">
        <f t="shared" si="135"/>
        <v>59.520808327073219</v>
      </c>
      <c r="BH223">
        <f t="shared" si="171"/>
        <v>13465.906457145509</v>
      </c>
      <c r="BI223" s="148">
        <f t="shared" si="136"/>
        <v>6871.6622130335309</v>
      </c>
      <c r="BO223">
        <f t="shared" si="137"/>
        <v>3831.0326393833157</v>
      </c>
      <c r="BP223">
        <f t="shared" si="138"/>
        <v>229754.08509215686</v>
      </c>
      <c r="BQ223">
        <f t="shared" si="139"/>
        <v>321267.7073578859</v>
      </c>
      <c r="BR223" s="148">
        <f t="shared" si="140"/>
        <v>380711.11369063158</v>
      </c>
      <c r="BS223" s="156">
        <f t="shared" si="141"/>
        <v>3831.0326393833157</v>
      </c>
      <c r="BT223" s="156">
        <f t="shared" si="142"/>
        <v>13465.906457145509</v>
      </c>
      <c r="BU223">
        <f t="shared" si="143"/>
        <v>1954.9788429563259</v>
      </c>
      <c r="BV223">
        <f t="shared" si="144"/>
        <v>1954.9788429563259</v>
      </c>
      <c r="BW223" s="148">
        <f t="shared" si="145"/>
        <v>455.4</v>
      </c>
      <c r="BX223" s="148">
        <f t="shared" si="146"/>
        <v>3129354.9718154697</v>
      </c>
      <c r="BY223" s="148">
        <f t="shared" si="147"/>
        <v>0.24730482363397518</v>
      </c>
      <c r="BZ223">
        <f t="shared" si="130"/>
        <v>55.118561289186459</v>
      </c>
      <c r="CB223">
        <f t="shared" si="148"/>
        <v>-1876.0537964269897</v>
      </c>
      <c r="CC223" s="162">
        <f t="shared" si="131"/>
        <v>-6602.7208721118141</v>
      </c>
      <c r="CD223">
        <f t="shared" si="156"/>
        <v>58711.465853719819</v>
      </c>
    </row>
    <row r="224" spans="4:82" x14ac:dyDescent="0.2">
      <c r="D224" s="22">
        <f t="shared" si="157"/>
        <v>9.1254125943258782E-2</v>
      </c>
      <c r="E224" s="23">
        <v>8.9017032</v>
      </c>
      <c r="F224" s="23">
        <f>IF(K224&lt;6,1,IF(Data!K224&lt;9,2,IF(K224&gt;9,3)))</f>
        <v>3</v>
      </c>
      <c r="G224" s="23">
        <v>1029.4735543650477</v>
      </c>
      <c r="H224" s="23">
        <v>219.16666499999999</v>
      </c>
      <c r="I224" s="64">
        <v>47.2200895150674</v>
      </c>
      <c r="J224" s="65">
        <f t="shared" si="158"/>
        <v>1.7482084246637719</v>
      </c>
      <c r="K224" s="65">
        <f t="shared" si="159"/>
        <v>18.888035806026959</v>
      </c>
      <c r="L224" s="65">
        <f t="shared" si="160"/>
        <v>0.69928336986552297</v>
      </c>
      <c r="M224">
        <f t="shared" si="161"/>
        <v>17.8034064</v>
      </c>
      <c r="N224">
        <f t="shared" si="162"/>
        <v>0.21580611547597783</v>
      </c>
      <c r="O224">
        <f>IF(L224&lt;'Vehicle Data'!F$21,'Vehicle Data'!C$21,IF(L224&gt;'Vehicle Data'!C$21,'Vehicle Data'!C$20))</f>
        <v>0.6</v>
      </c>
      <c r="P224">
        <f>('Vehicle Data'!C$6*9.81*'Vehicle Data'!C$5*SIN(D224))/'Vehicle Data'!C$9</f>
        <v>60.687974584678031</v>
      </c>
      <c r="Q224" s="107">
        <f>'Vehicle Data'!C$6*9.81*SIN(D224)</f>
        <v>392.44890231425126</v>
      </c>
      <c r="R224" s="101">
        <f t="shared" si="163"/>
        <v>1027.109204736628</v>
      </c>
      <c r="S224" s="101">
        <f>IF(Data!O224=0.6,'Vehicle Data'!E$21,IF(Data!O224 = 0.9,'Vehicle Data'!E$20))+(P224*O224)</f>
        <v>1586.7851847508066</v>
      </c>
      <c r="T224" s="101">
        <f>IF(F224=3,'Vehicle Data'!H$16,IF(F224=2,'Vehicle Data'!H$15,IF(F224 = 1,'Vehicle Data'!G$14)))</f>
        <v>466.23005239380637</v>
      </c>
      <c r="U224" s="148">
        <f t="shared" si="164"/>
        <v>310.97072261331198</v>
      </c>
      <c r="V224" s="102" t="s">
        <v>77</v>
      </c>
      <c r="W224" s="103" t="s">
        <v>84</v>
      </c>
      <c r="X224" s="101">
        <f>IF(V224="S",'Vehicle Data'!C$14,IF(Data!V224 = "T1",'Vehicle Data'!P$2,IF(Data!V224="T2",'Vehicle Data'!P$3)))</f>
        <v>13.411199999999999</v>
      </c>
      <c r="Y224" s="101"/>
      <c r="Z224" s="105">
        <v>8.3000000000000007</v>
      </c>
      <c r="AA224" s="101"/>
      <c r="AB224" s="101" t="b">
        <f>IF(AA224=1,'Vehicle Data'!I$14,IF(AA224=2,'Vehicle Data'!I$15,IF(AA224=3,'Vehicle Data'!I$16)))</f>
        <v>0</v>
      </c>
      <c r="AC224" s="101">
        <f>IF(Z224&lt;'Vehicle Data'!C$16,'Vehicle Data'!I$15,IF(Z224&lt;'Vehicle Data'!C$15,'Vehicle Data'!I$15,IF(Z223&gt;'Vehicle Data'!C$15,'Vehicle Data'!I$16)))</f>
        <v>0.98256251041858167</v>
      </c>
      <c r="AD224">
        <f>IF(O224=0.6,'Vehicle Data'!F$21,IF(O224=0.9,'Vehicle Data'!F$20))</f>
        <v>3.5315999999999996</v>
      </c>
      <c r="AE224" s="101">
        <f>(Data!H$15-Data!Q224)/'Vehicle Data'!C$6</f>
        <v>-0.41214632645615323</v>
      </c>
      <c r="AF224" s="158">
        <f t="shared" si="166"/>
        <v>0.28449868202897161</v>
      </c>
      <c r="AG224" s="148">
        <f t="shared" si="132"/>
        <v>0</v>
      </c>
      <c r="AH224" s="148">
        <f t="shared" si="150"/>
        <v>55.403059971215434</v>
      </c>
      <c r="AI224" s="101"/>
      <c r="AJ224" s="101">
        <f>(Z224^2)*'Vehicle Data'!C$31</f>
        <v>25.317075000000013</v>
      </c>
      <c r="AK224" s="101">
        <f>IF(O224=0.6,'Vehicle Data'!C$6*'Vehicle Data'!D$21*9.81,IF(O224=0.9,'Vehicle Data'!C$6*9.81*'Vehicle Data'!D$20))</f>
        <v>86.131799999999998</v>
      </c>
      <c r="AL224" s="101">
        <f t="shared" si="167"/>
        <v>503.89777731425124</v>
      </c>
      <c r="AM224" s="101"/>
      <c r="AN224" t="b">
        <f>IF(AG224&gt;0,AG224*'Vehicle Data'!C$6)</f>
        <v>0</v>
      </c>
      <c r="AO224" s="101">
        <f t="shared" si="168"/>
        <v>503.89777731425124</v>
      </c>
      <c r="AP224" s="101">
        <f>AO224*'Vehicle Data'!F$3</f>
        <v>128.79627188152261</v>
      </c>
      <c r="AQ224">
        <v>20</v>
      </c>
      <c r="AR224">
        <f>IF(Z224&lt;'Vehicle Data'!C$16, Z224*'Vehicle Data'!F$7*'Vehicle Data'!G$14,IF(Z224&lt;'Vehicle Data'!C$15,Z224*'Vehicle Data'!F$7*'Vehicle Data'!G$15,IF(Z224&gt;'Vehicle Data'!C$15,Z224*'Vehicle Data'!F$7*'Vehicle Data'!G$16)))</f>
        <v>107.59259259259261</v>
      </c>
      <c r="AS224">
        <f t="shared" si="151"/>
        <v>6455.5555555555566</v>
      </c>
      <c r="AT224">
        <f t="shared" si="170"/>
        <v>20</v>
      </c>
      <c r="AU224">
        <f t="shared" si="169"/>
        <v>6500</v>
      </c>
      <c r="AW224">
        <f>VLOOKUP(AT224,BSFC!A$64:A$82,1,FALSE)</f>
        <v>20</v>
      </c>
      <c r="AX224" t="e" cm="1">
        <f t="array" ref="AX224">_xlfn.XLOOKUP(AT224,BSFC!A$64:A$82,,-1,_xlfn.XLOOKUP(Data!AU224,BSFC!C$63:Q$63,BSFC!B$64:Q$82,,-1))</f>
        <v>#VALUE!</v>
      </c>
      <c r="AY224">
        <f>HLOOKUP(AU224,BSFC!F$63:Q$63,1)</f>
        <v>6500</v>
      </c>
      <c r="AZ224">
        <f>IF(AT224&gt;0,MATCH(AT224,BSFC!A$64:A$83,0),IF(AT224&lt;=0,0))</f>
        <v>3</v>
      </c>
      <c r="BA224">
        <f>MATCH(AU224,BSFC!C$63:Q$63,0)</f>
        <v>13</v>
      </c>
      <c r="BB224" cm="1">
        <f t="array" ref="BB224">IF(AZ224&gt;0,INDEX(BSFC!C$64:Q$83,Data!AZ224,Data!BA224))</f>
        <v>494.7</v>
      </c>
      <c r="BC224">
        <f>0.5*'Vehicle Data'!C$6*Data!Z224^2</f>
        <v>15121.355000000003</v>
      </c>
      <c r="BD224">
        <f t="shared" si="134"/>
        <v>13.465906457145509</v>
      </c>
      <c r="BE224">
        <f t="shared" si="154"/>
        <v>6661.5839243498831</v>
      </c>
      <c r="BF224">
        <f t="shared" si="155"/>
        <v>0.52644773519525723</v>
      </c>
      <c r="BG224">
        <f t="shared" si="135"/>
        <v>60.047256062268474</v>
      </c>
      <c r="BH224">
        <f t="shared" si="171"/>
        <v>13465.906457145509</v>
      </c>
      <c r="BI224" s="148">
        <f t="shared" si="136"/>
        <v>6871.6622130335309</v>
      </c>
      <c r="BO224">
        <f t="shared" si="137"/>
        <v>3835.9169793115061</v>
      </c>
      <c r="BP224">
        <f t="shared" si="138"/>
        <v>233590.00207146836</v>
      </c>
      <c r="BQ224">
        <f t="shared" si="139"/>
        <v>325103.6243371974</v>
      </c>
      <c r="BR224" s="148">
        <f t="shared" si="140"/>
        <v>382668.58501593414</v>
      </c>
      <c r="BS224" s="156">
        <f t="shared" si="141"/>
        <v>3835.9169793115061</v>
      </c>
      <c r="BT224" s="156">
        <f t="shared" si="142"/>
        <v>13465.906457145509</v>
      </c>
      <c r="BU224">
        <f t="shared" si="143"/>
        <v>1957.4713253025363</v>
      </c>
      <c r="BV224">
        <f t="shared" si="144"/>
        <v>1957.4713253025363</v>
      </c>
      <c r="BW224" s="148">
        <f t="shared" si="145"/>
        <v>455.4</v>
      </c>
      <c r="BX224" s="148">
        <f t="shared" si="146"/>
        <v>3129354.9718154697</v>
      </c>
      <c r="BY224" s="148">
        <f t="shared" si="147"/>
        <v>0.2476201226507708</v>
      </c>
      <c r="BZ224">
        <f t="shared" si="130"/>
        <v>55.403059971215434</v>
      </c>
      <c r="CB224">
        <f t="shared" si="148"/>
        <v>-1878.4456540089698</v>
      </c>
      <c r="CC224" s="162">
        <f t="shared" si="131"/>
        <v>-6602.6515153334158</v>
      </c>
      <c r="CD224">
        <f t="shared" si="156"/>
        <v>56833.020199710852</v>
      </c>
    </row>
    <row r="225" spans="4:82" x14ac:dyDescent="0.2">
      <c r="D225" s="22">
        <f t="shared" si="157"/>
        <v>0.1268297731488181</v>
      </c>
      <c r="E225" s="23">
        <v>9.1175093154759779</v>
      </c>
      <c r="F225" s="23">
        <f>IF(K225&lt;6,1,IF(Data!K225&lt;9,2,IF(K225&gt;9,3)))</f>
        <v>3</v>
      </c>
      <c r="G225" s="23">
        <v>1031.8417313515729</v>
      </c>
      <c r="H225" s="23">
        <v>219.21666499999998</v>
      </c>
      <c r="I225" s="64">
        <v>47.307499936300559</v>
      </c>
      <c r="J225" s="65">
        <f t="shared" si="158"/>
        <v>1.5682777950178903</v>
      </c>
      <c r="K225" s="65">
        <f t="shared" si="159"/>
        <v>18.922999974520224</v>
      </c>
      <c r="L225" s="65">
        <f t="shared" si="160"/>
        <v>0.62731111800715611</v>
      </c>
      <c r="M225">
        <f t="shared" si="161"/>
        <v>18.235018630951956</v>
      </c>
      <c r="N225">
        <f t="shared" si="162"/>
        <v>0.29999599999990956</v>
      </c>
      <c r="O225">
        <f>IF(L225&lt;'Vehicle Data'!F$21,'Vehicle Data'!C$21,IF(L225&gt;'Vehicle Data'!C$21,'Vehicle Data'!C$20))</f>
        <v>0.6</v>
      </c>
      <c r="P225">
        <f>('Vehicle Data'!C$6*9.81*'Vehicle Data'!C$5*SIN(D225))/'Vehicle Data'!C$9</f>
        <v>84.238245862304268</v>
      </c>
      <c r="Q225" s="107">
        <f>'Vehicle Data'!C$6*9.81*SIN(D225)</f>
        <v>544.74065657623419</v>
      </c>
      <c r="R225" s="101">
        <f t="shared" si="163"/>
        <v>1029.4735543650477</v>
      </c>
      <c r="S225" s="101">
        <f>IF(Data!O225=0.6,'Vehicle Data'!E$21,IF(Data!O225 = 0.9,'Vehicle Data'!E$20))+(P225*O225)</f>
        <v>1600.9153475173823</v>
      </c>
      <c r="T225" s="101">
        <f>IF(F225=3,'Vehicle Data'!H$16,IF(F225=2,'Vehicle Data'!H$15,IF(F225 = 1,'Vehicle Data'!G$14)))</f>
        <v>466.23005239380637</v>
      </c>
      <c r="U225" s="148">
        <f t="shared" si="164"/>
        <v>313.33507224173161</v>
      </c>
      <c r="V225" s="102" t="s">
        <v>77</v>
      </c>
      <c r="W225" s="103" t="s">
        <v>84</v>
      </c>
      <c r="X225" s="101">
        <f>IF(V225="S",'Vehicle Data'!C$14,IF(Data!V225 = "T1",'Vehicle Data'!P$2,IF(Data!V225="T2",'Vehicle Data'!P$3)))</f>
        <v>13.411199999999999</v>
      </c>
      <c r="Y225" s="101"/>
      <c r="Z225" s="105">
        <v>8.3000000000000007</v>
      </c>
      <c r="AA225" s="101"/>
      <c r="AB225" s="101" t="b">
        <f>IF(AA225=1,'Vehicle Data'!I$14,IF(AA225=2,'Vehicle Data'!I$15,IF(AA225=3,'Vehicle Data'!I$16)))</f>
        <v>0</v>
      </c>
      <c r="AC225" s="101">
        <f>IF(Z225&lt;'Vehicle Data'!C$16,'Vehicle Data'!I$15,IF(Z225&lt;'Vehicle Data'!C$15,'Vehicle Data'!I$15,IF(Z224&gt;'Vehicle Data'!C$15,'Vehicle Data'!I$16)))</f>
        <v>0.98256251041858167</v>
      </c>
      <c r="AD225">
        <f>IF(O225=0.6,'Vehicle Data'!F$21,IF(O225=0.9,'Vehicle Data'!F$20))</f>
        <v>3.5315999999999996</v>
      </c>
      <c r="AE225" s="101">
        <f>(Data!H$15-Data!Q225)/'Vehicle Data'!C$6</f>
        <v>-0.75905237261101188</v>
      </c>
      <c r="AF225" s="158">
        <f t="shared" si="166"/>
        <v>0.28486140101441343</v>
      </c>
      <c r="AG225" s="148">
        <f t="shared" si="132"/>
        <v>0</v>
      </c>
      <c r="AH225" s="148">
        <f t="shared" si="150"/>
        <v>55.687921372229845</v>
      </c>
      <c r="AI225" s="101"/>
      <c r="AJ225" s="101">
        <f>(Z225^2)*'Vehicle Data'!C$31</f>
        <v>25.317075000000013</v>
      </c>
      <c r="AK225" s="101">
        <f>IF(O225=0.6,'Vehicle Data'!C$6*'Vehicle Data'!D$21*9.81,IF(O225=0.9,'Vehicle Data'!C$6*9.81*'Vehicle Data'!D$20))</f>
        <v>86.131799999999998</v>
      </c>
      <c r="AL225" s="101">
        <f t="shared" si="167"/>
        <v>656.18953157623423</v>
      </c>
      <c r="AM225" s="101"/>
      <c r="AN225" t="b">
        <f>IF(AG225&gt;0,AG225*'Vehicle Data'!C$6)</f>
        <v>0</v>
      </c>
      <c r="AO225" s="101">
        <f t="shared" si="168"/>
        <v>656.18953157623423</v>
      </c>
      <c r="AP225" s="101">
        <f>AO225*'Vehicle Data'!F$3</f>
        <v>167.72204427088548</v>
      </c>
      <c r="AQ225">
        <v>20</v>
      </c>
      <c r="AR225">
        <f>IF(Z225&lt;'Vehicle Data'!C$16, Z225*'Vehicle Data'!F$7*'Vehicle Data'!G$14,IF(Z225&lt;'Vehicle Data'!C$15,Z225*'Vehicle Data'!F$7*'Vehicle Data'!G$15,IF(Z225&gt;'Vehicle Data'!C$15,Z225*'Vehicle Data'!F$7*'Vehicle Data'!G$16)))</f>
        <v>107.59259259259261</v>
      </c>
      <c r="AS225">
        <f t="shared" si="151"/>
        <v>6455.5555555555566</v>
      </c>
      <c r="AT225">
        <f t="shared" si="170"/>
        <v>20</v>
      </c>
      <c r="AU225">
        <f t="shared" si="169"/>
        <v>6500</v>
      </c>
      <c r="AW225">
        <f>VLOOKUP(AT225,BSFC!A$64:A$82,1,FALSE)</f>
        <v>20</v>
      </c>
      <c r="AX225" t="e" cm="1">
        <f t="array" ref="AX225">_xlfn.XLOOKUP(AT225,BSFC!A$64:A$82,,-1,_xlfn.XLOOKUP(Data!AU225,BSFC!C$63:Q$63,BSFC!B$64:Q$82,,-1))</f>
        <v>#VALUE!</v>
      </c>
      <c r="AY225">
        <f>HLOOKUP(AU225,BSFC!F$63:Q$63,1)</f>
        <v>6500</v>
      </c>
      <c r="AZ225">
        <f>IF(AT225&gt;0,MATCH(AT225,BSFC!A$64:A$83,0),IF(AT225&lt;=0,0))</f>
        <v>3</v>
      </c>
      <c r="BA225">
        <f>MATCH(AU225,BSFC!C$63:Q$63,0)</f>
        <v>13</v>
      </c>
      <c r="BB225" cm="1">
        <f t="array" ref="BB225">IF(AZ225&gt;0,INDEX(BSFC!C$64:Q$83,Data!AZ225,Data!BA225))</f>
        <v>494.7</v>
      </c>
      <c r="BC225">
        <f>0.5*'Vehicle Data'!C$6*Data!Z225^2</f>
        <v>15121.355000000003</v>
      </c>
      <c r="BD225">
        <f t="shared" si="134"/>
        <v>13.465906457145509</v>
      </c>
      <c r="BE225">
        <f t="shared" si="154"/>
        <v>6661.5839243498831</v>
      </c>
      <c r="BF225">
        <f t="shared" si="155"/>
        <v>0.52711892490705614</v>
      </c>
      <c r="BG225">
        <f t="shared" si="135"/>
        <v>60.574374987175531</v>
      </c>
      <c r="BH225">
        <f t="shared" si="171"/>
        <v>13465.906457145509</v>
      </c>
      <c r="BI225" s="148">
        <f t="shared" si="136"/>
        <v>6871.6622130335309</v>
      </c>
      <c r="BO225">
        <f t="shared" si="137"/>
        <v>3842.1264788570202</v>
      </c>
      <c r="BP225">
        <f t="shared" si="138"/>
        <v>237432.12855032537</v>
      </c>
      <c r="BQ225">
        <f t="shared" si="139"/>
        <v>328945.75081605441</v>
      </c>
      <c r="BR225" s="148">
        <f t="shared" si="140"/>
        <v>384629.22505353426</v>
      </c>
      <c r="BS225" s="156">
        <f t="shared" si="141"/>
        <v>3842.1264788570202</v>
      </c>
      <c r="BT225" s="156">
        <f t="shared" si="142"/>
        <v>13465.906457145509</v>
      </c>
      <c r="BU225">
        <f t="shared" si="143"/>
        <v>1960.6400376001116</v>
      </c>
      <c r="BV225">
        <f t="shared" si="144"/>
        <v>1960.6400376001116</v>
      </c>
      <c r="BW225" s="148">
        <f t="shared" si="145"/>
        <v>455.4</v>
      </c>
      <c r="BX225" s="148">
        <f t="shared" si="146"/>
        <v>3129354.9718154697</v>
      </c>
      <c r="BY225" s="148">
        <f t="shared" si="147"/>
        <v>0.24802096475641408</v>
      </c>
      <c r="BZ225">
        <f t="shared" si="130"/>
        <v>55.687921372229845</v>
      </c>
      <c r="CB225">
        <f t="shared" si="148"/>
        <v>-1881.4864412569086</v>
      </c>
      <c r="CC225" s="162">
        <f t="shared" si="131"/>
        <v>-6604.9188642505105</v>
      </c>
      <c r="CD225">
        <f t="shared" si="156"/>
        <v>54951.533758453945</v>
      </c>
    </row>
    <row r="226" spans="4:82" x14ac:dyDescent="0.2">
      <c r="D226" s="22">
        <f t="shared" si="157"/>
        <v>0.12666005135049033</v>
      </c>
      <c r="E226" s="23">
        <v>9.4175053154758874</v>
      </c>
      <c r="F226" s="23">
        <f>IF(K226&lt;6,1,IF(Data!K226&lt;9,2,IF(K226&gt;9,3)))</f>
        <v>3</v>
      </c>
      <c r="G226" s="23">
        <v>1034.2134283380981</v>
      </c>
      <c r="H226" s="23">
        <v>219.26666499999999</v>
      </c>
      <c r="I226" s="64">
        <v>47.385913826051471</v>
      </c>
      <c r="J226" s="65">
        <f t="shared" si="158"/>
        <v>1.5120651498572473</v>
      </c>
      <c r="K226" s="65">
        <f t="shared" si="159"/>
        <v>18.954365530420588</v>
      </c>
      <c r="L226" s="65">
        <f t="shared" si="160"/>
        <v>0.60482605994288463</v>
      </c>
      <c r="M226">
        <f t="shared" si="161"/>
        <v>18.835010630951775</v>
      </c>
      <c r="N226">
        <f t="shared" si="162"/>
        <v>0.30000252641903735</v>
      </c>
      <c r="O226">
        <f>IF(L226&lt;'Vehicle Data'!F$21,'Vehicle Data'!C$21,IF(L226&gt;'Vehicle Data'!C$21,'Vehicle Data'!C$20))</f>
        <v>0.6</v>
      </c>
      <c r="P226">
        <f>('Vehicle Data'!C$6*9.81*'Vehicle Data'!C$5*SIN(D226))/'Vehicle Data'!C$9</f>
        <v>84.126123307636263</v>
      </c>
      <c r="Q226" s="107">
        <f>'Vehicle Data'!C$6*9.81*SIN(D226)</f>
        <v>544.01559738938113</v>
      </c>
      <c r="R226" s="101">
        <f t="shared" si="163"/>
        <v>1031.8417313515729</v>
      </c>
      <c r="S226" s="101">
        <f>IF(Data!O226=0.6,'Vehicle Data'!E$21,IF(Data!O226 = 0.9,'Vehicle Data'!E$20))+(P226*O226)</f>
        <v>1600.8480739845816</v>
      </c>
      <c r="T226" s="101">
        <f>IF(F226=3,'Vehicle Data'!H$16,IF(F226=2,'Vehicle Data'!H$15,IF(F226 = 1,'Vehicle Data'!G$14)))</f>
        <v>466.23005239380637</v>
      </c>
      <c r="U226" s="148">
        <f t="shared" si="164"/>
        <v>315.70324922825682</v>
      </c>
      <c r="V226" s="102" t="s">
        <v>77</v>
      </c>
      <c r="W226" s="103" t="s">
        <v>84</v>
      </c>
      <c r="X226" s="101">
        <f>IF(V226="S",'Vehicle Data'!C$14,IF(Data!V226 = "T1",'Vehicle Data'!P$2,IF(Data!V226="T2",'Vehicle Data'!P$3)))</f>
        <v>13.411199999999999</v>
      </c>
      <c r="Y226" s="101"/>
      <c r="Z226" s="105">
        <v>8.3000000000000007</v>
      </c>
      <c r="AA226" s="101"/>
      <c r="AB226" s="101" t="b">
        <f>IF(AA226=1,'Vehicle Data'!I$14,IF(AA226=2,'Vehicle Data'!I$15,IF(AA226=3,'Vehicle Data'!I$16)))</f>
        <v>0</v>
      </c>
      <c r="AC226" s="101">
        <f>IF(Z226&lt;'Vehicle Data'!C$16,'Vehicle Data'!I$15,IF(Z226&lt;'Vehicle Data'!C$15,'Vehicle Data'!I$15,IF(Z225&gt;'Vehicle Data'!C$15,'Vehicle Data'!I$16)))</f>
        <v>0.98256251041858167</v>
      </c>
      <c r="AD226">
        <f>IF(O226=0.6,'Vehicle Data'!F$21,IF(O226=0.9,'Vehicle Data'!F$20))</f>
        <v>3.5315999999999996</v>
      </c>
      <c r="AE226" s="101">
        <f>(Data!H$15-Data!Q226)/'Vehicle Data'!C$6</f>
        <v>-0.75740075715120991</v>
      </c>
      <c r="AF226" s="158">
        <f t="shared" si="166"/>
        <v>0.28532252849701367</v>
      </c>
      <c r="AG226" s="148">
        <f t="shared" si="132"/>
        <v>0</v>
      </c>
      <c r="AH226" s="148">
        <f t="shared" si="150"/>
        <v>55.973243900726857</v>
      </c>
      <c r="AI226" s="101"/>
      <c r="AJ226" s="101">
        <f>(Z226^2)*'Vehicle Data'!C$31</f>
        <v>25.317075000000013</v>
      </c>
      <c r="AK226" s="101">
        <f>IF(O226=0.6,'Vehicle Data'!C$6*'Vehicle Data'!D$21*9.81,IF(O226=0.9,'Vehicle Data'!C$6*9.81*'Vehicle Data'!D$20))</f>
        <v>86.131799999999998</v>
      </c>
      <c r="AL226" s="101">
        <f t="shared" si="167"/>
        <v>655.46447238938117</v>
      </c>
      <c r="AM226" s="101"/>
      <c r="AN226" t="b">
        <f>IF(AG226&gt;0,AG226*'Vehicle Data'!C$6)</f>
        <v>0</v>
      </c>
      <c r="AO226" s="101">
        <f t="shared" si="168"/>
        <v>655.46447238938117</v>
      </c>
      <c r="AP226" s="101">
        <f>AO226*'Vehicle Data'!F$3</f>
        <v>167.53671914272581</v>
      </c>
      <c r="AQ226">
        <v>20</v>
      </c>
      <c r="AR226">
        <f>IF(Z226&lt;'Vehicle Data'!C$16, Z226*'Vehicle Data'!F$7*'Vehicle Data'!G$14,IF(Z226&lt;'Vehicle Data'!C$15,Z226*'Vehicle Data'!F$7*'Vehicle Data'!G$15,IF(Z226&gt;'Vehicle Data'!C$15,Z226*'Vehicle Data'!F$7*'Vehicle Data'!G$16)))</f>
        <v>107.59259259259261</v>
      </c>
      <c r="AS226">
        <f t="shared" si="151"/>
        <v>6455.5555555555566</v>
      </c>
      <c r="AT226">
        <f t="shared" si="170"/>
        <v>20</v>
      </c>
      <c r="AU226">
        <f t="shared" si="169"/>
        <v>6500</v>
      </c>
      <c r="AW226">
        <f>VLOOKUP(AT226,BSFC!A$64:A$82,1,FALSE)</f>
        <v>20</v>
      </c>
      <c r="AX226" t="e" cm="1">
        <f t="array" ref="AX226">_xlfn.XLOOKUP(AT226,BSFC!A$64:A$82,,-1,_xlfn.XLOOKUP(Data!AU226,BSFC!C$63:Q$63,BSFC!B$64:Q$82,,-1))</f>
        <v>#VALUE!</v>
      </c>
      <c r="AY226">
        <f>HLOOKUP(AU226,BSFC!F$63:Q$63,1)</f>
        <v>6500</v>
      </c>
      <c r="AZ226">
        <f>IF(AT226&gt;0,MATCH(AT226,BSFC!A$64:A$83,0),IF(AT226&lt;=0,0))</f>
        <v>3</v>
      </c>
      <c r="BA226">
        <f>MATCH(AU226,BSFC!C$63:Q$63,0)</f>
        <v>13</v>
      </c>
      <c r="BB226" cm="1">
        <f t="array" ref="BB226">IF(AZ226&gt;0,INDEX(BSFC!C$64:Q$83,Data!AZ226,Data!BA226))</f>
        <v>494.7</v>
      </c>
      <c r="BC226">
        <f>0.5*'Vehicle Data'!C$6*Data!Z226^2</f>
        <v>15121.355000000003</v>
      </c>
      <c r="BD226">
        <f t="shared" si="134"/>
        <v>13.465906457145509</v>
      </c>
      <c r="BE226">
        <f t="shared" si="154"/>
        <v>6661.5839243498831</v>
      </c>
      <c r="BF226">
        <f t="shared" si="155"/>
        <v>0.52797221363626878</v>
      </c>
      <c r="BG226">
        <f t="shared" si="135"/>
        <v>61.102347200811799</v>
      </c>
      <c r="BH226">
        <f t="shared" si="171"/>
        <v>13465.906457145509</v>
      </c>
      <c r="BI226" s="148">
        <f t="shared" si="136"/>
        <v>6871.6622130335309</v>
      </c>
      <c r="BO226">
        <f t="shared" si="137"/>
        <v>3847.8373211135126</v>
      </c>
      <c r="BP226">
        <f t="shared" si="138"/>
        <v>241279.96587143888</v>
      </c>
      <c r="BQ226">
        <f t="shared" si="139"/>
        <v>332793.58813716791</v>
      </c>
      <c r="BR226" s="148">
        <f t="shared" si="140"/>
        <v>386592.77933824155</v>
      </c>
      <c r="BS226" s="156">
        <f t="shared" si="141"/>
        <v>3847.8373211135126</v>
      </c>
      <c r="BT226" s="156">
        <f t="shared" si="142"/>
        <v>13465.906457145509</v>
      </c>
      <c r="BU226">
        <f t="shared" si="143"/>
        <v>1963.5542847073095</v>
      </c>
      <c r="BV226">
        <f t="shared" si="144"/>
        <v>1963.5542847073095</v>
      </c>
      <c r="BW226" s="148">
        <f t="shared" si="145"/>
        <v>455.4</v>
      </c>
      <c r="BX226" s="148">
        <f t="shared" si="146"/>
        <v>3129354.9718154697</v>
      </c>
      <c r="BY226" s="148">
        <f t="shared" si="147"/>
        <v>0.24838961701547463</v>
      </c>
      <c r="BZ226">
        <f t="shared" si="130"/>
        <v>55.973243900726857</v>
      </c>
      <c r="CB226">
        <f t="shared" si="148"/>
        <v>-1884.2830364062031</v>
      </c>
      <c r="CC226" s="162">
        <f t="shared" si="131"/>
        <v>-6604.0457664945106</v>
      </c>
      <c r="CD226">
        <f t="shared" si="156"/>
        <v>53067.250722047742</v>
      </c>
    </row>
    <row r="227" spans="4:82" x14ac:dyDescent="0.2">
      <c r="D227" s="22">
        <f t="shared" si="157"/>
        <v>8.4203435663086926E-2</v>
      </c>
      <c r="E227" s="23">
        <v>9.7175078418949248</v>
      </c>
      <c r="F227" s="23">
        <f>IF(K227&lt;6,1,IF(Data!K227&lt;9,2,IF(K227&gt;9,3)))</f>
        <v>3</v>
      </c>
      <c r="G227" s="23">
        <v>1036.5883379665186</v>
      </c>
      <c r="H227" s="23">
        <v>219.316665</v>
      </c>
      <c r="I227" s="64">
        <v>47.461517083544351</v>
      </c>
      <c r="J227" s="65">
        <f t="shared" si="158"/>
        <v>1.5093780383831219</v>
      </c>
      <c r="K227" s="65">
        <f t="shared" si="159"/>
        <v>18.98460683341774</v>
      </c>
      <c r="L227" s="65">
        <f t="shared" si="160"/>
        <v>0.60375121535329146</v>
      </c>
      <c r="M227">
        <f t="shared" si="161"/>
        <v>19.43501568378985</v>
      </c>
      <c r="N227">
        <f t="shared" si="162"/>
        <v>0.19999747358096087</v>
      </c>
      <c r="O227">
        <f>IF(L227&lt;'Vehicle Data'!F$21,'Vehicle Data'!C$21,IF(L227&gt;'Vehicle Data'!C$21,'Vehicle Data'!C$20))</f>
        <v>0.6</v>
      </c>
      <c r="P227">
        <f>('Vehicle Data'!C$6*9.81*'Vehicle Data'!C$5*SIN(D227))/'Vehicle Data'!C$9</f>
        <v>56.010511124743715</v>
      </c>
      <c r="Q227" s="107">
        <f>'Vehicle Data'!C$6*9.81*SIN(D227)</f>
        <v>362.20130527334265</v>
      </c>
      <c r="R227" s="101">
        <f t="shared" si="163"/>
        <v>1034.2134283380981</v>
      </c>
      <c r="S227" s="101">
        <f>IF(Data!O227=0.6,'Vehicle Data'!E$21,IF(Data!O227 = 0.9,'Vehicle Data'!E$20))+(P227*O227)</f>
        <v>1583.9787066748461</v>
      </c>
      <c r="T227" s="101">
        <f>IF(F227=3,'Vehicle Data'!H$16,IF(F227=2,'Vehicle Data'!H$15,IF(F227 = 1,'Vehicle Data'!G$14)))</f>
        <v>466.23005239380637</v>
      </c>
      <c r="U227" s="148">
        <f t="shared" si="164"/>
        <v>318.07494621478202</v>
      </c>
      <c r="V227" s="102" t="s">
        <v>77</v>
      </c>
      <c r="W227" s="103" t="s">
        <v>84</v>
      </c>
      <c r="X227" s="101">
        <f>IF(V227="S",'Vehicle Data'!C$14,IF(Data!V227 = "T1",'Vehicle Data'!P$2,IF(Data!V227="T2",'Vehicle Data'!P$3)))</f>
        <v>13.411199999999999</v>
      </c>
      <c r="Y227" s="101"/>
      <c r="Z227" s="105">
        <v>8.3000000000000007</v>
      </c>
      <c r="AA227" s="101"/>
      <c r="AB227" s="101" t="b">
        <f>IF(AA227=1,'Vehicle Data'!I$14,IF(AA227=2,'Vehicle Data'!I$15,IF(AA227=3,'Vehicle Data'!I$16)))</f>
        <v>0</v>
      </c>
      <c r="AC227" s="101">
        <f>IF(Z227&lt;'Vehicle Data'!C$16,'Vehicle Data'!I$15,IF(Z227&lt;'Vehicle Data'!C$15,'Vehicle Data'!I$15,IF(Z226&gt;'Vehicle Data'!C$15,'Vehicle Data'!I$16)))</f>
        <v>0.98256251041858167</v>
      </c>
      <c r="AD227">
        <f>IF(O227=0.6,'Vehicle Data'!F$21,IF(O227=0.9,'Vehicle Data'!F$20))</f>
        <v>3.5315999999999996</v>
      </c>
      <c r="AE227" s="101">
        <f>(Data!H$15-Data!Q227)/'Vehicle Data'!C$6</f>
        <v>-0.34324519424451633</v>
      </c>
      <c r="AF227" s="158">
        <f t="shared" si="166"/>
        <v>0.28574662488255348</v>
      </c>
      <c r="AG227" s="148">
        <f t="shared" si="132"/>
        <v>0</v>
      </c>
      <c r="AH227" s="148">
        <f t="shared" si="150"/>
        <v>56.258990525609413</v>
      </c>
      <c r="AI227" s="101"/>
      <c r="AJ227" s="101">
        <f>(Z227^2)*'Vehicle Data'!C$31</f>
        <v>25.317075000000013</v>
      </c>
      <c r="AK227" s="101">
        <f>IF(O227=0.6,'Vehicle Data'!C$6*'Vehicle Data'!D$21*9.81,IF(O227=0.9,'Vehicle Data'!C$6*9.81*'Vehicle Data'!D$20))</f>
        <v>86.131799999999998</v>
      </c>
      <c r="AL227" s="101">
        <f t="shared" si="167"/>
        <v>473.6501802733427</v>
      </c>
      <c r="AM227" s="101"/>
      <c r="AN227" t="b">
        <f>IF(AG227&gt;0,AG227*'Vehicle Data'!C$6)</f>
        <v>0</v>
      </c>
      <c r="AO227" s="101">
        <f t="shared" si="168"/>
        <v>473.6501802733427</v>
      </c>
      <c r="AP227" s="101">
        <f>AO227*'Vehicle Data'!F$3</f>
        <v>121.06498607786639</v>
      </c>
      <c r="AQ227">
        <v>20</v>
      </c>
      <c r="AR227">
        <f>IF(Z227&lt;'Vehicle Data'!C$16, Z227*'Vehicle Data'!F$7*'Vehicle Data'!G$14,IF(Z227&lt;'Vehicle Data'!C$15,Z227*'Vehicle Data'!F$7*'Vehicle Data'!G$15,IF(Z227&gt;'Vehicle Data'!C$15,Z227*'Vehicle Data'!F$7*'Vehicle Data'!G$16)))</f>
        <v>107.59259259259261</v>
      </c>
      <c r="AS227">
        <f t="shared" si="151"/>
        <v>6455.5555555555566</v>
      </c>
      <c r="AT227">
        <f t="shared" si="170"/>
        <v>20</v>
      </c>
      <c r="AU227">
        <f t="shared" si="169"/>
        <v>6500</v>
      </c>
      <c r="AW227">
        <f>VLOOKUP(AT227,BSFC!A$64:A$82,1,FALSE)</f>
        <v>20</v>
      </c>
      <c r="AX227" t="e" cm="1">
        <f t="array" ref="AX227">_xlfn.XLOOKUP(AT227,BSFC!A$64:A$82,,-1,_xlfn.XLOOKUP(Data!AU227,BSFC!C$63:Q$63,BSFC!B$64:Q$82,,-1))</f>
        <v>#VALUE!</v>
      </c>
      <c r="AY227">
        <f>HLOOKUP(AU227,BSFC!F$63:Q$63,1)</f>
        <v>6500</v>
      </c>
      <c r="AZ227">
        <f>IF(AT227&gt;0,MATCH(AT227,BSFC!A$64:A$83,0),IF(AT227&lt;=0,0))</f>
        <v>3</v>
      </c>
      <c r="BA227">
        <f>MATCH(AU227,BSFC!C$63:Q$63,0)</f>
        <v>13</v>
      </c>
      <c r="BB227" cm="1">
        <f t="array" ref="BB227">IF(AZ227&gt;0,INDEX(BSFC!C$64:Q$83,Data!AZ227,Data!BA227))</f>
        <v>494.7</v>
      </c>
      <c r="BC227">
        <f>0.5*'Vehicle Data'!C$6*Data!Z227^2</f>
        <v>15121.355000000003</v>
      </c>
      <c r="BD227">
        <f t="shared" si="134"/>
        <v>13.465906457145509</v>
      </c>
      <c r="BE227">
        <f t="shared" si="154"/>
        <v>6661.5839243498831</v>
      </c>
      <c r="BF227">
        <f t="shared" si="155"/>
        <v>0.52875697854301518</v>
      </c>
      <c r="BG227">
        <f t="shared" si="135"/>
        <v>61.631104179354814</v>
      </c>
      <c r="BH227">
        <f t="shared" si="171"/>
        <v>13465.906457145509</v>
      </c>
      <c r="BI227" s="148">
        <f t="shared" si="136"/>
        <v>6871.6622130335309</v>
      </c>
      <c r="BO227">
        <f t="shared" si="137"/>
        <v>3853.0495060824592</v>
      </c>
      <c r="BP227">
        <f t="shared" si="138"/>
        <v>245133.01537752134</v>
      </c>
      <c r="BQ227">
        <f t="shared" si="139"/>
        <v>336646.63764325035</v>
      </c>
      <c r="BR227" s="148">
        <f t="shared" si="140"/>
        <v>388558.99340486643</v>
      </c>
      <c r="BS227" s="156">
        <f t="shared" si="141"/>
        <v>3853.0495060824592</v>
      </c>
      <c r="BT227" s="156">
        <f t="shared" si="142"/>
        <v>13465.906457145509</v>
      </c>
      <c r="BU227">
        <f t="shared" si="143"/>
        <v>1966.2140666248833</v>
      </c>
      <c r="BV227">
        <f t="shared" si="144"/>
        <v>1966.2140666248833</v>
      </c>
      <c r="BW227" s="148">
        <f t="shared" si="145"/>
        <v>455.4</v>
      </c>
      <c r="BX227" s="148">
        <f t="shared" si="146"/>
        <v>3129354.9718154697</v>
      </c>
      <c r="BY227" s="148">
        <f t="shared" si="147"/>
        <v>0.24872607942804772</v>
      </c>
      <c r="BZ227">
        <f t="shared" si="130"/>
        <v>56.258990525609413</v>
      </c>
      <c r="CB227">
        <f t="shared" si="148"/>
        <v>-1886.8354394575758</v>
      </c>
      <c r="CC227" s="162">
        <f t="shared" si="131"/>
        <v>-6603.1766437594124</v>
      </c>
      <c r="CD227">
        <f t="shared" si="156"/>
        <v>51180.415282590169</v>
      </c>
    </row>
    <row r="228" spans="4:82" x14ac:dyDescent="0.2">
      <c r="D228" s="22">
        <f t="shared" si="157"/>
        <v>0.11964539312235034</v>
      </c>
      <c r="E228" s="23">
        <v>9.9175053154758857</v>
      </c>
      <c r="F228" s="23">
        <f>IF(K228&lt;6,1,IF(Data!K228&lt;9,2,IF(K228&gt;9,3)))</f>
        <v>3</v>
      </c>
      <c r="G228" s="23">
        <v>1038.9663170273589</v>
      </c>
      <c r="H228" s="23">
        <v>219.36666499999998</v>
      </c>
      <c r="I228" s="64">
        <v>47.536985985463481</v>
      </c>
      <c r="J228" s="65">
        <f t="shared" si="158"/>
        <v>1.5135701037153493</v>
      </c>
      <c r="K228" s="65">
        <f t="shared" si="159"/>
        <v>19.014794394185394</v>
      </c>
      <c r="L228" s="65">
        <f t="shared" si="160"/>
        <v>0.60542804148611129</v>
      </c>
      <c r="M228">
        <f t="shared" si="161"/>
        <v>19.835010630951771</v>
      </c>
      <c r="N228">
        <f t="shared" si="162"/>
        <v>0.28420028452411472</v>
      </c>
      <c r="O228">
        <f>IF(L228&lt;'Vehicle Data'!F$21,'Vehicle Data'!C$21,IF(L228&gt;'Vehicle Data'!C$21,'Vehicle Data'!C$20))</f>
        <v>0.6</v>
      </c>
      <c r="P228">
        <f>('Vehicle Data'!C$6*9.81*'Vehicle Data'!C$5*SIN(D228))/'Vehicle Data'!C$9</f>
        <v>79.489979109089504</v>
      </c>
      <c r="Q228" s="107">
        <f>'Vehicle Data'!C$6*9.81*SIN(D228)</f>
        <v>514.03519823877878</v>
      </c>
      <c r="R228" s="101">
        <f t="shared" si="163"/>
        <v>1036.5883379665186</v>
      </c>
      <c r="S228" s="101">
        <f>IF(Data!O228=0.6,'Vehicle Data'!E$21,IF(Data!O228 = 0.9,'Vehicle Data'!E$20))+(P228*O228)</f>
        <v>1598.0663874654535</v>
      </c>
      <c r="T228" s="101">
        <f>IF(F228=3,'Vehicle Data'!H$16,IF(F228=2,'Vehicle Data'!H$15,IF(F228 = 1,'Vehicle Data'!G$14)))</f>
        <v>466.23005239380637</v>
      </c>
      <c r="U228" s="148">
        <f t="shared" si="164"/>
        <v>320.4498558432025</v>
      </c>
      <c r="V228" s="102" t="s">
        <v>77</v>
      </c>
      <c r="W228" s="103" t="s">
        <v>84</v>
      </c>
      <c r="X228" s="101">
        <f>IF(V228="S",'Vehicle Data'!C$14,IF(Data!V228 = "T1",'Vehicle Data'!P$2,IF(Data!V228="T2",'Vehicle Data'!P$3)))</f>
        <v>13.411199999999999</v>
      </c>
      <c r="Y228" s="101"/>
      <c r="Z228" s="105">
        <v>8.3000000000000007</v>
      </c>
      <c r="AA228" s="101"/>
      <c r="AB228" s="101" t="b">
        <f>IF(AA228=1,'Vehicle Data'!I$14,IF(AA228=2,'Vehicle Data'!I$15,IF(AA228=3,'Vehicle Data'!I$16)))</f>
        <v>0</v>
      </c>
      <c r="AC228" s="101">
        <f>IF(Z228&lt;'Vehicle Data'!C$16,'Vehicle Data'!I$15,IF(Z228&lt;'Vehicle Data'!C$15,'Vehicle Data'!I$15,IF(Z227&gt;'Vehicle Data'!C$15,'Vehicle Data'!I$16)))</f>
        <v>0.98256251041858167</v>
      </c>
      <c r="AD228">
        <f>IF(O228=0.6,'Vehicle Data'!F$21,IF(O228=0.9,'Vehicle Data'!F$20))</f>
        <v>3.5315999999999996</v>
      </c>
      <c r="AE228" s="101">
        <f>(Data!H$15-Data!Q228)/'Vehicle Data'!C$6</f>
        <v>-0.68910827617033887</v>
      </c>
      <c r="AF228" s="158">
        <f t="shared" si="166"/>
        <v>0.28613369017114243</v>
      </c>
      <c r="AG228" s="148">
        <f t="shared" si="132"/>
        <v>0</v>
      </c>
      <c r="AH228" s="148">
        <f t="shared" si="150"/>
        <v>56.545124215780554</v>
      </c>
      <c r="AI228" s="101"/>
      <c r="AJ228" s="101">
        <f>(Z228^2)*'Vehicle Data'!C$31</f>
        <v>25.317075000000013</v>
      </c>
      <c r="AK228" s="101">
        <f>IF(O228=0.6,'Vehicle Data'!C$6*'Vehicle Data'!D$21*9.81,IF(O228=0.9,'Vehicle Data'!C$6*9.81*'Vehicle Data'!D$20))</f>
        <v>86.131799999999998</v>
      </c>
      <c r="AL228" s="101">
        <f t="shared" si="167"/>
        <v>625.48407323877882</v>
      </c>
      <c r="AM228" s="101"/>
      <c r="AN228" t="b">
        <f>IF(AG228&gt;0,AG228*'Vehicle Data'!C$6)</f>
        <v>0</v>
      </c>
      <c r="AO228" s="101">
        <f t="shared" si="168"/>
        <v>625.48407323877882</v>
      </c>
      <c r="AP228" s="101">
        <f>AO228*'Vehicle Data'!F$3</f>
        <v>159.87372911983186</v>
      </c>
      <c r="AQ228">
        <v>20</v>
      </c>
      <c r="AR228">
        <f>IF(Z228&lt;'Vehicle Data'!C$16, Z228*'Vehicle Data'!F$7*'Vehicle Data'!G$14,IF(Z228&lt;'Vehicle Data'!C$15,Z228*'Vehicle Data'!F$7*'Vehicle Data'!G$15,IF(Z228&gt;'Vehicle Data'!C$15,Z228*'Vehicle Data'!F$7*'Vehicle Data'!G$16)))</f>
        <v>107.59259259259261</v>
      </c>
      <c r="AS228">
        <f t="shared" si="151"/>
        <v>6455.5555555555566</v>
      </c>
      <c r="AT228">
        <f t="shared" si="170"/>
        <v>20</v>
      </c>
      <c r="AU228">
        <f t="shared" si="169"/>
        <v>6500</v>
      </c>
      <c r="AW228">
        <f>VLOOKUP(AT228,BSFC!A$64:A$82,1,FALSE)</f>
        <v>20</v>
      </c>
      <c r="AX228" t="e" cm="1">
        <f t="array" ref="AX228">_xlfn.XLOOKUP(AT228,BSFC!A$64:A$82,,-1,_xlfn.XLOOKUP(Data!AU228,BSFC!C$63:Q$63,BSFC!B$64:Q$82,,-1))</f>
        <v>#VALUE!</v>
      </c>
      <c r="AY228">
        <f>HLOOKUP(AU228,BSFC!F$63:Q$63,1)</f>
        <v>6500</v>
      </c>
      <c r="AZ228">
        <f>IF(AT228&gt;0,MATCH(AT228,BSFC!A$64:A$83,0),IF(AT228&lt;=0,0))</f>
        <v>3</v>
      </c>
      <c r="BA228">
        <f>MATCH(AU228,BSFC!C$63:Q$63,0)</f>
        <v>13</v>
      </c>
      <c r="BB228" cm="1">
        <f t="array" ref="BB228">IF(AZ228&gt;0,INDEX(BSFC!C$64:Q$83,Data!AZ228,Data!BA228))</f>
        <v>494.7</v>
      </c>
      <c r="BC228">
        <f>0.5*'Vehicle Data'!C$6*Data!Z228^2</f>
        <v>15121.355000000003</v>
      </c>
      <c r="BD228">
        <f t="shared" si="134"/>
        <v>13.465906457145509</v>
      </c>
      <c r="BE228">
        <f t="shared" si="154"/>
        <v>6661.5839243498831</v>
      </c>
      <c r="BF228">
        <f t="shared" si="155"/>
        <v>0.52947321962749794</v>
      </c>
      <c r="BG228">
        <f t="shared" si="135"/>
        <v>62.160577398982312</v>
      </c>
      <c r="BH228">
        <f t="shared" si="171"/>
        <v>13465.906457145509</v>
      </c>
      <c r="BI228" s="148">
        <f t="shared" si="136"/>
        <v>6871.6622130335309</v>
      </c>
      <c r="BO228">
        <f t="shared" si="137"/>
        <v>3858.0293482320553</v>
      </c>
      <c r="BP228">
        <f t="shared" si="138"/>
        <v>248991.0447257534</v>
      </c>
      <c r="BQ228">
        <f t="shared" si="139"/>
        <v>340504.66699148237</v>
      </c>
      <c r="BR228" s="148">
        <f t="shared" si="140"/>
        <v>390527.7486886931</v>
      </c>
      <c r="BS228" s="156">
        <f t="shared" si="141"/>
        <v>3858.0293482320553</v>
      </c>
      <c r="BT228" s="156">
        <f t="shared" si="142"/>
        <v>13465.906457145509</v>
      </c>
      <c r="BU228">
        <f t="shared" si="143"/>
        <v>1968.7552838266477</v>
      </c>
      <c r="BV228">
        <f t="shared" si="144"/>
        <v>1968.7552838266477</v>
      </c>
      <c r="BW228" s="148">
        <f t="shared" si="145"/>
        <v>455.4</v>
      </c>
      <c r="BX228" s="148">
        <f t="shared" si="146"/>
        <v>3129354.9718154697</v>
      </c>
      <c r="BY228" s="148">
        <f t="shared" si="147"/>
        <v>0.24904754340407093</v>
      </c>
      <c r="BZ228">
        <f t="shared" si="130"/>
        <v>56.545124215780554</v>
      </c>
      <c r="CB228">
        <f t="shared" si="148"/>
        <v>-1889.2740644054077</v>
      </c>
      <c r="CC228" s="162">
        <f t="shared" si="131"/>
        <v>-6602.766920859277</v>
      </c>
      <c r="CD228">
        <f t="shared" si="156"/>
        <v>49291.141218184763</v>
      </c>
    </row>
    <row r="229" spans="4:82" x14ac:dyDescent="0.2">
      <c r="D229" s="22">
        <f t="shared" si="157"/>
        <v>8.39845225348754E-2</v>
      </c>
      <c r="E229" s="23">
        <v>10.2017056</v>
      </c>
      <c r="F229" s="23">
        <f>IF(K229&lt;6,1,IF(Data!K229&lt;9,2,IF(K229&gt;9,3)))</f>
        <v>3</v>
      </c>
      <c r="G229" s="23">
        <v>1041.3473487300948</v>
      </c>
      <c r="H229" s="23">
        <v>219.41666499999999</v>
      </c>
      <c r="I229" s="64">
        <v>47.612664490649266</v>
      </c>
      <c r="J229" s="65">
        <f t="shared" si="158"/>
        <v>1.6143492494900435</v>
      </c>
      <c r="K229" s="65">
        <f t="shared" si="159"/>
        <v>19.045065796259706</v>
      </c>
      <c r="L229" s="65">
        <f t="shared" si="160"/>
        <v>0.645739699795989</v>
      </c>
      <c r="M229">
        <f t="shared" si="161"/>
        <v>20.403411200000001</v>
      </c>
      <c r="N229">
        <f t="shared" si="162"/>
        <v>0.19999759999999966</v>
      </c>
      <c r="O229">
        <f>IF(L229&lt;'Vehicle Data'!F$21,'Vehicle Data'!C$21,IF(L229&gt;'Vehicle Data'!C$21,'Vehicle Data'!C$20))</f>
        <v>0.6</v>
      </c>
      <c r="P229">
        <f>('Vehicle Data'!C$6*9.81*'Vehicle Data'!C$5*SIN(D229))/'Vehicle Data'!C$9</f>
        <v>55.865237282212533</v>
      </c>
      <c r="Q229" s="107">
        <f>'Vehicle Data'!C$6*9.81*SIN(D229)</f>
        <v>361.26186775830769</v>
      </c>
      <c r="R229" s="101">
        <f t="shared" si="163"/>
        <v>1038.9663170273589</v>
      </c>
      <c r="S229" s="101">
        <f>IF(Data!O229=0.6,'Vehicle Data'!E$21,IF(Data!O229 = 0.9,'Vehicle Data'!E$20))+(P229*O229)</f>
        <v>1583.8915423693272</v>
      </c>
      <c r="T229" s="101">
        <f>IF(F229=3,'Vehicle Data'!H$16,IF(F229=2,'Vehicle Data'!H$15,IF(F229 = 1,'Vehicle Data'!G$14)))</f>
        <v>466.23005239380637</v>
      </c>
      <c r="U229" s="148">
        <f t="shared" si="164"/>
        <v>322.82783490404279</v>
      </c>
      <c r="V229" s="102" t="s">
        <v>77</v>
      </c>
      <c r="W229" s="103" t="s">
        <v>84</v>
      </c>
      <c r="X229" s="101">
        <f>IF(V229="S",'Vehicle Data'!C$14,IF(Data!V229 = "T1",'Vehicle Data'!P$2,IF(Data!V229="T2",'Vehicle Data'!P$3)))</f>
        <v>13.411199999999999</v>
      </c>
      <c r="Y229" s="101"/>
      <c r="Z229" s="105">
        <v>8.3000000000000007</v>
      </c>
      <c r="AA229" s="101"/>
      <c r="AB229" s="101" t="b">
        <f>IF(AA229=1,'Vehicle Data'!I$14,IF(AA229=2,'Vehicle Data'!I$15,IF(AA229=3,'Vehicle Data'!I$16)))</f>
        <v>0</v>
      </c>
      <c r="AC229" s="101">
        <f>IF(Z229&lt;'Vehicle Data'!C$16,'Vehicle Data'!I$15,IF(Z229&lt;'Vehicle Data'!C$15,'Vehicle Data'!I$15,IF(Z228&gt;'Vehicle Data'!C$15,'Vehicle Data'!I$16)))</f>
        <v>0.98256251041858167</v>
      </c>
      <c r="AD229">
        <f>IF(O229=0.6,'Vehicle Data'!F$21,IF(O229=0.9,'Vehicle Data'!F$20))</f>
        <v>3.5315999999999996</v>
      </c>
      <c r="AE229" s="101">
        <f>(Data!H$15-Data!Q229)/'Vehicle Data'!C$6</f>
        <v>-0.34110524546311549</v>
      </c>
      <c r="AF229" s="158">
        <f t="shared" si="166"/>
        <v>0.28650350130605889</v>
      </c>
      <c r="AG229" s="148">
        <f t="shared" si="132"/>
        <v>0</v>
      </c>
      <c r="AH229" s="148">
        <f t="shared" si="150"/>
        <v>56.831627717086612</v>
      </c>
      <c r="AI229" s="101"/>
      <c r="AJ229" s="101">
        <f>(Z229^2)*'Vehicle Data'!C$31</f>
        <v>25.317075000000013</v>
      </c>
      <c r="AK229" s="101">
        <f>IF(O229=0.6,'Vehicle Data'!C$6*'Vehicle Data'!D$21*9.81,IF(O229=0.9,'Vehicle Data'!C$6*9.81*'Vehicle Data'!D$20))</f>
        <v>86.131799999999998</v>
      </c>
      <c r="AL229" s="101">
        <f t="shared" si="167"/>
        <v>472.71074275830767</v>
      </c>
      <c r="AM229" s="101"/>
      <c r="AN229" t="b">
        <f>IF(AG229&gt;0,AG229*'Vehicle Data'!C$6)</f>
        <v>0</v>
      </c>
      <c r="AO229" s="101">
        <f t="shared" si="168"/>
        <v>472.71074275830767</v>
      </c>
      <c r="AP229" s="101">
        <f>AO229*'Vehicle Data'!F$3</f>
        <v>120.82486584902344</v>
      </c>
      <c r="AQ229">
        <v>20</v>
      </c>
      <c r="AR229">
        <f>IF(Z229&lt;'Vehicle Data'!C$16, Z229*'Vehicle Data'!F$7*'Vehicle Data'!G$14,IF(Z229&lt;'Vehicle Data'!C$15,Z229*'Vehicle Data'!F$7*'Vehicle Data'!G$15,IF(Z229&gt;'Vehicle Data'!C$15,Z229*'Vehicle Data'!F$7*'Vehicle Data'!G$16)))</f>
        <v>107.59259259259261</v>
      </c>
      <c r="AS229">
        <f t="shared" si="151"/>
        <v>6455.5555555555566</v>
      </c>
      <c r="AT229">
        <f t="shared" si="170"/>
        <v>20</v>
      </c>
      <c r="AU229">
        <f t="shared" si="169"/>
        <v>6500</v>
      </c>
      <c r="AW229">
        <f>VLOOKUP(AT229,BSFC!A$64:A$82,1,FALSE)</f>
        <v>20</v>
      </c>
      <c r="AX229" t="e" cm="1">
        <f t="array" ref="AX229">_xlfn.XLOOKUP(AT229,BSFC!A$64:A$82,,-1,_xlfn.XLOOKUP(Data!AU229,BSFC!C$63:Q$63,BSFC!B$64:Q$82,,-1))</f>
        <v>#VALUE!</v>
      </c>
      <c r="AY229">
        <f>HLOOKUP(AU229,BSFC!F$63:Q$63,1)</f>
        <v>6500</v>
      </c>
      <c r="AZ229">
        <f>IF(AT229&gt;0,MATCH(AT229,BSFC!A$64:A$83,0),IF(AT229&lt;=0,0))</f>
        <v>3</v>
      </c>
      <c r="BA229">
        <f>MATCH(AU229,BSFC!C$63:Q$63,0)</f>
        <v>13</v>
      </c>
      <c r="BB229" cm="1">
        <f t="array" ref="BB229">IF(AZ229&gt;0,INDEX(BSFC!C$64:Q$83,Data!AZ229,Data!BA229))</f>
        <v>494.7</v>
      </c>
      <c r="BC229">
        <f>0.5*'Vehicle Data'!C$6*Data!Z229^2</f>
        <v>15121.355000000003</v>
      </c>
      <c r="BD229">
        <f t="shared" si="134"/>
        <v>13.465906457145509</v>
      </c>
      <c r="BE229">
        <f t="shared" si="154"/>
        <v>6661.5839243498831</v>
      </c>
      <c r="BF229">
        <f t="shared" si="155"/>
        <v>0.53015753293622159</v>
      </c>
      <c r="BG229">
        <f t="shared" si="135"/>
        <v>62.690734931918534</v>
      </c>
      <c r="BH229">
        <f t="shared" si="171"/>
        <v>13465.906457145509</v>
      </c>
      <c r="BI229" s="148">
        <f t="shared" si="136"/>
        <v>6871.6622130335309</v>
      </c>
      <c r="BO229">
        <f t="shared" si="137"/>
        <v>3862.9819494627254</v>
      </c>
      <c r="BP229">
        <f t="shared" si="138"/>
        <v>252854.02667521613</v>
      </c>
      <c r="BQ229">
        <f t="shared" si="139"/>
        <v>344367.6489409451</v>
      </c>
      <c r="BR229" s="148">
        <f t="shared" si="140"/>
        <v>392499.03128866007</v>
      </c>
      <c r="BS229" s="156">
        <f t="shared" si="141"/>
        <v>3862.9819494627254</v>
      </c>
      <c r="BT229" s="156">
        <f t="shared" si="142"/>
        <v>13465.906457145509</v>
      </c>
      <c r="BU229">
        <f t="shared" si="143"/>
        <v>1971.2825999669556</v>
      </c>
      <c r="BV229">
        <f t="shared" si="144"/>
        <v>1971.2825999669556</v>
      </c>
      <c r="BW229" s="148">
        <f t="shared" si="145"/>
        <v>455.4</v>
      </c>
      <c r="BX229" s="148">
        <f t="shared" si="146"/>
        <v>3129354.9718154697</v>
      </c>
      <c r="BY229" s="148">
        <f t="shared" si="147"/>
        <v>0.24936724889581985</v>
      </c>
      <c r="BZ229">
        <f t="shared" si="130"/>
        <v>56.831627717086612</v>
      </c>
      <c r="CB229">
        <f t="shared" si="148"/>
        <v>-1891.6993494957699</v>
      </c>
      <c r="CC229" s="162">
        <f t="shared" si="131"/>
        <v>-6602.7093591256316</v>
      </c>
      <c r="CD229">
        <f t="shared" si="156"/>
        <v>47399.441868688991</v>
      </c>
    </row>
    <row r="230" spans="4:82" x14ac:dyDescent="0.2">
      <c r="D230" s="22">
        <f t="shared" si="157"/>
        <v>9.0517733112231255E-2</v>
      </c>
      <c r="E230" s="23">
        <v>10.4017032</v>
      </c>
      <c r="F230" s="23">
        <f>IF(K230&lt;6,1,IF(Data!K230&lt;9,2,IF(K230&gt;9,3)))</f>
        <v>3</v>
      </c>
      <c r="G230" s="23">
        <v>1043.7315130747254</v>
      </c>
      <c r="H230" s="23">
        <v>219.46666499999998</v>
      </c>
      <c r="I230" s="64">
        <v>47.69338195312374</v>
      </c>
      <c r="J230" s="65">
        <f t="shared" si="158"/>
        <v>1.6545321290320705</v>
      </c>
      <c r="K230" s="65">
        <f t="shared" si="159"/>
        <v>19.077352781249495</v>
      </c>
      <c r="L230" s="65">
        <f t="shared" si="160"/>
        <v>0.66181285161284242</v>
      </c>
      <c r="M230">
        <f t="shared" si="161"/>
        <v>20.8034064</v>
      </c>
      <c r="N230">
        <f t="shared" si="162"/>
        <v>0.21580611547588724</v>
      </c>
      <c r="O230">
        <f>IF(L230&lt;'Vehicle Data'!F$21,'Vehicle Data'!C$21,IF(L230&gt;'Vehicle Data'!C$21,'Vehicle Data'!C$20))</f>
        <v>0.6</v>
      </c>
      <c r="P230">
        <f>('Vehicle Data'!C$6*9.81*'Vehicle Data'!C$5*SIN(D230))/'Vehicle Data'!C$9</f>
        <v>60.199584960645986</v>
      </c>
      <c r="Q230" s="107">
        <f>'Vehicle Data'!C$6*9.81*SIN(D230)</f>
        <v>389.29064941217734</v>
      </c>
      <c r="R230" s="101">
        <f t="shared" si="163"/>
        <v>1041.3473487300948</v>
      </c>
      <c r="S230" s="101">
        <f>IF(Data!O230=0.6,'Vehicle Data'!E$21,IF(Data!O230 = 0.9,'Vehicle Data'!E$20))+(P230*O230)</f>
        <v>1586.4921509763874</v>
      </c>
      <c r="T230" s="101">
        <f>IF(F230=3,'Vehicle Data'!H$16,IF(F230=2,'Vehicle Data'!H$15,IF(F230 = 1,'Vehicle Data'!G$14)))</f>
        <v>466.23005239380637</v>
      </c>
      <c r="U230" s="148">
        <f t="shared" si="164"/>
        <v>325.20886660677877</v>
      </c>
      <c r="V230" s="102" t="s">
        <v>77</v>
      </c>
      <c r="W230" s="103" t="s">
        <v>84</v>
      </c>
      <c r="X230" s="101">
        <f>IF(V230="S",'Vehicle Data'!C$14,IF(Data!V230 = "T1",'Vehicle Data'!P$2,IF(Data!V230="T2",'Vehicle Data'!P$3)))</f>
        <v>13.411199999999999</v>
      </c>
      <c r="Y230" s="101"/>
      <c r="Z230" s="105">
        <v>8.3000000000000007</v>
      </c>
      <c r="AA230" s="101"/>
      <c r="AB230" s="101" t="b">
        <f>IF(AA230=1,'Vehicle Data'!I$14,IF(AA230=2,'Vehicle Data'!I$15,IF(AA230=3,'Vehicle Data'!I$16)))</f>
        <v>0</v>
      </c>
      <c r="AC230" s="101">
        <f>IF(Z230&lt;'Vehicle Data'!C$16,'Vehicle Data'!I$15,IF(Z230&lt;'Vehicle Data'!C$15,'Vehicle Data'!I$15,IF(Z229&gt;'Vehicle Data'!C$15,'Vehicle Data'!I$16)))</f>
        <v>0.98256251041858167</v>
      </c>
      <c r="AD230">
        <f>IF(O230=0.6,'Vehicle Data'!F$21,IF(O230=0.9,'Vehicle Data'!F$20))</f>
        <v>3.5315999999999996</v>
      </c>
      <c r="AE230" s="101">
        <f>(Data!H$15-Data!Q230)/'Vehicle Data'!C$6</f>
        <v>-0.40495212850154294</v>
      </c>
      <c r="AF230" s="158">
        <f t="shared" si="166"/>
        <v>0.28687128948626284</v>
      </c>
      <c r="AG230" s="148">
        <f t="shared" si="132"/>
        <v>0</v>
      </c>
      <c r="AH230" s="148">
        <f t="shared" si="150"/>
        <v>57.118499006572875</v>
      </c>
      <c r="AI230" s="101"/>
      <c r="AJ230" s="101">
        <f>(Z230^2)*'Vehicle Data'!C$31</f>
        <v>25.317075000000013</v>
      </c>
      <c r="AK230" s="101">
        <f>IF(O230=0.6,'Vehicle Data'!C$6*'Vehicle Data'!D$21*9.81,IF(O230=0.9,'Vehicle Data'!C$6*9.81*'Vehicle Data'!D$20))</f>
        <v>86.131799999999998</v>
      </c>
      <c r="AL230" s="101">
        <f t="shared" si="167"/>
        <v>500.73952441217739</v>
      </c>
      <c r="AM230" s="101"/>
      <c r="AN230" t="b">
        <f>IF(AG230&gt;0,AG230*'Vehicle Data'!C$6)</f>
        <v>0</v>
      </c>
      <c r="AO230" s="101">
        <f t="shared" si="168"/>
        <v>500.73952441217739</v>
      </c>
      <c r="AP230" s="101">
        <f>AO230*'Vehicle Data'!F$3</f>
        <v>127.98902243975253</v>
      </c>
      <c r="AQ230">
        <v>20</v>
      </c>
      <c r="AR230">
        <f>IF(Z230&lt;'Vehicle Data'!C$16, Z230*'Vehicle Data'!F$7*'Vehicle Data'!G$14,IF(Z230&lt;'Vehicle Data'!C$15,Z230*'Vehicle Data'!F$7*'Vehicle Data'!G$15,IF(Z230&gt;'Vehicle Data'!C$15,Z230*'Vehicle Data'!F$7*'Vehicle Data'!G$16)))</f>
        <v>107.59259259259261</v>
      </c>
      <c r="AS230">
        <f t="shared" si="151"/>
        <v>6455.5555555555566</v>
      </c>
      <c r="AT230">
        <f t="shared" si="170"/>
        <v>20</v>
      </c>
      <c r="AU230">
        <f t="shared" si="169"/>
        <v>6500</v>
      </c>
      <c r="AW230">
        <f>VLOOKUP(AT230,BSFC!A$64:A$82,1,FALSE)</f>
        <v>20</v>
      </c>
      <c r="AX230" t="e" cm="1">
        <f t="array" ref="AX230">_xlfn.XLOOKUP(AT230,BSFC!A$64:A$82,,-1,_xlfn.XLOOKUP(Data!AU230,BSFC!C$63:Q$63,BSFC!B$64:Q$82,,-1))</f>
        <v>#VALUE!</v>
      </c>
      <c r="AY230">
        <f>HLOOKUP(AU230,BSFC!F$63:Q$63,1)</f>
        <v>6500</v>
      </c>
      <c r="AZ230">
        <f>IF(AT230&gt;0,MATCH(AT230,BSFC!A$64:A$83,0),IF(AT230&lt;=0,0))</f>
        <v>3</v>
      </c>
      <c r="BA230">
        <f>MATCH(AU230,BSFC!C$63:Q$63,0)</f>
        <v>13</v>
      </c>
      <c r="BB230" cm="1">
        <f t="array" ref="BB230">IF(AZ230&gt;0,INDEX(BSFC!C$64:Q$83,Data!AZ230,Data!BA230))</f>
        <v>494.7</v>
      </c>
      <c r="BC230">
        <f>0.5*'Vehicle Data'!C$6*Data!Z230^2</f>
        <v>15121.355000000003</v>
      </c>
      <c r="BD230">
        <f t="shared" si="134"/>
        <v>13.465906457145509</v>
      </c>
      <c r="BE230">
        <f t="shared" si="154"/>
        <v>6661.5839243498831</v>
      </c>
      <c r="BF230">
        <f t="shared" si="155"/>
        <v>0.53083810288866951</v>
      </c>
      <c r="BG230">
        <f t="shared" si="135"/>
        <v>63.221573034807207</v>
      </c>
      <c r="BH230">
        <f t="shared" si="171"/>
        <v>13465.906457145509</v>
      </c>
      <c r="BI230" s="148">
        <f t="shared" si="136"/>
        <v>6871.6622130335309</v>
      </c>
      <c r="BO230">
        <f t="shared" si="137"/>
        <v>3868.0643425610574</v>
      </c>
      <c r="BP230">
        <f t="shared" si="138"/>
        <v>256722.09101777719</v>
      </c>
      <c r="BQ230">
        <f t="shared" si="139"/>
        <v>348235.71328350616</v>
      </c>
      <c r="BR230" s="148">
        <f t="shared" si="140"/>
        <v>394472.9074376552</v>
      </c>
      <c r="BS230" s="156">
        <f t="shared" si="141"/>
        <v>3868.0643425610574</v>
      </c>
      <c r="BT230" s="156">
        <f t="shared" si="142"/>
        <v>13465.906457145509</v>
      </c>
      <c r="BU230">
        <f t="shared" si="143"/>
        <v>1973.8761489951428</v>
      </c>
      <c r="BV230">
        <f t="shared" si="144"/>
        <v>1973.8761489951428</v>
      </c>
      <c r="BW230" s="148">
        <f t="shared" si="145"/>
        <v>455.4</v>
      </c>
      <c r="BX230" s="148">
        <f t="shared" si="146"/>
        <v>3129354.9718154697</v>
      </c>
      <c r="BY230" s="148">
        <f t="shared" si="147"/>
        <v>0.24969533284788553</v>
      </c>
      <c r="BZ230">
        <f t="shared" si="130"/>
        <v>57.118499006572875</v>
      </c>
      <c r="CB230">
        <f t="shared" si="148"/>
        <v>-1894.1881935659146</v>
      </c>
      <c r="CC230" s="162">
        <f t="shared" si="131"/>
        <v>-6602.9200655041941</v>
      </c>
      <c r="CD230">
        <f t="shared" si="156"/>
        <v>45505.25367512308</v>
      </c>
    </row>
    <row r="231" spans="4:82" x14ac:dyDescent="0.2">
      <c r="D231" s="22">
        <f t="shared" si="157"/>
        <v>7.7118916197572301E-2</v>
      </c>
      <c r="E231" s="23">
        <v>10.617509315475887</v>
      </c>
      <c r="F231" s="23">
        <f>IF(K231&lt;6,1,IF(Data!K231&lt;9,2,IF(K231&gt;9,3)))</f>
        <v>3</v>
      </c>
      <c r="G231" s="23">
        <v>1046.1189027031448</v>
      </c>
      <c r="H231" s="23">
        <v>219.51666499999999</v>
      </c>
      <c r="I231" s="64">
        <v>47.776108559575363</v>
      </c>
      <c r="J231" s="65">
        <f t="shared" si="158"/>
        <v>1.6119607088608376</v>
      </c>
      <c r="K231" s="65">
        <f t="shared" si="159"/>
        <v>19.110443423830144</v>
      </c>
      <c r="L231" s="65">
        <f t="shared" si="160"/>
        <v>0.64478428354433504</v>
      </c>
      <c r="M231">
        <f t="shared" si="161"/>
        <v>21.235018630951775</v>
      </c>
      <c r="N231">
        <f t="shared" si="162"/>
        <v>0.18419548452411227</v>
      </c>
      <c r="O231">
        <f>IF(L231&lt;'Vehicle Data'!F$21,'Vehicle Data'!C$21,IF(L231&gt;'Vehicle Data'!C$21,'Vehicle Data'!C$20))</f>
        <v>0.6</v>
      </c>
      <c r="P231">
        <f>('Vehicle Data'!C$6*9.81*'Vehicle Data'!C$5*SIN(D231))/'Vehicle Data'!C$9</f>
        <v>51.307801120126392</v>
      </c>
      <c r="Q231" s="107">
        <f>'Vehicle Data'!C$6*9.81*SIN(D231)</f>
        <v>331.79044724348398</v>
      </c>
      <c r="R231" s="101">
        <f t="shared" si="163"/>
        <v>1043.7315130747254</v>
      </c>
      <c r="S231" s="101">
        <f>IF(Data!O231=0.6,'Vehicle Data'!E$21,IF(Data!O231 = 0.9,'Vehicle Data'!E$20))+(P231*O231)</f>
        <v>1581.1570806720756</v>
      </c>
      <c r="T231" s="101">
        <f>IF(F231=3,'Vehicle Data'!H$16,IF(F231=2,'Vehicle Data'!H$15,IF(F231 = 1,'Vehicle Data'!G$14)))</f>
        <v>466.23005239380637</v>
      </c>
      <c r="U231" s="148">
        <f t="shared" si="164"/>
        <v>327.59303095140933</v>
      </c>
      <c r="V231" s="102" t="s">
        <v>77</v>
      </c>
      <c r="W231" s="103" t="s">
        <v>84</v>
      </c>
      <c r="X231" s="101">
        <f>IF(V231="S",'Vehicle Data'!C$14,IF(Data!V231 = "T1",'Vehicle Data'!P$2,IF(Data!V231="T2",'Vehicle Data'!P$3)))</f>
        <v>13.411199999999999</v>
      </c>
      <c r="Y231" s="101"/>
      <c r="Z231" s="105">
        <v>8.3000000000000007</v>
      </c>
      <c r="AA231" s="101"/>
      <c r="AB231" s="101" t="b">
        <f>IF(AA231=1,'Vehicle Data'!I$14,IF(AA231=2,'Vehicle Data'!I$15,IF(AA231=3,'Vehicle Data'!I$16)))</f>
        <v>0</v>
      </c>
      <c r="AC231" s="101">
        <f>IF(Z231&lt;'Vehicle Data'!C$16,'Vehicle Data'!I$15,IF(Z231&lt;'Vehicle Data'!C$15,'Vehicle Data'!I$15,IF(Z230&gt;'Vehicle Data'!C$15,'Vehicle Data'!I$16)))</f>
        <v>0.98256251041858167</v>
      </c>
      <c r="AD231">
        <f>IF(O231=0.6,'Vehicle Data'!F$21,IF(O231=0.9,'Vehicle Data'!F$20))</f>
        <v>3.5315999999999996</v>
      </c>
      <c r="AE231" s="101">
        <f>(Data!H$15-Data!Q231)/'Vehicle Data'!C$6</f>
        <v>-0.27397216911955352</v>
      </c>
      <c r="AF231" s="158">
        <f t="shared" si="166"/>
        <v>0.28724871622054965</v>
      </c>
      <c r="AG231" s="148">
        <f t="shared" si="132"/>
        <v>0</v>
      </c>
      <c r="AH231" s="148">
        <f t="shared" si="150"/>
        <v>57.405747722793429</v>
      </c>
      <c r="AI231" s="101"/>
      <c r="AJ231" s="101">
        <f>(Z231^2)*'Vehicle Data'!C$31</f>
        <v>25.317075000000013</v>
      </c>
      <c r="AK231" s="101">
        <f>IF(O231=0.6,'Vehicle Data'!C$6*'Vehicle Data'!D$21*9.81,IF(O231=0.9,'Vehicle Data'!C$6*9.81*'Vehicle Data'!D$20))</f>
        <v>86.131799999999998</v>
      </c>
      <c r="AL231" s="101">
        <f t="shared" si="167"/>
        <v>443.23932224348403</v>
      </c>
      <c r="AM231" s="101"/>
      <c r="AN231" t="b">
        <f>IF(AG231&gt;0,AG231*'Vehicle Data'!C$6)</f>
        <v>0</v>
      </c>
      <c r="AO231" s="101">
        <f t="shared" si="168"/>
        <v>443.23932224348403</v>
      </c>
      <c r="AP231" s="101">
        <f>AO231*'Vehicle Data'!F$3</f>
        <v>113.29197076543451</v>
      </c>
      <c r="AQ231">
        <v>20</v>
      </c>
      <c r="AR231">
        <f>IF(Z231&lt;'Vehicle Data'!C$16, Z231*'Vehicle Data'!F$7*'Vehicle Data'!G$14,IF(Z231&lt;'Vehicle Data'!C$15,Z231*'Vehicle Data'!F$7*'Vehicle Data'!G$15,IF(Z231&gt;'Vehicle Data'!C$15,Z231*'Vehicle Data'!F$7*'Vehicle Data'!G$16)))</f>
        <v>107.59259259259261</v>
      </c>
      <c r="AS231">
        <f t="shared" si="151"/>
        <v>6455.5555555555566</v>
      </c>
      <c r="AT231">
        <f t="shared" si="170"/>
        <v>20</v>
      </c>
      <c r="AU231">
        <f t="shared" si="169"/>
        <v>6500</v>
      </c>
      <c r="AW231">
        <f>VLOOKUP(AT231,BSFC!A$64:A$82,1,FALSE)</f>
        <v>20</v>
      </c>
      <c r="AX231" t="e" cm="1">
        <f t="array" ref="AX231">_xlfn.XLOOKUP(AT231,BSFC!A$64:A$82,,-1,_xlfn.XLOOKUP(Data!AU231,BSFC!C$63:Q$63,BSFC!B$64:Q$82,,-1))</f>
        <v>#VALUE!</v>
      </c>
      <c r="AY231">
        <f>HLOOKUP(AU231,BSFC!F$63:Q$63,1)</f>
        <v>6500</v>
      </c>
      <c r="AZ231">
        <f>IF(AT231&gt;0,MATCH(AT231,BSFC!A$64:A$83,0),IF(AT231&lt;=0,0))</f>
        <v>3</v>
      </c>
      <c r="BA231">
        <f>MATCH(AU231,BSFC!C$63:Q$63,0)</f>
        <v>13</v>
      </c>
      <c r="BB231" cm="1">
        <f t="array" ref="BB231">IF(AZ231&gt;0,INDEX(BSFC!C$64:Q$83,Data!AZ231,Data!BA231))</f>
        <v>494.7</v>
      </c>
      <c r="BC231">
        <f>0.5*'Vehicle Data'!C$6*Data!Z231^2</f>
        <v>15121.355000000003</v>
      </c>
      <c r="BD231">
        <f t="shared" si="134"/>
        <v>13.465906457145509</v>
      </c>
      <c r="BE231">
        <f t="shared" si="154"/>
        <v>6661.5839243498831</v>
      </c>
      <c r="BF231">
        <f t="shared" si="155"/>
        <v>0.5315365084069319</v>
      </c>
      <c r="BG231">
        <f t="shared" si="135"/>
        <v>63.753109543214137</v>
      </c>
      <c r="BH231">
        <f t="shared" si="171"/>
        <v>13465.906457145509</v>
      </c>
      <c r="BI231" s="148">
        <f t="shared" si="136"/>
        <v>6871.6622130335309</v>
      </c>
      <c r="BO231">
        <f t="shared" si="137"/>
        <v>3873.2970377175388</v>
      </c>
      <c r="BP231">
        <f t="shared" si="138"/>
        <v>260595.38805549472</v>
      </c>
      <c r="BQ231">
        <f t="shared" si="139"/>
        <v>352109.0103212237</v>
      </c>
      <c r="BR231" s="148">
        <f t="shared" si="140"/>
        <v>396449.45383493206</v>
      </c>
      <c r="BS231" s="156">
        <f t="shared" si="141"/>
        <v>3873.2970377175388</v>
      </c>
      <c r="BT231" s="156">
        <f t="shared" si="142"/>
        <v>13465.906457145509</v>
      </c>
      <c r="BU231">
        <f t="shared" si="143"/>
        <v>1976.5463972768719</v>
      </c>
      <c r="BV231">
        <f t="shared" si="144"/>
        <v>1976.5463972768719</v>
      </c>
      <c r="BW231" s="148">
        <f t="shared" si="145"/>
        <v>455.4</v>
      </c>
      <c r="BX231" s="148">
        <f t="shared" si="146"/>
        <v>3129354.9718154697</v>
      </c>
      <c r="BY231" s="148">
        <f t="shared" si="147"/>
        <v>0.25003311925552429</v>
      </c>
      <c r="BZ231">
        <f t="shared" si="130"/>
        <v>57.405747722793429</v>
      </c>
      <c r="CB231">
        <f t="shared" si="148"/>
        <v>-1896.750640440667</v>
      </c>
      <c r="CC231" s="162">
        <f t="shared" si="131"/>
        <v>-6603.1648997321154</v>
      </c>
      <c r="CD231">
        <f t="shared" si="156"/>
        <v>43608.503034682413</v>
      </c>
    </row>
    <row r="232" spans="4:82" x14ac:dyDescent="0.2">
      <c r="D232" s="22">
        <f t="shared" si="157"/>
        <v>8.3626532506466691E-2</v>
      </c>
      <c r="E232" s="23">
        <v>10.8017048</v>
      </c>
      <c r="F232" s="23">
        <f>IF(K232&lt;6,1,IF(Data!K232&lt;9,2,IF(K232&gt;9,3)))</f>
        <v>3</v>
      </c>
      <c r="G232" s="23">
        <v>1048.5097323315656</v>
      </c>
      <c r="H232" s="23">
        <v>219.566665</v>
      </c>
      <c r="I232" s="64">
        <v>47.856706595018423</v>
      </c>
      <c r="J232" s="65">
        <f t="shared" si="158"/>
        <v>1.6314679559003644</v>
      </c>
      <c r="K232" s="65">
        <f t="shared" si="159"/>
        <v>19.142682638007368</v>
      </c>
      <c r="L232" s="65">
        <f t="shared" si="160"/>
        <v>0.65258718236017421</v>
      </c>
      <c r="M232">
        <f t="shared" si="161"/>
        <v>21.603409599999999</v>
      </c>
      <c r="N232">
        <f t="shared" si="162"/>
        <v>0.1999967999999992</v>
      </c>
      <c r="O232">
        <f>IF(L232&lt;'Vehicle Data'!F$21,'Vehicle Data'!C$21,IF(L232&gt;'Vehicle Data'!C$21,'Vehicle Data'!C$20))</f>
        <v>0.6</v>
      </c>
      <c r="P232">
        <f>('Vehicle Data'!C$6*9.81*'Vehicle Data'!C$5*SIN(D232))/'Vehicle Data'!C$9</f>
        <v>55.627664279577644</v>
      </c>
      <c r="Q232" s="107">
        <f>'Vehicle Data'!C$6*9.81*SIN(D232)</f>
        <v>359.7255623412687</v>
      </c>
      <c r="R232" s="101">
        <f t="shared" si="163"/>
        <v>1046.1189027031448</v>
      </c>
      <c r="S232" s="101">
        <f>IF(Data!O232=0.6,'Vehicle Data'!E$21,IF(Data!O232 = 0.9,'Vehicle Data'!E$20))+(P232*O232)</f>
        <v>1583.7489985677464</v>
      </c>
      <c r="T232" s="101">
        <f>IF(F232=3,'Vehicle Data'!H$16,IF(F232=2,'Vehicle Data'!H$15,IF(F232 = 1,'Vehicle Data'!G$14)))</f>
        <v>466.23005239380637</v>
      </c>
      <c r="U232" s="148">
        <f t="shared" si="164"/>
        <v>329.98042057982877</v>
      </c>
      <c r="V232" s="102" t="s">
        <v>77</v>
      </c>
      <c r="W232" s="103" t="s">
        <v>84</v>
      </c>
      <c r="X232" s="101">
        <f>IF(V232="S",'Vehicle Data'!C$14,IF(Data!V232 = "T1",'Vehicle Data'!P$2,IF(Data!V232="T2",'Vehicle Data'!P$3)))</f>
        <v>13.411199999999999</v>
      </c>
      <c r="Y232" s="101"/>
      <c r="Z232" s="105">
        <v>8.3000000000000007</v>
      </c>
      <c r="AA232" s="101"/>
      <c r="AB232" s="101" t="b">
        <f>IF(AA232=1,'Vehicle Data'!I$14,IF(AA232=2,'Vehicle Data'!I$15,IF(AA232=3,'Vehicle Data'!I$16)))</f>
        <v>0</v>
      </c>
      <c r="AC232" s="101">
        <f>IF(Z232&lt;'Vehicle Data'!C$16,'Vehicle Data'!I$15,IF(Z232&lt;'Vehicle Data'!C$15,'Vehicle Data'!I$15,IF(Z231&gt;'Vehicle Data'!C$15,'Vehicle Data'!I$16)))</f>
        <v>0.98256251041858167</v>
      </c>
      <c r="AD232">
        <f>IF(O232=0.6,'Vehicle Data'!F$21,IF(O232=0.9,'Vehicle Data'!F$20))</f>
        <v>3.5315999999999996</v>
      </c>
      <c r="AE232" s="101">
        <f>(Data!H$15-Data!Q232)/'Vehicle Data'!C$6</f>
        <v>-0.33760568870448454</v>
      </c>
      <c r="AF232" s="158">
        <f t="shared" si="166"/>
        <v>0.28763730462884834</v>
      </c>
      <c r="AG232" s="148">
        <f t="shared" si="132"/>
        <v>0</v>
      </c>
      <c r="AH232" s="148">
        <f t="shared" si="150"/>
        <v>57.693385027422273</v>
      </c>
      <c r="AI232" s="101"/>
      <c r="AJ232" s="101">
        <f>(Z232^2)*'Vehicle Data'!C$31</f>
        <v>25.317075000000013</v>
      </c>
      <c r="AK232" s="101">
        <f>IF(O232=0.6,'Vehicle Data'!C$6*'Vehicle Data'!D$21*9.81,IF(O232=0.9,'Vehicle Data'!C$6*9.81*'Vehicle Data'!D$20))</f>
        <v>86.131799999999998</v>
      </c>
      <c r="AL232" s="101">
        <f t="shared" si="167"/>
        <v>471.17443734126869</v>
      </c>
      <c r="AM232" s="101"/>
      <c r="AN232" t="b">
        <f>IF(AG232&gt;0,AG232*'Vehicle Data'!C$6)</f>
        <v>0</v>
      </c>
      <c r="AO232" s="101">
        <f t="shared" si="168"/>
        <v>471.17443734126869</v>
      </c>
      <c r="AP232" s="101">
        <f>AO232*'Vehicle Data'!F$3</f>
        <v>120.43218618442828</v>
      </c>
      <c r="AQ232">
        <v>20</v>
      </c>
      <c r="AR232">
        <f>IF(Z232&lt;'Vehicle Data'!C$16, Z232*'Vehicle Data'!F$7*'Vehicle Data'!G$14,IF(Z232&lt;'Vehicle Data'!C$15,Z232*'Vehicle Data'!F$7*'Vehicle Data'!G$15,IF(Z232&gt;'Vehicle Data'!C$15,Z232*'Vehicle Data'!F$7*'Vehicle Data'!G$16)))</f>
        <v>107.59259259259261</v>
      </c>
      <c r="AS232">
        <f t="shared" si="151"/>
        <v>6455.5555555555566</v>
      </c>
      <c r="AT232">
        <f t="shared" si="170"/>
        <v>20</v>
      </c>
      <c r="AU232">
        <f t="shared" si="169"/>
        <v>6500</v>
      </c>
      <c r="AW232">
        <f>VLOOKUP(AT232,BSFC!A$64:A$82,1,FALSE)</f>
        <v>20</v>
      </c>
      <c r="AX232" t="e" cm="1">
        <f t="array" ref="AX232">_xlfn.XLOOKUP(AT232,BSFC!A$64:A$82,,-1,_xlfn.XLOOKUP(Data!AU232,BSFC!C$63:Q$63,BSFC!B$64:Q$82,,-1))</f>
        <v>#VALUE!</v>
      </c>
      <c r="AY232">
        <f>HLOOKUP(AU232,BSFC!F$63:Q$63,1)</f>
        <v>6500</v>
      </c>
      <c r="AZ232">
        <f>IF(AT232&gt;0,MATCH(AT232,BSFC!A$64:A$83,0),IF(AT232&lt;=0,0))</f>
        <v>3</v>
      </c>
      <c r="BA232">
        <f>MATCH(AU232,BSFC!C$63:Q$63,0)</f>
        <v>13</v>
      </c>
      <c r="BB232" cm="1">
        <f t="array" ref="BB232">IF(AZ232&gt;0,INDEX(BSFC!C$64:Q$83,Data!AZ232,Data!BA232))</f>
        <v>494.7</v>
      </c>
      <c r="BC232">
        <f>0.5*'Vehicle Data'!C$6*Data!Z232^2</f>
        <v>15121.355000000003</v>
      </c>
      <c r="BD232">
        <f t="shared" si="134"/>
        <v>13.465906457145509</v>
      </c>
      <c r="BE232">
        <f t="shared" si="154"/>
        <v>6661.5839243498831</v>
      </c>
      <c r="BF232">
        <f t="shared" si="155"/>
        <v>0.53225556793301843</v>
      </c>
      <c r="BG232">
        <f t="shared" si="135"/>
        <v>64.285365111147158</v>
      </c>
      <c r="BH232">
        <f t="shared" si="171"/>
        <v>13465.906457145509</v>
      </c>
      <c r="BI232" s="148">
        <f t="shared" si="136"/>
        <v>6871.6622130335309</v>
      </c>
      <c r="BO232">
        <f t="shared" si="137"/>
        <v>3878.8780881067369</v>
      </c>
      <c r="BP232">
        <f t="shared" si="138"/>
        <v>264474.26614360145</v>
      </c>
      <c r="BQ232">
        <f t="shared" si="139"/>
        <v>355987.88840933045</v>
      </c>
      <c r="BR232" s="148">
        <f t="shared" si="140"/>
        <v>398428.84824642842</v>
      </c>
      <c r="BS232" s="156">
        <f t="shared" si="141"/>
        <v>3878.8780881067369</v>
      </c>
      <c r="BT232" s="156">
        <f t="shared" si="142"/>
        <v>13465.906457145509</v>
      </c>
      <c r="BU232">
        <f t="shared" si="143"/>
        <v>1979.3944114963781</v>
      </c>
      <c r="BV232">
        <f t="shared" si="144"/>
        <v>1979.3944114963781</v>
      </c>
      <c r="BW232" s="148">
        <f t="shared" si="145"/>
        <v>455.4</v>
      </c>
      <c r="BX232" s="148">
        <f t="shared" si="146"/>
        <v>3129354.9718154697</v>
      </c>
      <c r="BY232" s="148">
        <f t="shared" si="147"/>
        <v>0.25039339305429176</v>
      </c>
      <c r="BZ232">
        <f t="shared" si="130"/>
        <v>57.693385027422273</v>
      </c>
      <c r="CB232">
        <f t="shared" si="148"/>
        <v>-1899.4836766103588</v>
      </c>
      <c r="CC232" s="162">
        <f t="shared" si="131"/>
        <v>-6603.745919053762</v>
      </c>
      <c r="CD232">
        <f t="shared" si="156"/>
        <v>41709.019358072052</v>
      </c>
    </row>
    <row r="233" spans="4:82" x14ac:dyDescent="0.2">
      <c r="D233" s="22">
        <f t="shared" si="157"/>
        <v>4.8314625047584658E-2</v>
      </c>
      <c r="E233" s="23">
        <v>11.001701599999999</v>
      </c>
      <c r="F233" s="23">
        <f>IF(K233&lt;6,1,IF(Data!K233&lt;9,2,IF(K233&gt;9,3)))</f>
        <v>3</v>
      </c>
      <c r="G233" s="23">
        <v>1050.90406931809</v>
      </c>
      <c r="H233" s="23">
        <v>219.61666499999998</v>
      </c>
      <c r="I233" s="64">
        <v>47.938279992813413</v>
      </c>
      <c r="J233" s="65">
        <f t="shared" si="158"/>
        <v>1.612882005716247</v>
      </c>
      <c r="K233" s="65">
        <f t="shared" si="159"/>
        <v>19.175311997125366</v>
      </c>
      <c r="L233" s="65">
        <f t="shared" si="160"/>
        <v>0.64515280228647043</v>
      </c>
      <c r="M233">
        <f t="shared" si="161"/>
        <v>22.003403199999997</v>
      </c>
      <c r="N233">
        <f t="shared" si="162"/>
        <v>0.11580771547588853</v>
      </c>
      <c r="O233">
        <f>IF(L233&lt;'Vehicle Data'!F$21,'Vehicle Data'!C$21,IF(L233&gt;'Vehicle Data'!C$21,'Vehicle Data'!C$20))</f>
        <v>0.6</v>
      </c>
      <c r="P233">
        <f>('Vehicle Data'!C$6*9.81*'Vehicle Data'!C$5*SIN(D233))/'Vehicle Data'!C$9</f>
        <v>32.163454684879788</v>
      </c>
      <c r="Q233" s="107">
        <f>'Vehicle Data'!C$6*9.81*SIN(D233)</f>
        <v>207.99034029555594</v>
      </c>
      <c r="R233" s="101">
        <f t="shared" si="163"/>
        <v>1048.5097323315656</v>
      </c>
      <c r="S233" s="101">
        <f>IF(Data!O233=0.6,'Vehicle Data'!E$21,IF(Data!O233 = 0.9,'Vehicle Data'!E$20))+(P233*O233)</f>
        <v>1569.6704728109275</v>
      </c>
      <c r="T233" s="101">
        <f>IF(F233=3,'Vehicle Data'!H$16,IF(F233=2,'Vehicle Data'!H$15,IF(F233 = 1,'Vehicle Data'!G$14)))</f>
        <v>466.23005239380637</v>
      </c>
      <c r="U233" s="148">
        <f t="shared" si="164"/>
        <v>332.37125020824953</v>
      </c>
      <c r="V233" s="102" t="s">
        <v>77</v>
      </c>
      <c r="W233" s="103" t="s">
        <v>84</v>
      </c>
      <c r="X233" s="101">
        <f>IF(V233="S",'Vehicle Data'!C$14,IF(Data!V233 = "T1",'Vehicle Data'!P$2,IF(Data!V233="T2",'Vehicle Data'!P$3)))</f>
        <v>13.411199999999999</v>
      </c>
      <c r="Y233" s="101"/>
      <c r="Z233" s="105">
        <v>8.3000000000000007</v>
      </c>
      <c r="AA233" s="101"/>
      <c r="AB233" s="101" t="b">
        <f>IF(AA233=1,'Vehicle Data'!I$14,IF(AA233=2,'Vehicle Data'!I$15,IF(AA233=3,'Vehicle Data'!I$16)))</f>
        <v>0</v>
      </c>
      <c r="AC233" s="101">
        <f>IF(Z233&lt;'Vehicle Data'!C$16,'Vehicle Data'!I$15,IF(Z233&lt;'Vehicle Data'!C$15,'Vehicle Data'!I$15,IF(Z232&gt;'Vehicle Data'!C$15,'Vehicle Data'!I$16)))</f>
        <v>0.98256251041858167</v>
      </c>
      <c r="AD233">
        <f>IF(O233=0.6,'Vehicle Data'!F$21,IF(O233=0.9,'Vehicle Data'!F$20))</f>
        <v>3.5315999999999996</v>
      </c>
      <c r="AE233" s="101">
        <f>(Data!H$15-Data!Q233)/'Vehicle Data'!C$6</f>
        <v>8.0326303062506852E-3</v>
      </c>
      <c r="AF233" s="158">
        <f t="shared" si="166"/>
        <v>0.28805176246033259</v>
      </c>
      <c r="AG233" s="148">
        <f t="shared" si="132"/>
        <v>0</v>
      </c>
      <c r="AH233" s="148">
        <f t="shared" si="150"/>
        <v>57.981436789882608</v>
      </c>
      <c r="AI233" s="101"/>
      <c r="AJ233" s="101">
        <f>(Z233^2)*'Vehicle Data'!C$31</f>
        <v>25.317075000000013</v>
      </c>
      <c r="AK233" s="101">
        <f>IF(O233=0.6,'Vehicle Data'!C$6*'Vehicle Data'!D$21*9.81,IF(O233=0.9,'Vehicle Data'!C$6*9.81*'Vehicle Data'!D$20))</f>
        <v>86.131799999999998</v>
      </c>
      <c r="AL233" s="101">
        <f t="shared" si="167"/>
        <v>319.43921529555598</v>
      </c>
      <c r="AM233" s="101"/>
      <c r="AN233" t="b">
        <f>IF(AG233&gt;0,AG233*'Vehicle Data'!C$6)</f>
        <v>0</v>
      </c>
      <c r="AO233" s="101">
        <f t="shared" si="168"/>
        <v>319.43921529555598</v>
      </c>
      <c r="AP233" s="101">
        <f>AO233*'Vehicle Data'!F$3</f>
        <v>81.648663429544101</v>
      </c>
      <c r="AQ233">
        <v>20</v>
      </c>
      <c r="AR233">
        <f>IF(Z233&lt;'Vehicle Data'!C$16, Z233*'Vehicle Data'!F$7*'Vehicle Data'!G$14,IF(Z233&lt;'Vehicle Data'!C$15,Z233*'Vehicle Data'!F$7*'Vehicle Data'!G$15,IF(Z233&gt;'Vehicle Data'!C$15,Z233*'Vehicle Data'!F$7*'Vehicle Data'!G$16)))</f>
        <v>107.59259259259261</v>
      </c>
      <c r="AS233">
        <f t="shared" si="151"/>
        <v>6455.5555555555566</v>
      </c>
      <c r="AT233">
        <f t="shared" si="170"/>
        <v>20</v>
      </c>
      <c r="AU233">
        <f t="shared" si="169"/>
        <v>6500</v>
      </c>
      <c r="AW233">
        <f>VLOOKUP(AT233,BSFC!A$64:A$82,1,FALSE)</f>
        <v>20</v>
      </c>
      <c r="AX233" t="e" cm="1">
        <f t="array" ref="AX233">_xlfn.XLOOKUP(AT233,BSFC!A$64:A$82,,-1,_xlfn.XLOOKUP(Data!AU233,BSFC!C$63:Q$63,BSFC!B$64:Q$82,,-1))</f>
        <v>#VALUE!</v>
      </c>
      <c r="AY233">
        <f>HLOOKUP(AU233,BSFC!F$63:Q$63,1)</f>
        <v>6500</v>
      </c>
      <c r="AZ233">
        <f>IF(AT233&gt;0,MATCH(AT233,BSFC!A$64:A$83,0),IF(AT233&lt;=0,0))</f>
        <v>3</v>
      </c>
      <c r="BA233">
        <f>MATCH(AU233,BSFC!C$63:Q$63,0)</f>
        <v>13</v>
      </c>
      <c r="BB233" cm="1">
        <f t="array" ref="BB233">IF(AZ233&gt;0,INDEX(BSFC!C$64:Q$83,Data!AZ233,Data!BA233))</f>
        <v>494.7</v>
      </c>
      <c r="BC233">
        <f>0.5*'Vehicle Data'!C$6*Data!Z233^2</f>
        <v>15121.355000000003</v>
      </c>
      <c r="BD233">
        <f t="shared" si="134"/>
        <v>13.465906457145509</v>
      </c>
      <c r="BE233">
        <f t="shared" si="154"/>
        <v>6661.5839243498831</v>
      </c>
      <c r="BF233">
        <f t="shared" si="155"/>
        <v>0.53302249727400075</v>
      </c>
      <c r="BG233">
        <f t="shared" si="135"/>
        <v>64.818387608421162</v>
      </c>
      <c r="BH233">
        <f t="shared" si="171"/>
        <v>13465.906457145509</v>
      </c>
      <c r="BI233" s="148">
        <f t="shared" si="136"/>
        <v>6871.6622130335309</v>
      </c>
      <c r="BO233">
        <f t="shared" si="137"/>
        <v>3884.5684201712693</v>
      </c>
      <c r="BP233">
        <f t="shared" si="138"/>
        <v>268358.83456377272</v>
      </c>
      <c r="BQ233">
        <f t="shared" si="139"/>
        <v>359872.45682950172</v>
      </c>
      <c r="BR233" s="148">
        <f t="shared" si="140"/>
        <v>400411.14643866557</v>
      </c>
      <c r="BS233" s="156">
        <f t="shared" si="141"/>
        <v>3884.5684201712693</v>
      </c>
      <c r="BT233" s="156">
        <f t="shared" si="142"/>
        <v>13465.906457145509</v>
      </c>
      <c r="BU233">
        <f t="shared" si="143"/>
        <v>1982.2981922371621</v>
      </c>
      <c r="BV233">
        <f t="shared" si="144"/>
        <v>1982.2981922371621</v>
      </c>
      <c r="BW233" s="148">
        <f t="shared" si="145"/>
        <v>455.4</v>
      </c>
      <c r="BX233" s="148">
        <f t="shared" si="146"/>
        <v>3129354.9718154697</v>
      </c>
      <c r="BY233" s="148">
        <f t="shared" si="147"/>
        <v>0.25076072131800098</v>
      </c>
      <c r="BZ233">
        <f t="shared" si="130"/>
        <v>57.981436789882608</v>
      </c>
      <c r="CB233">
        <f t="shared" si="148"/>
        <v>-1902.2702279341072</v>
      </c>
      <c r="CC233" s="162">
        <f t="shared" si="131"/>
        <v>-6603.9180308645273</v>
      </c>
      <c r="CD233">
        <f t="shared" si="156"/>
        <v>39806.749130137941</v>
      </c>
    </row>
    <row r="234" spans="4:82" x14ac:dyDescent="0.2">
      <c r="D234" s="22">
        <f t="shared" si="157"/>
        <v>4.1651209028775893E-2</v>
      </c>
      <c r="E234" s="23">
        <v>11.117509315475887</v>
      </c>
      <c r="F234" s="23">
        <f>IF(K234&lt;6,1,IF(Data!K234&lt;9,2,IF(K234&gt;9,3)))</f>
        <v>3</v>
      </c>
      <c r="G234" s="23">
        <v>1053.3019515884041</v>
      </c>
      <c r="H234" s="23">
        <v>219.66666499999999</v>
      </c>
      <c r="I234" s="64">
        <v>48.018924093099244</v>
      </c>
      <c r="J234" s="65">
        <f t="shared" si="158"/>
        <v>1.616747093508178</v>
      </c>
      <c r="K234" s="65">
        <f t="shared" si="159"/>
        <v>19.207569637239697</v>
      </c>
      <c r="L234" s="65">
        <f t="shared" si="160"/>
        <v>0.6466988374032997</v>
      </c>
      <c r="M234">
        <f t="shared" si="161"/>
        <v>22.235018630951775</v>
      </c>
      <c r="N234">
        <f t="shared" si="162"/>
        <v>9.9998526419128098E-2</v>
      </c>
      <c r="O234">
        <f>IF(L234&lt;'Vehicle Data'!F$21,'Vehicle Data'!C$21,IF(L234&gt;'Vehicle Data'!C$21,'Vehicle Data'!C$20))</f>
        <v>0.6</v>
      </c>
      <c r="P234">
        <f>('Vehicle Data'!C$6*9.81*'Vehicle Data'!C$5*SIN(D234))/'Vehicle Data'!C$9</f>
        <v>27.730333128335385</v>
      </c>
      <c r="Q234" s="107">
        <f>'Vehicle Data'!C$6*9.81*SIN(D234)</f>
        <v>179.3228208965688</v>
      </c>
      <c r="R234" s="101">
        <f t="shared" si="163"/>
        <v>1050.90406931809</v>
      </c>
      <c r="S234" s="101">
        <f>IF(Data!O234=0.6,'Vehicle Data'!E$21,IF(Data!O234 = 0.9,'Vehicle Data'!E$20))+(P234*O234)</f>
        <v>1567.0105998770009</v>
      </c>
      <c r="T234" s="101">
        <f>IF(F234=3,'Vehicle Data'!H$16,IF(F234=2,'Vehicle Data'!H$15,IF(F234 = 1,'Vehicle Data'!G$14)))</f>
        <v>466.23005239380637</v>
      </c>
      <c r="U234" s="148">
        <f t="shared" si="164"/>
        <v>334.76558719477396</v>
      </c>
      <c r="V234" s="102" t="s">
        <v>77</v>
      </c>
      <c r="W234" s="103" t="s">
        <v>84</v>
      </c>
      <c r="X234" s="101">
        <f>IF(V234="S",'Vehicle Data'!C$14,IF(Data!V234 = "T1",'Vehicle Data'!P$2,IF(Data!V234="T2",'Vehicle Data'!P$3)))</f>
        <v>13.411199999999999</v>
      </c>
      <c r="Y234" s="101"/>
      <c r="Z234" s="105">
        <v>8.3000000000000007</v>
      </c>
      <c r="AA234" s="101"/>
      <c r="AB234" s="101" t="b">
        <f>IF(AA234=1,'Vehicle Data'!I$14,IF(AA234=2,'Vehicle Data'!I$15,IF(AA234=3,'Vehicle Data'!I$16)))</f>
        <v>0</v>
      </c>
      <c r="AC234" s="101">
        <f>IF(Z234&lt;'Vehicle Data'!C$16,'Vehicle Data'!I$15,IF(Z234&lt;'Vehicle Data'!C$15,'Vehicle Data'!I$15,IF(Z233&gt;'Vehicle Data'!C$15,'Vehicle Data'!I$16)))</f>
        <v>0.98256251041858167</v>
      </c>
      <c r="AD234">
        <f>IF(O234=0.6,'Vehicle Data'!F$21,IF(O234=0.9,'Vehicle Data'!F$20))</f>
        <v>3.5315999999999996</v>
      </c>
      <c r="AE234" s="101">
        <f>(Data!H$15-Data!Q234)/'Vehicle Data'!C$6</f>
        <v>7.3334496818749859E-2</v>
      </c>
      <c r="AF234" s="158">
        <f t="shared" si="166"/>
        <v>0.28847433572583397</v>
      </c>
      <c r="AG234" s="148">
        <f t="shared" si="132"/>
        <v>0</v>
      </c>
      <c r="AH234" s="148">
        <f t="shared" si="150"/>
        <v>58.269911125608445</v>
      </c>
      <c r="AI234" s="101"/>
      <c r="AJ234" s="101">
        <f>(Z234^2)*'Vehicle Data'!C$31</f>
        <v>25.317075000000013</v>
      </c>
      <c r="AK234" s="101">
        <f>IF(O234=0.6,'Vehicle Data'!C$6*'Vehicle Data'!D$21*9.81,IF(O234=0.9,'Vehicle Data'!C$6*9.81*'Vehicle Data'!D$20))</f>
        <v>86.131799999999998</v>
      </c>
      <c r="AL234" s="101">
        <f t="shared" si="167"/>
        <v>290.77169589656881</v>
      </c>
      <c r="AM234" s="101"/>
      <c r="AN234" t="b">
        <f>IF(AG234&gt;0,AG234*'Vehicle Data'!C$6)</f>
        <v>0</v>
      </c>
      <c r="AO234" s="101">
        <f t="shared" si="168"/>
        <v>290.77169589656881</v>
      </c>
      <c r="AP234" s="101">
        <f>AO234*'Vehicle Data'!F$3</f>
        <v>74.321245471162982</v>
      </c>
      <c r="AQ234">
        <v>20</v>
      </c>
      <c r="AR234">
        <f>IF(Z234&lt;'Vehicle Data'!C$16, Z234*'Vehicle Data'!F$7*'Vehicle Data'!G$14,IF(Z234&lt;'Vehicle Data'!C$15,Z234*'Vehicle Data'!F$7*'Vehicle Data'!G$15,IF(Z234&gt;'Vehicle Data'!C$15,Z234*'Vehicle Data'!F$7*'Vehicle Data'!G$16)))</f>
        <v>107.59259259259261</v>
      </c>
      <c r="AS234">
        <f t="shared" si="151"/>
        <v>6455.5555555555566</v>
      </c>
      <c r="AT234">
        <f t="shared" si="170"/>
        <v>20</v>
      </c>
      <c r="AU234">
        <f t="shared" si="169"/>
        <v>6500</v>
      </c>
      <c r="AW234">
        <f>VLOOKUP(AT234,BSFC!A$64:A$82,1,FALSE)</f>
        <v>20</v>
      </c>
      <c r="AX234" t="e" cm="1">
        <f t="array" ref="AX234">_xlfn.XLOOKUP(AT234,BSFC!A$64:A$82,,-1,_xlfn.XLOOKUP(Data!AU234,BSFC!C$63:Q$63,BSFC!B$64:Q$82,,-1))</f>
        <v>#VALUE!</v>
      </c>
      <c r="AY234">
        <f>HLOOKUP(AU234,BSFC!F$63:Q$63,1)</f>
        <v>6500</v>
      </c>
      <c r="AZ234">
        <f>IF(AT234&gt;0,MATCH(AT234,BSFC!A$64:A$83,0),IF(AT234&lt;=0,0))</f>
        <v>3</v>
      </c>
      <c r="BA234">
        <f>MATCH(AU234,BSFC!C$63:Q$63,0)</f>
        <v>13</v>
      </c>
      <c r="BB234" cm="1">
        <f t="array" ref="BB234">IF(AZ234&gt;0,INDEX(BSFC!C$64:Q$83,Data!AZ234,Data!BA234))</f>
        <v>494.7</v>
      </c>
      <c r="BC234">
        <f>0.5*'Vehicle Data'!C$6*Data!Z234^2</f>
        <v>15121.355000000003</v>
      </c>
      <c r="BD234">
        <f t="shared" si="134"/>
        <v>13.465906457145509</v>
      </c>
      <c r="BE234">
        <f t="shared" si="154"/>
        <v>6661.5839243498831</v>
      </c>
      <c r="BF234">
        <f t="shared" si="155"/>
        <v>0.53380444373853519</v>
      </c>
      <c r="BG234">
        <f t="shared" si="135"/>
        <v>65.352192052159694</v>
      </c>
      <c r="BH234">
        <f t="shared" si="171"/>
        <v>13465.906457145509</v>
      </c>
      <c r="BI234" s="148">
        <f t="shared" si="136"/>
        <v>6871.6622130335309</v>
      </c>
      <c r="BO234">
        <f t="shared" si="137"/>
        <v>3890.3202828068875</v>
      </c>
      <c r="BP234">
        <f t="shared" si="138"/>
        <v>272249.15484657959</v>
      </c>
      <c r="BQ234">
        <f t="shared" si="139"/>
        <v>363762.7771123086</v>
      </c>
      <c r="BR234" s="148">
        <f t="shared" si="140"/>
        <v>402396.3798107403</v>
      </c>
      <c r="BS234" s="156">
        <f t="shared" si="141"/>
        <v>3890.3202828068875</v>
      </c>
      <c r="BT234" s="156">
        <f t="shared" si="142"/>
        <v>13465.906457145509</v>
      </c>
      <c r="BU234">
        <f t="shared" si="143"/>
        <v>1985.2333720747411</v>
      </c>
      <c r="BV234">
        <f t="shared" si="144"/>
        <v>1985.2333720747411</v>
      </c>
      <c r="BW234" s="148">
        <f t="shared" si="145"/>
        <v>455.4</v>
      </c>
      <c r="BX234" s="148">
        <f t="shared" si="146"/>
        <v>3129354.9718154697</v>
      </c>
      <c r="BY234" s="148">
        <f t="shared" si="147"/>
        <v>0.25113202156745468</v>
      </c>
      <c r="BZ234">
        <f t="shared" si="130"/>
        <v>58.269911125608445</v>
      </c>
      <c r="CB234">
        <f t="shared" si="148"/>
        <v>-1905.0869107321464</v>
      </c>
      <c r="CC234" s="162">
        <f t="shared" si="131"/>
        <v>-6604.0083113068313</v>
      </c>
      <c r="CD234">
        <f t="shared" si="156"/>
        <v>37901.662219405793</v>
      </c>
    </row>
    <row r="235" spans="4:82" x14ac:dyDescent="0.2">
      <c r="D235" s="22">
        <f t="shared" si="157"/>
        <v>7.6649926927881112E-2</v>
      </c>
      <c r="E235" s="23">
        <v>11.217507841895015</v>
      </c>
      <c r="F235" s="23">
        <f>IF(K235&lt;6,1,IF(Data!K235&lt;9,2,IF(K235&gt;9,3)))</f>
        <v>3</v>
      </c>
      <c r="G235" s="23">
        <v>1055.703501216824</v>
      </c>
      <c r="H235" s="23">
        <v>219.71666499999998</v>
      </c>
      <c r="I235" s="64">
        <v>48.099761447774625</v>
      </c>
      <c r="J235" s="65">
        <f t="shared" si="158"/>
        <v>1.757489287055618</v>
      </c>
      <c r="K235" s="65">
        <f t="shared" si="159"/>
        <v>19.239904579109851</v>
      </c>
      <c r="L235" s="65">
        <f t="shared" si="160"/>
        <v>0.70299571482221879</v>
      </c>
      <c r="M235">
        <f t="shared" si="161"/>
        <v>22.435015683790031</v>
      </c>
      <c r="N235">
        <f t="shared" si="162"/>
        <v>0.18419535810498466</v>
      </c>
      <c r="O235">
        <f>IF(L235&lt;'Vehicle Data'!F$21,'Vehicle Data'!C$21,IF(L235&gt;'Vehicle Data'!C$21,'Vehicle Data'!C$20))</f>
        <v>0.6</v>
      </c>
      <c r="P235">
        <f>('Vehicle Data'!C$6*9.81*'Vehicle Data'!C$5*SIN(D235))/'Vehicle Data'!C$9</f>
        <v>50.996392174361247</v>
      </c>
      <c r="Q235" s="107">
        <f>'Vehicle Data'!C$6*9.81*SIN(D235)</f>
        <v>329.77666939420271</v>
      </c>
      <c r="R235" s="101">
        <f t="shared" si="163"/>
        <v>1053.3019515884041</v>
      </c>
      <c r="S235" s="101">
        <f>IF(Data!O235=0.6,'Vehicle Data'!E$21,IF(Data!O235 = 0.9,'Vehicle Data'!E$20))+(P235*O235)</f>
        <v>1580.9702353046164</v>
      </c>
      <c r="T235" s="101">
        <f>IF(F235=3,'Vehicle Data'!H$16,IF(F235=2,'Vehicle Data'!H$15,IF(F235 = 1,'Vehicle Data'!G$14)))</f>
        <v>466.23005239380637</v>
      </c>
      <c r="U235" s="148">
        <f t="shared" si="164"/>
        <v>337.16346946508804</v>
      </c>
      <c r="V235" s="102" t="s">
        <v>77</v>
      </c>
      <c r="W235" s="103" t="s">
        <v>84</v>
      </c>
      <c r="X235" s="101">
        <f>IF(V235="S",'Vehicle Data'!C$14,IF(Data!V235 = "T1",'Vehicle Data'!P$2,IF(Data!V235="T2",'Vehicle Data'!P$3)))</f>
        <v>13.411199999999999</v>
      </c>
      <c r="Y235" s="101"/>
      <c r="Z235" s="105">
        <v>8.3000000000000007</v>
      </c>
      <c r="AA235" s="101"/>
      <c r="AB235" s="101" t="b">
        <f>IF(AA235=1,'Vehicle Data'!I$14,IF(AA235=2,'Vehicle Data'!I$15,IF(AA235=3,'Vehicle Data'!I$16)))</f>
        <v>0</v>
      </c>
      <c r="AC235" s="101">
        <f>IF(Z235&lt;'Vehicle Data'!C$16,'Vehicle Data'!I$15,IF(Z235&lt;'Vehicle Data'!C$15,'Vehicle Data'!I$15,IF(Z234&gt;'Vehicle Data'!C$15,'Vehicle Data'!I$16)))</f>
        <v>0.98256251041858167</v>
      </c>
      <c r="AD235">
        <f>IF(O235=0.6,'Vehicle Data'!F$21,IF(O235=0.9,'Vehicle Data'!F$20))</f>
        <v>3.5315999999999996</v>
      </c>
      <c r="AE235" s="101">
        <f>(Data!H$15-Data!Q235)/'Vehicle Data'!C$6</f>
        <v>-0.26938497584100846</v>
      </c>
      <c r="AF235" s="158">
        <f t="shared" si="166"/>
        <v>0.28890147835109453</v>
      </c>
      <c r="AG235" s="148">
        <f t="shared" si="132"/>
        <v>0</v>
      </c>
      <c r="AH235" s="148">
        <f t="shared" si="150"/>
        <v>58.558812603959538</v>
      </c>
      <c r="AI235" s="101"/>
      <c r="AJ235" s="101">
        <f>(Z235^2)*'Vehicle Data'!C$31</f>
        <v>25.317075000000013</v>
      </c>
      <c r="AK235" s="101">
        <f>IF(O235=0.6,'Vehicle Data'!C$6*'Vehicle Data'!D$21*9.81,IF(O235=0.9,'Vehicle Data'!C$6*9.81*'Vehicle Data'!D$20))</f>
        <v>86.131799999999998</v>
      </c>
      <c r="AL235" s="101">
        <f t="shared" si="167"/>
        <v>441.22554439420276</v>
      </c>
      <c r="AM235" s="101"/>
      <c r="AN235" t="b">
        <f>IF(AG235&gt;0,AG235*'Vehicle Data'!C$6)</f>
        <v>0</v>
      </c>
      <c r="AO235" s="101">
        <f t="shared" si="168"/>
        <v>441.22554439420276</v>
      </c>
      <c r="AP235" s="101">
        <f>AO235*'Vehicle Data'!F$3</f>
        <v>112.77724914715822</v>
      </c>
      <c r="AQ235">
        <v>20</v>
      </c>
      <c r="AR235">
        <f>IF(Z235&lt;'Vehicle Data'!C$16, Z235*'Vehicle Data'!F$7*'Vehicle Data'!G$14,IF(Z235&lt;'Vehicle Data'!C$15,Z235*'Vehicle Data'!F$7*'Vehicle Data'!G$15,IF(Z235&gt;'Vehicle Data'!C$15,Z235*'Vehicle Data'!F$7*'Vehicle Data'!G$16)))</f>
        <v>107.59259259259261</v>
      </c>
      <c r="AS235">
        <f t="shared" si="151"/>
        <v>6455.5555555555566</v>
      </c>
      <c r="AT235">
        <f t="shared" si="170"/>
        <v>20</v>
      </c>
      <c r="AU235">
        <f t="shared" si="169"/>
        <v>6500</v>
      </c>
      <c r="AW235">
        <f>VLOOKUP(AT235,BSFC!A$64:A$82,1,FALSE)</f>
        <v>20</v>
      </c>
      <c r="AX235" t="e" cm="1">
        <f t="array" ref="AX235">_xlfn.XLOOKUP(AT235,BSFC!A$64:A$82,,-1,_xlfn.XLOOKUP(Data!AU235,BSFC!C$63:Q$63,BSFC!B$64:Q$82,,-1))</f>
        <v>#VALUE!</v>
      </c>
      <c r="AY235">
        <f>HLOOKUP(AU235,BSFC!F$63:Q$63,1)</f>
        <v>6500</v>
      </c>
      <c r="AZ235">
        <f>IF(AT235&gt;0,MATCH(AT235,BSFC!A$64:A$83,0),IF(AT235&lt;=0,0))</f>
        <v>3</v>
      </c>
      <c r="BA235">
        <f>MATCH(AU235,BSFC!C$63:Q$63,0)</f>
        <v>13</v>
      </c>
      <c r="BB235" cm="1">
        <f t="array" ref="BB235">IF(AZ235&gt;0,INDEX(BSFC!C$64:Q$83,Data!AZ235,Data!BA235))</f>
        <v>494.7</v>
      </c>
      <c r="BC235">
        <f>0.5*'Vehicle Data'!C$6*Data!Z235^2</f>
        <v>15121.355000000003</v>
      </c>
      <c r="BD235">
        <f t="shared" si="134"/>
        <v>13.465906457145509</v>
      </c>
      <c r="BE235">
        <f t="shared" si="154"/>
        <v>6661.5839243498831</v>
      </c>
      <c r="BF235">
        <f t="shared" si="155"/>
        <v>0.53459484552904646</v>
      </c>
      <c r="BG235">
        <f t="shared" si="135"/>
        <v>65.886786897688737</v>
      </c>
      <c r="BH235">
        <f t="shared" si="171"/>
        <v>13465.906457145509</v>
      </c>
      <c r="BI235" s="148">
        <f t="shared" si="136"/>
        <v>6871.6622130335309</v>
      </c>
      <c r="BO235">
        <f t="shared" si="137"/>
        <v>3896.2701986137545</v>
      </c>
      <c r="BP235">
        <f t="shared" si="138"/>
        <v>276145.42504519335</v>
      </c>
      <c r="BQ235">
        <f t="shared" si="139"/>
        <v>367659.04731092235</v>
      </c>
      <c r="BR235" s="148">
        <f t="shared" si="140"/>
        <v>404384.64942933514</v>
      </c>
      <c r="BS235" s="156">
        <f t="shared" si="141"/>
        <v>3896.2701986137545</v>
      </c>
      <c r="BT235" s="156">
        <f t="shared" si="142"/>
        <v>13465.906457145509</v>
      </c>
      <c r="BU235">
        <f t="shared" si="143"/>
        <v>1988.2696185948616</v>
      </c>
      <c r="BV235">
        <f t="shared" si="144"/>
        <v>1988.2696185948616</v>
      </c>
      <c r="BW235" s="148">
        <f t="shared" si="145"/>
        <v>455.4</v>
      </c>
      <c r="BX235" s="148">
        <f t="shared" si="146"/>
        <v>3129354.9718154697</v>
      </c>
      <c r="BY235" s="148">
        <f t="shared" si="147"/>
        <v>0.25151610675225</v>
      </c>
      <c r="BZ235">
        <f t="shared" si="130"/>
        <v>58.558812603959538</v>
      </c>
      <c r="CB235">
        <f t="shared" si="148"/>
        <v>-1908.0005800188928</v>
      </c>
      <c r="CC235" s="162">
        <f t="shared" si="131"/>
        <v>-6604.3295829042409</v>
      </c>
      <c r="CD235">
        <f t="shared" si="156"/>
        <v>35993.661639386897</v>
      </c>
    </row>
    <row r="236" spans="4:82" x14ac:dyDescent="0.2">
      <c r="D236" s="22">
        <f t="shared" si="157"/>
        <v>0</v>
      </c>
      <c r="E236" s="23">
        <v>11.4017032</v>
      </c>
      <c r="F236" s="23">
        <f>IF(K236&lt;6,1,IF(Data!K236&lt;9,2,IF(K236&gt;9,3)))</f>
        <v>3</v>
      </c>
      <c r="G236" s="23">
        <v>1058.1089287709276</v>
      </c>
      <c r="H236" s="23">
        <v>219.76666499999999</v>
      </c>
      <c r="I236" s="64">
        <v>48.187635912127426</v>
      </c>
      <c r="J236" s="65">
        <f t="shared" si="158"/>
        <v>1.8680885259291828</v>
      </c>
      <c r="K236" s="65">
        <f t="shared" si="159"/>
        <v>19.27505436485097</v>
      </c>
      <c r="L236" s="65">
        <f t="shared" si="160"/>
        <v>0.7472354103717016</v>
      </c>
      <c r="M236">
        <f t="shared" si="161"/>
        <v>22.8034064</v>
      </c>
      <c r="N236">
        <f t="shared" si="162"/>
        <v>0</v>
      </c>
      <c r="O236">
        <f>IF(L236&lt;'Vehicle Data'!F$21,'Vehicle Data'!C$21,IF(L236&gt;'Vehicle Data'!C$21,'Vehicle Data'!C$20))</f>
        <v>0.6</v>
      </c>
      <c r="P236">
        <f>('Vehicle Data'!C$6*9.81*'Vehicle Data'!C$5*SIN(D236))/'Vehicle Data'!C$9</f>
        <v>0</v>
      </c>
      <c r="Q236" s="107">
        <f>'Vehicle Data'!C$6*9.81*SIN(D236)</f>
        <v>0</v>
      </c>
      <c r="R236" s="101">
        <f t="shared" si="163"/>
        <v>1055.703501216824</v>
      </c>
      <c r="S236" s="101">
        <f>IF(Data!O236=0.6,'Vehicle Data'!E$21,IF(Data!O236 = 0.9,'Vehicle Data'!E$20))+(P236*O236)</f>
        <v>1550.3723999999997</v>
      </c>
      <c r="T236" s="101">
        <f>IF(F236=3,'Vehicle Data'!H$16,IF(F236=2,'Vehicle Data'!H$15,IF(F236 = 1,'Vehicle Data'!G$14)))</f>
        <v>466.23005239380637</v>
      </c>
      <c r="U236" s="148">
        <f t="shared" si="164"/>
        <v>339.56501909350789</v>
      </c>
      <c r="V236" s="102" t="s">
        <v>77</v>
      </c>
      <c r="W236" s="103" t="s">
        <v>84</v>
      </c>
      <c r="X236" s="101">
        <f>IF(V236="S",'Vehicle Data'!C$14,IF(Data!V236 = "T1",'Vehicle Data'!P$2,IF(Data!V236="T2",'Vehicle Data'!P$3)))</f>
        <v>13.411199999999999</v>
      </c>
      <c r="Y236" s="101"/>
      <c r="Z236" s="105">
        <v>8.3000000000000007</v>
      </c>
      <c r="AA236" s="101"/>
      <c r="AB236" s="101" t="b">
        <f>IF(AA236=1,'Vehicle Data'!I$14,IF(AA236=2,'Vehicle Data'!I$15,IF(AA236=3,'Vehicle Data'!I$16)))</f>
        <v>0</v>
      </c>
      <c r="AC236" s="101">
        <f>IF(Z236&lt;'Vehicle Data'!C$16,'Vehicle Data'!I$15,IF(Z236&lt;'Vehicle Data'!C$15,'Vehicle Data'!I$15,IF(Z235&gt;'Vehicle Data'!C$15,'Vehicle Data'!I$16)))</f>
        <v>0.98256251041858167</v>
      </c>
      <c r="AD236">
        <f>IF(O236=0.6,'Vehicle Data'!F$21,IF(O236=0.9,'Vehicle Data'!F$20))</f>
        <v>3.5315999999999996</v>
      </c>
      <c r="AE236" s="101">
        <f>(Data!H$15-Data!Q236)/'Vehicle Data'!C$6</f>
        <v>0.48181472665148062</v>
      </c>
      <c r="AF236" s="158">
        <f t="shared" si="166"/>
        <v>0.28934332872528229</v>
      </c>
      <c r="AG236" s="148">
        <f t="shared" si="132"/>
        <v>0</v>
      </c>
      <c r="AH236" s="148">
        <f t="shared" si="150"/>
        <v>58.848155932684818</v>
      </c>
      <c r="AI236" s="101"/>
      <c r="AJ236" s="101">
        <f>(Z236^2)*'Vehicle Data'!C$31</f>
        <v>25.317075000000013</v>
      </c>
      <c r="AK236" s="101">
        <f>IF(O236=0.6,'Vehicle Data'!C$6*'Vehicle Data'!D$21*9.81,IF(O236=0.9,'Vehicle Data'!C$6*9.81*'Vehicle Data'!D$20))</f>
        <v>86.131799999999998</v>
      </c>
      <c r="AL236" s="101">
        <f t="shared" si="167"/>
        <v>111.44887500000002</v>
      </c>
      <c r="AM236" s="101"/>
      <c r="AN236" t="b">
        <f>IF(AG236&gt;0,AG236*'Vehicle Data'!C$6)</f>
        <v>0</v>
      </c>
      <c r="AO236" s="101">
        <f t="shared" si="168"/>
        <v>111.44887500000002</v>
      </c>
      <c r="AP236" s="101">
        <f>AO236*'Vehicle Data'!F$3</f>
        <v>28.486332450000003</v>
      </c>
      <c r="AQ236">
        <v>20</v>
      </c>
      <c r="AR236">
        <f>IF(Z236&lt;'Vehicle Data'!C$16, Z236*'Vehicle Data'!F$7*'Vehicle Data'!G$14,IF(Z236&lt;'Vehicle Data'!C$15,Z236*'Vehicle Data'!F$7*'Vehicle Data'!G$15,IF(Z236&gt;'Vehicle Data'!C$15,Z236*'Vehicle Data'!F$7*'Vehicle Data'!G$16)))</f>
        <v>107.59259259259261</v>
      </c>
      <c r="AS236">
        <f t="shared" si="151"/>
        <v>6455.5555555555566</v>
      </c>
      <c r="AT236">
        <f t="shared" si="170"/>
        <v>20</v>
      </c>
      <c r="AU236">
        <f t="shared" si="169"/>
        <v>6500</v>
      </c>
      <c r="AW236">
        <f>VLOOKUP(AT236,BSFC!A$64:A$82,1,FALSE)</f>
        <v>20</v>
      </c>
      <c r="AX236" t="e" cm="1">
        <f t="array" ref="AX236">_xlfn.XLOOKUP(AT236,BSFC!A$64:A$82,,-1,_xlfn.XLOOKUP(Data!AU236,BSFC!C$63:Q$63,BSFC!B$64:Q$82,,-1))</f>
        <v>#VALUE!</v>
      </c>
      <c r="AY236">
        <f>HLOOKUP(AU236,BSFC!F$63:Q$63,1)</f>
        <v>6500</v>
      </c>
      <c r="AZ236">
        <f>IF(AT236&gt;0,MATCH(AT236,BSFC!A$64:A$83,0),IF(AT236&lt;=0,0))</f>
        <v>3</v>
      </c>
      <c r="BA236">
        <f>MATCH(AU236,BSFC!C$63:Q$63,0)</f>
        <v>13</v>
      </c>
      <c r="BB236" cm="1">
        <f t="array" ref="BB236">IF(AZ236&gt;0,INDEX(BSFC!C$64:Q$83,Data!AZ236,Data!BA236))</f>
        <v>494.7</v>
      </c>
      <c r="BC236">
        <f>0.5*'Vehicle Data'!C$6*Data!Z236^2</f>
        <v>15121.355000000003</v>
      </c>
      <c r="BD236">
        <f t="shared" si="134"/>
        <v>13.465906457145509</v>
      </c>
      <c r="BE236">
        <f t="shared" si="154"/>
        <v>6661.5839243498831</v>
      </c>
      <c r="BF236">
        <f t="shared" si="155"/>
        <v>0.53541246312617341</v>
      </c>
      <c r="BG236">
        <f t="shared" si="135"/>
        <v>66.422199360814915</v>
      </c>
      <c r="BH236">
        <f t="shared" si="171"/>
        <v>13465.906457145509</v>
      </c>
      <c r="BI236" s="148">
        <f t="shared" si="136"/>
        <v>6871.6622130335309</v>
      </c>
      <c r="BO236">
        <f t="shared" si="137"/>
        <v>3902.5617389156755</v>
      </c>
      <c r="BP236">
        <f t="shared" si="138"/>
        <v>280047.98678410903</v>
      </c>
      <c r="BQ236">
        <f t="shared" si="139"/>
        <v>371561.60904983804</v>
      </c>
      <c r="BR236" s="148">
        <f t="shared" si="140"/>
        <v>406376.12962568738</v>
      </c>
      <c r="BS236" s="156">
        <f t="shared" si="141"/>
        <v>3902.5617389156755</v>
      </c>
      <c r="BT236" s="156">
        <f t="shared" si="142"/>
        <v>13465.906457145509</v>
      </c>
      <c r="BU236">
        <f t="shared" si="143"/>
        <v>1991.480196352258</v>
      </c>
      <c r="BV236">
        <f t="shared" si="144"/>
        <v>1991.480196352258</v>
      </c>
      <c r="BW236" s="148">
        <f t="shared" si="145"/>
        <v>455.4</v>
      </c>
      <c r="BX236" s="148">
        <f t="shared" si="146"/>
        <v>3129354.9718154697</v>
      </c>
      <c r="BY236" s="148">
        <f t="shared" si="147"/>
        <v>0.25192224483856063</v>
      </c>
      <c r="BZ236">
        <f t="shared" si="130"/>
        <v>58.848155932684818</v>
      </c>
      <c r="CB236">
        <f t="shared" si="148"/>
        <v>-1911.0815425634175</v>
      </c>
      <c r="CC236" s="162">
        <f t="shared" si="131"/>
        <v>-6604.8923643161324</v>
      </c>
      <c r="CD236">
        <f t="shared" si="156"/>
        <v>34082.580096823476</v>
      </c>
    </row>
    <row r="237" spans="4:82" x14ac:dyDescent="0.2">
      <c r="D237" s="22">
        <f t="shared" si="157"/>
        <v>4.142616122772616E-2</v>
      </c>
      <c r="E237" s="23">
        <v>11.4017032</v>
      </c>
      <c r="F237" s="23">
        <f>IF(K237&lt;6,1,IF(Data!K237&lt;9,2,IF(K237&gt;9,3)))</f>
        <v>3</v>
      </c>
      <c r="G237" s="23">
        <v>1060.5186889669269</v>
      </c>
      <c r="H237" s="23">
        <v>219.816665</v>
      </c>
      <c r="I237" s="64">
        <v>48.281040338423907</v>
      </c>
      <c r="J237" s="65">
        <f t="shared" si="158"/>
        <v>1.9321061135158342</v>
      </c>
      <c r="K237" s="65">
        <f t="shared" si="159"/>
        <v>19.312416135369563</v>
      </c>
      <c r="L237" s="65">
        <f t="shared" si="160"/>
        <v>0.77284244540633362</v>
      </c>
      <c r="M237">
        <f t="shared" si="161"/>
        <v>22.8034064</v>
      </c>
      <c r="N237">
        <f t="shared" si="162"/>
        <v>9.9998399999998711E-2</v>
      </c>
      <c r="O237">
        <f>IF(L237&lt;'Vehicle Data'!F$21,'Vehicle Data'!C$21,IF(L237&gt;'Vehicle Data'!C$21,'Vehicle Data'!C$20))</f>
        <v>0.6</v>
      </c>
      <c r="P237">
        <f>('Vehicle Data'!C$6*9.81*'Vehicle Data'!C$5*SIN(D237))/'Vehicle Data'!C$9</f>
        <v>27.580587884242512</v>
      </c>
      <c r="Q237" s="107">
        <f>'Vehicle Data'!C$6*9.81*SIN(D237)</f>
        <v>178.35446831810157</v>
      </c>
      <c r="R237" s="101">
        <f t="shared" si="163"/>
        <v>1058.1089287709276</v>
      </c>
      <c r="S237" s="101">
        <f>IF(Data!O237=0.6,'Vehicle Data'!E$21,IF(Data!O237 = 0.9,'Vehicle Data'!E$20))+(P237*O237)</f>
        <v>1566.9207527305452</v>
      </c>
      <c r="T237" s="101">
        <f>IF(F237=3,'Vehicle Data'!H$16,IF(F237=2,'Vehicle Data'!H$15,IF(F237 = 1,'Vehicle Data'!G$14)))</f>
        <v>466.23005239380637</v>
      </c>
      <c r="U237" s="148">
        <f t="shared" si="164"/>
        <v>341.97044664761154</v>
      </c>
      <c r="V237" s="102" t="s">
        <v>77</v>
      </c>
      <c r="W237" s="103" t="s">
        <v>84</v>
      </c>
      <c r="X237" s="101">
        <f>IF(V237="S",'Vehicle Data'!C$14,IF(Data!V237 = "T1",'Vehicle Data'!P$2,IF(Data!V237="T2",'Vehicle Data'!P$3)))</f>
        <v>13.411199999999999</v>
      </c>
      <c r="Y237" s="101"/>
      <c r="Z237" s="105">
        <v>8.3000000000000007</v>
      </c>
      <c r="AA237" s="101"/>
      <c r="AB237" s="101" t="b">
        <f>IF(AA237=1,'Vehicle Data'!I$14,IF(AA237=2,'Vehicle Data'!I$15,IF(AA237=3,'Vehicle Data'!I$16)))</f>
        <v>0</v>
      </c>
      <c r="AC237" s="101">
        <f>IF(Z237&lt;'Vehicle Data'!C$16,'Vehicle Data'!I$15,IF(Z237&lt;'Vehicle Data'!C$15,'Vehicle Data'!I$15,IF(Z236&gt;'Vehicle Data'!C$15,'Vehicle Data'!I$16)))</f>
        <v>0.98256251041858167</v>
      </c>
      <c r="AD237">
        <f>IF(O237=0.6,'Vehicle Data'!F$21,IF(O237=0.9,'Vehicle Data'!F$20))</f>
        <v>3.5315999999999996</v>
      </c>
      <c r="AE237" s="101">
        <f>(Data!H$15-Data!Q237)/'Vehicle Data'!C$6</f>
        <v>7.5540311348287981E-2</v>
      </c>
      <c r="AF237" s="158">
        <f t="shared" si="166"/>
        <v>0.28981054868718709</v>
      </c>
      <c r="AG237" s="148">
        <f t="shared" si="132"/>
        <v>0</v>
      </c>
      <c r="AH237" s="148">
        <f t="shared" si="150"/>
        <v>59.137966481372004</v>
      </c>
      <c r="AI237" s="101"/>
      <c r="AJ237" s="101">
        <f>(Z237^2)*'Vehicle Data'!C$31</f>
        <v>25.317075000000013</v>
      </c>
      <c r="AK237" s="101">
        <f>IF(O237=0.6,'Vehicle Data'!C$6*'Vehicle Data'!D$21*9.81,IF(O237=0.9,'Vehicle Data'!C$6*9.81*'Vehicle Data'!D$20))</f>
        <v>86.131799999999998</v>
      </c>
      <c r="AL237" s="101">
        <f t="shared" si="167"/>
        <v>289.80334331810161</v>
      </c>
      <c r="AM237" s="101"/>
      <c r="AN237" t="b">
        <f>IF(AG237&gt;0,AG237*'Vehicle Data'!C$6)</f>
        <v>0</v>
      </c>
      <c r="AO237" s="101">
        <f t="shared" si="168"/>
        <v>289.80334331810161</v>
      </c>
      <c r="AP237" s="101">
        <f>AO237*'Vehicle Data'!F$3</f>
        <v>74.073734552106771</v>
      </c>
      <c r="AQ237">
        <v>20</v>
      </c>
      <c r="AR237">
        <f>IF(Z237&lt;'Vehicle Data'!C$16, Z237*'Vehicle Data'!F$7*'Vehicle Data'!G$14,IF(Z237&lt;'Vehicle Data'!C$15,Z237*'Vehicle Data'!F$7*'Vehicle Data'!G$15,IF(Z237&gt;'Vehicle Data'!C$15,Z237*'Vehicle Data'!F$7*'Vehicle Data'!G$16)))</f>
        <v>107.59259259259261</v>
      </c>
      <c r="AS237">
        <f t="shared" si="151"/>
        <v>6455.5555555555566</v>
      </c>
      <c r="AT237">
        <f t="shared" si="170"/>
        <v>20</v>
      </c>
      <c r="AU237">
        <f t="shared" si="169"/>
        <v>6500</v>
      </c>
      <c r="AW237">
        <f>VLOOKUP(AT237,BSFC!A$64:A$82,1,FALSE)</f>
        <v>20</v>
      </c>
      <c r="AX237" t="e" cm="1">
        <f t="array" ref="AX237">_xlfn.XLOOKUP(AT237,BSFC!A$64:A$82,,-1,_xlfn.XLOOKUP(Data!AU237,BSFC!C$63:Q$63,BSFC!B$64:Q$82,,-1))</f>
        <v>#VALUE!</v>
      </c>
      <c r="AY237">
        <f>HLOOKUP(AU237,BSFC!F$63:Q$63,1)</f>
        <v>6500</v>
      </c>
      <c r="AZ237">
        <f>IF(AT237&gt;0,MATCH(AT237,BSFC!A$64:A$83,0),IF(AT237&lt;=0,0))</f>
        <v>3</v>
      </c>
      <c r="BA237">
        <f>MATCH(AU237,BSFC!C$63:Q$63,0)</f>
        <v>13</v>
      </c>
      <c r="BB237" cm="1">
        <f t="array" ref="BB237">IF(AZ237&gt;0,INDEX(BSFC!C$64:Q$83,Data!AZ237,Data!BA237))</f>
        <v>494.7</v>
      </c>
      <c r="BC237">
        <f>0.5*'Vehicle Data'!C$6*Data!Z237^2</f>
        <v>15121.355000000003</v>
      </c>
      <c r="BD237">
        <f t="shared" si="134"/>
        <v>13.465906457145509</v>
      </c>
      <c r="BE237">
        <f t="shared" si="154"/>
        <v>6661.5839243498831</v>
      </c>
      <c r="BF237">
        <f t="shared" si="155"/>
        <v>0.53627702562266233</v>
      </c>
      <c r="BG237">
        <f t="shared" si="135"/>
        <v>66.958476386437582</v>
      </c>
      <c r="BH237">
        <f t="shared" si="171"/>
        <v>13465.906457145509</v>
      </c>
      <c r="BI237" s="148">
        <f t="shared" si="136"/>
        <v>6871.6622130335309</v>
      </c>
      <c r="BO237">
        <f t="shared" si="137"/>
        <v>3909.5910100577303</v>
      </c>
      <c r="BP237">
        <f t="shared" si="138"/>
        <v>283957.57779416675</v>
      </c>
      <c r="BQ237">
        <f t="shared" si="139"/>
        <v>375471.20005989575</v>
      </c>
      <c r="BR237" s="148">
        <f t="shared" si="140"/>
        <v>408371.1968644007</v>
      </c>
      <c r="BS237" s="156">
        <f t="shared" si="141"/>
        <v>3909.5910100577303</v>
      </c>
      <c r="BT237" s="156">
        <f t="shared" si="142"/>
        <v>13465.906457145509</v>
      </c>
      <c r="BU237">
        <f t="shared" si="143"/>
        <v>1995.0672387133307</v>
      </c>
      <c r="BV237">
        <f t="shared" si="144"/>
        <v>1995.0672387133307</v>
      </c>
      <c r="BW237" s="148">
        <f t="shared" si="145"/>
        <v>455.4</v>
      </c>
      <c r="BX237" s="148">
        <f t="shared" si="146"/>
        <v>3129354.9718154697</v>
      </c>
      <c r="BY237" s="148">
        <f t="shared" si="147"/>
        <v>0.25237600569723628</v>
      </c>
      <c r="BZ237">
        <f t="shared" si="130"/>
        <v>59.137966481372004</v>
      </c>
      <c r="CB237">
        <f t="shared" si="148"/>
        <v>-1914.5237713443996</v>
      </c>
      <c r="CC237" s="162">
        <f t="shared" si="131"/>
        <v>-6606.1217578760034</v>
      </c>
      <c r="CD237">
        <f t="shared" si="156"/>
        <v>32168.056325479076</v>
      </c>
    </row>
    <row r="238" spans="4:82" x14ac:dyDescent="0.2">
      <c r="D238" s="22">
        <f t="shared" si="157"/>
        <v>0</v>
      </c>
      <c r="E238" s="23">
        <v>11.501701599999999</v>
      </c>
      <c r="F238" s="23">
        <f>IF(K238&lt;6,1,IF(Data!K238&lt;9,2,IF(K238&gt;9,3)))</f>
        <v>3</v>
      </c>
      <c r="G238" s="23">
        <v>1062.9332744467138</v>
      </c>
      <c r="H238" s="23">
        <v>219.86666499999998</v>
      </c>
      <c r="I238" s="64">
        <v>48.377645644099665</v>
      </c>
      <c r="J238" s="65">
        <f t="shared" si="158"/>
        <v>1.8949605291949423</v>
      </c>
      <c r="K238" s="65">
        <f t="shared" si="159"/>
        <v>19.351058257639867</v>
      </c>
      <c r="L238" s="65">
        <f t="shared" si="160"/>
        <v>0.75798421167793428</v>
      </c>
      <c r="M238">
        <f t="shared" si="161"/>
        <v>23.003403199999997</v>
      </c>
      <c r="N238">
        <f t="shared" si="162"/>
        <v>0</v>
      </c>
      <c r="O238">
        <f>IF(L238&lt;'Vehicle Data'!F$21,'Vehicle Data'!C$21,IF(L238&gt;'Vehicle Data'!C$21,'Vehicle Data'!C$20))</f>
        <v>0.6</v>
      </c>
      <c r="P238">
        <f>('Vehicle Data'!C$6*9.81*'Vehicle Data'!C$5*SIN(D238))/'Vehicle Data'!C$9</f>
        <v>0</v>
      </c>
      <c r="Q238" s="107">
        <f>'Vehicle Data'!C$6*9.81*SIN(D238)</f>
        <v>0</v>
      </c>
      <c r="R238" s="101">
        <f t="shared" si="163"/>
        <v>1060.5186889669269</v>
      </c>
      <c r="S238" s="101">
        <f>IF(Data!O238=0.6,'Vehicle Data'!E$21,IF(Data!O238 = 0.9,'Vehicle Data'!E$20))+(P238*O238)</f>
        <v>1550.3723999999997</v>
      </c>
      <c r="T238" s="101">
        <f>IF(F238=3,'Vehicle Data'!H$16,IF(F238=2,'Vehicle Data'!H$15,IF(F238 = 1,'Vehicle Data'!G$14)))</f>
        <v>466.23005239380637</v>
      </c>
      <c r="U238" s="148">
        <f t="shared" si="164"/>
        <v>344.38020684361084</v>
      </c>
      <c r="V238" s="102" t="s">
        <v>77</v>
      </c>
      <c r="W238" s="103" t="s">
        <v>84</v>
      </c>
      <c r="X238" s="101">
        <f>IF(V238="S",'Vehicle Data'!C$14,IF(Data!V238 = "T1",'Vehicle Data'!P$2,IF(Data!V238="T2",'Vehicle Data'!P$3)))</f>
        <v>13.411199999999999</v>
      </c>
      <c r="Y238" s="101"/>
      <c r="Z238" s="105">
        <v>8.3000000000000007</v>
      </c>
      <c r="AA238" s="101"/>
      <c r="AB238" s="101" t="b">
        <f>IF(AA238=1,'Vehicle Data'!I$14,IF(AA238=2,'Vehicle Data'!I$15,IF(AA238=3,'Vehicle Data'!I$16)))</f>
        <v>0</v>
      </c>
      <c r="AC238" s="101">
        <f>IF(Z238&lt;'Vehicle Data'!C$16,'Vehicle Data'!I$15,IF(Z238&lt;'Vehicle Data'!C$15,'Vehicle Data'!I$15,IF(Z237&gt;'Vehicle Data'!C$15,'Vehicle Data'!I$16)))</f>
        <v>0.98256251041858167</v>
      </c>
      <c r="AD238">
        <f>IF(O238=0.6,'Vehicle Data'!F$21,IF(O238=0.9,'Vehicle Data'!F$20))</f>
        <v>3.5315999999999996</v>
      </c>
      <c r="AE238" s="101">
        <f>(Data!H$15-Data!Q238)/'Vehicle Data'!C$6</f>
        <v>0.48181472665148062</v>
      </c>
      <c r="AF238" s="158">
        <f t="shared" si="166"/>
        <v>0.29033255373485506</v>
      </c>
      <c r="AG238" s="148">
        <f t="shared" si="132"/>
        <v>0</v>
      </c>
      <c r="AH238" s="148">
        <f t="shared" si="150"/>
        <v>59.428299035106861</v>
      </c>
      <c r="AI238" s="101"/>
      <c r="AJ238" s="101">
        <f>(Z238^2)*'Vehicle Data'!C$31</f>
        <v>25.317075000000013</v>
      </c>
      <c r="AK238" s="101">
        <f>IF(O238=0.6,'Vehicle Data'!C$6*'Vehicle Data'!D$21*9.81,IF(O238=0.9,'Vehicle Data'!C$6*9.81*'Vehicle Data'!D$20))</f>
        <v>86.131799999999998</v>
      </c>
      <c r="AL238" s="101">
        <f t="shared" si="167"/>
        <v>111.44887500000002</v>
      </c>
      <c r="AM238" s="101"/>
      <c r="AN238" t="b">
        <f>IF(AG238&gt;0,AG238*'Vehicle Data'!C$6)</f>
        <v>0</v>
      </c>
      <c r="AO238" s="101">
        <f t="shared" si="168"/>
        <v>111.44887500000002</v>
      </c>
      <c r="AP238" s="101">
        <f>AO238*'Vehicle Data'!F$3</f>
        <v>28.486332450000003</v>
      </c>
      <c r="AQ238">
        <v>20</v>
      </c>
      <c r="AR238">
        <f>IF(Z238&lt;'Vehicle Data'!C$16, Z238*'Vehicle Data'!F$7*'Vehicle Data'!G$14,IF(Z238&lt;'Vehicle Data'!C$15,Z238*'Vehicle Data'!F$7*'Vehicle Data'!G$15,IF(Z238&gt;'Vehicle Data'!C$15,Z238*'Vehicle Data'!F$7*'Vehicle Data'!G$16)))</f>
        <v>107.59259259259261</v>
      </c>
      <c r="AS238">
        <f t="shared" si="151"/>
        <v>6455.5555555555566</v>
      </c>
      <c r="AT238">
        <f t="shared" si="170"/>
        <v>20</v>
      </c>
      <c r="AU238">
        <f t="shared" si="169"/>
        <v>6500</v>
      </c>
      <c r="AW238">
        <f>VLOOKUP(AT238,BSFC!A$64:A$82,1,FALSE)</f>
        <v>20</v>
      </c>
      <c r="AX238" t="e" cm="1">
        <f t="array" ref="AX238">_xlfn.XLOOKUP(AT238,BSFC!A$64:A$82,,-1,_xlfn.XLOOKUP(Data!AU238,BSFC!C$63:Q$63,BSFC!B$64:Q$82,,-1))</f>
        <v>#VALUE!</v>
      </c>
      <c r="AY238">
        <f>HLOOKUP(AU238,BSFC!F$63:Q$63,1)</f>
        <v>6500</v>
      </c>
      <c r="AZ238">
        <f>IF(AT238&gt;0,MATCH(AT238,BSFC!A$64:A$83,0),IF(AT238&lt;=0,0))</f>
        <v>3</v>
      </c>
      <c r="BA238">
        <f>MATCH(AU238,BSFC!C$63:Q$63,0)</f>
        <v>13</v>
      </c>
      <c r="BB238" cm="1">
        <f t="array" ref="BB238">IF(AZ238&gt;0,INDEX(BSFC!C$64:Q$83,Data!AZ238,Data!BA238))</f>
        <v>494.7</v>
      </c>
      <c r="BC238">
        <f>0.5*'Vehicle Data'!C$6*Data!Z238^2</f>
        <v>15121.355000000003</v>
      </c>
      <c r="BD238">
        <f t="shared" si="134"/>
        <v>13.465906457145509</v>
      </c>
      <c r="BE238">
        <f t="shared" si="154"/>
        <v>6661.5839243498831</v>
      </c>
      <c r="BF238">
        <f t="shared" si="155"/>
        <v>0.53724296463209975</v>
      </c>
      <c r="BG238">
        <f t="shared" si="135"/>
        <v>67.495719351069681</v>
      </c>
      <c r="BH238">
        <f t="shared" si="171"/>
        <v>13465.906457145509</v>
      </c>
      <c r="BI238" s="148">
        <f t="shared" si="136"/>
        <v>6871.6622130335309</v>
      </c>
      <c r="BO238">
        <f t="shared" si="137"/>
        <v>3917.4195426014135</v>
      </c>
      <c r="BP238">
        <f t="shared" si="138"/>
        <v>287874.99733676814</v>
      </c>
      <c r="BQ238">
        <f t="shared" si="139"/>
        <v>379388.61960249714</v>
      </c>
      <c r="BR238" s="148">
        <f t="shared" si="140"/>
        <v>410370.2590091707</v>
      </c>
      <c r="BS238" s="156">
        <f t="shared" si="141"/>
        <v>3917.4195426014135</v>
      </c>
      <c r="BT238" s="156">
        <f t="shared" si="142"/>
        <v>13465.906457145509</v>
      </c>
      <c r="BU238">
        <f t="shared" si="143"/>
        <v>1999.0621447699805</v>
      </c>
      <c r="BV238">
        <f t="shared" si="144"/>
        <v>1999.0621447699805</v>
      </c>
      <c r="BW238" s="148">
        <f t="shared" si="145"/>
        <v>455.4</v>
      </c>
      <c r="BX238" s="148">
        <f t="shared" si="146"/>
        <v>3129354.9718154697</v>
      </c>
      <c r="BY238" s="148">
        <f t="shared" si="147"/>
        <v>0.2528813613134025</v>
      </c>
      <c r="BZ238">
        <f t="shared" si="130"/>
        <v>59.428299035106861</v>
      </c>
      <c r="CB238">
        <f t="shared" si="148"/>
        <v>-1918.357397831433</v>
      </c>
      <c r="CC238" s="162">
        <f t="shared" si="131"/>
        <v>-6607.4485039778056</v>
      </c>
      <c r="CD238">
        <f t="shared" si="156"/>
        <v>30249.698927647642</v>
      </c>
    </row>
    <row r="239" spans="4:82" x14ac:dyDescent="0.2">
      <c r="D239" s="22">
        <f t="shared" si="157"/>
        <v>0</v>
      </c>
      <c r="E239" s="23">
        <v>11.501701599999999</v>
      </c>
      <c r="F239" s="23">
        <f>IF(K239&lt;6,1,IF(Data!K239&lt;9,2,IF(K239&gt;9,3)))</f>
        <v>3</v>
      </c>
      <c r="G239" s="23">
        <v>1065.3528199265015</v>
      </c>
      <c r="H239" s="23">
        <v>219.91666499999999</v>
      </c>
      <c r="I239" s="64">
        <v>48.472393670559434</v>
      </c>
      <c r="J239" s="65">
        <f t="shared" si="158"/>
        <v>1.9343653736226887</v>
      </c>
      <c r="K239" s="65">
        <f t="shared" si="159"/>
        <v>19.388957468223772</v>
      </c>
      <c r="L239" s="65">
        <f t="shared" si="160"/>
        <v>0.77374614944913234</v>
      </c>
      <c r="M239">
        <f t="shared" si="161"/>
        <v>23.003403199999997</v>
      </c>
      <c r="N239">
        <f t="shared" si="162"/>
        <v>0</v>
      </c>
      <c r="O239">
        <f>IF(L239&lt;'Vehicle Data'!F$21,'Vehicle Data'!C$21,IF(L239&gt;'Vehicle Data'!C$21,'Vehicle Data'!C$20))</f>
        <v>0.6</v>
      </c>
      <c r="P239">
        <f>('Vehicle Data'!C$6*9.81*'Vehicle Data'!C$5*SIN(D239))/'Vehicle Data'!C$9</f>
        <v>0</v>
      </c>
      <c r="Q239" s="107">
        <f>'Vehicle Data'!C$6*9.81*SIN(D239)</f>
        <v>0</v>
      </c>
      <c r="R239" s="101">
        <f t="shared" si="163"/>
        <v>1062.9332744467138</v>
      </c>
      <c r="S239" s="101">
        <f>IF(Data!O239=0.6,'Vehicle Data'!E$21,IF(Data!O239 = 0.9,'Vehicle Data'!E$20))+(P239*O239)</f>
        <v>1550.3723999999997</v>
      </c>
      <c r="T239" s="101">
        <f>IF(F239=3,'Vehicle Data'!H$16,IF(F239=2,'Vehicle Data'!H$15,IF(F239 = 1,'Vehicle Data'!G$14)))</f>
        <v>466.23005239380637</v>
      </c>
      <c r="U239" s="148">
        <f t="shared" si="164"/>
        <v>346.7947923233977</v>
      </c>
      <c r="V239" s="102" t="s">
        <v>77</v>
      </c>
      <c r="W239" s="103" t="s">
        <v>84</v>
      </c>
      <c r="X239" s="101">
        <f>IF(V239="S",'Vehicle Data'!C$14,IF(Data!V239 = "T1",'Vehicle Data'!P$2,IF(Data!V239="T2",'Vehicle Data'!P$3)))</f>
        <v>13.411199999999999</v>
      </c>
      <c r="Y239" s="101"/>
      <c r="Z239" s="105">
        <v>8.3000000000000007</v>
      </c>
      <c r="AA239" s="101"/>
      <c r="AB239" s="101" t="b">
        <f>IF(AA239=1,'Vehicle Data'!I$14,IF(AA239=2,'Vehicle Data'!I$15,IF(AA239=3,'Vehicle Data'!I$16)))</f>
        <v>0</v>
      </c>
      <c r="AC239" s="101">
        <f>IF(Z239&lt;'Vehicle Data'!C$16,'Vehicle Data'!I$15,IF(Z239&lt;'Vehicle Data'!C$15,'Vehicle Data'!I$15,IF(Z238&gt;'Vehicle Data'!C$15,'Vehicle Data'!I$16)))</f>
        <v>0.98256251041858167</v>
      </c>
      <c r="AD239">
        <f>IF(O239=0.6,'Vehicle Data'!F$21,IF(O239=0.9,'Vehicle Data'!F$20))</f>
        <v>3.5315999999999996</v>
      </c>
      <c r="AE239" s="101">
        <f>(Data!H$15-Data!Q239)/'Vehicle Data'!C$6</f>
        <v>0.48181472665148062</v>
      </c>
      <c r="AF239" s="158">
        <f t="shared" si="166"/>
        <v>0.29091391322733312</v>
      </c>
      <c r="AG239" s="148">
        <f t="shared" si="132"/>
        <v>0</v>
      </c>
      <c r="AH239" s="148">
        <f t="shared" si="150"/>
        <v>59.719212948334196</v>
      </c>
      <c r="AI239" s="101"/>
      <c r="AJ239" s="101">
        <f>(Z239^2)*'Vehicle Data'!C$31</f>
        <v>25.317075000000013</v>
      </c>
      <c r="AK239" s="101">
        <f>IF(O239=0.6,'Vehicle Data'!C$6*'Vehicle Data'!D$21*9.81,IF(O239=0.9,'Vehicle Data'!C$6*9.81*'Vehicle Data'!D$20))</f>
        <v>86.131799999999998</v>
      </c>
      <c r="AL239" s="101">
        <f t="shared" si="167"/>
        <v>111.44887500000002</v>
      </c>
      <c r="AM239" s="101"/>
      <c r="AN239" t="b">
        <f>IF(AG239&gt;0,AG239*'Vehicle Data'!C$6)</f>
        <v>0</v>
      </c>
      <c r="AO239" s="101">
        <f t="shared" si="168"/>
        <v>111.44887500000002</v>
      </c>
      <c r="AP239" s="101">
        <f>AO239*'Vehicle Data'!F$3</f>
        <v>28.486332450000003</v>
      </c>
      <c r="AQ239">
        <v>20</v>
      </c>
      <c r="AR239">
        <f>IF(Z239&lt;'Vehicle Data'!C$16, Z239*'Vehicle Data'!F$7*'Vehicle Data'!G$14,IF(Z239&lt;'Vehicle Data'!C$15,Z239*'Vehicle Data'!F$7*'Vehicle Data'!G$15,IF(Z239&gt;'Vehicle Data'!C$15,Z239*'Vehicle Data'!F$7*'Vehicle Data'!G$16)))</f>
        <v>107.59259259259261</v>
      </c>
      <c r="AS239">
        <f t="shared" si="151"/>
        <v>6455.5555555555566</v>
      </c>
      <c r="AT239">
        <f t="shared" si="170"/>
        <v>20</v>
      </c>
      <c r="AU239">
        <f t="shared" si="169"/>
        <v>6500</v>
      </c>
      <c r="AW239">
        <f>VLOOKUP(AT239,BSFC!A$64:A$82,1,FALSE)</f>
        <v>20</v>
      </c>
      <c r="AX239" t="e" cm="1">
        <f t="array" ref="AX239">_xlfn.XLOOKUP(AT239,BSFC!A$64:A$82,,-1,_xlfn.XLOOKUP(Data!AU239,BSFC!C$63:Q$63,BSFC!B$64:Q$82,,-1))</f>
        <v>#VALUE!</v>
      </c>
      <c r="AY239">
        <f>HLOOKUP(AU239,BSFC!F$63:Q$63,1)</f>
        <v>6500</v>
      </c>
      <c r="AZ239">
        <f>IF(AT239&gt;0,MATCH(AT239,BSFC!A$64:A$83,0),IF(AT239&lt;=0,0))</f>
        <v>3</v>
      </c>
      <c r="BA239">
        <f>MATCH(AU239,BSFC!C$63:Q$63,0)</f>
        <v>13</v>
      </c>
      <c r="BB239" cm="1">
        <f t="array" ref="BB239">IF(AZ239&gt;0,INDEX(BSFC!C$64:Q$83,Data!AZ239,Data!BA239))</f>
        <v>494.7</v>
      </c>
      <c r="BC239">
        <f>0.5*'Vehicle Data'!C$6*Data!Z239^2</f>
        <v>15121.355000000003</v>
      </c>
      <c r="BD239">
        <f t="shared" si="134"/>
        <v>13.465906457145509</v>
      </c>
      <c r="BE239">
        <f t="shared" si="154"/>
        <v>6661.5839243498831</v>
      </c>
      <c r="BF239">
        <f t="shared" si="155"/>
        <v>0.53831873547914422</v>
      </c>
      <c r="BG239">
        <f t="shared" si="135"/>
        <v>68.034038086548819</v>
      </c>
      <c r="BH239">
        <f t="shared" si="171"/>
        <v>13465.906457145509</v>
      </c>
      <c r="BI239" s="148">
        <f t="shared" si="136"/>
        <v>6871.6622130335309</v>
      </c>
      <c r="BO239">
        <f t="shared" si="137"/>
        <v>3925.4666385097817</v>
      </c>
      <c r="BP239">
        <f t="shared" si="138"/>
        <v>291800.4639752779</v>
      </c>
      <c r="BQ239">
        <f t="shared" si="139"/>
        <v>383314.08624100691</v>
      </c>
      <c r="BR239" s="148">
        <f t="shared" si="140"/>
        <v>412373.42759304703</v>
      </c>
      <c r="BS239" s="156">
        <f t="shared" si="141"/>
        <v>3925.4666385097817</v>
      </c>
      <c r="BT239" s="156">
        <f t="shared" si="142"/>
        <v>13465.906457145509</v>
      </c>
      <c r="BU239">
        <f t="shared" si="143"/>
        <v>2003.1685838763392</v>
      </c>
      <c r="BV239">
        <f t="shared" si="144"/>
        <v>2003.1685838763392</v>
      </c>
      <c r="BW239" s="148">
        <f t="shared" si="145"/>
        <v>455.4</v>
      </c>
      <c r="BX239" s="148">
        <f t="shared" si="146"/>
        <v>3129354.9718154697</v>
      </c>
      <c r="BY239" s="148">
        <f t="shared" si="147"/>
        <v>0.25340082586035684</v>
      </c>
      <c r="BZ239">
        <f t="shared" si="130"/>
        <v>59.719212948334196</v>
      </c>
      <c r="CB239">
        <f t="shared" si="148"/>
        <v>-1922.2980546334425</v>
      </c>
      <c r="CC239" s="162">
        <f t="shared" si="131"/>
        <v>-6607.7900273241958</v>
      </c>
      <c r="CD239">
        <f t="shared" si="156"/>
        <v>28327.400873014198</v>
      </c>
    </row>
    <row r="240" spans="4:82" ht="16" thickBot="1" x14ac:dyDescent="0.25">
      <c r="D240" s="22">
        <f t="shared" si="157"/>
        <v>0</v>
      </c>
      <c r="E240" s="23">
        <v>11.501701599999999</v>
      </c>
      <c r="F240" s="23">
        <f>IF(K240&lt;6,1,IF(Data!K240&lt;9,2,IF(K240&gt;9,3)))</f>
        <v>3</v>
      </c>
      <c r="G240" s="23">
        <v>1067.7775654062891</v>
      </c>
      <c r="H240" s="23">
        <v>219.96666499999998</v>
      </c>
      <c r="I240" s="64">
        <v>48.569111939240535</v>
      </c>
      <c r="J240" s="65">
        <f t="shared" si="158"/>
        <v>1.9153387929762198</v>
      </c>
      <c r="K240" s="65">
        <f t="shared" si="159"/>
        <v>19.427644775696216</v>
      </c>
      <c r="L240" s="65">
        <f t="shared" si="160"/>
        <v>0.76613551719045947</v>
      </c>
      <c r="M240">
        <f t="shared" si="161"/>
        <v>23.003403199999997</v>
      </c>
      <c r="N240">
        <f t="shared" si="162"/>
        <v>0</v>
      </c>
      <c r="O240">
        <f>IF(L240&lt;'Vehicle Data'!F$21,'Vehicle Data'!C$21,IF(L240&gt;'Vehicle Data'!C$21,'Vehicle Data'!C$20))</f>
        <v>0.6</v>
      </c>
      <c r="P240">
        <f>('Vehicle Data'!C$6*9.81*'Vehicle Data'!C$5*SIN(D240))/'Vehicle Data'!C$9</f>
        <v>0</v>
      </c>
      <c r="Q240" s="107">
        <f>'Vehicle Data'!C$6*9.81*SIN(D240)</f>
        <v>0</v>
      </c>
      <c r="R240" s="101">
        <f t="shared" si="163"/>
        <v>1065.3528199265015</v>
      </c>
      <c r="S240" s="101">
        <f>IF(Data!O240=0.6,'Vehicle Data'!E$21,IF(Data!O240 = 0.9,'Vehicle Data'!E$20))+(P240*O240)</f>
        <v>1550.3723999999997</v>
      </c>
      <c r="T240" s="101">
        <f>IF(F240=3,'Vehicle Data'!H$16,IF(F240=2,'Vehicle Data'!H$15,IF(F240 = 1,'Vehicle Data'!G$14)))</f>
        <v>466.23005239380637</v>
      </c>
      <c r="U240" s="148">
        <f t="shared" si="164"/>
        <v>349.21433780318546</v>
      </c>
      <c r="V240" s="102" t="s">
        <v>77</v>
      </c>
      <c r="W240" s="103" t="s">
        <v>84</v>
      </c>
      <c r="X240" s="101">
        <f>IF(V240="S",'Vehicle Data'!C$14,IF(Data!V240 = "T1",'Vehicle Data'!P$2,IF(Data!V240="T2",'Vehicle Data'!P$3)))</f>
        <v>13.411199999999999</v>
      </c>
      <c r="Y240" s="101"/>
      <c r="Z240" s="106">
        <v>8.3000000000000007</v>
      </c>
      <c r="AA240" s="101"/>
      <c r="AB240" s="101" t="b">
        <f>IF(AA240=1,'Vehicle Data'!I$14,IF(AA240=2,'Vehicle Data'!I$15,IF(AA240=3,'Vehicle Data'!I$16)))</f>
        <v>0</v>
      </c>
      <c r="AC240" s="101">
        <f>IF(Z240&lt;'Vehicle Data'!C$16,'Vehicle Data'!I$15,IF(Z240&lt;'Vehicle Data'!C$15,'Vehicle Data'!I$15,IF(Z239&gt;'Vehicle Data'!C$15,'Vehicle Data'!I$16)))</f>
        <v>0.98256251041858167</v>
      </c>
      <c r="AD240">
        <f>IF(O240=0.6,'Vehicle Data'!F$21,IF(O240=0.9,'Vehicle Data'!F$20))</f>
        <v>3.5315999999999996</v>
      </c>
      <c r="AE240" s="101">
        <f>(Data!H$15-Data!Q240)/'Vehicle Data'!C$6</f>
        <v>0.48181472665148062</v>
      </c>
      <c r="AF240" s="158">
        <f t="shared" si="166"/>
        <v>0.29151150358888639</v>
      </c>
      <c r="AG240" s="148">
        <f t="shared" si="132"/>
        <v>0</v>
      </c>
      <c r="AH240" s="148">
        <f t="shared" si="150"/>
        <v>60.010724451923082</v>
      </c>
      <c r="AI240" s="101"/>
      <c r="AJ240" s="101">
        <f>(Z240^2)*'Vehicle Data'!C$31</f>
        <v>25.317075000000013</v>
      </c>
      <c r="AK240" s="101">
        <f>IF(O240=0.6,'Vehicle Data'!C$6*'Vehicle Data'!D$21*9.81,IF(O240=0.9,'Vehicle Data'!C$6*9.81*'Vehicle Data'!D$20))</f>
        <v>86.131799999999998</v>
      </c>
      <c r="AL240" s="101">
        <f t="shared" si="167"/>
        <v>111.44887500000002</v>
      </c>
      <c r="AM240" s="101"/>
      <c r="AN240" t="b">
        <f>IF(AG240&gt;0,AG240*'Vehicle Data'!C$6)</f>
        <v>0</v>
      </c>
      <c r="AO240" s="101">
        <f t="shared" si="168"/>
        <v>111.44887500000002</v>
      </c>
      <c r="AP240" s="101">
        <f>AO240*'Vehicle Data'!F$3</f>
        <v>28.486332450000003</v>
      </c>
      <c r="AQ240">
        <v>20</v>
      </c>
      <c r="AR240">
        <f>IF(Z240&lt;'Vehicle Data'!C$16, Z240*'Vehicle Data'!F$7*'Vehicle Data'!G$14,IF(Z240&lt;'Vehicle Data'!C$15,Z240*'Vehicle Data'!F$7*'Vehicle Data'!G$15,IF(Z240&gt;'Vehicle Data'!C$15,Z240*'Vehicle Data'!F$7*'Vehicle Data'!G$16)))</f>
        <v>107.59259259259261</v>
      </c>
      <c r="AS240">
        <f t="shared" si="151"/>
        <v>6455.5555555555566</v>
      </c>
      <c r="AT240">
        <f t="shared" si="170"/>
        <v>20</v>
      </c>
      <c r="AU240">
        <f t="shared" si="169"/>
        <v>6500</v>
      </c>
      <c r="AW240">
        <f>VLOOKUP(AT240,BSFC!A$64:A$82,1,FALSE)</f>
        <v>20</v>
      </c>
      <c r="AX240" t="e" cm="1">
        <f t="array" ref="AX240">_xlfn.XLOOKUP(AT240,BSFC!A$64:A$82,,-1,_xlfn.XLOOKUP(Data!AU240,BSFC!C$63:Q$63,BSFC!B$64:Q$82,,-1))</f>
        <v>#VALUE!</v>
      </c>
      <c r="AY240">
        <f>HLOOKUP(AU240,BSFC!F$63:Q$63,1)</f>
        <v>6500</v>
      </c>
      <c r="AZ240">
        <f>IF(AT240&gt;0,MATCH(AT240,BSFC!A$64:A$83,0),IF(AT240&lt;=0,0))</f>
        <v>3</v>
      </c>
      <c r="BA240">
        <f>MATCH(AU240,BSFC!C$63:Q$63,0)</f>
        <v>13</v>
      </c>
      <c r="BB240" cm="1">
        <f t="array" ref="BB240">IF(AZ240&gt;0,INDEX(BSFC!C$64:Q$83,Data!AZ240,Data!BA240))</f>
        <v>494.7</v>
      </c>
      <c r="BC240">
        <f>0.5*'Vehicle Data'!C$6*Data!Z240^2</f>
        <v>15121.355000000003</v>
      </c>
      <c r="BD240">
        <f t="shared" si="134"/>
        <v>3.2250722167563075</v>
      </c>
      <c r="BE240">
        <f t="shared" si="154"/>
        <v>1595.4432256293453</v>
      </c>
      <c r="BF240">
        <f t="shared" si="155"/>
        <v>0.12919168155386482</v>
      </c>
      <c r="BG240">
        <f t="shared" si="135"/>
        <v>68.163229768102681</v>
      </c>
      <c r="BH240">
        <f t="shared" si="171"/>
        <v>13465.906457145509</v>
      </c>
      <c r="BI240" s="148">
        <f t="shared" si="136"/>
        <v>6871.6622130335309</v>
      </c>
      <c r="BO240">
        <f t="shared" si="137"/>
        <v>3868.8400802917517</v>
      </c>
      <c r="BP240">
        <f t="shared" si="138"/>
        <v>295669.30405556964</v>
      </c>
      <c r="BQ240">
        <f t="shared" si="139"/>
        <v>387182.92632129864</v>
      </c>
      <c r="BR240" s="148">
        <f t="shared" si="140"/>
        <v>414347.69960159075</v>
      </c>
      <c r="BS240" s="156">
        <f t="shared" si="141"/>
        <v>3868.8400802917517</v>
      </c>
      <c r="BT240" s="156">
        <f t="shared" si="142"/>
        <v>13465.906457145509</v>
      </c>
      <c r="BU240">
        <f t="shared" si="143"/>
        <v>1974.2720085437147</v>
      </c>
      <c r="BV240">
        <f t="shared" si="144"/>
        <v>1974.2720085437147</v>
      </c>
      <c r="BW240" s="148">
        <f t="shared" si="145"/>
        <v>455.4</v>
      </c>
      <c r="BX240" s="148">
        <f t="shared" si="146"/>
        <v>3129354.9718154697</v>
      </c>
      <c r="BY240" s="148">
        <f t="shared" si="147"/>
        <v>0.24974540908077988</v>
      </c>
      <c r="BZ240">
        <f t="shared" si="130"/>
        <v>60.010724451923082</v>
      </c>
      <c r="CB240">
        <f t="shared" si="148"/>
        <v>-1894.568071748037</v>
      </c>
      <c r="CC240" s="162">
        <f t="shared" si="131"/>
        <v>-6499.1194118360281</v>
      </c>
      <c r="CD240">
        <f t="shared" si="156"/>
        <v>26432.832801266162</v>
      </c>
    </row>
    <row r="241" spans="4:82" x14ac:dyDescent="0.2">
      <c r="D241" s="22">
        <f t="shared" si="157"/>
        <v>-4.107080121875966E-2</v>
      </c>
      <c r="E241" s="23">
        <v>11.501701599999999</v>
      </c>
      <c r="F241" s="23">
        <f>IF(K241&lt;6,1,IF(Data!K241&lt;9,2,IF(K241&gt;9,3)))</f>
        <v>3</v>
      </c>
      <c r="G241" s="23">
        <v>1070.2076035279713</v>
      </c>
      <c r="H241" s="23">
        <v>220.01666499999999</v>
      </c>
      <c r="I241" s="64">
        <v>48.664878878889368</v>
      </c>
      <c r="J241" s="65">
        <f t="shared" si="158"/>
        <v>1.7855161126991197</v>
      </c>
      <c r="K241" s="65">
        <f t="shared" si="159"/>
        <v>19.465951551555747</v>
      </c>
      <c r="L241" s="65">
        <f t="shared" si="160"/>
        <v>0.71420644507964781</v>
      </c>
      <c r="M241">
        <f t="shared" si="161"/>
        <v>23.003403199999997</v>
      </c>
      <c r="N241">
        <f t="shared" si="162"/>
        <v>-9.9998399999998711E-2</v>
      </c>
      <c r="O241">
        <f>IF(L241&lt;'Vehicle Data'!F$21,'Vehicle Data'!C$21,IF(L241&gt;'Vehicle Data'!C$21,'Vehicle Data'!C$20))</f>
        <v>0.6</v>
      </c>
      <c r="P241">
        <f>('Vehicle Data'!C$6*9.81*'Vehicle Data'!C$5*SIN(D241))/'Vehicle Data'!C$9</f>
        <v>-27.344130960567359</v>
      </c>
      <c r="Q241" s="107">
        <f>'Vehicle Data'!C$6*9.81*SIN(D241)</f>
        <v>-176.82538021166891</v>
      </c>
      <c r="R241">
        <f t="shared" si="163"/>
        <v>1067.7775654062891</v>
      </c>
      <c r="S241">
        <f>IF(Data!O241=0.6,'Vehicle Data'!E$21,IF(Data!O241 = 0.9,'Vehicle Data'!E$20))+(P241*O241)</f>
        <v>1533.9659214236594</v>
      </c>
      <c r="T241">
        <f>IF(F241=3,'Vehicle Data'!H$16,IF(F241=2,'Vehicle Data'!H$15,IF(F241 = 1,'Vehicle Data'!G$14)))</f>
        <v>466.23005239380637</v>
      </c>
      <c r="U241" s="148">
        <f t="shared" si="164"/>
        <v>351.63908328297305</v>
      </c>
      <c r="V241" s="70" t="s">
        <v>77</v>
      </c>
      <c r="W241" s="99" t="s">
        <v>84</v>
      </c>
      <c r="X241">
        <f>IF(V241="S",'Vehicle Data'!C$14,IF(Data!V241 = "T1",'Vehicle Data'!P$2,IF(Data!V241="T2",'Vehicle Data'!P$3)))</f>
        <v>13.411199999999999</v>
      </c>
      <c r="Z241">
        <f>SQRT(Z240^2+2*AE240*(U241-U240))</f>
        <v>8.4395827006485664</v>
      </c>
      <c r="AB241" t="b">
        <f>IF(AA241=1,'Vehicle Data'!I$14,IF(AA241=2,'Vehicle Data'!I$15,IF(AA241=3,'Vehicle Data'!I$16)))</f>
        <v>0</v>
      </c>
      <c r="AC241">
        <f>IF(Z241&lt;'Vehicle Data'!C$16,'Vehicle Data'!I$15,IF(Z241&lt;'Vehicle Data'!C$15,'Vehicle Data'!I$15,IF(Z240&gt;'Vehicle Data'!C$15,'Vehicle Data'!I$16)))</f>
        <v>0.98256251041858167</v>
      </c>
      <c r="AD241">
        <f>IF(O241=0.6,'Vehicle Data'!F$21,IF(O241=0.9,'Vehicle Data'!F$20))</f>
        <v>3.5315999999999996</v>
      </c>
      <c r="AE241" s="100">
        <f t="shared" ref="AE241:AE267" si="172">IF(W241="a",AC241,IF(W241="b",AD241*-1))</f>
        <v>0.98256251041858167</v>
      </c>
      <c r="AF241" s="158">
        <f t="shared" si="166"/>
        <v>0.28730632375949722</v>
      </c>
      <c r="AG241" s="148">
        <f t="shared" si="132"/>
        <v>0.48583232983555813</v>
      </c>
      <c r="AH241" s="148">
        <f t="shared" si="150"/>
        <v>60.298030775682577</v>
      </c>
      <c r="AJ241">
        <f>(Z241^2)*'Vehicle Data'!C$31</f>
        <v>26.175759389199314</v>
      </c>
      <c r="AK241">
        <f>IF(O241=0.6,'Vehicle Data'!C$6*'Vehicle Data'!D$21*9.81,IF(O241=0.9,'Vehicle Data'!C$6*9.81*'Vehicle Data'!D$20))</f>
        <v>86.131799999999998</v>
      </c>
      <c r="AL241">
        <f t="shared" si="167"/>
        <v>-64.517820822469602</v>
      </c>
      <c r="AN241">
        <f>IF(AG241&gt;0,AG241*'Vehicle Data'!C$6)</f>
        <v>213.28039279781001</v>
      </c>
      <c r="AO241">
        <f t="shared" si="168"/>
        <v>148.76257197534039</v>
      </c>
      <c r="AP241">
        <f>AO241*'Vehicle Data'!F$3</f>
        <v>38.023713396897001</v>
      </c>
      <c r="AQ241">
        <f>IF(AE241='Vehicle Data'!I$15,AP241/'Vehicle Data'!G$15,IF(AE241='Vehicle Data'!I$16,AP241/'Vehicle Data'!G$16,IF(AE241='Vehicle Data'!I$14,Data!AP241/'Vehicle Data'!G252)))</f>
        <v>4.7107598562553266</v>
      </c>
      <c r="AR241">
        <f>IF(Z241&lt;'Vehicle Data'!C$16, Z241*'Vehicle Data'!F$7*'Vehicle Data'!G$14,IF(Z241&lt;'Vehicle Data'!C$15,Z241*'Vehicle Data'!F$7*'Vehicle Data'!G$15,IF(Z241&gt;'Vehicle Data'!C$15,Z241*'Vehicle Data'!F$7*'Vehicle Data'!G$16)))</f>
        <v>109.40199797137031</v>
      </c>
      <c r="AS241">
        <f t="shared" si="151"/>
        <v>6564.1198782822185</v>
      </c>
      <c r="AT241">
        <f t="shared" si="170"/>
        <v>5</v>
      </c>
      <c r="AU241">
        <f t="shared" si="169"/>
        <v>6500</v>
      </c>
      <c r="AW241">
        <f>VLOOKUP(AT241,BSFC!A$64:A$82,1,FALSE)</f>
        <v>5</v>
      </c>
      <c r="AX241" t="e" cm="1">
        <f t="array" ref="AX241">_xlfn.XLOOKUP(AT241,BSFC!A$64:A$82,,-1,_xlfn.XLOOKUP(Data!AU241,BSFC!C$63:Q$63,BSFC!B$64:Q$82,,-1))</f>
        <v>#VALUE!</v>
      </c>
      <c r="AY241">
        <f>HLOOKUP(AU241,BSFC!F$63:Q$63,1)</f>
        <v>6500</v>
      </c>
      <c r="AZ241">
        <f>IF(AT241&gt;0,MATCH(AT241,BSFC!A$64:A$83,0),IF(AT241&lt;=0,0))</f>
        <v>18</v>
      </c>
      <c r="BA241">
        <f>MATCH(AU241,BSFC!C$63:Q$63,0)</f>
        <v>13</v>
      </c>
      <c r="BB241" cm="1">
        <f t="array" ref="BB241">IF(AZ241&gt;0,INDEX(BSFC!C$64:Q$83,Data!AZ241,Data!BA241))</f>
        <v>600</v>
      </c>
      <c r="BC241">
        <f>0.5*'Vehicle Data'!C$6*Data!Z241^2</f>
        <v>15634.229077358497</v>
      </c>
      <c r="BD241">
        <f t="shared" si="134"/>
        <v>11.746270514507263</v>
      </c>
      <c r="BE241">
        <f t="shared" si="154"/>
        <v>7047.7623087043576</v>
      </c>
      <c r="BF241">
        <f t="shared" si="155"/>
        <v>0.56246296656794326</v>
      </c>
      <c r="BG241">
        <f t="shared" si="135"/>
        <v>68.725692734670631</v>
      </c>
      <c r="BH241">
        <f t="shared" si="171"/>
        <v>3225.0722167563076</v>
      </c>
      <c r="BI241" s="148">
        <f t="shared" si="136"/>
        <v>6871.6622130335309</v>
      </c>
      <c r="BO241">
        <f t="shared" si="137"/>
        <v>898.959961209791</v>
      </c>
      <c r="BP241">
        <f t="shared" si="138"/>
        <v>296568.26401677943</v>
      </c>
      <c r="BQ241">
        <f t="shared" si="139"/>
        <v>388081.88628250844</v>
      </c>
      <c r="BR241" s="148">
        <f t="shared" si="140"/>
        <v>416263.11382530339</v>
      </c>
      <c r="BS241" s="156">
        <f t="shared" si="141"/>
        <v>898.959961209791</v>
      </c>
      <c r="BT241" s="156">
        <f t="shared" si="142"/>
        <v>3225.0722167563076</v>
      </c>
      <c r="BU241">
        <f t="shared" si="143"/>
        <v>1915.4142237126161</v>
      </c>
      <c r="BV241">
        <f t="shared" si="144"/>
        <v>1915.4142237126161</v>
      </c>
      <c r="BW241" s="148">
        <f t="shared" si="145"/>
        <v>455.4</v>
      </c>
      <c r="BX241" s="148">
        <f t="shared" si="146"/>
        <v>3129354.9718154697</v>
      </c>
      <c r="BY241" s="148">
        <f t="shared" si="147"/>
        <v>0.2422998992996459</v>
      </c>
      <c r="BZ241">
        <f t="shared" si="130"/>
        <v>60.298030775682577</v>
      </c>
      <c r="CB241">
        <f t="shared" si="148"/>
        <v>1016.4542625028251</v>
      </c>
      <c r="CC241" s="162">
        <f t="shared" si="131"/>
        <v>3537.8764003597175</v>
      </c>
      <c r="CD241">
        <f t="shared" si="156"/>
        <v>27449.287063768988</v>
      </c>
    </row>
    <row r="242" spans="4:82" x14ac:dyDescent="0.2">
      <c r="D242" s="22">
        <f t="shared" si="157"/>
        <v>-6.4746343068807508E-3</v>
      </c>
      <c r="E242" s="23">
        <v>11.4017032</v>
      </c>
      <c r="F242" s="23">
        <f>IF(K242&lt;6,1,IF(Data!K242&lt;9,2,IF(K242&gt;9,3)))</f>
        <v>3</v>
      </c>
      <c r="G242" s="23">
        <v>1072.6430690077598</v>
      </c>
      <c r="H242" s="23">
        <v>220.066665</v>
      </c>
      <c r="I242" s="64">
        <v>48.754154684524345</v>
      </c>
      <c r="J242" s="65">
        <f t="shared" si="158"/>
        <v>1.737401231523019</v>
      </c>
      <c r="K242" s="65">
        <f t="shared" si="159"/>
        <v>19.501661873809738</v>
      </c>
      <c r="L242" s="65">
        <f t="shared" si="160"/>
        <v>0.69496049260922177</v>
      </c>
      <c r="M242">
        <f t="shared" si="161"/>
        <v>22.8034064</v>
      </c>
      <c r="N242">
        <f t="shared" si="162"/>
        <v>-1.5802115475887391E-2</v>
      </c>
      <c r="O242">
        <f>IF(L242&lt;'Vehicle Data'!F$21,'Vehicle Data'!C$21,IF(L242&gt;'Vehicle Data'!C$21,'Vehicle Data'!C$20))</f>
        <v>0.6</v>
      </c>
      <c r="P242">
        <f>('Vehicle Data'!C$6*9.81*'Vehicle Data'!C$5*SIN(D242))/'Vehicle Data'!C$9</f>
        <v>-4.3118660632822206</v>
      </c>
      <c r="Q242" s="107">
        <f>'Vehicle Data'!C$6*9.81*SIN(D242)</f>
        <v>-27.883400542558359</v>
      </c>
      <c r="R242">
        <f t="shared" si="163"/>
        <v>1070.2076035279713</v>
      </c>
      <c r="S242">
        <f>IF(Data!O242=0.6,'Vehicle Data'!E$21,IF(Data!O242 = 0.9,'Vehicle Data'!E$20))+(P242*O242)</f>
        <v>1547.7852803620303</v>
      </c>
      <c r="T242">
        <f>IF(F242=3,'Vehicle Data'!H$16,IF(F242=2,'Vehicle Data'!H$15,IF(F242 = 1,'Vehicle Data'!G$14)))</f>
        <v>466.23005239380637</v>
      </c>
      <c r="U242" s="148">
        <f t="shared" si="164"/>
        <v>354.06912140465522</v>
      </c>
      <c r="V242" s="70" t="s">
        <v>77</v>
      </c>
      <c r="W242" s="99" t="s">
        <v>84</v>
      </c>
      <c r="X242">
        <f>IF(V242="S",'Vehicle Data'!C$14,IF(Data!V242 = "T1",'Vehicle Data'!P$2,IF(Data!V242="T2",'Vehicle Data'!P$3)))</f>
        <v>13.411199999999999</v>
      </c>
      <c r="Z242">
        <f t="shared" ref="Z242:Z259" si="173">SQRT(Z241^2+2*AE241*(U242-U241))</f>
        <v>8.7179059914403947</v>
      </c>
      <c r="AB242" t="b">
        <f>IF(AA242=1,'Vehicle Data'!I$14,IF(AA242=2,'Vehicle Data'!I$15,IF(AA242=3,'Vehicle Data'!I$16)))</f>
        <v>0</v>
      </c>
      <c r="AC242">
        <f>IF(Z242&lt;'Vehicle Data'!C$16,'Vehicle Data'!I$15,IF(Z242&lt;'Vehicle Data'!C$15,'Vehicle Data'!I$15,IF(Z241&gt;'Vehicle Data'!C$15,'Vehicle Data'!I$16)))</f>
        <v>0.98256251041858167</v>
      </c>
      <c r="AD242">
        <f>IF(O242=0.6,'Vehicle Data'!F$21,IF(O242=0.9,'Vehicle Data'!F$20))</f>
        <v>3.5315999999999996</v>
      </c>
      <c r="AE242" s="100">
        <f t="shared" si="172"/>
        <v>0.98256251041858167</v>
      </c>
      <c r="AF242" s="158">
        <f t="shared" si="166"/>
        <v>0.27874103300357755</v>
      </c>
      <c r="AG242" s="148">
        <f t="shared" si="132"/>
        <v>0.99850132502112121</v>
      </c>
      <c r="AH242" s="148">
        <f t="shared" si="150"/>
        <v>60.576771808686154</v>
      </c>
      <c r="AJ242">
        <f>(Z242^2)*'Vehicle Data'!C$31</f>
        <v>27.930692691780187</v>
      </c>
      <c r="AK242">
        <f>IF(O242=0.6,'Vehicle Data'!C$6*'Vehicle Data'!D$21*9.81,IF(O242=0.9,'Vehicle Data'!C$6*9.81*'Vehicle Data'!D$20))</f>
        <v>86.131799999999998</v>
      </c>
      <c r="AL242">
        <f t="shared" si="167"/>
        <v>86.17909214922183</v>
      </c>
      <c r="AN242">
        <f>IF(AG242&gt;0,AG242*'Vehicle Data'!C$6)</f>
        <v>438.34208168427222</v>
      </c>
      <c r="AO242">
        <f t="shared" si="168"/>
        <v>524.521173833494</v>
      </c>
      <c r="AP242">
        <f>AO242*'Vehicle Data'!F$3</f>
        <v>134.06761203184107</v>
      </c>
      <c r="AQ242">
        <f>IF(AE242='Vehicle Data'!I$15,AP242/'Vehicle Data'!G$15,IF(AE242='Vehicle Data'!I$16,AP242/'Vehicle Data'!G$16,IF(AE242='Vehicle Data'!I$14,Data!AP242/'Vehicle Data'!G253)))</f>
        <v>16.609643518803459</v>
      </c>
      <c r="AR242">
        <f>IF(Z242&lt;'Vehicle Data'!C$16, Z242*'Vehicle Data'!F$7*'Vehicle Data'!G$14,IF(Z242&lt;'Vehicle Data'!C$15,Z242*'Vehicle Data'!F$7*'Vehicle Data'!G$15,IF(Z242&gt;'Vehicle Data'!C$15,Z242*'Vehicle Data'!F$7*'Vehicle Data'!G$16)))</f>
        <v>113.00989248163475</v>
      </c>
      <c r="AS242">
        <f t="shared" si="151"/>
        <v>6780.5935488980849</v>
      </c>
      <c r="AT242">
        <f t="shared" si="170"/>
        <v>17</v>
      </c>
      <c r="AU242">
        <f t="shared" si="169"/>
        <v>7000</v>
      </c>
      <c r="AW242">
        <f>VLOOKUP(AT242,BSFC!A$64:A$82,1,FALSE)</f>
        <v>17</v>
      </c>
      <c r="AX242" t="e" cm="1">
        <f t="array" ref="AX242">_xlfn.XLOOKUP(AT242,BSFC!A$64:A$82,,-1,_xlfn.XLOOKUP(Data!AU242,BSFC!C$63:Q$63,BSFC!B$64:Q$82,,-1))</f>
        <v>#VALUE!</v>
      </c>
      <c r="AY242">
        <f>HLOOKUP(AU242,BSFC!F$63:Q$63,1)</f>
        <v>7000</v>
      </c>
      <c r="AZ242">
        <f>IF(AT242&gt;0,MATCH(AT242,BSFC!A$64:A$83,0),IF(AT242&lt;=0,0))</f>
        <v>6</v>
      </c>
      <c r="BA242">
        <f>MATCH(AU242,BSFC!C$63:Q$63,0)</f>
        <v>14</v>
      </c>
      <c r="BB242" cm="1">
        <f t="array" ref="BB242">IF(AZ242&gt;0,INDEX(BSFC!C$64:Q$83,Data!AZ242,Data!BA242))</f>
        <v>500</v>
      </c>
      <c r="BC242">
        <f>0.5*'Vehicle Data'!C$6*Data!Z242^2</f>
        <v>16682.413730192515</v>
      </c>
      <c r="BD242">
        <f t="shared" si="134"/>
        <v>8.7192170294856286</v>
      </c>
      <c r="BE242">
        <f t="shared" si="154"/>
        <v>4359.6085147428139</v>
      </c>
      <c r="BF242">
        <f t="shared" si="155"/>
        <v>0.3375560502473901</v>
      </c>
      <c r="BG242">
        <f t="shared" si="135"/>
        <v>69.063248784918017</v>
      </c>
      <c r="BH242">
        <f t="shared" si="171"/>
        <v>11746.270514507263</v>
      </c>
      <c r="BI242" s="148">
        <f t="shared" si="136"/>
        <v>6871.6622130335309</v>
      </c>
      <c r="BO242">
        <f t="shared" si="137"/>
        <v>3182.7965114733715</v>
      </c>
      <c r="BP242">
        <f t="shared" si="138"/>
        <v>299751.0605282528</v>
      </c>
      <c r="BQ242">
        <f t="shared" si="139"/>
        <v>391264.6827939818</v>
      </c>
      <c r="BR242" s="148">
        <f t="shared" si="140"/>
        <v>418125.07524468791</v>
      </c>
      <c r="BS242" s="156">
        <f t="shared" si="141"/>
        <v>3182.7965114733715</v>
      </c>
      <c r="BT242" s="156">
        <f t="shared" si="142"/>
        <v>11746.270514507263</v>
      </c>
      <c r="BU242">
        <f t="shared" si="143"/>
        <v>1861.9614193845225</v>
      </c>
      <c r="BV242">
        <f t="shared" si="144"/>
        <v>1861.9614193845225</v>
      </c>
      <c r="BW242" s="148">
        <f t="shared" si="145"/>
        <v>455.4</v>
      </c>
      <c r="BX242" s="148">
        <f t="shared" si="146"/>
        <v>3129354.9718154697</v>
      </c>
      <c r="BY242" s="148">
        <f t="shared" si="147"/>
        <v>0.23553811955214207</v>
      </c>
      <c r="BZ242">
        <f t="shared" si="130"/>
        <v>60.576771808686154</v>
      </c>
      <c r="CB242">
        <f t="shared" si="148"/>
        <v>-1320.835092088849</v>
      </c>
      <c r="CC242" s="162">
        <f t="shared" si="131"/>
        <v>-4738.5742883140556</v>
      </c>
      <c r="CD242">
        <f t="shared" si="156"/>
        <v>26128.451971680141</v>
      </c>
    </row>
    <row r="243" spans="4:82" x14ac:dyDescent="0.2">
      <c r="D243" s="22">
        <f t="shared" si="157"/>
        <v>-4.0904504877040788E-2</v>
      </c>
      <c r="E243" s="23">
        <v>11.385901084524113</v>
      </c>
      <c r="F243" s="23">
        <f>IF(K243&lt;6,1,IF(Data!K243&lt;9,2,IF(K243&gt;9,3)))</f>
        <v>3</v>
      </c>
      <c r="G243" s="23">
        <v>1075.0837050551254</v>
      </c>
      <c r="H243" s="23">
        <v>220.11666499999998</v>
      </c>
      <c r="I243" s="64">
        <v>48.841024746100466</v>
      </c>
      <c r="J243" s="65">
        <f t="shared" si="158"/>
        <v>1.6514353025723036</v>
      </c>
      <c r="K243" s="65">
        <f t="shared" si="159"/>
        <v>19.536409898440187</v>
      </c>
      <c r="L243" s="65">
        <f t="shared" si="160"/>
        <v>0.66057412102892143</v>
      </c>
      <c r="M243">
        <f t="shared" si="161"/>
        <v>22.771802169048225</v>
      </c>
      <c r="N243">
        <f t="shared" si="162"/>
        <v>-9.9998526418946909E-2</v>
      </c>
      <c r="O243">
        <f>IF(L243&lt;'Vehicle Data'!F$21,'Vehicle Data'!C$21,IF(L243&gt;'Vehicle Data'!C$21,'Vehicle Data'!C$20))</f>
        <v>0.6</v>
      </c>
      <c r="P243">
        <f>('Vehicle Data'!C$6*9.81*'Vehicle Data'!C$5*SIN(D243))/'Vehicle Data'!C$9</f>
        <v>-27.233476012040324</v>
      </c>
      <c r="Q243" s="107">
        <f>'Vehicle Data'!C$6*9.81*SIN(D243)</f>
        <v>-176.10981154452742</v>
      </c>
      <c r="R243">
        <f t="shared" si="163"/>
        <v>1072.6430690077598</v>
      </c>
      <c r="S243">
        <f>IF(Data!O243=0.6,'Vehicle Data'!E$21,IF(Data!O243 = 0.9,'Vehicle Data'!E$20))+(P243*O243)</f>
        <v>1534.0323143927756</v>
      </c>
      <c r="T243">
        <f>IF(F243=3,'Vehicle Data'!H$16,IF(F243=2,'Vehicle Data'!H$15,IF(F243 = 1,'Vehicle Data'!G$14)))</f>
        <v>466.23005239380637</v>
      </c>
      <c r="U243" s="148">
        <f t="shared" si="164"/>
        <v>356.50458688444371</v>
      </c>
      <c r="V243" s="70" t="s">
        <v>77</v>
      </c>
      <c r="W243" s="99" t="s">
        <v>84</v>
      </c>
      <c r="X243">
        <f>IF(V243="S",'Vehicle Data'!C$14,IF(Data!V243 = "T1",'Vehicle Data'!P$2,IF(Data!V243="T2",'Vehicle Data'!P$3)))</f>
        <v>13.411199999999999</v>
      </c>
      <c r="Z243">
        <f t="shared" si="173"/>
        <v>8.9882077761537023</v>
      </c>
      <c r="AB243" t="b">
        <f>IF(AA243=1,'Vehicle Data'!I$14,IF(AA243=2,'Vehicle Data'!I$15,IF(AA243=3,'Vehicle Data'!I$16)))</f>
        <v>0</v>
      </c>
      <c r="AC243">
        <f>IF(Z243&lt;'Vehicle Data'!C$16,'Vehicle Data'!I$15,IF(Z243&lt;'Vehicle Data'!C$15,'Vehicle Data'!I$15,IF(Z242&gt;'Vehicle Data'!C$15,'Vehicle Data'!I$16)))</f>
        <v>0.98256251041858167</v>
      </c>
      <c r="AD243">
        <f>IF(O243=0.6,'Vehicle Data'!F$21,IF(O243=0.9,'Vehicle Data'!F$20))</f>
        <v>3.5315999999999996</v>
      </c>
      <c r="AE243" s="100">
        <f t="shared" si="172"/>
        <v>0.98256251041858167</v>
      </c>
      <c r="AF243" s="158">
        <f t="shared" si="166"/>
        <v>0.27096230310228681</v>
      </c>
      <c r="AG243" s="148">
        <f t="shared" si="132"/>
        <v>0.99756232368334319</v>
      </c>
      <c r="AH243" s="148">
        <f t="shared" si="150"/>
        <v>60.847734111788441</v>
      </c>
      <c r="AJ243">
        <f>(Z243^2)*'Vehicle Data'!C$31</f>
        <v>29.68954554253639</v>
      </c>
      <c r="AK243">
        <f>IF(O243=0.6,'Vehicle Data'!C$6*'Vehicle Data'!D$21*9.81,IF(O243=0.9,'Vehicle Data'!C$6*9.81*'Vehicle Data'!D$20))</f>
        <v>86.131799999999998</v>
      </c>
      <c r="AL243">
        <f t="shared" si="167"/>
        <v>-60.288466001991026</v>
      </c>
      <c r="AN243">
        <f>IF(AG243&gt;0,AG243*'Vehicle Data'!C$6)</f>
        <v>437.92986009698768</v>
      </c>
      <c r="AO243">
        <f t="shared" si="168"/>
        <v>377.64139409499666</v>
      </c>
      <c r="AP243">
        <f>AO243*'Vehicle Data'!F$3</f>
        <v>96.52514033068114</v>
      </c>
      <c r="AQ243">
        <f>IF(AE243='Vehicle Data'!I$15,AP243/'Vehicle Data'!G$15,IF(AE243='Vehicle Data'!I$16,AP243/'Vehicle Data'!G$16,IF(AE243='Vehicle Data'!I$14,Data!AP243/'Vehicle Data'!G254)))</f>
        <v>11.958504721590185</v>
      </c>
      <c r="AR243">
        <f>IF(Z243&lt;'Vehicle Data'!C$16, Z243*'Vehicle Data'!F$7*'Vehicle Data'!G$14,IF(Z243&lt;'Vehicle Data'!C$15,Z243*'Vehicle Data'!F$7*'Vehicle Data'!G$15,IF(Z243&gt;'Vehicle Data'!C$15,Z243*'Vehicle Data'!F$7*'Vehicle Data'!G$16)))</f>
        <v>116.51380450569616</v>
      </c>
      <c r="AS243">
        <f t="shared" si="151"/>
        <v>6990.8282703417699</v>
      </c>
      <c r="AT243">
        <f t="shared" si="170"/>
        <v>12</v>
      </c>
      <c r="AU243">
        <f t="shared" si="169"/>
        <v>7000</v>
      </c>
      <c r="AW243">
        <f>VLOOKUP(AT243,BSFC!A$64:A$82,1,FALSE)</f>
        <v>12</v>
      </c>
      <c r="AX243" t="e" cm="1">
        <f t="array" ref="AX243">_xlfn.XLOOKUP(AT243,BSFC!A$64:A$82,,-1,_xlfn.XLOOKUP(Data!AU243,BSFC!C$63:Q$63,BSFC!B$64:Q$82,,-1))</f>
        <v>#VALUE!</v>
      </c>
      <c r="AY243">
        <f>HLOOKUP(AU243,BSFC!F$63:Q$63,1)</f>
        <v>7000</v>
      </c>
      <c r="AZ243">
        <f>IF(AT243&gt;0,MATCH(AT243,BSFC!A$64:A$83,0),IF(AT243&lt;=0,0))</f>
        <v>11</v>
      </c>
      <c r="BA243">
        <f>MATCH(AU243,BSFC!C$63:Q$63,0)</f>
        <v>14</v>
      </c>
      <c r="BB243" cm="1">
        <f t="array" ref="BB243">IF(AZ243&gt;0,INDEX(BSFC!C$64:Q$83,Data!AZ243,Data!BA243))</f>
        <v>474.5</v>
      </c>
      <c r="BC243">
        <f>0.5*'Vehicle Data'!C$6*Data!Z243^2</f>
        <v>17732.939446494518</v>
      </c>
      <c r="BD243">
        <f t="shared" si="134"/>
        <v>0</v>
      </c>
      <c r="BE243">
        <f t="shared" si="154"/>
        <v>0</v>
      </c>
      <c r="BF243">
        <f t="shared" si="155"/>
        <v>0</v>
      </c>
      <c r="BG243">
        <f t="shared" si="135"/>
        <v>69.063248784918017</v>
      </c>
      <c r="BH243">
        <f t="shared" si="171"/>
        <v>8719.2170294856278</v>
      </c>
      <c r="BI243" s="148">
        <f t="shared" si="136"/>
        <v>6871.6622130335309</v>
      </c>
      <c r="BO243">
        <f t="shared" si="137"/>
        <v>2300.2981631894686</v>
      </c>
      <c r="BP243">
        <f t="shared" si="138"/>
        <v>302051.35869144229</v>
      </c>
      <c r="BQ243">
        <f t="shared" si="139"/>
        <v>393564.9809571713</v>
      </c>
      <c r="BR243" s="148">
        <f t="shared" si="140"/>
        <v>419937.95269839111</v>
      </c>
      <c r="BS243" s="156">
        <f t="shared" si="141"/>
        <v>2300.2981631894686</v>
      </c>
      <c r="BT243" s="156">
        <f t="shared" si="142"/>
        <v>8719.2170294856278</v>
      </c>
      <c r="BU243">
        <f t="shared" si="143"/>
        <v>1812.8774537032027</v>
      </c>
      <c r="BV243">
        <f t="shared" si="144"/>
        <v>1812.8774537032027</v>
      </c>
      <c r="BW243" s="148">
        <f t="shared" si="145"/>
        <v>455.4</v>
      </c>
      <c r="BX243" s="148">
        <f t="shared" si="146"/>
        <v>3129354.9718154697</v>
      </c>
      <c r="BY243" s="148">
        <f t="shared" si="147"/>
        <v>0.22932899789345512</v>
      </c>
      <c r="BZ243">
        <f t="shared" si="130"/>
        <v>60.847734111788441</v>
      </c>
      <c r="CB243">
        <f t="shared" si="148"/>
        <v>-487.42070948626588</v>
      </c>
      <c r="CC243" s="162">
        <f t="shared" si="131"/>
        <v>-1798.8506294259926</v>
      </c>
      <c r="CD243">
        <f t="shared" si="156"/>
        <v>25641.031262193876</v>
      </c>
    </row>
    <row r="244" spans="4:82" x14ac:dyDescent="0.2">
      <c r="D244" s="22">
        <f t="shared" si="157"/>
        <v>-7.5293619300337275E-2</v>
      </c>
      <c r="E244" s="23">
        <v>11.285902558105166</v>
      </c>
      <c r="F244" s="23">
        <f>IF(K244&lt;6,1,IF(Data!K244&lt;9,2,IF(K244&gt;9,3)))</f>
        <v>3</v>
      </c>
      <c r="G244" s="23">
        <v>1077.5290693997558</v>
      </c>
      <c r="H244" s="23">
        <v>220.16666499999999</v>
      </c>
      <c r="I244" s="64">
        <v>48.9235965112291</v>
      </c>
      <c r="J244" s="65">
        <f t="shared" si="158"/>
        <v>0.98040533768828952</v>
      </c>
      <c r="K244" s="65">
        <f t="shared" si="159"/>
        <v>19.569438604491641</v>
      </c>
      <c r="L244" s="65">
        <f t="shared" si="160"/>
        <v>0.39216213507528735</v>
      </c>
      <c r="M244">
        <f t="shared" si="161"/>
        <v>22.571805116210331</v>
      </c>
      <c r="N244">
        <f t="shared" si="162"/>
        <v>-0.18419535810516585</v>
      </c>
      <c r="O244">
        <f>IF(L244&lt;'Vehicle Data'!F$21,'Vehicle Data'!C$21,IF(L244&gt;'Vehicle Data'!C$21,'Vehicle Data'!C$20))</f>
        <v>0.6</v>
      </c>
      <c r="P244">
        <f>('Vehicle Data'!C$6*9.81*'Vehicle Data'!C$5*SIN(D244))/'Vehicle Data'!C$9</f>
        <v>-50.095740823382329</v>
      </c>
      <c r="Q244" s="107">
        <f>'Vehicle Data'!C$6*9.81*SIN(D244)</f>
        <v>-323.95245732453901</v>
      </c>
      <c r="R244">
        <f t="shared" si="163"/>
        <v>1075.0837050551254</v>
      </c>
      <c r="S244">
        <f>IF(Data!O244=0.6,'Vehicle Data'!E$21,IF(Data!O244 = 0.9,'Vehicle Data'!E$20))+(P244*O244)</f>
        <v>1520.3149555059704</v>
      </c>
      <c r="T244">
        <f>IF(F244=3,'Vehicle Data'!H$16,IF(F244=2,'Vehicle Data'!H$15,IF(F244 = 1,'Vehicle Data'!G$14)))</f>
        <v>466.23005239380637</v>
      </c>
      <c r="U244" s="148">
        <f t="shared" si="164"/>
        <v>358.94522293180933</v>
      </c>
      <c r="V244" s="70" t="s">
        <v>77</v>
      </c>
      <c r="W244" s="99" t="s">
        <v>84</v>
      </c>
      <c r="X244">
        <f>IF(V244="S",'Vehicle Data'!C$14,IF(Data!V244 = "T1",'Vehicle Data'!P$2,IF(Data!V244="T2",'Vehicle Data'!P$3)))</f>
        <v>13.411199999999999</v>
      </c>
      <c r="Z244">
        <f t="shared" si="173"/>
        <v>9.2511639262713956</v>
      </c>
      <c r="AB244" t="b">
        <f>IF(AA244=1,'Vehicle Data'!I$14,IF(AA244=2,'Vehicle Data'!I$15,IF(AA244=3,'Vehicle Data'!I$16)))</f>
        <v>0</v>
      </c>
      <c r="AC244" t="b">
        <f>IF(Z244&lt;'Vehicle Data'!C$16,'Vehicle Data'!I$15,IF(Z244&lt;'Vehicle Data'!C$15,'Vehicle Data'!I$15,IF(Z243&gt;'Vehicle Data'!C$15,'Vehicle Data'!I$16)))</f>
        <v>0</v>
      </c>
      <c r="AD244">
        <f>IF(O244=0.6,'Vehicle Data'!F$21,IF(O244=0.9,'Vehicle Data'!F$20))</f>
        <v>3.5315999999999996</v>
      </c>
      <c r="AE244" s="100" t="b">
        <f t="shared" si="172"/>
        <v>0</v>
      </c>
      <c r="AF244" s="158">
        <f t="shared" si="166"/>
        <v>0.26381934930746526</v>
      </c>
      <c r="AG244" s="148">
        <f t="shared" si="132"/>
        <v>0.99672806717157847</v>
      </c>
      <c r="AH244" s="148">
        <f t="shared" si="150"/>
        <v>61.111553461095909</v>
      </c>
      <c r="AJ244">
        <f>(Z244^2)*'Vehicle Data'!C$31</f>
        <v>31.452132491598864</v>
      </c>
      <c r="AK244">
        <f>IF(O244=0.6,'Vehicle Data'!C$6*'Vehicle Data'!D$21*9.81,IF(O244=0.9,'Vehicle Data'!C$6*9.81*'Vehicle Data'!D$20))</f>
        <v>86.131799999999998</v>
      </c>
      <c r="AL244">
        <f t="shared" si="167"/>
        <v>-206.36852483294015</v>
      </c>
      <c r="AN244">
        <f>IF(AG244&gt;0,AG244*'Vehicle Data'!C$6)</f>
        <v>437.56362148832295</v>
      </c>
      <c r="AO244">
        <f t="shared" si="168"/>
        <v>231.1950966553828</v>
      </c>
      <c r="AP244">
        <f>AO244*'Vehicle Data'!F$3</f>
        <v>59.093466705115844</v>
      </c>
      <c r="AQ244" t="b">
        <f>IF(AE244='Vehicle Data'!I$15,AP244/'Vehicle Data'!G$15,IF(AE244='Vehicle Data'!I$16,AP244/'Vehicle Data'!G$16,IF(AE244='Vehicle Data'!I$14,Data!AP244/'Vehicle Data'!G255)))</f>
        <v>0</v>
      </c>
      <c r="AR244">
        <f>IF(Z244&lt;'Vehicle Data'!C$16, Z244*'Vehicle Data'!F$7*'Vehicle Data'!G$14,IF(Z244&lt;'Vehicle Data'!C$15,Z244*'Vehicle Data'!F$7*'Vehicle Data'!G$15,IF(Z244&gt;'Vehicle Data'!C$15,Z244*'Vehicle Data'!F$7*'Vehicle Data'!G$16)))</f>
        <v>80.477694618303829</v>
      </c>
      <c r="AS244">
        <f t="shared" si="151"/>
        <v>4828.66167709823</v>
      </c>
      <c r="AT244">
        <f t="shared" si="170"/>
        <v>0</v>
      </c>
      <c r="AU244">
        <f t="shared" si="169"/>
        <v>5000</v>
      </c>
      <c r="AW244" t="e">
        <f>VLOOKUP(AT244,BSFC!A$64:A$82,1,FALSE)</f>
        <v>#N/A</v>
      </c>
      <c r="AX244" t="e" cm="1">
        <f t="array" ref="AX244">_xlfn.XLOOKUP(AT244,BSFC!A$64:A$82,,-1,_xlfn.XLOOKUP(Data!AU244,BSFC!C$63:Q$63,BSFC!B$64:Q$82,,-1))</f>
        <v>#VALUE!</v>
      </c>
      <c r="AY244">
        <f>HLOOKUP(AU244,BSFC!F$63:Q$63,1)</f>
        <v>5000</v>
      </c>
      <c r="AZ244">
        <f>IF(AT244&gt;0,MATCH(AT244,BSFC!A$64:A$83,0),IF(AT244&lt;=0,0))</f>
        <v>0</v>
      </c>
      <c r="BA244">
        <f>MATCH(AU244,BSFC!C$63:Q$63,0)</f>
        <v>10</v>
      </c>
      <c r="BB244" t="b" cm="1">
        <f t="array" ref="BB244">IF(AZ244&gt;0,INDEX(BSFC!C$64:Q$83,Data!AZ244,Data!BA244))</f>
        <v>0</v>
      </c>
      <c r="BC244">
        <f>0.5*'Vehicle Data'!C$6*Data!Z244^2</f>
        <v>18785.695460968567</v>
      </c>
      <c r="BD244">
        <f t="shared" si="134"/>
        <v>2.0516947603002373</v>
      </c>
      <c r="BE244">
        <f t="shared" si="154"/>
        <v>0</v>
      </c>
      <c r="BF244">
        <f t="shared" si="155"/>
        <v>0</v>
      </c>
      <c r="BG244">
        <f t="shared" si="135"/>
        <v>69.063248784918017</v>
      </c>
      <c r="BH244">
        <f t="shared" si="171"/>
        <v>0</v>
      </c>
      <c r="BI244" s="148">
        <f t="shared" si="136"/>
        <v>6871.6622130335309</v>
      </c>
      <c r="BO244">
        <f t="shared" si="137"/>
        <v>0</v>
      </c>
      <c r="BP244">
        <f t="shared" si="138"/>
        <v>302051.35869144229</v>
      </c>
      <c r="BQ244">
        <f t="shared" si="139"/>
        <v>393564.9809571713</v>
      </c>
      <c r="BR244" s="148">
        <f t="shared" si="140"/>
        <v>421754.34227899049</v>
      </c>
      <c r="BS244" s="156" t="b">
        <f t="shared" si="141"/>
        <v>0</v>
      </c>
      <c r="BT244" s="156">
        <f t="shared" si="142"/>
        <v>0</v>
      </c>
      <c r="BU244">
        <f t="shared" si="143"/>
        <v>1816.3895805994066</v>
      </c>
      <c r="BV244">
        <f t="shared" si="144"/>
        <v>1816.3895805994066</v>
      </c>
      <c r="BW244" s="148">
        <f t="shared" si="145"/>
        <v>455.4</v>
      </c>
      <c r="BX244" s="148">
        <f t="shared" si="146"/>
        <v>3129354.9718154697</v>
      </c>
      <c r="BY244" s="148">
        <f t="shared" si="147"/>
        <v>0.22977328194582489</v>
      </c>
      <c r="BZ244">
        <f t="shared" si="130"/>
        <v>61.111553461095909</v>
      </c>
      <c r="CB244">
        <f t="shared" si="148"/>
        <v>1816.3895805994066</v>
      </c>
      <c r="CC244" s="162">
        <f t="shared" si="131"/>
        <v>6884.9748336028852</v>
      </c>
      <c r="CD244">
        <f t="shared" si="156"/>
        <v>27457.420842793283</v>
      </c>
    </row>
    <row r="245" spans="4:82" x14ac:dyDescent="0.2">
      <c r="D245" s="22">
        <f t="shared" si="157"/>
        <v>-4.7368368520190052E-2</v>
      </c>
      <c r="E245" s="23">
        <v>11.1017072</v>
      </c>
      <c r="F245" s="23">
        <f>IF(K245&lt;6,1,IF(Data!K245&lt;9,2,IF(K245&gt;9,3)))</f>
        <v>3</v>
      </c>
      <c r="G245" s="23">
        <v>1079.9777431768077</v>
      </c>
      <c r="H245" s="23">
        <v>220.21666499999998</v>
      </c>
      <c r="I245" s="64">
        <v>48.972616778113498</v>
      </c>
      <c r="J245" s="65">
        <f t="shared" si="158"/>
        <v>-4.4257151947752389</v>
      </c>
      <c r="K245" s="65">
        <f t="shared" si="159"/>
        <v>19.589046711245398</v>
      </c>
      <c r="L245" s="65">
        <f t="shared" si="160"/>
        <v>-1.7702860779101097</v>
      </c>
      <c r="M245">
        <f t="shared" si="161"/>
        <v>22.2034144</v>
      </c>
      <c r="N245">
        <f t="shared" si="162"/>
        <v>-0.11580771547588675</v>
      </c>
      <c r="O245">
        <f>IF(L245&lt;'Vehicle Data'!F$21,'Vehicle Data'!C$21,IF(L245&gt;'Vehicle Data'!C$21,'Vehicle Data'!C$20))</f>
        <v>0.6</v>
      </c>
      <c r="P245">
        <f>('Vehicle Data'!C$6*9.81*'Vehicle Data'!C$5*SIN(D245))/'Vehicle Data'!C$9</f>
        <v>-31.533999628852754</v>
      </c>
      <c r="Q245" s="107">
        <f>'Vehicle Data'!C$6*9.81*SIN(D245)</f>
        <v>-203.91986426658113</v>
      </c>
      <c r="R245">
        <f t="shared" si="163"/>
        <v>1077.5290693997558</v>
      </c>
      <c r="S245">
        <f>IF(Data!O245=0.6,'Vehicle Data'!E$21,IF(Data!O245 = 0.9,'Vehicle Data'!E$20))+(P245*O245)</f>
        <v>1531.4520002226882</v>
      </c>
      <c r="T245">
        <f>IF(F245=3,'Vehicle Data'!H$16,IF(F245=2,'Vehicle Data'!H$15,IF(F245 = 1,'Vehicle Data'!G$14)))</f>
        <v>466.23005239380637</v>
      </c>
      <c r="U245" s="148">
        <f t="shared" si="164"/>
        <v>361.39058727643976</v>
      </c>
      <c r="V245" s="70" t="s">
        <v>77</v>
      </c>
      <c r="W245" s="99" t="s">
        <v>84</v>
      </c>
      <c r="X245">
        <f>IF(V245="S",'Vehicle Data'!C$14,IF(Data!V245 = "T1",'Vehicle Data'!P$2,IF(Data!V245="T2",'Vehicle Data'!P$3)))</f>
        <v>13.411199999999999</v>
      </c>
      <c r="Z245">
        <f t="shared" si="173"/>
        <v>9.2511639262713956</v>
      </c>
      <c r="AB245" t="b">
        <f>IF(AA245=1,'Vehicle Data'!I$14,IF(AA245=2,'Vehicle Data'!I$15,IF(AA245=3,'Vehicle Data'!I$16)))</f>
        <v>0</v>
      </c>
      <c r="AC245">
        <f>IF(Z245&lt;'Vehicle Data'!C$16,'Vehicle Data'!I$15,IF(Z245&lt;'Vehicle Data'!C$15,'Vehicle Data'!I$15,IF(Z244&gt;'Vehicle Data'!C$15,'Vehicle Data'!I$16)))</f>
        <v>0.46202745420001456</v>
      </c>
      <c r="AD245">
        <f>IF(O245=0.6,'Vehicle Data'!F$21,IF(O245=0.9,'Vehicle Data'!F$20))</f>
        <v>3.5315999999999996</v>
      </c>
      <c r="AE245" s="100">
        <f t="shared" si="172"/>
        <v>0.46202745420001456</v>
      </c>
      <c r="AF245" s="158">
        <f t="shared" si="166"/>
        <v>0.26433045226732005</v>
      </c>
      <c r="AG245" s="148">
        <f t="shared" si="132"/>
        <v>0</v>
      </c>
      <c r="AH245" s="148">
        <f t="shared" si="150"/>
        <v>61.375883913363232</v>
      </c>
      <c r="AJ245">
        <f>(Z245^2)*'Vehicle Data'!C$31</f>
        <v>31.452132491598864</v>
      </c>
      <c r="AK245">
        <f>IF(O245=0.6,'Vehicle Data'!C$6*'Vehicle Data'!D$21*9.81,IF(O245=0.9,'Vehicle Data'!C$6*9.81*'Vehicle Data'!D$20))</f>
        <v>86.131799999999998</v>
      </c>
      <c r="AL245">
        <f t="shared" si="167"/>
        <v>-86.335931774982271</v>
      </c>
      <c r="AN245" t="b">
        <f>IF(AG245&gt;0,AG245*'Vehicle Data'!C$6)</f>
        <v>0</v>
      </c>
      <c r="AO245">
        <f t="shared" si="168"/>
        <v>-86.335931774982271</v>
      </c>
      <c r="AP245">
        <f>AO245*'Vehicle Data'!F$3</f>
        <v>-22.067464161685468</v>
      </c>
      <c r="AQ245">
        <f>IF(AE245='Vehicle Data'!I$15,AP245/'Vehicle Data'!G$15,IF(AE245='Vehicle Data'!I$16,AP245/'Vehicle Data'!G$16,IF(AE245='Vehicle Data'!I$14,Data!AP245/'Vehicle Data'!G256)))</f>
        <v>-4.0739340788895966</v>
      </c>
      <c r="AR245">
        <f>IF(Z245&lt;'Vehicle Data'!C$16, Z245*'Vehicle Data'!F$7*'Vehicle Data'!G$14,IF(Z245&lt;'Vehicle Data'!C$15,Z245*'Vehicle Data'!F$7*'Vehicle Data'!G$15,IF(Z245&gt;'Vehicle Data'!C$15,Z245*'Vehicle Data'!F$7*'Vehicle Data'!G$16)))</f>
        <v>80.477694618303829</v>
      </c>
      <c r="AS245">
        <f t="shared" si="151"/>
        <v>4828.66167709823</v>
      </c>
      <c r="AT245">
        <v>4</v>
      </c>
      <c r="AU245">
        <f t="shared" si="169"/>
        <v>5000</v>
      </c>
      <c r="AW245">
        <f>VLOOKUP(AT245,BSFC!A$64:A$82,1,FALSE)</f>
        <v>4</v>
      </c>
      <c r="AX245" t="e" cm="1">
        <f t="array" ref="AX245">_xlfn.XLOOKUP(AT245,BSFC!A$64:A$82,,-1,_xlfn.XLOOKUP(Data!AU245,BSFC!C$63:Q$63,BSFC!B$64:Q$82,,-1))</f>
        <v>#VALUE!</v>
      </c>
      <c r="AY245">
        <f>HLOOKUP(AU245,BSFC!F$63:Q$63,1)</f>
        <v>5000</v>
      </c>
      <c r="AZ245">
        <f>IF(AT245&gt;0,MATCH(AT245,BSFC!A$64:A$83,0),IF(AT245&lt;=0,0))</f>
        <v>19</v>
      </c>
      <c r="BA245">
        <f>MATCH(AU245,BSFC!C$63:Q$63,0)</f>
        <v>10</v>
      </c>
      <c r="BB245" cm="1">
        <f t="array" ref="BB245">IF(AZ245&gt;0,INDEX(BSFC!C$64:Q$83,Data!AZ245,Data!BA245))</f>
        <v>700</v>
      </c>
      <c r="BC245">
        <f>0.5*'Vehicle Data'!C$6*Data!Z245^2</f>
        <v>18785.695460968567</v>
      </c>
      <c r="BD245">
        <f t="shared" si="134"/>
        <v>0.7902558436083178</v>
      </c>
      <c r="BE245">
        <f t="shared" si="154"/>
        <v>553.1790905258224</v>
      </c>
      <c r="BF245">
        <f t="shared" si="155"/>
        <v>4.0617244217643171E-2</v>
      </c>
      <c r="BG245">
        <f t="shared" si="135"/>
        <v>69.103866029135659</v>
      </c>
      <c r="BH245">
        <f t="shared" si="171"/>
        <v>-2051.6947603002372</v>
      </c>
      <c r="BI245" s="148">
        <f t="shared" si="136"/>
        <v>6871.6622130335309</v>
      </c>
      <c r="BO245">
        <f t="shared" si="137"/>
        <v>-536.0198187509211</v>
      </c>
      <c r="BP245">
        <f t="shared" si="138"/>
        <v>301515.33887269138</v>
      </c>
      <c r="BQ245">
        <f t="shared" si="139"/>
        <v>393564.9809571713</v>
      </c>
      <c r="BR245" s="148">
        <f t="shared" si="140"/>
        <v>423549.61280617589</v>
      </c>
      <c r="BS245" s="156" t="b">
        <f t="shared" si="141"/>
        <v>0</v>
      </c>
      <c r="BT245" s="156">
        <f t="shared" si="142"/>
        <v>0</v>
      </c>
      <c r="BU245">
        <f t="shared" si="143"/>
        <v>1795.2705271854277</v>
      </c>
      <c r="BV245">
        <f t="shared" si="144"/>
        <v>1795.2705271854277</v>
      </c>
      <c r="BW245" s="148">
        <f t="shared" si="145"/>
        <v>455.4</v>
      </c>
      <c r="BX245" s="148">
        <f t="shared" si="146"/>
        <v>3129354.9718154697</v>
      </c>
      <c r="BY245" s="148">
        <f t="shared" si="147"/>
        <v>0.22710172168895656</v>
      </c>
      <c r="BZ245">
        <f t="shared" si="130"/>
        <v>61.375883913363232</v>
      </c>
      <c r="CB245">
        <f t="shared" si="148"/>
        <v>1795.2705271854277</v>
      </c>
      <c r="CC245" s="162">
        <f t="shared" si="131"/>
        <v>6791.7658059686228</v>
      </c>
      <c r="CD245">
        <f t="shared" si="156"/>
        <v>29252.691369978711</v>
      </c>
    </row>
    <row r="246" spans="4:82" x14ac:dyDescent="0.2">
      <c r="D246" s="22">
        <f t="shared" si="157"/>
        <v>-8.2616750833246363E-2</v>
      </c>
      <c r="E246" s="23">
        <v>10.985899484524113</v>
      </c>
      <c r="F246" s="23">
        <f>IF(K246&lt;6,1,IF(Data!K246&lt;9,2,IF(K246&gt;9,3)))</f>
        <v>3</v>
      </c>
      <c r="G246" s="23">
        <v>1082.4234899469179</v>
      </c>
      <c r="H246" s="23">
        <v>220.26666499999999</v>
      </c>
      <c r="I246" s="64">
        <v>48.751331018374685</v>
      </c>
      <c r="J246" s="65">
        <f t="shared" si="158"/>
        <v>-12.883821262559023</v>
      </c>
      <c r="K246" s="65">
        <f t="shared" si="159"/>
        <v>19.500532407349873</v>
      </c>
      <c r="L246" s="65">
        <f t="shared" si="160"/>
        <v>-5.1535285050235666</v>
      </c>
      <c r="M246">
        <f t="shared" si="161"/>
        <v>21.971798969048226</v>
      </c>
      <c r="N246">
        <f t="shared" si="162"/>
        <v>-0.1999969264189474</v>
      </c>
      <c r="O246">
        <f>IF(L246&lt;'Vehicle Data'!F$21,'Vehicle Data'!C$21,IF(L246&gt;'Vehicle Data'!C$21,'Vehicle Data'!C$20))</f>
        <v>0.6</v>
      </c>
      <c r="P246">
        <f>('Vehicle Data'!C$6*9.81*'Vehicle Data'!C$5*SIN(D246))/'Vehicle Data'!C$9</f>
        <v>-54.957504326367967</v>
      </c>
      <c r="Q246" s="107">
        <f>'Vehicle Data'!C$6*9.81*SIN(D246)</f>
        <v>-355.39186131051281</v>
      </c>
      <c r="R246">
        <f t="shared" si="163"/>
        <v>1079.9777431768077</v>
      </c>
      <c r="S246">
        <f>IF(Data!O246=0.6,'Vehicle Data'!E$21,IF(Data!O246 = 0.9,'Vehicle Data'!E$20))+(P246*O246)</f>
        <v>1517.397897404179</v>
      </c>
      <c r="T246">
        <f>IF(F246=3,'Vehicle Data'!H$16,IF(F246=2,'Vehicle Data'!H$15,IF(F246 = 1,'Vehicle Data'!G$14)))</f>
        <v>466.23005239380637</v>
      </c>
      <c r="U246" s="148">
        <f t="shared" si="164"/>
        <v>363.83926105349167</v>
      </c>
      <c r="V246" s="70" t="s">
        <v>77</v>
      </c>
      <c r="W246" s="99" t="s">
        <v>84</v>
      </c>
      <c r="X246">
        <f>IF(V246="S",'Vehicle Data'!C$14,IF(Data!V246 = "T1",'Vehicle Data'!P$2,IF(Data!V246="T2",'Vehicle Data'!P$3)))</f>
        <v>13.411199999999999</v>
      </c>
      <c r="Z246">
        <f t="shared" si="173"/>
        <v>9.3726593351887306</v>
      </c>
      <c r="AB246" t="b">
        <f>IF(AA246=1,'Vehicle Data'!I$14,IF(AA246=2,'Vehicle Data'!I$15,IF(AA246=3,'Vehicle Data'!I$16)))</f>
        <v>0</v>
      </c>
      <c r="AC246">
        <f>IF(Z246&lt;'Vehicle Data'!C$16,'Vehicle Data'!I$15,IF(Z246&lt;'Vehicle Data'!C$15,'Vehicle Data'!I$15,IF(Z245&gt;'Vehicle Data'!C$15,'Vehicle Data'!I$16)))</f>
        <v>0.46202745420001456</v>
      </c>
      <c r="AD246">
        <f>IF(O246=0.6,'Vehicle Data'!F$21,IF(O246=0.9,'Vehicle Data'!F$20))</f>
        <v>3.5315999999999996</v>
      </c>
      <c r="AE246" s="100">
        <f t="shared" si="172"/>
        <v>0.46202745420001456</v>
      </c>
      <c r="AF246" s="158">
        <f t="shared" si="166"/>
        <v>0.26125709785040441</v>
      </c>
      <c r="AG246" s="148">
        <f t="shared" si="132"/>
        <v>0.46504156218907089</v>
      </c>
      <c r="AH246" s="148">
        <f t="shared" si="150"/>
        <v>61.637141011213636</v>
      </c>
      <c r="AJ246">
        <f>(Z246^2)*'Vehicle Data'!C$31</f>
        <v>32.283678057461429</v>
      </c>
      <c r="AK246">
        <f>IF(O246=0.6,'Vehicle Data'!C$6*'Vehicle Data'!D$21*9.81,IF(O246=0.9,'Vehicle Data'!C$6*9.81*'Vehicle Data'!D$20))</f>
        <v>86.131799999999998</v>
      </c>
      <c r="AL246">
        <f t="shared" si="167"/>
        <v>-236.97638325305138</v>
      </c>
      <c r="AN246">
        <f>IF(AG246&gt;0,AG246*'Vehicle Data'!C$6)</f>
        <v>204.15324580100213</v>
      </c>
      <c r="AO246">
        <f t="shared" si="168"/>
        <v>-32.823137452049252</v>
      </c>
      <c r="AP246">
        <f>AO246*'Vehicle Data'!F$3</f>
        <v>-8.3895939327437894</v>
      </c>
      <c r="AQ246">
        <f>IF(AE246='Vehicle Data'!I$15,AP246/'Vehicle Data'!G$15,IF(AE246='Vehicle Data'!I$16,AP246/'Vehicle Data'!G$16,IF(AE246='Vehicle Data'!I$14,Data!AP246/'Vehicle Data'!G257)))</f>
        <v>-1.5488255641983932</v>
      </c>
      <c r="AR246">
        <f>IF(Z246&lt;'Vehicle Data'!C$16, Z246*'Vehicle Data'!F$7*'Vehicle Data'!G$14,IF(Z246&lt;'Vehicle Data'!C$15,Z246*'Vehicle Data'!F$7*'Vehicle Data'!G$15,IF(Z246&gt;'Vehicle Data'!C$15,Z246*'Vehicle Data'!F$7*'Vehicle Data'!G$16)))</f>
        <v>81.534607077568396</v>
      </c>
      <c r="AS246">
        <f t="shared" si="151"/>
        <v>4892.0764246541039</v>
      </c>
      <c r="AT246">
        <f t="shared" si="170"/>
        <v>-2</v>
      </c>
      <c r="AU246">
        <f t="shared" si="169"/>
        <v>5000</v>
      </c>
      <c r="AW246" t="e">
        <f>VLOOKUP(AT246,BSFC!A$64:A$82,1,FALSE)</f>
        <v>#N/A</v>
      </c>
      <c r="AX246" t="e" cm="1">
        <f t="array" ref="AX246">_xlfn.XLOOKUP(AT246,BSFC!A$64:A$82,,-1,_xlfn.XLOOKUP(Data!AU246,BSFC!C$63:Q$63,BSFC!B$64:Q$82,,-1))</f>
        <v>#VALUE!</v>
      </c>
      <c r="AY246">
        <f>HLOOKUP(AU246,BSFC!F$63:Q$63,1)</f>
        <v>5000</v>
      </c>
      <c r="AZ246">
        <f>IF(AT246&gt;0,MATCH(AT246,BSFC!A$64:A$83,0),IF(AT246&lt;=0,0))</f>
        <v>0</v>
      </c>
      <c r="BA246">
        <f>MATCH(AU246,BSFC!C$63:Q$63,0)</f>
        <v>10</v>
      </c>
      <c r="BB246" t="b" cm="1">
        <f t="array" ref="BB246">IF(AZ246&gt;0,INDEX(BSFC!C$64:Q$83,Data!AZ246,Data!BA246))</f>
        <v>0</v>
      </c>
      <c r="BC246">
        <f>0.5*'Vehicle Data'!C$6*Data!Z246^2</f>
        <v>19282.36009146335</v>
      </c>
      <c r="BD246">
        <f t="shared" si="134"/>
        <v>0.91207595569832267</v>
      </c>
      <c r="BE246">
        <f t="shared" si="154"/>
        <v>0</v>
      </c>
      <c r="BF246">
        <f t="shared" si="155"/>
        <v>0</v>
      </c>
      <c r="BG246">
        <f t="shared" si="135"/>
        <v>69.103866029135659</v>
      </c>
      <c r="BH246">
        <f t="shared" si="171"/>
        <v>-790.25584360831783</v>
      </c>
      <c r="BI246" s="148">
        <f t="shared" si="136"/>
        <v>6871.6622130335309</v>
      </c>
      <c r="BO246">
        <f t="shared" si="137"/>
        <v>-203.61067713463268</v>
      </c>
      <c r="BP246">
        <f t="shared" si="138"/>
        <v>301311.72819555673</v>
      </c>
      <c r="BQ246">
        <f t="shared" si="139"/>
        <v>393564.9809571713</v>
      </c>
      <c r="BR246" s="148">
        <f t="shared" si="140"/>
        <v>425320.10752323829</v>
      </c>
      <c r="BS246" s="156" t="b">
        <f t="shared" si="141"/>
        <v>0</v>
      </c>
      <c r="BT246" s="156">
        <f t="shared" si="142"/>
        <v>0</v>
      </c>
      <c r="BU246">
        <f t="shared" si="143"/>
        <v>1770.4947170624112</v>
      </c>
      <c r="BV246">
        <f t="shared" si="144"/>
        <v>1770.4947170624112</v>
      </c>
      <c r="BW246" s="148">
        <f t="shared" si="145"/>
        <v>455.4</v>
      </c>
      <c r="BX246" s="148">
        <f t="shared" si="146"/>
        <v>3129354.9718154697</v>
      </c>
      <c r="BY246" s="148">
        <f t="shared" si="147"/>
        <v>0.22396758170839498</v>
      </c>
      <c r="BZ246">
        <f t="shared" si="130"/>
        <v>61.637141011213636</v>
      </c>
      <c r="CB246">
        <f t="shared" si="148"/>
        <v>1770.4947170624112</v>
      </c>
      <c r="CC246" s="162">
        <f t="shared" si="131"/>
        <v>6776.8291526999919</v>
      </c>
      <c r="CD246">
        <f t="shared" si="156"/>
        <v>31023.186087041122</v>
      </c>
    </row>
    <row r="247" spans="4:82" x14ac:dyDescent="0.2">
      <c r="D247" s="22">
        <f t="shared" si="157"/>
        <v>-8.3869654862761614E-2</v>
      </c>
      <c r="E247" s="23">
        <v>10.785902558105166</v>
      </c>
      <c r="F247" s="23">
        <f>IF(K247&lt;6,1,IF(Data!K247&lt;9,2,IF(K247&gt;9,3)))</f>
        <v>3</v>
      </c>
      <c r="G247" s="23">
        <v>1084.8470253654571</v>
      </c>
      <c r="H247" s="23">
        <v>220.316665</v>
      </c>
      <c r="I247" s="64">
        <v>48.107139955246588</v>
      </c>
      <c r="J247" s="65">
        <f t="shared" si="158"/>
        <v>-15.760277847286066</v>
      </c>
      <c r="K247" s="65">
        <f t="shared" si="159"/>
        <v>19.242855982098636</v>
      </c>
      <c r="L247" s="65">
        <f t="shared" si="160"/>
        <v>-6.3041111389144264</v>
      </c>
      <c r="M247">
        <f t="shared" si="161"/>
        <v>21.571805116210331</v>
      </c>
      <c r="N247">
        <f t="shared" si="162"/>
        <v>-0.19999861135157104</v>
      </c>
      <c r="O247">
        <f>IF(L247&lt;'Vehicle Data'!F$21,'Vehicle Data'!C$21,IF(L247&gt;'Vehicle Data'!C$21,'Vehicle Data'!C$20))</f>
        <v>0.6</v>
      </c>
      <c r="P247">
        <f>('Vehicle Data'!C$6*9.81*'Vehicle Data'!C$5*SIN(D247))/'Vehicle Data'!C$9</f>
        <v>-55.789008401882718</v>
      </c>
      <c r="Q247" s="107">
        <f>'Vehicle Data'!C$6*9.81*SIN(D247)</f>
        <v>-360.76892099884157</v>
      </c>
      <c r="R247">
        <f t="shared" si="163"/>
        <v>1082.4234899469179</v>
      </c>
      <c r="S247">
        <f>IF(Data!O247=0.6,'Vehicle Data'!E$21,IF(Data!O247 = 0.9,'Vehicle Data'!E$20))+(P247*O247)</f>
        <v>1516.8989949588702</v>
      </c>
      <c r="T247">
        <f>IF(F247=3,'Vehicle Data'!H$16,IF(F247=2,'Vehicle Data'!H$15,IF(F247 = 1,'Vehicle Data'!G$14)))</f>
        <v>466.23005239380637</v>
      </c>
      <c r="U247" s="148">
        <f t="shared" si="164"/>
        <v>366.28500782360186</v>
      </c>
      <c r="V247" s="70" t="s">
        <v>77</v>
      </c>
      <c r="W247" s="99" t="s">
        <v>84</v>
      </c>
      <c r="X247">
        <f>IF(V247="S",'Vehicle Data'!C$14,IF(Data!V247 = "T1",'Vehicle Data'!P$2,IF(Data!V247="T2",'Vehicle Data'!P$3)))</f>
        <v>13.411199999999999</v>
      </c>
      <c r="Z247">
        <f t="shared" si="173"/>
        <v>9.4924573910618264</v>
      </c>
      <c r="AB247" t="b">
        <f>IF(AA247=1,'Vehicle Data'!I$14,IF(AA247=2,'Vehicle Data'!I$15,IF(AA247=3,'Vehicle Data'!I$16)))</f>
        <v>0</v>
      </c>
      <c r="AC247">
        <f>IF(Z247&lt;'Vehicle Data'!C$16,'Vehicle Data'!I$15,IF(Z247&lt;'Vehicle Data'!C$15,'Vehicle Data'!I$15,IF(Z246&gt;'Vehicle Data'!C$15,'Vehicle Data'!I$16)))</f>
        <v>0.46202745420001456</v>
      </c>
      <c r="AD247">
        <f>IF(O247=0.6,'Vehicle Data'!F$21,IF(O247=0.9,'Vehicle Data'!F$20))</f>
        <v>3.5315999999999996</v>
      </c>
      <c r="AE247" s="100">
        <f t="shared" si="172"/>
        <v>0.46202745420001456</v>
      </c>
      <c r="AF247" s="158">
        <f t="shared" si="166"/>
        <v>0.25765159319157177</v>
      </c>
      <c r="AG247" s="148">
        <f t="shared" si="132"/>
        <v>0.46496144032776188</v>
      </c>
      <c r="AH247" s="148">
        <f t="shared" si="150"/>
        <v>61.894792604405211</v>
      </c>
      <c r="AJ247">
        <f>(Z247^2)*'Vehicle Data'!C$31</f>
        <v>33.114229640513187</v>
      </c>
      <c r="AK247">
        <f>IF(O247=0.6,'Vehicle Data'!C$6*'Vehicle Data'!D$21*9.81,IF(O247=0.9,'Vehicle Data'!C$6*9.81*'Vehicle Data'!D$20))</f>
        <v>86.131799999999998</v>
      </c>
      <c r="AL247">
        <f t="shared" si="167"/>
        <v>-241.52289135832837</v>
      </c>
      <c r="AN247">
        <f>IF(AG247&gt;0,AG247*'Vehicle Data'!C$6)</f>
        <v>204.11807230388746</v>
      </c>
      <c r="AO247">
        <f t="shared" si="168"/>
        <v>-37.404819054440907</v>
      </c>
      <c r="AP247">
        <f>AO247*'Vehicle Data'!F$3</f>
        <v>-9.5606717503150946</v>
      </c>
      <c r="AQ247">
        <f>IF(AE247='Vehicle Data'!I$15,AP247/'Vehicle Data'!G$15,IF(AE247='Vehicle Data'!I$16,AP247/'Vehicle Data'!G$16,IF(AE247='Vehicle Data'!I$14,Data!AP247/'Vehicle Data'!G258)))</f>
        <v>-1.7650213987120316</v>
      </c>
      <c r="AR247">
        <f>IF(Z247&lt;'Vehicle Data'!C$16, Z247*'Vehicle Data'!F$7*'Vehicle Data'!G$14,IF(Z247&lt;'Vehicle Data'!C$15,Z247*'Vehicle Data'!F$7*'Vehicle Data'!G$15,IF(Z247&gt;'Vehicle Data'!C$15,Z247*'Vehicle Data'!F$7*'Vehicle Data'!G$16)))</f>
        <v>82.576753928846529</v>
      </c>
      <c r="AS247">
        <f t="shared" si="151"/>
        <v>4954.6052357307917</v>
      </c>
      <c r="AT247">
        <f t="shared" si="170"/>
        <v>-2</v>
      </c>
      <c r="AU247">
        <f t="shared" si="169"/>
        <v>5000</v>
      </c>
      <c r="AW247" t="e">
        <f>VLOOKUP(AT247,BSFC!A$64:A$82,1,FALSE)</f>
        <v>#N/A</v>
      </c>
      <c r="AX247" t="e" cm="1">
        <f t="array" ref="AX247">_xlfn.XLOOKUP(AT247,BSFC!A$64:A$82,,-1,_xlfn.XLOOKUP(Data!AU247,BSFC!C$63:Q$63,BSFC!B$64:Q$82,,-1))</f>
        <v>#VALUE!</v>
      </c>
      <c r="AY247">
        <f>HLOOKUP(AU247,BSFC!F$63:Q$63,1)</f>
        <v>5000</v>
      </c>
      <c r="AZ247">
        <f>IF(AT247&gt;0,MATCH(AT247,BSFC!A$64:A$83,0),IF(AT247&lt;=0,0))</f>
        <v>0</v>
      </c>
      <c r="BA247">
        <f>MATCH(AU247,BSFC!C$63:Q$63,0)</f>
        <v>10</v>
      </c>
      <c r="BB247" t="b" cm="1">
        <f t="array" ref="BB247">IF(AZ247&gt;0,INDEX(BSFC!C$64:Q$83,Data!AZ247,Data!BA247))</f>
        <v>0</v>
      </c>
      <c r="BC247">
        <f>0.5*'Vehicle Data'!C$6*Data!Z247^2</f>
        <v>19778.431036986785</v>
      </c>
      <c r="BD247">
        <f t="shared" si="134"/>
        <v>1.0576097977591015</v>
      </c>
      <c r="BE247">
        <f t="shared" si="154"/>
        <v>0</v>
      </c>
      <c r="BF247">
        <f t="shared" si="155"/>
        <v>0</v>
      </c>
      <c r="BG247">
        <f t="shared" si="135"/>
        <v>69.103866029135659</v>
      </c>
      <c r="BH247">
        <f t="shared" si="171"/>
        <v>-912.07595569832267</v>
      </c>
      <c r="BI247" s="148">
        <f t="shared" si="136"/>
        <v>6871.6622130335309</v>
      </c>
      <c r="BO247">
        <f t="shared" si="137"/>
        <v>-230.02275443293379</v>
      </c>
      <c r="BP247">
        <f t="shared" si="138"/>
        <v>301081.70544112381</v>
      </c>
      <c r="BQ247">
        <f t="shared" si="139"/>
        <v>393564.9809571713</v>
      </c>
      <c r="BR247" s="148">
        <f t="shared" si="140"/>
        <v>427053.11962590303</v>
      </c>
      <c r="BS247" s="156" t="b">
        <f t="shared" si="141"/>
        <v>0</v>
      </c>
      <c r="BT247" s="156">
        <f t="shared" si="142"/>
        <v>0</v>
      </c>
      <c r="BU247">
        <f t="shared" si="143"/>
        <v>1733.0121026647178</v>
      </c>
      <c r="BV247">
        <f t="shared" si="144"/>
        <v>1733.0121026647178</v>
      </c>
      <c r="BW247" s="148">
        <f t="shared" si="145"/>
        <v>455.4</v>
      </c>
      <c r="BX247" s="148">
        <f t="shared" si="146"/>
        <v>3129354.9718154697</v>
      </c>
      <c r="BY247" s="148">
        <f t="shared" si="147"/>
        <v>0.21922603098708676</v>
      </c>
      <c r="BZ247">
        <f t="shared" si="130"/>
        <v>61.894792604405211</v>
      </c>
      <c r="CB247">
        <f t="shared" si="148"/>
        <v>1733.0121026647178</v>
      </c>
      <c r="CC247" s="162">
        <f t="shared" si="131"/>
        <v>6726.1843064799086</v>
      </c>
      <c r="CD247">
        <f t="shared" si="156"/>
        <v>32756.198189705839</v>
      </c>
    </row>
    <row r="248" spans="4:82" x14ac:dyDescent="0.2">
      <c r="D248" s="22">
        <f t="shared" si="157"/>
        <v>-8.5318931516472213E-2</v>
      </c>
      <c r="E248" s="23">
        <v>10.585903946753595</v>
      </c>
      <c r="F248" s="23">
        <f>IF(K248&lt;6,1,IF(Data!K248&lt;9,2,IF(K248&gt;9,3)))</f>
        <v>3</v>
      </c>
      <c r="G248" s="23">
        <v>1087.2344594528388</v>
      </c>
      <c r="H248" s="23">
        <v>220.36666499999998</v>
      </c>
      <c r="I248" s="64">
        <v>47.319126062882553</v>
      </c>
      <c r="J248" s="65">
        <f t="shared" si="158"/>
        <v>-16.794786704773532</v>
      </c>
      <c r="K248" s="65">
        <f t="shared" si="159"/>
        <v>18.927650425153022</v>
      </c>
      <c r="L248" s="65">
        <f t="shared" si="160"/>
        <v>-6.7179146819094271</v>
      </c>
      <c r="M248">
        <f t="shared" si="161"/>
        <v>21.171807893507189</v>
      </c>
      <c r="N248">
        <f t="shared" si="162"/>
        <v>-0.20000286222948205</v>
      </c>
      <c r="O248">
        <f>IF(L248&lt;'Vehicle Data'!F$21,'Vehicle Data'!C$21,IF(L248&gt;'Vehicle Data'!C$21,'Vehicle Data'!C$20))</f>
        <v>0.6</v>
      </c>
      <c r="P248">
        <f>('Vehicle Data'!C$6*9.81*'Vehicle Data'!C$5*SIN(D248))/'Vehicle Data'!C$9</f>
        <v>-56.750728087594425</v>
      </c>
      <c r="Q248" s="107">
        <f>'Vehicle Data'!C$6*9.81*SIN(D248)</f>
        <v>-366.98804163311064</v>
      </c>
      <c r="R248">
        <f t="shared" si="163"/>
        <v>1084.8470253654571</v>
      </c>
      <c r="S248">
        <f>IF(Data!O248=0.6,'Vehicle Data'!E$21,IF(Data!O248 = 0.9,'Vehicle Data'!E$20))+(P248*O248)</f>
        <v>1516.3219631474431</v>
      </c>
      <c r="T248">
        <f>IF(F248=3,'Vehicle Data'!H$16,IF(F248=2,'Vehicle Data'!H$15,IF(F248 = 1,'Vehicle Data'!G$14)))</f>
        <v>466.23005239380637</v>
      </c>
      <c r="U248" s="148">
        <f t="shared" si="164"/>
        <v>368.70854324214099</v>
      </c>
      <c r="V248" s="70" t="s">
        <v>77</v>
      </c>
      <c r="W248" s="99" t="s">
        <v>84</v>
      </c>
      <c r="X248">
        <f>IF(V248="S",'Vehicle Data'!C$14,IF(Data!V248 = "T1",'Vehicle Data'!P$2,IF(Data!V248="T2",'Vehicle Data'!P$3)))</f>
        <v>13.411199999999999</v>
      </c>
      <c r="Z248">
        <f t="shared" si="173"/>
        <v>9.6096944342838864</v>
      </c>
      <c r="AB248" t="b">
        <f>IF(AA248=1,'Vehicle Data'!I$14,IF(AA248=2,'Vehicle Data'!I$15,IF(AA248=3,'Vehicle Data'!I$16)))</f>
        <v>0</v>
      </c>
      <c r="AC248">
        <f>IF(Z248&lt;'Vehicle Data'!C$16,'Vehicle Data'!I$15,IF(Z248&lt;'Vehicle Data'!C$15,'Vehicle Data'!I$15,IF(Z247&gt;'Vehicle Data'!C$15,'Vehicle Data'!I$16)))</f>
        <v>0.46202745420001456</v>
      </c>
      <c r="AD248">
        <f>IF(O248=0.6,'Vehicle Data'!F$21,IF(O248=0.9,'Vehicle Data'!F$20))</f>
        <v>3.5315999999999996</v>
      </c>
      <c r="AE248" s="100">
        <f t="shared" si="172"/>
        <v>0.46202745420001456</v>
      </c>
      <c r="AF248" s="158">
        <f t="shared" si="166"/>
        <v>0.25219692833237661</v>
      </c>
      <c r="AG248" s="148">
        <f t="shared" si="132"/>
        <v>0.46486308932181103</v>
      </c>
      <c r="AH248" s="148">
        <f t="shared" si="150"/>
        <v>62.146989532737585</v>
      </c>
      <c r="AJ248">
        <f>(Z248^2)*'Vehicle Data'!C$31</f>
        <v>33.937238466712728</v>
      </c>
      <c r="AK248">
        <f>IF(O248=0.6,'Vehicle Data'!C$6*'Vehicle Data'!D$21*9.81,IF(O248=0.9,'Vehicle Data'!C$6*9.81*'Vehicle Data'!D$20))</f>
        <v>86.131799999999998</v>
      </c>
      <c r="AL248">
        <f t="shared" si="167"/>
        <v>-246.91900316639791</v>
      </c>
      <c r="AN248">
        <f>IF(AG248&gt;0,AG248*'Vehicle Data'!C$6)</f>
        <v>204.07489621227504</v>
      </c>
      <c r="AO248">
        <f t="shared" si="168"/>
        <v>-42.844106954122879</v>
      </c>
      <c r="AP248">
        <f>AO248*'Vehicle Data'!F$3</f>
        <v>-10.950953737473807</v>
      </c>
      <c r="AQ248">
        <f>IF(AE248='Vehicle Data'!I$15,AP248/'Vehicle Data'!G$15,IF(AE248='Vehicle Data'!I$16,AP248/'Vehicle Data'!G$16,IF(AE248='Vehicle Data'!I$14,Data!AP248/'Vehicle Data'!G259)))</f>
        <v>-2.0216851062070762</v>
      </c>
      <c r="AR248">
        <f>IF(Z248&lt;'Vehicle Data'!C$16, Z248*'Vehicle Data'!F$7*'Vehicle Data'!G$14,IF(Z248&lt;'Vehicle Data'!C$15,Z248*'Vehicle Data'!F$7*'Vehicle Data'!G$15,IF(Z248&gt;'Vehicle Data'!C$15,Z248*'Vehicle Data'!F$7*'Vehicle Data'!G$16)))</f>
        <v>83.596622027344324</v>
      </c>
      <c r="AS248">
        <f t="shared" si="151"/>
        <v>5015.797321640659</v>
      </c>
      <c r="AT248">
        <f t="shared" si="170"/>
        <v>-2</v>
      </c>
      <c r="AU248">
        <f t="shared" si="169"/>
        <v>5000</v>
      </c>
      <c r="AW248" t="e">
        <f>VLOOKUP(AT248,BSFC!A$64:A$82,1,FALSE)</f>
        <v>#N/A</v>
      </c>
      <c r="AX248" t="e" cm="1">
        <f t="array" ref="AX248">_xlfn.XLOOKUP(AT248,BSFC!A$64:A$82,,-1,_xlfn.XLOOKUP(Data!AU248,BSFC!C$63:Q$63,BSFC!B$64:Q$82,,-1))</f>
        <v>#VALUE!</v>
      </c>
      <c r="AY248">
        <f>HLOOKUP(AU248,BSFC!F$63:Q$63,1)</f>
        <v>5000</v>
      </c>
      <c r="AZ248">
        <f>IF(AT248&gt;0,MATCH(AT248,BSFC!A$64:A$83,0),IF(AT248&lt;=0,0))</f>
        <v>0</v>
      </c>
      <c r="BA248">
        <f>MATCH(AU248,BSFC!C$63:Q$63,0)</f>
        <v>10</v>
      </c>
      <c r="BB248" t="b" cm="1">
        <f t="array" ref="BB248">IF(AZ248&gt;0,INDEX(BSFC!C$64:Q$83,Data!AZ248,Data!BA248))</f>
        <v>0</v>
      </c>
      <c r="BC248">
        <f>0.5*'Vehicle Data'!C$6*Data!Z248^2</f>
        <v>20269.996852907323</v>
      </c>
      <c r="BD248">
        <f t="shared" si="134"/>
        <v>5.8811097829197037</v>
      </c>
      <c r="BE248">
        <f t="shared" si="154"/>
        <v>0</v>
      </c>
      <c r="BF248">
        <f t="shared" si="155"/>
        <v>0</v>
      </c>
      <c r="BG248">
        <f t="shared" si="135"/>
        <v>69.103866029135659</v>
      </c>
      <c r="BH248">
        <f t="shared" si="171"/>
        <v>-1057.6097977591014</v>
      </c>
      <c r="BI248" s="148">
        <f t="shared" si="136"/>
        <v>6871.6622130335309</v>
      </c>
      <c r="BO248">
        <f t="shared" si="137"/>
        <v>-259.66935453260714</v>
      </c>
      <c r="BP248">
        <f t="shared" si="138"/>
        <v>300822.03608659119</v>
      </c>
      <c r="BQ248">
        <f t="shared" si="139"/>
        <v>393564.9809571713</v>
      </c>
      <c r="BR248" s="148">
        <f t="shared" si="140"/>
        <v>428740.28259962477</v>
      </c>
      <c r="BS248" s="156" t="b">
        <f t="shared" si="141"/>
        <v>0</v>
      </c>
      <c r="BT248" s="156">
        <f t="shared" si="142"/>
        <v>0</v>
      </c>
      <c r="BU248">
        <f t="shared" si="143"/>
        <v>1687.1629737217686</v>
      </c>
      <c r="BV248">
        <f t="shared" si="144"/>
        <v>1687.1629737217686</v>
      </c>
      <c r="BW248" s="148">
        <f t="shared" si="145"/>
        <v>455.4</v>
      </c>
      <c r="BX248" s="148">
        <f t="shared" si="146"/>
        <v>3129354.9718154697</v>
      </c>
      <c r="BY248" s="148">
        <f t="shared" si="147"/>
        <v>0.21342611617580368</v>
      </c>
      <c r="BZ248">
        <f t="shared" si="130"/>
        <v>62.146989532737585</v>
      </c>
      <c r="CB248">
        <f t="shared" si="148"/>
        <v>1687.1629737217686</v>
      </c>
      <c r="CC248" s="162">
        <f t="shared" si="131"/>
        <v>6689.86329404548</v>
      </c>
      <c r="CD248">
        <f t="shared" si="156"/>
        <v>34443.361163427609</v>
      </c>
    </row>
    <row r="249" spans="4:82" x14ac:dyDescent="0.2">
      <c r="D249" s="22">
        <f t="shared" si="157"/>
        <v>-0.1304860927284231</v>
      </c>
      <c r="E249" s="23">
        <v>10.385901084524113</v>
      </c>
      <c r="F249" s="23">
        <f>IF(K249&lt;6,1,IF(Data!K249&lt;9,2,IF(K249&gt;9,3)))</f>
        <v>3</v>
      </c>
      <c r="G249" s="23">
        <v>1089.5814850469587</v>
      </c>
      <c r="H249" s="23">
        <v>220.41666499999999</v>
      </c>
      <c r="I249" s="64">
        <v>46.479386727643686</v>
      </c>
      <c r="J249" s="65">
        <f t="shared" si="158"/>
        <v>-16.463528532467748</v>
      </c>
      <c r="K249" s="65">
        <f t="shared" si="159"/>
        <v>18.591754691057474</v>
      </c>
      <c r="L249" s="65">
        <f t="shared" si="160"/>
        <v>-6.5854114129871002</v>
      </c>
      <c r="M249">
        <f t="shared" si="161"/>
        <v>20.771802169048225</v>
      </c>
      <c r="N249">
        <f t="shared" si="162"/>
        <v>-0.29999713777070092</v>
      </c>
      <c r="O249">
        <f>IF(L249&lt;'Vehicle Data'!F$21,'Vehicle Data'!C$21,IF(L249&gt;'Vehicle Data'!C$21,'Vehicle Data'!C$20))</f>
        <v>0.6</v>
      </c>
      <c r="P249">
        <f>('Vehicle Data'!C$6*9.81*'Vehicle Data'!C$5*SIN(D249))/'Vehicle Data'!C$9</f>
        <v>-86.653109375224929</v>
      </c>
      <c r="Q249" s="107">
        <f>'Vehicle Data'!C$6*9.81*SIN(D249)</f>
        <v>-560.35677395978792</v>
      </c>
      <c r="R249">
        <f t="shared" si="163"/>
        <v>1087.2344594528388</v>
      </c>
      <c r="S249">
        <f>IF(Data!O249=0.6,'Vehicle Data'!E$21,IF(Data!O249 = 0.9,'Vehicle Data'!E$20))+(P249*O249)</f>
        <v>1498.3805343748647</v>
      </c>
      <c r="T249">
        <f>IF(F249=3,'Vehicle Data'!H$16,IF(F249=2,'Vehicle Data'!H$15,IF(F249 = 1,'Vehicle Data'!G$14)))</f>
        <v>466.23005239380637</v>
      </c>
      <c r="U249" s="148">
        <f t="shared" si="164"/>
        <v>371.09597732952273</v>
      </c>
      <c r="V249" s="70" t="s">
        <v>77</v>
      </c>
      <c r="W249" s="99" t="s">
        <v>84</v>
      </c>
      <c r="X249">
        <f>IF(V249="S",'Vehicle Data'!C$14,IF(Data!V249 = "T1",'Vehicle Data'!P$2,IF(Data!V249="T2",'Vehicle Data'!P$3)))</f>
        <v>13.411199999999999</v>
      </c>
      <c r="Z249">
        <f t="shared" si="173"/>
        <v>9.7238031298064307</v>
      </c>
      <c r="AB249" t="b">
        <f>IF(AA249=1,'Vehicle Data'!I$14,IF(AA249=2,'Vehicle Data'!I$15,IF(AA249=3,'Vehicle Data'!I$16)))</f>
        <v>0</v>
      </c>
      <c r="AC249">
        <f>IF(Z249&lt;'Vehicle Data'!C$16,'Vehicle Data'!I$15,IF(Z249&lt;'Vehicle Data'!C$15,'Vehicle Data'!I$15,IF(Z248&gt;'Vehicle Data'!C$15,'Vehicle Data'!I$16)))</f>
        <v>0.46202745420001456</v>
      </c>
      <c r="AD249">
        <f>IF(O249=0.6,'Vehicle Data'!F$21,IF(O249=0.9,'Vehicle Data'!F$20))</f>
        <v>3.5315999999999996</v>
      </c>
      <c r="AE249" s="100">
        <f t="shared" si="172"/>
        <v>0.46202745420001456</v>
      </c>
      <c r="AF249" s="158">
        <f t="shared" si="166"/>
        <v>0.2455247247924548</v>
      </c>
      <c r="AG249" s="148">
        <f t="shared" si="132"/>
        <v>0.46475439741965652</v>
      </c>
      <c r="AH249" s="148">
        <f t="shared" si="150"/>
        <v>62.392514257530038</v>
      </c>
      <c r="AJ249">
        <f>(Z249^2)*'Vehicle Data'!C$31</f>
        <v>34.747987635408258</v>
      </c>
      <c r="AK249">
        <f>IF(O249=0.6,'Vehicle Data'!C$6*'Vehicle Data'!D$21*9.81,IF(O249=0.9,'Vehicle Data'!C$6*9.81*'Vehicle Data'!D$20))</f>
        <v>86.131799999999998</v>
      </c>
      <c r="AL249">
        <f t="shared" si="167"/>
        <v>-439.47698632437965</v>
      </c>
      <c r="AN249">
        <f>IF(AG249&gt;0,AG249*'Vehicle Data'!C$6)</f>
        <v>204.02718046722921</v>
      </c>
      <c r="AO249">
        <f t="shared" si="168"/>
        <v>-235.44980585715044</v>
      </c>
      <c r="AP249">
        <f>AO249*'Vehicle Data'!F$3</f>
        <v>-60.180970377087654</v>
      </c>
      <c r="AQ249">
        <f>IF(AE249='Vehicle Data'!I$15,AP249/'Vehicle Data'!G$15,IF(AE249='Vehicle Data'!I$16,AP249/'Vehicle Data'!G$16,IF(AE249='Vehicle Data'!I$14,Data!AP249/'Vehicle Data'!G260)))</f>
        <v>-11.110171260436154</v>
      </c>
      <c r="AR249">
        <f>IF(Z249&lt;'Vehicle Data'!C$16, Z249*'Vehicle Data'!F$7*'Vehicle Data'!G$14,IF(Z249&lt;'Vehicle Data'!C$15,Z249*'Vehicle Data'!F$7*'Vehicle Data'!G$15,IF(Z249&gt;'Vehicle Data'!C$15,Z249*'Vehicle Data'!F$7*'Vehicle Data'!G$16)))</f>
        <v>84.589276013885183</v>
      </c>
      <c r="AS249">
        <f t="shared" si="151"/>
        <v>5075.356560833111</v>
      </c>
      <c r="AT249">
        <f t="shared" si="170"/>
        <v>-11</v>
      </c>
      <c r="AU249">
        <f t="shared" si="169"/>
        <v>5000</v>
      </c>
      <c r="AW249" t="e">
        <f>VLOOKUP(AT249,BSFC!A$64:A$82,1,FALSE)</f>
        <v>#N/A</v>
      </c>
      <c r="AX249" t="e" cm="1">
        <f t="array" ref="AX249">_xlfn.XLOOKUP(AT249,BSFC!A$64:A$82,,-1,_xlfn.XLOOKUP(Data!AU249,BSFC!C$63:Q$63,BSFC!B$64:Q$82,,-1))</f>
        <v>#VALUE!</v>
      </c>
      <c r="AY249">
        <f>HLOOKUP(AU249,BSFC!F$63:Q$63,1)</f>
        <v>5000</v>
      </c>
      <c r="AZ249">
        <f>IF(AT249&gt;0,MATCH(AT249,BSFC!A$64:A$83,0),IF(AT249&lt;=0,0))</f>
        <v>0</v>
      </c>
      <c r="BA249">
        <f>MATCH(AU249,BSFC!C$63:Q$63,0)</f>
        <v>10</v>
      </c>
      <c r="BB249" t="b" cm="1">
        <f t="array" ref="BB249">IF(AZ249&gt;0,INDEX(BSFC!C$64:Q$83,Data!AZ249,Data!BA249))</f>
        <v>0</v>
      </c>
      <c r="BC249">
        <f>0.5*'Vehicle Data'!C$6*Data!Z249^2</f>
        <v>20754.240233937715</v>
      </c>
      <c r="BD249">
        <f t="shared" si="134"/>
        <v>1.3789025558719818</v>
      </c>
      <c r="BE249">
        <f t="shared" si="154"/>
        <v>0</v>
      </c>
      <c r="BF249">
        <f t="shared" si="155"/>
        <v>0</v>
      </c>
      <c r="BG249">
        <f t="shared" si="135"/>
        <v>69.103866029135659</v>
      </c>
      <c r="BH249">
        <f t="shared" si="171"/>
        <v>-5881.1097829197033</v>
      </c>
      <c r="BI249" s="148">
        <f t="shared" si="136"/>
        <v>6871.6622130335309</v>
      </c>
      <c r="BO249">
        <f t="shared" si="137"/>
        <v>-1403.5129883657219</v>
      </c>
      <c r="BP249">
        <f t="shared" si="138"/>
        <v>299418.52309822547</v>
      </c>
      <c r="BQ249">
        <f t="shared" si="139"/>
        <v>393564.9809571713</v>
      </c>
      <c r="BR249" s="148">
        <f t="shared" si="140"/>
        <v>430380.18859078048</v>
      </c>
      <c r="BS249" s="156" t="b">
        <f t="shared" si="141"/>
        <v>0</v>
      </c>
      <c r="BT249" s="156">
        <f t="shared" si="142"/>
        <v>0</v>
      </c>
      <c r="BU249">
        <f t="shared" si="143"/>
        <v>1639.9059911557138</v>
      </c>
      <c r="BV249">
        <f t="shared" si="144"/>
        <v>1639.9059911557138</v>
      </c>
      <c r="BW249" s="148">
        <f t="shared" si="145"/>
        <v>455.4</v>
      </c>
      <c r="BX249" s="148">
        <f t="shared" si="146"/>
        <v>3129354.9718154697</v>
      </c>
      <c r="BY249" s="148">
        <f t="shared" si="147"/>
        <v>0.20744810788119775</v>
      </c>
      <c r="BZ249">
        <f t="shared" si="130"/>
        <v>62.392514257530038</v>
      </c>
      <c r="CB249">
        <f t="shared" si="148"/>
        <v>1639.9059911557138</v>
      </c>
      <c r="CC249" s="162">
        <f t="shared" si="131"/>
        <v>6679.1887967371013</v>
      </c>
      <c r="CD249">
        <f t="shared" si="156"/>
        <v>36083.267154583322</v>
      </c>
    </row>
    <row r="250" spans="4:82" x14ac:dyDescent="0.2">
      <c r="D250" s="22">
        <f t="shared" si="157"/>
        <v>-8.8407397001256313E-2</v>
      </c>
      <c r="E250" s="23">
        <v>10.085903946753412</v>
      </c>
      <c r="F250" s="23">
        <f>IF(K250&lt;6,1,IF(Data!K250&lt;9,2,IF(K250&gt;9,3)))</f>
        <v>3</v>
      </c>
      <c r="G250" s="23">
        <v>1091.8870959248682</v>
      </c>
      <c r="H250" s="23">
        <v>220.46666499999998</v>
      </c>
      <c r="I250" s="64">
        <v>45.656210301020579</v>
      </c>
      <c r="J250" s="65">
        <f t="shared" si="158"/>
        <v>-16.108133213553121</v>
      </c>
      <c r="K250" s="65">
        <f t="shared" si="159"/>
        <v>18.262484120408232</v>
      </c>
      <c r="L250" s="65">
        <f t="shared" si="160"/>
        <v>-6.443253285421263</v>
      </c>
      <c r="M250">
        <f t="shared" si="161"/>
        <v>20.171807893506823</v>
      </c>
      <c r="N250">
        <f t="shared" si="162"/>
        <v>-0.20000286222929908</v>
      </c>
      <c r="O250">
        <f>IF(L250&lt;'Vehicle Data'!F$21,'Vehicle Data'!C$21,IF(L250&gt;'Vehicle Data'!C$21,'Vehicle Data'!C$20))</f>
        <v>0.6</v>
      </c>
      <c r="P250">
        <f>('Vehicle Data'!C$6*9.81*'Vehicle Data'!C$5*SIN(D250))/'Vehicle Data'!C$9</f>
        <v>-58.799790308189436</v>
      </c>
      <c r="Q250" s="107">
        <f>'Vehicle Data'!C$6*9.81*SIN(D250)</f>
        <v>-380.23864399295837</v>
      </c>
      <c r="R250">
        <f t="shared" si="163"/>
        <v>1089.5814850469587</v>
      </c>
      <c r="S250">
        <f>IF(Data!O250=0.6,'Vehicle Data'!E$21,IF(Data!O250 = 0.9,'Vehicle Data'!E$20))+(P250*O250)</f>
        <v>1515.092525815086</v>
      </c>
      <c r="T250">
        <f>IF(F250=3,'Vehicle Data'!H$16,IF(F250=2,'Vehicle Data'!H$15,IF(F250 = 1,'Vehicle Data'!G$14)))</f>
        <v>466.23005239380637</v>
      </c>
      <c r="U250" s="148">
        <f t="shared" si="164"/>
        <v>373.44300292364267</v>
      </c>
      <c r="V250" s="70" t="s">
        <v>77</v>
      </c>
      <c r="W250" s="99" t="s">
        <v>84</v>
      </c>
      <c r="X250">
        <f>IF(V250="S",'Vehicle Data'!C$14,IF(Data!V250 = "T1",'Vehicle Data'!P$2,IF(Data!V250="T2",'Vehicle Data'!P$3)))</f>
        <v>13.411199999999999</v>
      </c>
      <c r="Z250">
        <f t="shared" si="173"/>
        <v>9.8346900219386875</v>
      </c>
      <c r="AB250" t="b">
        <f>IF(AA250=1,'Vehicle Data'!I$14,IF(AA250=2,'Vehicle Data'!I$15,IF(AA250=3,'Vehicle Data'!I$16)))</f>
        <v>0</v>
      </c>
      <c r="AC250">
        <f>IF(Z250&lt;'Vehicle Data'!C$16,'Vehicle Data'!I$15,IF(Z250&lt;'Vehicle Data'!C$15,'Vehicle Data'!I$15,IF(Z249&gt;'Vehicle Data'!C$15,'Vehicle Data'!I$16)))</f>
        <v>0.46202745420001456</v>
      </c>
      <c r="AD250">
        <f>IF(O250=0.6,'Vehicle Data'!F$21,IF(O250=0.9,'Vehicle Data'!F$20))</f>
        <v>3.5315999999999996</v>
      </c>
      <c r="AE250" s="100">
        <f t="shared" si="172"/>
        <v>0.46202745420001456</v>
      </c>
      <c r="AF250" s="158">
        <f t="shared" si="166"/>
        <v>0.23864764307612391</v>
      </c>
      <c r="AG250" s="148">
        <f t="shared" si="132"/>
        <v>0.46464691921087209</v>
      </c>
      <c r="AH250" s="148">
        <f t="shared" si="150"/>
        <v>62.631161900606159</v>
      </c>
      <c r="AJ250">
        <f>(Z250^2)*'Vehicle Data'!C$31</f>
        <v>35.545014476650501</v>
      </c>
      <c r="AK250">
        <f>IF(O250=0.6,'Vehicle Data'!C$6*'Vehicle Data'!D$21*9.81,IF(O250=0.9,'Vehicle Data'!C$6*9.81*'Vehicle Data'!D$20))</f>
        <v>86.131799999999998</v>
      </c>
      <c r="AL250">
        <f t="shared" si="167"/>
        <v>-258.56182951630785</v>
      </c>
      <c r="AN250">
        <f>IF(AG250&gt;0,AG250*'Vehicle Data'!C$6)</f>
        <v>203.97999753357286</v>
      </c>
      <c r="AO250">
        <f t="shared" si="168"/>
        <v>-54.581831982734997</v>
      </c>
      <c r="AP250">
        <f>AO250*'Vehicle Data'!F$3</f>
        <v>-13.951116254787065</v>
      </c>
      <c r="AQ250">
        <f>IF(AE250='Vehicle Data'!I$15,AP250/'Vehicle Data'!G$15,IF(AE250='Vehicle Data'!I$16,AP250/'Vehicle Data'!G$16,IF(AE250='Vehicle Data'!I$14,Data!AP250/'Vehicle Data'!G261)))</f>
        <v>-2.5755532005171999</v>
      </c>
      <c r="AR250">
        <f>IF(Z250&lt;'Vehicle Data'!C$16, Z250*'Vehicle Data'!F$7*'Vehicle Data'!G$14,IF(Z250&lt;'Vehicle Data'!C$15,Z250*'Vehicle Data'!F$7*'Vehicle Data'!G$15,IF(Z250&gt;'Vehicle Data'!C$15,Z250*'Vehicle Data'!F$7*'Vehicle Data'!G$16)))</f>
        <v>85.553902899033176</v>
      </c>
      <c r="AS250">
        <f t="shared" si="151"/>
        <v>5133.2341739419908</v>
      </c>
      <c r="AT250">
        <f t="shared" si="170"/>
        <v>-3</v>
      </c>
      <c r="AU250">
        <f t="shared" si="169"/>
        <v>5000</v>
      </c>
      <c r="AW250" t="e">
        <f>VLOOKUP(AT250,BSFC!A$64:A$82,1,FALSE)</f>
        <v>#N/A</v>
      </c>
      <c r="AX250" t="e" cm="1">
        <f t="array" ref="AX250">_xlfn.XLOOKUP(AT250,BSFC!A$64:A$82,,-1,_xlfn.XLOOKUP(Data!AU250,BSFC!C$63:Q$63,BSFC!B$64:Q$82,,-1))</f>
        <v>#VALUE!</v>
      </c>
      <c r="AY250">
        <f>HLOOKUP(AU250,BSFC!F$63:Q$63,1)</f>
        <v>5000</v>
      </c>
      <c r="AZ250">
        <f>IF(AT250&gt;0,MATCH(AT250,BSFC!A$64:A$83,0),IF(AT250&lt;=0,0))</f>
        <v>0</v>
      </c>
      <c r="BA250">
        <f>MATCH(AU250,BSFC!C$63:Q$63,0)</f>
        <v>10</v>
      </c>
      <c r="BB250" t="b" cm="1">
        <f t="array" ref="BB250">IF(AZ250&gt;0,INDEX(BSFC!C$64:Q$83,Data!AZ250,Data!BA250))</f>
        <v>0</v>
      </c>
      <c r="BC250">
        <f>0.5*'Vehicle Data'!C$6*Data!Z250^2</f>
        <v>21230.287558162672</v>
      </c>
      <c r="BD250">
        <f t="shared" si="134"/>
        <v>6.4979271417635163</v>
      </c>
      <c r="BE250">
        <f t="shared" si="154"/>
        <v>0</v>
      </c>
      <c r="BF250">
        <f t="shared" si="155"/>
        <v>0</v>
      </c>
      <c r="BG250">
        <f t="shared" si="135"/>
        <v>69.103866029135659</v>
      </c>
      <c r="BH250">
        <f t="shared" si="171"/>
        <v>-1378.9025558719818</v>
      </c>
      <c r="BI250" s="148">
        <f t="shared" si="136"/>
        <v>6871.6622130335309</v>
      </c>
      <c r="BO250">
        <f t="shared" si="137"/>
        <v>-319.76258937567638</v>
      </c>
      <c r="BP250">
        <f t="shared" si="138"/>
        <v>299098.76050884981</v>
      </c>
      <c r="BQ250">
        <f t="shared" si="139"/>
        <v>393564.9809571713</v>
      </c>
      <c r="BR250" s="148">
        <f t="shared" si="140"/>
        <v>431973.70257274935</v>
      </c>
      <c r="BS250" s="156" t="b">
        <f t="shared" si="141"/>
        <v>0</v>
      </c>
      <c r="BT250" s="156">
        <f t="shared" si="142"/>
        <v>0</v>
      </c>
      <c r="BU250">
        <f t="shared" si="143"/>
        <v>1593.5139819688545</v>
      </c>
      <c r="BV250">
        <f t="shared" si="144"/>
        <v>1593.5139819688545</v>
      </c>
      <c r="BW250" s="148">
        <f t="shared" si="145"/>
        <v>455.4</v>
      </c>
      <c r="BX250" s="148">
        <f t="shared" si="146"/>
        <v>3129354.9718154697</v>
      </c>
      <c r="BY250" s="148">
        <f t="shared" si="147"/>
        <v>0.20157951871906007</v>
      </c>
      <c r="BZ250">
        <f t="shared" si="130"/>
        <v>62.631161900606159</v>
      </c>
      <c r="CB250">
        <f t="shared" si="148"/>
        <v>1593.5139819688545</v>
      </c>
      <c r="CC250" s="162">
        <f t="shared" si="131"/>
        <v>6677.2667914452304</v>
      </c>
      <c r="CD250">
        <f t="shared" si="156"/>
        <v>37676.781136552177</v>
      </c>
    </row>
    <row r="251" spans="4:82" x14ac:dyDescent="0.2">
      <c r="D251" s="22">
        <f t="shared" si="157"/>
        <v>-0.13527965497370459</v>
      </c>
      <c r="E251" s="23">
        <v>9.8859010845241126</v>
      </c>
      <c r="F251" s="23">
        <f>IF(K251&lt;6,1,IF(Data!K251&lt;9,2,IF(K251&gt;9,3)))</f>
        <v>3</v>
      </c>
      <c r="G251" s="23">
        <v>1094.1523320865667</v>
      </c>
      <c r="H251" s="23">
        <v>220.51666499999999</v>
      </c>
      <c r="I251" s="64">
        <v>44.85080364034274</v>
      </c>
      <c r="J251" s="65">
        <f t="shared" si="158"/>
        <v>-16.366979109841655</v>
      </c>
      <c r="K251" s="65">
        <f t="shared" si="159"/>
        <v>17.940321456137095</v>
      </c>
      <c r="L251" s="65">
        <f t="shared" si="160"/>
        <v>-6.5467916439366327</v>
      </c>
      <c r="M251">
        <f t="shared" si="161"/>
        <v>19.771802169048225</v>
      </c>
      <c r="N251">
        <f t="shared" si="162"/>
        <v>-0.29999713777051795</v>
      </c>
      <c r="O251">
        <f>IF(L251&lt;'Vehicle Data'!F$21,'Vehicle Data'!C$21,IF(L251&gt;'Vehicle Data'!C$21,'Vehicle Data'!C$20))</f>
        <v>0.6</v>
      </c>
      <c r="P251">
        <f>('Vehicle Data'!C$6*9.81*'Vehicle Data'!C$5*SIN(D251))/'Vehicle Data'!C$9</f>
        <v>-89.817319491794251</v>
      </c>
      <c r="Q251" s="107">
        <f>'Vehicle Data'!C$6*9.81*SIN(D251)</f>
        <v>-580.81866604693607</v>
      </c>
      <c r="R251">
        <f t="shared" si="163"/>
        <v>1091.8870959248682</v>
      </c>
      <c r="S251">
        <f>IF(Data!O251=0.6,'Vehicle Data'!E$21,IF(Data!O251 = 0.9,'Vehicle Data'!E$20))+(P251*O251)</f>
        <v>1496.4820083049233</v>
      </c>
      <c r="T251">
        <f>IF(F251=3,'Vehicle Data'!H$16,IF(F251=2,'Vehicle Data'!H$15,IF(F251 = 1,'Vehicle Data'!G$14)))</f>
        <v>466.23005239380637</v>
      </c>
      <c r="U251" s="148">
        <f t="shared" si="164"/>
        <v>375.7486138015521</v>
      </c>
      <c r="V251" s="70" t="s">
        <v>77</v>
      </c>
      <c r="W251" s="99" t="s">
        <v>84</v>
      </c>
      <c r="X251">
        <f>IF(V251="S",'Vehicle Data'!C$14,IF(Data!V251 = "T1",'Vehicle Data'!P$2,IF(Data!V251="T2",'Vehicle Data'!P$3)))</f>
        <v>13.411199999999999</v>
      </c>
      <c r="Z251">
        <f t="shared" si="173"/>
        <v>9.9424161488147877</v>
      </c>
      <c r="AB251" t="b">
        <f>IF(AA251=1,'Vehicle Data'!I$14,IF(AA251=2,'Vehicle Data'!I$15,IF(AA251=3,'Vehicle Data'!I$16)))</f>
        <v>0</v>
      </c>
      <c r="AC251">
        <f>IF(Z251&lt;'Vehicle Data'!C$16,'Vehicle Data'!I$15,IF(Z251&lt;'Vehicle Data'!C$15,'Vehicle Data'!I$15,IF(Z250&gt;'Vehicle Data'!C$15,'Vehicle Data'!I$16)))</f>
        <v>0.46202745420001456</v>
      </c>
      <c r="AD251">
        <f>IF(O251=0.6,'Vehicle Data'!F$21,IF(O251=0.9,'Vehicle Data'!F$20))</f>
        <v>3.5315999999999996</v>
      </c>
      <c r="AE251" s="100">
        <f t="shared" si="172"/>
        <v>0.46202745420001456</v>
      </c>
      <c r="AF251" s="158">
        <f t="shared" si="166"/>
        <v>0.23189643678154395</v>
      </c>
      <c r="AG251" s="148">
        <f t="shared" si="132"/>
        <v>0.46454412310605164</v>
      </c>
      <c r="AH251" s="148">
        <f t="shared" si="150"/>
        <v>62.863058337387706</v>
      </c>
      <c r="AJ251">
        <f>(Z251^2)*'Vehicle Data'!C$31</f>
        <v>36.327977287008316</v>
      </c>
      <c r="AK251">
        <f>IF(O251=0.6,'Vehicle Data'!C$6*'Vehicle Data'!D$21*9.81,IF(O251=0.9,'Vehicle Data'!C$6*9.81*'Vehicle Data'!D$20))</f>
        <v>86.131799999999998</v>
      </c>
      <c r="AL251">
        <f t="shared" si="167"/>
        <v>-458.35888875992777</v>
      </c>
      <c r="AN251">
        <f>IF(AG251&gt;0,AG251*'Vehicle Data'!C$6)</f>
        <v>203.93487004355666</v>
      </c>
      <c r="AO251">
        <f t="shared" si="168"/>
        <v>-254.42401871637111</v>
      </c>
      <c r="AP251">
        <f>AO251*'Vehicle Data'!F$3</f>
        <v>-65.030779183904457</v>
      </c>
      <c r="AQ251">
        <f>IF(AE251='Vehicle Data'!I$15,AP251/'Vehicle Data'!G$15,IF(AE251='Vehicle Data'!I$16,AP251/'Vehicle Data'!G$16,IF(AE251='Vehicle Data'!I$14,Data!AP251/'Vehicle Data'!G262)))</f>
        <v>-12.005507545087031</v>
      </c>
      <c r="AR251">
        <f>IF(Z251&lt;'Vehicle Data'!C$16, Z251*'Vehicle Data'!F$7*'Vehicle Data'!G$14,IF(Z251&lt;'Vehicle Data'!C$15,Z251*'Vehicle Data'!F$7*'Vehicle Data'!G$15,IF(Z251&gt;'Vehicle Data'!C$15,Z251*'Vehicle Data'!F$7*'Vehicle Data'!G$16)))</f>
        <v>86.49103366552275</v>
      </c>
      <c r="AS251">
        <f t="shared" si="151"/>
        <v>5189.4620199313649</v>
      </c>
      <c r="AT251">
        <f t="shared" si="170"/>
        <v>-12</v>
      </c>
      <c r="AU251">
        <f t="shared" si="169"/>
        <v>5000</v>
      </c>
      <c r="AW251" t="e">
        <f>VLOOKUP(AT251,BSFC!A$64:A$82,1,FALSE)</f>
        <v>#N/A</v>
      </c>
      <c r="AX251" t="e" cm="1">
        <f t="array" ref="AX251">_xlfn.XLOOKUP(AT251,BSFC!A$64:A$82,,-1,_xlfn.XLOOKUP(Data!AU251,BSFC!C$63:Q$63,BSFC!B$64:Q$82,,-1))</f>
        <v>#VALUE!</v>
      </c>
      <c r="AY251">
        <f>HLOOKUP(AU251,BSFC!F$63:Q$63,1)</f>
        <v>5000</v>
      </c>
      <c r="AZ251">
        <f>IF(AT251&gt;0,MATCH(AT251,BSFC!A$64:A$83,0),IF(AT251&lt;=0,0))</f>
        <v>0</v>
      </c>
      <c r="BA251">
        <f>MATCH(AU251,BSFC!C$63:Q$63,0)</f>
        <v>10</v>
      </c>
      <c r="BB251" t="b" cm="1">
        <f t="array" ref="BB251">IF(AZ251&gt;0,INDEX(BSFC!C$64:Q$83,Data!AZ251,Data!BA251))</f>
        <v>0</v>
      </c>
      <c r="BC251">
        <f>0.5*'Vehicle Data'!C$6*Data!Z251^2</f>
        <v>21697.93473332877</v>
      </c>
      <c r="BD251">
        <f t="shared" si="134"/>
        <v>0</v>
      </c>
      <c r="BE251">
        <f t="shared" si="154"/>
        <v>0</v>
      </c>
      <c r="BF251">
        <f t="shared" si="155"/>
        <v>0</v>
      </c>
      <c r="BG251">
        <f t="shared" si="135"/>
        <v>69.103866029135659</v>
      </c>
      <c r="BH251">
        <f t="shared" si="171"/>
        <v>-6497.9271417635164</v>
      </c>
      <c r="BI251" s="148">
        <f t="shared" si="136"/>
        <v>6871.6622130335309</v>
      </c>
      <c r="BO251">
        <f t="shared" si="137"/>
        <v>-1465.0291239831979</v>
      </c>
      <c r="BP251">
        <f t="shared" si="138"/>
        <v>297633.73138486664</v>
      </c>
      <c r="BQ251">
        <f t="shared" si="139"/>
        <v>393564.9809571713</v>
      </c>
      <c r="BR251" s="148">
        <f t="shared" si="140"/>
        <v>433522.99437806447</v>
      </c>
      <c r="BS251" s="156" t="b">
        <f t="shared" si="141"/>
        <v>0</v>
      </c>
      <c r="BT251" s="156">
        <f t="shared" si="142"/>
        <v>0</v>
      </c>
      <c r="BU251">
        <f t="shared" si="143"/>
        <v>1549.2918053151263</v>
      </c>
      <c r="BV251">
        <f t="shared" si="144"/>
        <v>1549.2918053151263</v>
      </c>
      <c r="BW251" s="148">
        <f t="shared" si="145"/>
        <v>455.4</v>
      </c>
      <c r="BX251" s="148">
        <f t="shared" si="146"/>
        <v>3129354.9718154697</v>
      </c>
      <c r="BY251" s="148">
        <f t="shared" si="147"/>
        <v>0.19598541337236347</v>
      </c>
      <c r="BZ251">
        <f t="shared" si="130"/>
        <v>62.863058337387706</v>
      </c>
      <c r="CB251">
        <f t="shared" si="148"/>
        <v>1549.2918053151263</v>
      </c>
      <c r="CC251" s="162">
        <f t="shared" si="131"/>
        <v>6680.9642563615771</v>
      </c>
      <c r="CD251">
        <f t="shared" si="156"/>
        <v>39226.072941867307</v>
      </c>
    </row>
    <row r="252" spans="4:82" x14ac:dyDescent="0.2">
      <c r="D252" s="22">
        <f t="shared" si="157"/>
        <v>-0.1378028096821646</v>
      </c>
      <c r="E252" s="23">
        <v>9.5859039467535947</v>
      </c>
      <c r="F252" s="23">
        <f>IF(K252&lt;6,1,IF(Data!K252&lt;9,2,IF(K252&gt;9,3)))</f>
        <v>3</v>
      </c>
      <c r="G252" s="23">
        <v>1096.3767176806873</v>
      </c>
      <c r="H252" s="23">
        <v>220.566665</v>
      </c>
      <c r="I252" s="64">
        <v>44.032454684850471</v>
      </c>
      <c r="J252" s="65">
        <f t="shared" si="158"/>
        <v>-15.79245069171121</v>
      </c>
      <c r="K252" s="65">
        <f t="shared" si="159"/>
        <v>17.612981873940189</v>
      </c>
      <c r="L252" s="65">
        <f t="shared" si="160"/>
        <v>-6.3169802766845127</v>
      </c>
      <c r="M252">
        <f t="shared" si="161"/>
        <v>19.171807893507189</v>
      </c>
      <c r="N252">
        <f t="shared" si="162"/>
        <v>-0.30000138864842896</v>
      </c>
      <c r="O252">
        <f>IF(L252&lt;'Vehicle Data'!F$21,'Vehicle Data'!C$21,IF(L252&gt;'Vehicle Data'!C$21,'Vehicle Data'!C$20))</f>
        <v>0.6</v>
      </c>
      <c r="P252">
        <f>('Vehicle Data'!C$6*9.81*'Vehicle Data'!C$5*SIN(D252))/'Vehicle Data'!C$9</f>
        <v>-91.482018761150869</v>
      </c>
      <c r="Q252" s="107">
        <f>'Vehicle Data'!C$6*9.81*SIN(D252)</f>
        <v>-591.58372132210889</v>
      </c>
      <c r="R252">
        <f t="shared" si="163"/>
        <v>1094.1523320865667</v>
      </c>
      <c r="S252">
        <f>IF(Data!O252=0.6,'Vehicle Data'!E$21,IF(Data!O252 = 0.9,'Vehicle Data'!E$20))+(P252*O252)</f>
        <v>1495.4831887433093</v>
      </c>
      <c r="T252">
        <f>IF(F252=3,'Vehicle Data'!H$16,IF(F252=2,'Vehicle Data'!H$15,IF(F252 = 1,'Vehicle Data'!G$14)))</f>
        <v>466.23005239380637</v>
      </c>
      <c r="U252" s="148">
        <f t="shared" si="164"/>
        <v>378.01384996325066</v>
      </c>
      <c r="V252" s="70" t="s">
        <v>77</v>
      </c>
      <c r="W252" s="99" t="s">
        <v>84</v>
      </c>
      <c r="X252">
        <f>IF(V252="S",'Vehicle Data'!C$14,IF(Data!V252 = "T1",'Vehicle Data'!P$2,IF(Data!V252="T2",'Vehicle Data'!P$3)))</f>
        <v>13.411199999999999</v>
      </c>
      <c r="Z252">
        <f t="shared" si="173"/>
        <v>10.047131006915151</v>
      </c>
      <c r="AB252" t="b">
        <f>IF(AA252=1,'Vehicle Data'!I$14,IF(AA252=2,'Vehicle Data'!I$15,IF(AA252=3,'Vehicle Data'!I$16)))</f>
        <v>0</v>
      </c>
      <c r="AC252">
        <v>1.3037776999999999</v>
      </c>
      <c r="AD252">
        <f>IF(O252=0.6,'Vehicle Data'!F$21,IF(O252=0.9,'Vehicle Data'!F$20))</f>
        <v>3.5315999999999996</v>
      </c>
      <c r="AE252" s="100">
        <f t="shared" si="172"/>
        <v>1.3037776999999999</v>
      </c>
      <c r="AF252" s="158">
        <f t="shared" si="166"/>
        <v>0.22546099579466719</v>
      </c>
      <c r="AG252" s="148">
        <f t="shared" si="132"/>
        <v>0.46444777612767218</v>
      </c>
      <c r="AH252" s="148">
        <f t="shared" si="150"/>
        <v>63.088519333182376</v>
      </c>
      <c r="AJ252">
        <f>(Z252^2)*'Vehicle Data'!C$31</f>
        <v>37.097229240267588</v>
      </c>
      <c r="AK252">
        <f>IF(O252=0.6,'Vehicle Data'!C$6*'Vehicle Data'!D$21*9.81,IF(O252=0.9,'Vehicle Data'!C$6*9.81*'Vehicle Data'!D$20))</f>
        <v>86.131799999999998</v>
      </c>
      <c r="AL252">
        <f t="shared" si="167"/>
        <v>-468.35469208184134</v>
      </c>
      <c r="AN252">
        <f>IF(AG252&gt;0,AG252*'Vehicle Data'!C$6)</f>
        <v>203.89257372004809</v>
      </c>
      <c r="AO252">
        <f t="shared" si="168"/>
        <v>-264.46211836179327</v>
      </c>
      <c r="AP252">
        <f>AO252*'Vehicle Data'!F$3</f>
        <v>-67.596517453274359</v>
      </c>
      <c r="AQ252" t="b">
        <f>IF(AE252='Vehicle Data'!I$15,AP252/'Vehicle Data'!G$15,IF(AE252='Vehicle Data'!I$16,AP252/'Vehicle Data'!G$16,IF(AE252='Vehicle Data'!I$14,Data!AP252/'Vehicle Data'!G263)))</f>
        <v>0</v>
      </c>
      <c r="AR252">
        <f>IF(Z252&lt;'Vehicle Data'!C$16, Z252*'Vehicle Data'!F$7*'Vehicle Data'!G$14,IF(Z252&lt;'Vehicle Data'!C$15,Z252*'Vehicle Data'!F$7*'Vehicle Data'!G$15,IF(Z252&gt;'Vehicle Data'!C$15,Z252*'Vehicle Data'!F$7*'Vehicle Data'!G$16)))</f>
        <v>87.401968812641755</v>
      </c>
      <c r="AS252">
        <f t="shared" si="151"/>
        <v>5244.118128758505</v>
      </c>
      <c r="AT252">
        <f t="shared" si="170"/>
        <v>0</v>
      </c>
      <c r="AU252">
        <f t="shared" si="169"/>
        <v>5000</v>
      </c>
      <c r="AW252" t="e">
        <f>VLOOKUP(AT252,BSFC!A$64:A$82,1,FALSE)</f>
        <v>#N/A</v>
      </c>
      <c r="AX252" t="e" cm="1">
        <f t="array" ref="AX252">_xlfn.XLOOKUP(AT252,BSFC!A$64:A$82,,-1,_xlfn.XLOOKUP(Data!AU252,BSFC!C$63:Q$63,BSFC!B$64:Q$82,,-1))</f>
        <v>#VALUE!</v>
      </c>
      <c r="AY252">
        <f>HLOOKUP(AU252,BSFC!F$63:Q$63,1)</f>
        <v>5000</v>
      </c>
      <c r="AZ252">
        <f>IF(AT252&gt;0,MATCH(AT252,BSFC!A$64:A$83,0),IF(AT252&lt;=0,0))</f>
        <v>0</v>
      </c>
      <c r="BA252">
        <f>MATCH(AU252,BSFC!C$63:Q$63,0)</f>
        <v>10</v>
      </c>
      <c r="BB252" t="b" cm="1">
        <f t="array" ref="BB252">IF(AZ252&gt;0,INDEX(BSFC!C$64:Q$83,Data!AZ252,Data!BA252))</f>
        <v>0</v>
      </c>
      <c r="BC252">
        <f>0.5*'Vehicle Data'!C$6*Data!Z252^2</f>
        <v>22157.392702690431</v>
      </c>
      <c r="BD252">
        <f t="shared" si="134"/>
        <v>3.5864720281922668</v>
      </c>
      <c r="BE252">
        <f t="shared" si="154"/>
        <v>0</v>
      </c>
      <c r="BF252">
        <f t="shared" si="155"/>
        <v>0</v>
      </c>
      <c r="BG252">
        <f t="shared" si="135"/>
        <v>69.103866029135659</v>
      </c>
      <c r="BH252">
        <f t="shared" si="171"/>
        <v>0</v>
      </c>
      <c r="BI252" s="148">
        <f t="shared" si="136"/>
        <v>6871.6622130335309</v>
      </c>
      <c r="BO252">
        <f t="shared" si="137"/>
        <v>0</v>
      </c>
      <c r="BP252">
        <f t="shared" si="138"/>
        <v>297633.73138486664</v>
      </c>
      <c r="BQ252">
        <f t="shared" si="139"/>
        <v>393564.9809571713</v>
      </c>
      <c r="BR252" s="148">
        <f t="shared" si="140"/>
        <v>435002.4365830851</v>
      </c>
      <c r="BS252" s="156" t="b">
        <f t="shared" si="141"/>
        <v>0</v>
      </c>
      <c r="BT252" s="156">
        <f t="shared" si="142"/>
        <v>0</v>
      </c>
      <c r="BU252">
        <f t="shared" si="143"/>
        <v>1479.4422050206522</v>
      </c>
      <c r="BV252">
        <f t="shared" si="144"/>
        <v>1479.4422050206522</v>
      </c>
      <c r="BW252" s="148">
        <f t="shared" si="145"/>
        <v>455.4</v>
      </c>
      <c r="BX252" s="148">
        <f t="shared" si="146"/>
        <v>3129354.9718154697</v>
      </c>
      <c r="BY252" s="148">
        <f t="shared" si="147"/>
        <v>0.18714943893511249</v>
      </c>
      <c r="BZ252">
        <f t="shared" si="130"/>
        <v>63.088519333182376</v>
      </c>
      <c r="CB252">
        <f t="shared" si="148"/>
        <v>1479.4422050206522</v>
      </c>
      <c r="CC252" s="162">
        <f t="shared" si="131"/>
        <v>6561.8543012557211</v>
      </c>
      <c r="CD252">
        <f t="shared" si="156"/>
        <v>40705.515146887963</v>
      </c>
    </row>
    <row r="253" spans="4:82" x14ac:dyDescent="0.2">
      <c r="D253" s="22">
        <f t="shared" si="157"/>
        <v>-0.13288009181467</v>
      </c>
      <c r="E253" s="23">
        <v>9.2859025581051657</v>
      </c>
      <c r="F253" s="23">
        <f>IF(K253&lt;6,1,IF(Data!K253&lt;9,2,IF(K253&gt;9,3)))</f>
        <v>3</v>
      </c>
      <c r="G253" s="23">
        <v>1098.5606570518587</v>
      </c>
      <c r="H253" s="23">
        <v>220.61666499999998</v>
      </c>
      <c r="I253" s="64">
        <v>43.24283215026518</v>
      </c>
      <c r="J253" s="65">
        <f t="shared" si="158"/>
        <v>-15.168623118003911</v>
      </c>
      <c r="K253" s="65">
        <f t="shared" si="159"/>
        <v>17.297132860106071</v>
      </c>
      <c r="L253" s="65">
        <f t="shared" si="160"/>
        <v>-6.0674492472015791</v>
      </c>
      <c r="M253">
        <f t="shared" si="161"/>
        <v>18.571805116210331</v>
      </c>
      <c r="N253">
        <f t="shared" si="162"/>
        <v>-0.28420095810516699</v>
      </c>
      <c r="O253">
        <f>IF(L253&lt;'Vehicle Data'!F$21,'Vehicle Data'!C$21,IF(L253&gt;'Vehicle Data'!C$21,'Vehicle Data'!C$20))</f>
        <v>0.6</v>
      </c>
      <c r="P253">
        <f>('Vehicle Data'!C$6*9.81*'Vehicle Data'!C$5*SIN(D253))/'Vehicle Data'!C$9</f>
        <v>-88.233631457817623</v>
      </c>
      <c r="Q253" s="107">
        <f>'Vehicle Data'!C$6*9.81*SIN(D253)</f>
        <v>-570.57748342722061</v>
      </c>
      <c r="R253">
        <f t="shared" si="163"/>
        <v>1096.3767176806873</v>
      </c>
      <c r="S253">
        <f>IF(Data!O253=0.6,'Vehicle Data'!E$21,IF(Data!O253 = 0.9,'Vehicle Data'!E$20))+(P253*O253)</f>
        <v>1497.4322211253091</v>
      </c>
      <c r="T253">
        <f>IF(F253=3,'Vehicle Data'!H$16,IF(F253=2,'Vehicle Data'!H$15,IF(F253 = 1,'Vehicle Data'!G$14)))</f>
        <v>466.23005239380637</v>
      </c>
      <c r="U253" s="148">
        <f t="shared" si="164"/>
        <v>380.23823555737124</v>
      </c>
      <c r="V253" s="70" t="s">
        <v>77</v>
      </c>
      <c r="W253" s="99" t="s">
        <v>84</v>
      </c>
      <c r="X253">
        <f>IF(V253="S",'Vehicle Data'!C$14,IF(Data!V253 = "T1",'Vehicle Data'!P$2,IF(Data!V253="T2",'Vehicle Data'!P$3)))</f>
        <v>13.411199999999999</v>
      </c>
      <c r="Z253">
        <f t="shared" si="173"/>
        <v>10.331749616485446</v>
      </c>
      <c r="AB253" t="b">
        <f>IF(AA253=1,'Vehicle Data'!I$14,IF(AA253=2,'Vehicle Data'!I$15,IF(AA253=3,'Vehicle Data'!I$16)))</f>
        <v>0</v>
      </c>
      <c r="AC253">
        <f>IF(Z253&lt;'Vehicle Data'!C$16,'Vehicle Data'!I$15,IF(Z253&lt;'Vehicle Data'!C$15,'Vehicle Data'!I$15,IF(Z252&gt;'Vehicle Data'!C$15,'Vehicle Data'!I$16)))</f>
        <v>0.46202745420001456</v>
      </c>
      <c r="AD253">
        <f>IF(O253=0.6,'Vehicle Data'!F$21,IF(O253=0.9,'Vehicle Data'!F$20))</f>
        <v>3.5315999999999996</v>
      </c>
      <c r="AE253" s="100">
        <f t="shared" si="172"/>
        <v>0.46202745420001456</v>
      </c>
      <c r="AF253" s="158">
        <f t="shared" si="166"/>
        <v>0.21529611892368394</v>
      </c>
      <c r="AG253" s="148">
        <f t="shared" si="132"/>
        <v>1.3219867176109363</v>
      </c>
      <c r="AH253" s="148">
        <f t="shared" si="150"/>
        <v>63.303815452106058</v>
      </c>
      <c r="AJ253">
        <f>(Z253^2)*'Vehicle Data'!C$31</f>
        <v>39.22880592562209</v>
      </c>
      <c r="AK253">
        <f>IF(O253=0.6,'Vehicle Data'!C$6*'Vehicle Data'!D$21*9.81,IF(O253=0.9,'Vehicle Data'!C$6*9.81*'Vehicle Data'!D$20))</f>
        <v>86.131799999999998</v>
      </c>
      <c r="AL253">
        <f t="shared" si="167"/>
        <v>-445.21687750159856</v>
      </c>
      <c r="AN253">
        <f>IF(AG253&gt;0,AG253*'Vehicle Data'!C$6)</f>
        <v>580.35216903120102</v>
      </c>
      <c r="AO253">
        <f t="shared" si="168"/>
        <v>135.13529152960245</v>
      </c>
      <c r="AP253">
        <f>AO253*'Vehicle Data'!F$3</f>
        <v>34.540580514966386</v>
      </c>
      <c r="AQ253">
        <f>IF(AE253='Vehicle Data'!I$15,AP253/'Vehicle Data'!G$15,IF(AE253='Vehicle Data'!I$16,AP253/'Vehicle Data'!G$16,IF(AE253='Vehicle Data'!I$14,Data!AP253/'Vehicle Data'!G264)))</f>
        <v>6.3766297311527582</v>
      </c>
      <c r="AR253">
        <f>IF(Z253&lt;'Vehicle Data'!C$16, Z253*'Vehicle Data'!F$7*'Vehicle Data'!G$14,IF(Z253&lt;'Vehicle Data'!C$15,Z253*'Vehicle Data'!F$7*'Vehicle Data'!G$15,IF(Z253&gt;'Vehicle Data'!C$15,Z253*'Vehicle Data'!F$7*'Vehicle Data'!G$16)))</f>
        <v>89.877922079304525</v>
      </c>
      <c r="AS253">
        <f t="shared" si="151"/>
        <v>5392.6753247582719</v>
      </c>
      <c r="AT253">
        <f t="shared" si="170"/>
        <v>6</v>
      </c>
      <c r="AU253">
        <f t="shared" si="169"/>
        <v>5500</v>
      </c>
      <c r="AW253">
        <f>VLOOKUP(AT253,BSFC!A$64:A$82,1,FALSE)</f>
        <v>6</v>
      </c>
      <c r="AX253" t="e" cm="1">
        <f t="array" ref="AX253">_xlfn.XLOOKUP(AT253,BSFC!A$64:A$82,,-1,_xlfn.XLOOKUP(Data!AU253,BSFC!C$63:Q$63,BSFC!B$64:Q$82,,-1))</f>
        <v>#VALUE!</v>
      </c>
      <c r="AY253">
        <f>HLOOKUP(AU253,BSFC!F$63:Q$63,1)</f>
        <v>5500</v>
      </c>
      <c r="AZ253">
        <f>IF(AT253&gt;0,MATCH(AT253,BSFC!A$64:A$83,0),IF(AT253&lt;=0,0))</f>
        <v>17</v>
      </c>
      <c r="BA253">
        <f>MATCH(AU253,BSFC!C$63:Q$63,0)</f>
        <v>11</v>
      </c>
      <c r="BB253" cm="1">
        <f t="array" ref="BB253">IF(AZ253&gt;0,INDEX(BSFC!C$64:Q$83,Data!AZ253,Data!BA253))</f>
        <v>664</v>
      </c>
      <c r="BC253">
        <f>0.5*'Vehicle Data'!C$6*Data!Z253^2</f>
        <v>23430.538505235501</v>
      </c>
      <c r="BD253">
        <f t="shared" si="134"/>
        <v>3.3607524242129632</v>
      </c>
      <c r="BE253">
        <f t="shared" ref="BE253:BE267" si="174">BB253*BD253</f>
        <v>2231.5396096774075</v>
      </c>
      <c r="BF253">
        <f t="shared" ref="BF253:BF267" si="175">(BE253/3600)*AF253</f>
        <v>0.13345606033000509</v>
      </c>
      <c r="BG253">
        <f t="shared" si="135"/>
        <v>69.237322089465664</v>
      </c>
      <c r="BH253">
        <f t="shared" si="171"/>
        <v>3586.4720281922669</v>
      </c>
      <c r="BI253" s="148">
        <f t="shared" si="136"/>
        <v>6871.6622130335309</v>
      </c>
      <c r="BO253">
        <f t="shared" si="137"/>
        <v>751.04710593459083</v>
      </c>
      <c r="BP253">
        <f t="shared" si="138"/>
        <v>298384.77849080123</v>
      </c>
      <c r="BQ253">
        <f t="shared" si="139"/>
        <v>394316.02806310588</v>
      </c>
      <c r="BR253" s="148">
        <f t="shared" si="140"/>
        <v>436441.43902824295</v>
      </c>
      <c r="BS253" s="156">
        <f t="shared" si="141"/>
        <v>751.04710593459083</v>
      </c>
      <c r="BT253" s="156">
        <f t="shared" si="142"/>
        <v>3586.4720281922669</v>
      </c>
      <c r="BU253">
        <f t="shared" si="143"/>
        <v>1439.0024451578538</v>
      </c>
      <c r="BV253">
        <f t="shared" si="144"/>
        <v>1439.0024451578538</v>
      </c>
      <c r="BW253" s="148">
        <f t="shared" si="145"/>
        <v>455.4</v>
      </c>
      <c r="BX253" s="148">
        <f t="shared" si="146"/>
        <v>3129354.9718154697</v>
      </c>
      <c r="BY253" s="148">
        <f t="shared" si="147"/>
        <v>0.18203380931246846</v>
      </c>
      <c r="BZ253">
        <f t="shared" si="130"/>
        <v>63.303815452106058</v>
      </c>
      <c r="CB253">
        <f t="shared" si="148"/>
        <v>687.95533922326297</v>
      </c>
      <c r="CC253" s="162">
        <f t="shared" si="131"/>
        <v>3195.3912716240325</v>
      </c>
      <c r="CD253">
        <f t="shared" si="156"/>
        <v>41393.470486111226</v>
      </c>
    </row>
    <row r="254" spans="4:82" x14ac:dyDescent="0.2">
      <c r="D254" s="22">
        <f t="shared" si="157"/>
        <v>-4.7487407732836003E-2</v>
      </c>
      <c r="E254" s="23">
        <v>9.0017015999999987</v>
      </c>
      <c r="F254" s="23">
        <f>IF(K254&lt;6,1,IF(Data!K254&lt;9,2,IF(K254&gt;9,3)))</f>
        <v>3</v>
      </c>
      <c r="G254" s="23">
        <v>1100.7057417068199</v>
      </c>
      <c r="H254" s="23">
        <v>220.66666499999999</v>
      </c>
      <c r="I254" s="64">
        <v>42.484400994364812</v>
      </c>
      <c r="J254" s="65">
        <f t="shared" si="158"/>
        <v>-15.514697512459497</v>
      </c>
      <c r="K254" s="65">
        <f t="shared" si="159"/>
        <v>16.993760397745923</v>
      </c>
      <c r="L254" s="65">
        <f t="shared" si="160"/>
        <v>-6.2058790049837702</v>
      </c>
      <c r="M254">
        <f t="shared" si="161"/>
        <v>18.003403199999997</v>
      </c>
      <c r="N254">
        <f t="shared" si="162"/>
        <v>-9.9998399999998711E-2</v>
      </c>
      <c r="O254">
        <f>IF(L254&lt;'Vehicle Data'!F$21,'Vehicle Data'!C$21,IF(L254&gt;'Vehicle Data'!C$21,'Vehicle Data'!C$20))</f>
        <v>0.6</v>
      </c>
      <c r="P254">
        <f>('Vehicle Data'!C$6*9.81*'Vehicle Data'!C$5*SIN(D254))/'Vehicle Data'!C$9</f>
        <v>-31.61318673325453</v>
      </c>
      <c r="Q254" s="107">
        <f>'Vehicle Data'!C$6*9.81*SIN(D254)</f>
        <v>-204.43194087504597</v>
      </c>
      <c r="R254">
        <f t="shared" si="163"/>
        <v>1098.5606570518587</v>
      </c>
      <c r="S254">
        <f>IF(Data!O254=0.6,'Vehicle Data'!E$21,IF(Data!O254 = 0.9,'Vehicle Data'!E$20))+(P254*O254)</f>
        <v>1531.4044879600469</v>
      </c>
      <c r="T254">
        <f>IF(F254=3,'Vehicle Data'!H$16,IF(F254=2,'Vehicle Data'!H$15,IF(F254 = 1,'Vehicle Data'!G$14)))</f>
        <v>466.23005239380637</v>
      </c>
      <c r="U254" s="148">
        <f t="shared" si="164"/>
        <v>382.42217492854263</v>
      </c>
      <c r="V254" s="70" t="s">
        <v>77</v>
      </c>
      <c r="W254" s="99" t="s">
        <v>84</v>
      </c>
      <c r="X254">
        <f>IF(V254="S",'Vehicle Data'!C$14,IF(Data!V254 = "T1",'Vehicle Data'!P$2,IF(Data!V254="T2",'Vehicle Data'!P$3)))</f>
        <v>13.411199999999999</v>
      </c>
      <c r="Z254">
        <f t="shared" si="173"/>
        <v>10.428956325219037</v>
      </c>
      <c r="AB254" t="b">
        <f>IF(AA254=1,'Vehicle Data'!I$14,IF(AA254=2,'Vehicle Data'!I$15,IF(AA254=3,'Vehicle Data'!I$16)))</f>
        <v>0</v>
      </c>
      <c r="AC254">
        <f>IF(Z254&lt;'Vehicle Data'!C$16,'Vehicle Data'!I$15,IF(Z254&lt;'Vehicle Data'!C$15,'Vehicle Data'!I$15,IF(Z253&gt;'Vehicle Data'!C$15,'Vehicle Data'!I$16)))</f>
        <v>0.46202745420001456</v>
      </c>
      <c r="AD254">
        <f>IF(O254=0.6,'Vehicle Data'!F$21,IF(O254=0.9,'Vehicle Data'!F$20))</f>
        <v>3.5315999999999996</v>
      </c>
      <c r="AE254" s="100">
        <f t="shared" si="172"/>
        <v>0.46202745420001456</v>
      </c>
      <c r="AF254" s="158">
        <f t="shared" si="166"/>
        <v>0.2094111148869465</v>
      </c>
      <c r="AG254" s="148">
        <f t="shared" si="132"/>
        <v>0.46419077987369117</v>
      </c>
      <c r="AH254" s="148">
        <f t="shared" si="150"/>
        <v>63.513226566993005</v>
      </c>
      <c r="AJ254">
        <f>(Z254^2)*'Vehicle Data'!C$31</f>
        <v>39.970450287247374</v>
      </c>
      <c r="AK254">
        <f>IF(O254=0.6,'Vehicle Data'!C$6*'Vehicle Data'!D$21*9.81,IF(O254=0.9,'Vehicle Data'!C$6*9.81*'Vehicle Data'!D$20))</f>
        <v>86.131799999999998</v>
      </c>
      <c r="AL254">
        <f t="shared" si="167"/>
        <v>-78.329690587798595</v>
      </c>
      <c r="AN254">
        <f>IF(AG254&gt;0,AG254*'Vehicle Data'!C$6)</f>
        <v>203.77975236455043</v>
      </c>
      <c r="AO254">
        <f t="shared" si="168"/>
        <v>125.45006177675184</v>
      </c>
      <c r="AP254">
        <f>AO254*'Vehicle Data'!F$3</f>
        <v>32.06503579013777</v>
      </c>
      <c r="AQ254">
        <f>IF(AE254='Vehicle Data'!I$15,AP254/'Vehicle Data'!G$15,IF(AE254='Vehicle Data'!I$16,AP254/'Vehicle Data'!G$16,IF(AE254='Vehicle Data'!I$14,Data!AP254/'Vehicle Data'!G265)))</f>
        <v>5.9196127425036931</v>
      </c>
      <c r="AR254">
        <f>IF(Z254&lt;'Vehicle Data'!C$16, Z254*'Vehicle Data'!F$7*'Vehicle Data'!G$14,IF(Z254&lt;'Vehicle Data'!C$15,Z254*'Vehicle Data'!F$7*'Vehicle Data'!G$15,IF(Z254&gt;'Vehicle Data'!C$15,Z254*'Vehicle Data'!F$7*'Vehicle Data'!G$16)))</f>
        <v>90.723542358294139</v>
      </c>
      <c r="AS254">
        <f t="shared" si="151"/>
        <v>5443.4125414976479</v>
      </c>
      <c r="AT254">
        <f t="shared" si="170"/>
        <v>6</v>
      </c>
      <c r="AU254">
        <f t="shared" si="169"/>
        <v>5500</v>
      </c>
      <c r="AW254">
        <f>VLOOKUP(AT254,BSFC!A$64:A$82,1,FALSE)</f>
        <v>6</v>
      </c>
      <c r="AX254" t="e" cm="1">
        <f t="array" ref="AX254">_xlfn.XLOOKUP(AT254,BSFC!A$64:A$82,,-1,_xlfn.XLOOKUP(Data!AU254,BSFC!C$63:Q$63,BSFC!B$64:Q$82,,-1))</f>
        <v>#VALUE!</v>
      </c>
      <c r="AY254">
        <f>HLOOKUP(AU254,BSFC!F$63:Q$63,1)</f>
        <v>5500</v>
      </c>
      <c r="AZ254">
        <f>IF(AT254&gt;0,MATCH(AT254,BSFC!A$64:A$83,0),IF(AT254&lt;=0,0))</f>
        <v>17</v>
      </c>
      <c r="BA254">
        <f>MATCH(AU254,BSFC!C$63:Q$63,0)</f>
        <v>11</v>
      </c>
      <c r="BB254" cm="1">
        <f t="array" ref="BB254">IF(AZ254&gt;0,INDEX(BSFC!C$64:Q$83,Data!AZ254,Data!BA254))</f>
        <v>664</v>
      </c>
      <c r="BC254">
        <f>0.5*'Vehicle Data'!C$6*Data!Z254^2</f>
        <v>23873.507042315094</v>
      </c>
      <c r="BD254">
        <f t="shared" si="134"/>
        <v>8.9363363461116343</v>
      </c>
      <c r="BE254">
        <f t="shared" si="174"/>
        <v>5933.7273338181249</v>
      </c>
      <c r="BF254">
        <f t="shared" si="175"/>
        <v>0.34516346011388949</v>
      </c>
      <c r="BG254">
        <f t="shared" si="135"/>
        <v>69.582485549579559</v>
      </c>
      <c r="BH254">
        <f t="shared" si="171"/>
        <v>3360.752424212963</v>
      </c>
      <c r="BI254" s="148">
        <f t="shared" si="136"/>
        <v>6871.6622130335309</v>
      </c>
      <c r="BO254">
        <f t="shared" si="137"/>
        <v>685.0437255458354</v>
      </c>
      <c r="BP254">
        <f t="shared" si="138"/>
        <v>299069.82221634703</v>
      </c>
      <c r="BQ254">
        <f t="shared" si="139"/>
        <v>395001.07178865169</v>
      </c>
      <c r="BR254" s="148">
        <f t="shared" si="140"/>
        <v>437842.13401820831</v>
      </c>
      <c r="BS254" s="156">
        <f t="shared" si="141"/>
        <v>685.0437255458354</v>
      </c>
      <c r="BT254" s="156">
        <f t="shared" si="142"/>
        <v>3360.752424212963</v>
      </c>
      <c r="BU254">
        <f t="shared" si="143"/>
        <v>1400.6949899653582</v>
      </c>
      <c r="BV254">
        <f t="shared" si="144"/>
        <v>1400.6949899653582</v>
      </c>
      <c r="BW254" s="148">
        <f t="shared" si="145"/>
        <v>455.4</v>
      </c>
      <c r="BX254" s="148">
        <f t="shared" si="146"/>
        <v>3129354.9718154697</v>
      </c>
      <c r="BY254" s="148">
        <f t="shared" si="147"/>
        <v>0.1771879162306178</v>
      </c>
      <c r="BZ254">
        <f t="shared" si="130"/>
        <v>63.513226566993005</v>
      </c>
      <c r="CB254">
        <f t="shared" si="148"/>
        <v>715.65126441952282</v>
      </c>
      <c r="CC254" s="162">
        <f t="shared" si="131"/>
        <v>3417.4464178077383</v>
      </c>
      <c r="CD254">
        <f t="shared" si="156"/>
        <v>42109.12175053075</v>
      </c>
    </row>
    <row r="255" spans="4:82" x14ac:dyDescent="0.2">
      <c r="D255" s="22">
        <f t="shared" si="157"/>
        <v>0</v>
      </c>
      <c r="E255" s="23">
        <v>8.9017032</v>
      </c>
      <c r="F255" s="23">
        <f>IF(K255&lt;6,1,IF(Data!K255&lt;9,2,IF(K255&gt;9,3)))</f>
        <v>3</v>
      </c>
      <c r="G255" s="23">
        <v>1102.8123210779918</v>
      </c>
      <c r="H255" s="23">
        <v>220.71666499999998</v>
      </c>
      <c r="I255" s="64">
        <v>41.708666118742102</v>
      </c>
      <c r="J255" s="65">
        <f t="shared" si="158"/>
        <v>-16.151301331152176</v>
      </c>
      <c r="K255" s="65">
        <f t="shared" si="159"/>
        <v>16.683466447496841</v>
      </c>
      <c r="L255" s="65">
        <f t="shared" si="160"/>
        <v>-6.4605205324608992</v>
      </c>
      <c r="M255">
        <f t="shared" si="161"/>
        <v>17.8034064</v>
      </c>
      <c r="N255">
        <f t="shared" si="162"/>
        <v>0</v>
      </c>
      <c r="O255">
        <f>IF(L255&lt;'Vehicle Data'!F$21,'Vehicle Data'!C$21,IF(L255&gt;'Vehicle Data'!C$21,'Vehicle Data'!C$20))</f>
        <v>0.6</v>
      </c>
      <c r="P255">
        <f>('Vehicle Data'!C$6*9.81*'Vehicle Data'!C$5*SIN(D255))/'Vehicle Data'!C$9</f>
        <v>0</v>
      </c>
      <c r="Q255" s="107">
        <f>'Vehicle Data'!C$6*9.81*SIN(D255)</f>
        <v>0</v>
      </c>
      <c r="R255">
        <f t="shared" si="163"/>
        <v>1100.7057417068199</v>
      </c>
      <c r="S255">
        <f>IF(Data!O255=0.6,'Vehicle Data'!E$21,IF(Data!O255 = 0.9,'Vehicle Data'!E$20))+(P255*O255)</f>
        <v>1550.3723999999997</v>
      </c>
      <c r="T255">
        <f>IF(F255=3,'Vehicle Data'!H$16,IF(F255=2,'Vehicle Data'!H$15,IF(F255 = 1,'Vehicle Data'!G$14)))</f>
        <v>466.23005239380637</v>
      </c>
      <c r="U255" s="148">
        <f t="shared" si="164"/>
        <v>384.56725958350387</v>
      </c>
      <c r="V255" s="70" t="s">
        <v>77</v>
      </c>
      <c r="W255" s="99" t="s">
        <v>84</v>
      </c>
      <c r="X255">
        <f>IF(V255="S",'Vehicle Data'!C$14,IF(Data!V255 = "T1",'Vehicle Data'!P$2,IF(Data!V255="T2",'Vehicle Data'!P$3)))</f>
        <v>13.411199999999999</v>
      </c>
      <c r="Z255">
        <f t="shared" si="173"/>
        <v>10.523559570681238</v>
      </c>
      <c r="AB255" t="b">
        <f>IF(AA255=1,'Vehicle Data'!I$14,IF(AA255=2,'Vehicle Data'!I$15,IF(AA255=3,'Vehicle Data'!I$16)))</f>
        <v>0</v>
      </c>
      <c r="AC255">
        <f>IF(Z255&lt;'Vehicle Data'!C$16,'Vehicle Data'!I$15,IF(Z255&lt;'Vehicle Data'!C$15,'Vehicle Data'!I$15,IF(Z254&gt;'Vehicle Data'!C$15,'Vehicle Data'!I$16)))</f>
        <v>0.46202745420001456</v>
      </c>
      <c r="AD255">
        <f>IF(O255=0.6,'Vehicle Data'!F$21,IF(O255=0.9,'Vehicle Data'!F$20))</f>
        <v>3.5315999999999996</v>
      </c>
      <c r="AE255" s="100">
        <f t="shared" si="172"/>
        <v>0.46202745420001456</v>
      </c>
      <c r="AF255" s="158">
        <f t="shared" si="166"/>
        <v>0.20383641490826632</v>
      </c>
      <c r="AG255" s="148">
        <f t="shared" si="132"/>
        <v>0.46411356628684747</v>
      </c>
      <c r="AH255" s="148">
        <f t="shared" si="150"/>
        <v>63.717062981901272</v>
      </c>
      <c r="AJ255">
        <f>(Z255^2)*'Vehicle Data'!C$31</f>
        <v>40.698899968846192</v>
      </c>
      <c r="AK255">
        <f>IF(O255=0.6,'Vehicle Data'!C$6*'Vehicle Data'!D$21*9.81,IF(O255=0.9,'Vehicle Data'!C$6*9.81*'Vehicle Data'!D$20))</f>
        <v>86.131799999999998</v>
      </c>
      <c r="AL255">
        <f t="shared" si="167"/>
        <v>126.83069996884619</v>
      </c>
      <c r="AN255">
        <f>IF(AG255&gt;0,AG255*'Vehicle Data'!C$6)</f>
        <v>203.74585559992605</v>
      </c>
      <c r="AO255">
        <f t="shared" si="168"/>
        <v>330.57655556877222</v>
      </c>
      <c r="AP255">
        <f>AO255*'Vehicle Data'!F$3</f>
        <v>84.495367603378185</v>
      </c>
      <c r="AQ255">
        <f>IF(AE255='Vehicle Data'!I$15,AP255/'Vehicle Data'!G$15,IF(AE255='Vehicle Data'!I$16,AP255/'Vehicle Data'!G$16,IF(AE255='Vehicle Data'!I$14,Data!AP255/'Vehicle Data'!G266)))</f>
        <v>15.598917712773341</v>
      </c>
      <c r="AR255">
        <f>IF(Z255&lt;'Vehicle Data'!C$16, Z255*'Vehicle Data'!F$7*'Vehicle Data'!G$14,IF(Z255&lt;'Vehicle Data'!C$15,Z255*'Vehicle Data'!F$7*'Vehicle Data'!G$15,IF(Z255&gt;'Vehicle Data'!C$15,Z255*'Vehicle Data'!F$7*'Vehicle Data'!G$16)))</f>
        <v>91.54651459820731</v>
      </c>
      <c r="AS255">
        <f t="shared" si="151"/>
        <v>5492.7908758924386</v>
      </c>
      <c r="AT255">
        <f t="shared" si="170"/>
        <v>16</v>
      </c>
      <c r="AU255">
        <f t="shared" si="169"/>
        <v>5500</v>
      </c>
      <c r="AW255">
        <f>VLOOKUP(AT255,BSFC!A$64:A$82,1,FALSE)</f>
        <v>16</v>
      </c>
      <c r="AX255" t="e" cm="1">
        <f t="array" ref="AX255">_xlfn.XLOOKUP(AT255,BSFC!A$64:A$82,,-1,_xlfn.XLOOKUP(Data!AU255,BSFC!C$63:Q$63,BSFC!B$64:Q$82,,-1))</f>
        <v>#VALUE!</v>
      </c>
      <c r="AY255">
        <f>HLOOKUP(AU255,BSFC!F$63:Q$63,1)</f>
        <v>5500</v>
      </c>
      <c r="AZ255">
        <f>IF(AT255&gt;0,MATCH(AT255,BSFC!A$64:A$83,0),IF(AT255&lt;=0,0))</f>
        <v>7</v>
      </c>
      <c r="BA255">
        <f>MATCH(AU255,BSFC!C$63:Q$63,0)</f>
        <v>11</v>
      </c>
      <c r="BB255" cm="1">
        <f t="array" ref="BB255">IF(AZ255&gt;0,INDEX(BSFC!C$64:Q$83,Data!AZ255,Data!BA255))</f>
        <v>632.5</v>
      </c>
      <c r="BC255">
        <f>0.5*'Vehicle Data'!C$6*Data!Z255^2</f>
        <v>24308.594675270033</v>
      </c>
      <c r="BD255">
        <f t="shared" si="134"/>
        <v>9.033160285996761</v>
      </c>
      <c r="BE255">
        <f t="shared" si="174"/>
        <v>5713.4738808929515</v>
      </c>
      <c r="BF255">
        <f t="shared" si="175"/>
        <v>0.32350389793145506</v>
      </c>
      <c r="BG255">
        <f t="shared" si="135"/>
        <v>69.905989447511018</v>
      </c>
      <c r="BH255">
        <f t="shared" si="171"/>
        <v>8936.3363461116351</v>
      </c>
      <c r="BI255" s="148">
        <f t="shared" si="136"/>
        <v>6871.6622130335309</v>
      </c>
      <c r="BO255">
        <f t="shared" si="137"/>
        <v>1773.3357964277175</v>
      </c>
      <c r="BP255">
        <f t="shared" si="138"/>
        <v>300843.15801277477</v>
      </c>
      <c r="BQ255">
        <f t="shared" si="139"/>
        <v>396774.40758507943</v>
      </c>
      <c r="BR255" s="148">
        <f t="shared" si="140"/>
        <v>439205.75375132571</v>
      </c>
      <c r="BS255" s="156">
        <f t="shared" si="141"/>
        <v>1773.3357964277175</v>
      </c>
      <c r="BT255" s="156">
        <f t="shared" si="142"/>
        <v>8936.3363461116351</v>
      </c>
      <c r="BU255">
        <f t="shared" si="143"/>
        <v>1363.6197331173998</v>
      </c>
      <c r="BV255">
        <f t="shared" si="144"/>
        <v>1363.6197331173998</v>
      </c>
      <c r="BW255" s="148">
        <f t="shared" si="145"/>
        <v>455.4</v>
      </c>
      <c r="BX255" s="148">
        <f t="shared" si="146"/>
        <v>3129354.9718154697</v>
      </c>
      <c r="BY255" s="148">
        <f t="shared" si="147"/>
        <v>0.17249789623935105</v>
      </c>
      <c r="BZ255">
        <f t="shared" si="130"/>
        <v>63.717062981901272</v>
      </c>
      <c r="CB255">
        <f t="shared" si="148"/>
        <v>-409.71606331031762</v>
      </c>
      <c r="CC255" s="162">
        <f t="shared" si="131"/>
        <v>-2010.0238884926603</v>
      </c>
      <c r="CD255">
        <f t="shared" si="156"/>
        <v>41699.405687220431</v>
      </c>
    </row>
    <row r="256" spans="4:82" x14ac:dyDescent="0.2">
      <c r="D256" s="22">
        <f t="shared" si="157"/>
        <v>0</v>
      </c>
      <c r="E256" s="23">
        <v>8.9017032</v>
      </c>
      <c r="F256" s="23">
        <f>IF(K256&lt;6,1,IF(Data!K256&lt;9,2,IF(K256&gt;9,3)))</f>
        <v>3</v>
      </c>
      <c r="G256" s="23">
        <v>1104.879291955901</v>
      </c>
      <c r="H256" s="23">
        <v>220.76666499999999</v>
      </c>
      <c r="I256" s="64">
        <v>40.901101052184309</v>
      </c>
      <c r="J256" s="65">
        <f t="shared" si="158"/>
        <v>-15.75517953777077</v>
      </c>
      <c r="K256" s="65">
        <f t="shared" si="159"/>
        <v>16.360440420873722</v>
      </c>
      <c r="L256" s="65">
        <f t="shared" si="160"/>
        <v>-6.3020718151082518</v>
      </c>
      <c r="M256">
        <f t="shared" si="161"/>
        <v>17.8034064</v>
      </c>
      <c r="N256">
        <f t="shared" si="162"/>
        <v>0</v>
      </c>
      <c r="O256">
        <f>IF(L256&lt;'Vehicle Data'!F$21,'Vehicle Data'!C$21,IF(L256&gt;'Vehicle Data'!C$21,'Vehicle Data'!C$20))</f>
        <v>0.6</v>
      </c>
      <c r="P256">
        <f>('Vehicle Data'!C$6*9.81*'Vehicle Data'!C$5*SIN(D256))/'Vehicle Data'!C$9</f>
        <v>0</v>
      </c>
      <c r="Q256" s="107">
        <f>'Vehicle Data'!C$6*9.81*SIN(D256)</f>
        <v>0</v>
      </c>
      <c r="R256">
        <f t="shared" si="163"/>
        <v>1102.8123210779918</v>
      </c>
      <c r="S256">
        <f>IF(Data!O256=0.6,'Vehicle Data'!E$21,IF(Data!O256 = 0.9,'Vehicle Data'!E$20))+(P256*O256)</f>
        <v>1550.3723999999997</v>
      </c>
      <c r="T256">
        <f>IF(F256=3,'Vehicle Data'!H$16,IF(F256=2,'Vehicle Data'!H$15,IF(F256 = 1,'Vehicle Data'!G$14)))</f>
        <v>466.23005239380637</v>
      </c>
      <c r="U256" s="148">
        <f t="shared" si="164"/>
        <v>386.67383895467572</v>
      </c>
      <c r="V256" s="70" t="s">
        <v>77</v>
      </c>
      <c r="W256" s="99" t="s">
        <v>84</v>
      </c>
      <c r="X256">
        <f>IF(V256="S",'Vehicle Data'!C$14,IF(Data!V256 = "T1",'Vehicle Data'!P$2,IF(Data!V256="T2",'Vehicle Data'!P$3)))</f>
        <v>13.411199999999999</v>
      </c>
      <c r="Z256">
        <f t="shared" si="173"/>
        <v>10.615644165360022</v>
      </c>
      <c r="AB256" t="b">
        <f>IF(AA256=1,'Vehicle Data'!I$14,IF(AA256=2,'Vehicle Data'!I$15,IF(AA256=3,'Vehicle Data'!I$16)))</f>
        <v>0</v>
      </c>
      <c r="AC256">
        <f>IF(Z256&lt;'Vehicle Data'!C$16,'Vehicle Data'!I$15,IF(Z256&lt;'Vehicle Data'!C$15,'Vehicle Data'!I$15,IF(Z255&gt;'Vehicle Data'!C$15,'Vehicle Data'!I$16)))</f>
        <v>0.46202745420001456</v>
      </c>
      <c r="AD256">
        <f>IF(O256=0.6,'Vehicle Data'!F$21,IF(O256=0.9,'Vehicle Data'!F$20))</f>
        <v>3.5315999999999996</v>
      </c>
      <c r="AE256" s="100">
        <f t="shared" si="172"/>
        <v>0.46202745420001456</v>
      </c>
      <c r="AF256" s="158">
        <f t="shared" si="166"/>
        <v>0.19844103083690764</v>
      </c>
      <c r="AG256" s="148">
        <f t="shared" si="132"/>
        <v>0.46404009438181998</v>
      </c>
      <c r="AH256" s="148">
        <f t="shared" si="150"/>
        <v>63.915504012738182</v>
      </c>
      <c r="AJ256">
        <f>(Z256^2)*'Vehicle Data'!C$31</f>
        <v>41.4142736342368</v>
      </c>
      <c r="AK256">
        <f>IF(O256=0.6,'Vehicle Data'!C$6*'Vehicle Data'!D$21*9.81,IF(O256=0.9,'Vehicle Data'!C$6*9.81*'Vehicle Data'!D$20))</f>
        <v>86.131799999999998</v>
      </c>
      <c r="AL256">
        <f t="shared" si="167"/>
        <v>127.54607363423679</v>
      </c>
      <c r="AN256">
        <f>IF(AG256&gt;0,AG256*'Vehicle Data'!C$6)</f>
        <v>203.71360143361898</v>
      </c>
      <c r="AO256">
        <f t="shared" si="168"/>
        <v>331.25967506785577</v>
      </c>
      <c r="AP256">
        <f>AO256*'Vehicle Data'!F$3</f>
        <v>84.669972947343936</v>
      </c>
      <c r="AQ256">
        <f>IF(AE256='Vehicle Data'!I$15,AP256/'Vehicle Data'!G$15,IF(AE256='Vehicle Data'!I$16,AP256/'Vehicle Data'!G$16,IF(AE256='Vehicle Data'!I$14,Data!AP256/'Vehicle Data'!G267)))</f>
        <v>15.631152076265517</v>
      </c>
      <c r="AR256">
        <f>IF(Z256&lt;'Vehicle Data'!C$16, Z256*'Vehicle Data'!F$7*'Vehicle Data'!G$14,IF(Z256&lt;'Vehicle Data'!C$15,Z256*'Vehicle Data'!F$7*'Vehicle Data'!G$15,IF(Z256&gt;'Vehicle Data'!C$15,Z256*'Vehicle Data'!F$7*'Vehicle Data'!G$16)))</f>
        <v>92.347576599558792</v>
      </c>
      <c r="AS256">
        <f t="shared" si="151"/>
        <v>5540.8545959735275</v>
      </c>
      <c r="AT256">
        <f t="shared" si="170"/>
        <v>16</v>
      </c>
      <c r="AU256">
        <f t="shared" si="169"/>
        <v>5500</v>
      </c>
      <c r="AW256">
        <f>VLOOKUP(AT256,BSFC!A$64:A$82,1,FALSE)</f>
        <v>16</v>
      </c>
      <c r="AX256" t="e" cm="1">
        <f t="array" ref="AX256">_xlfn.XLOOKUP(AT256,BSFC!A$64:A$82,,-1,_xlfn.XLOOKUP(Data!AU256,BSFC!C$63:Q$63,BSFC!B$64:Q$82,,-1))</f>
        <v>#VALUE!</v>
      </c>
      <c r="AY256">
        <f>HLOOKUP(AU256,BSFC!F$63:Q$63,1)</f>
        <v>5500</v>
      </c>
      <c r="AZ256">
        <f>IF(AT256&gt;0,MATCH(AT256,BSFC!A$64:A$83,0),IF(AT256&lt;=0,0))</f>
        <v>7</v>
      </c>
      <c r="BA256">
        <f>MATCH(AU256,BSFC!C$63:Q$63,0)</f>
        <v>11</v>
      </c>
      <c r="BB256" cm="1">
        <f t="array" ref="BB256">IF(AZ256&gt;0,INDEX(BSFC!C$64:Q$83,Data!AZ256,Data!BA256))</f>
        <v>632.5</v>
      </c>
      <c r="BC256">
        <f>0.5*'Vehicle Data'!C$6*Data!Z256^2</f>
        <v>24735.872279496532</v>
      </c>
      <c r="BD256">
        <f t="shared" si="134"/>
        <v>3.1735043426934615</v>
      </c>
      <c r="BE256">
        <f t="shared" si="174"/>
        <v>2007.2414967536145</v>
      </c>
      <c r="BF256">
        <f t="shared" si="175"/>
        <v>0.11064418659844574</v>
      </c>
      <c r="BG256">
        <f t="shared" si="135"/>
        <v>70.016633634109468</v>
      </c>
      <c r="BH256">
        <f t="shared" si="171"/>
        <v>9033.1602859967606</v>
      </c>
      <c r="BI256" s="148">
        <f t="shared" si="136"/>
        <v>6871.6622130335309</v>
      </c>
      <c r="BO256">
        <f t="shared" si="137"/>
        <v>1744.1272745118531</v>
      </c>
      <c r="BP256">
        <f t="shared" si="138"/>
        <v>302587.28528728662</v>
      </c>
      <c r="BQ256">
        <f t="shared" si="139"/>
        <v>398518.53485959128</v>
      </c>
      <c r="BR256" s="148">
        <f t="shared" si="140"/>
        <v>440532.53785650356</v>
      </c>
      <c r="BS256" s="156">
        <f t="shared" si="141"/>
        <v>1744.1272745118531</v>
      </c>
      <c r="BT256" s="156">
        <f t="shared" si="142"/>
        <v>9033.1602859967606</v>
      </c>
      <c r="BU256">
        <f t="shared" si="143"/>
        <v>1326.7841051778453</v>
      </c>
      <c r="BV256">
        <f t="shared" si="144"/>
        <v>1326.7841051778453</v>
      </c>
      <c r="BW256" s="148">
        <f t="shared" si="145"/>
        <v>455.4</v>
      </c>
      <c r="BX256" s="148">
        <f t="shared" si="146"/>
        <v>3129354.9718154697</v>
      </c>
      <c r="BY256" s="148">
        <f t="shared" si="147"/>
        <v>0.16783818930499739</v>
      </c>
      <c r="BZ256">
        <f t="shared" si="130"/>
        <v>63.915504012738182</v>
      </c>
      <c r="CB256">
        <f t="shared" si="148"/>
        <v>-417.34316933400783</v>
      </c>
      <c r="CC256" s="162">
        <f t="shared" si="131"/>
        <v>-2103.109259077587</v>
      </c>
      <c r="CD256">
        <f t="shared" si="156"/>
        <v>41282.062517886421</v>
      </c>
    </row>
    <row r="257" spans="4:82" x14ac:dyDescent="0.2">
      <c r="D257" s="22">
        <f t="shared" si="157"/>
        <v>-5.0299252407294326E-2</v>
      </c>
      <c r="E257" s="23">
        <v>8.9017032</v>
      </c>
      <c r="F257" s="23">
        <f>IF(K257&lt;6,1,IF(Data!K257&lt;9,2,IF(K257&gt;9,3)))</f>
        <v>3</v>
      </c>
      <c r="G257" s="23">
        <v>1106.9056818946522</v>
      </c>
      <c r="H257" s="23">
        <v>220.816665</v>
      </c>
      <c r="I257" s="64">
        <v>40.113342075295591</v>
      </c>
      <c r="J257" s="65">
        <f t="shared" si="158"/>
        <v>-14.761745665986926</v>
      </c>
      <c r="K257" s="65">
        <f t="shared" si="159"/>
        <v>16.045336830118238</v>
      </c>
      <c r="L257" s="65">
        <f t="shared" si="160"/>
        <v>-5.9046982663947984</v>
      </c>
      <c r="M257">
        <f t="shared" si="161"/>
        <v>17.8034064</v>
      </c>
      <c r="N257">
        <f t="shared" si="162"/>
        <v>-9.9998400000000487E-2</v>
      </c>
      <c r="O257">
        <f>IF(L257&lt;'Vehicle Data'!F$21,'Vehicle Data'!C$21,IF(L257&gt;'Vehicle Data'!C$21,'Vehicle Data'!C$20))</f>
        <v>0.6</v>
      </c>
      <c r="P257">
        <f>('Vehicle Data'!C$6*9.81*'Vehicle Data'!C$5*SIN(D257))/'Vehicle Data'!C$9</f>
        <v>-33.483545527756249</v>
      </c>
      <c r="Q257" s="107">
        <f>'Vehicle Data'!C$6*9.81*SIN(D257)</f>
        <v>-216.52692774615704</v>
      </c>
      <c r="R257">
        <f t="shared" si="163"/>
        <v>1104.879291955901</v>
      </c>
      <c r="S257">
        <f>IF(Data!O257=0.6,'Vehicle Data'!E$21,IF(Data!O257 = 0.9,'Vehicle Data'!E$20))+(P257*O257)</f>
        <v>1530.282272683346</v>
      </c>
      <c r="T257">
        <f>IF(F257=3,'Vehicle Data'!H$16,IF(F257=2,'Vehicle Data'!H$15,IF(F257 = 1,'Vehicle Data'!G$14)))</f>
        <v>466.23005239380637</v>
      </c>
      <c r="U257" s="148">
        <f t="shared" si="164"/>
        <v>388.74080983258489</v>
      </c>
      <c r="V257" s="70" t="s">
        <v>77</v>
      </c>
      <c r="W257" s="99" t="s">
        <v>84</v>
      </c>
      <c r="X257">
        <f>IF(V257="S",'Vehicle Data'!C$14,IF(Data!V257 = "T1",'Vehicle Data'!P$2,IF(Data!V257="T2",'Vehicle Data'!P$3)))</f>
        <v>13.411199999999999</v>
      </c>
      <c r="Z257">
        <f t="shared" si="173"/>
        <v>10.705227490847365</v>
      </c>
      <c r="AB257" t="b">
        <f>IF(AA257=1,'Vehicle Data'!I$14,IF(AA257=2,'Vehicle Data'!I$15,IF(AA257=3,'Vehicle Data'!I$16)))</f>
        <v>0</v>
      </c>
      <c r="AC257">
        <f>IF(Z257&lt;'Vehicle Data'!C$16,'Vehicle Data'!I$15,IF(Z257&lt;'Vehicle Data'!C$15,'Vehicle Data'!I$15,IF(Z256&gt;'Vehicle Data'!C$15,'Vehicle Data'!I$16)))</f>
        <v>0.46202745420001456</v>
      </c>
      <c r="AD257">
        <f>IF(O257=0.6,'Vehicle Data'!F$21,IF(O257=0.9,'Vehicle Data'!F$20))</f>
        <v>3.5315999999999996</v>
      </c>
      <c r="AE257" s="100">
        <f t="shared" si="172"/>
        <v>0.46202745420001456</v>
      </c>
      <c r="AF257" s="158">
        <f t="shared" si="166"/>
        <v>0.19308051880974655</v>
      </c>
      <c r="AG257" s="148">
        <f t="shared" si="132"/>
        <v>0.46396874236501662</v>
      </c>
      <c r="AH257" s="148">
        <f t="shared" si="150"/>
        <v>64.108584531547933</v>
      </c>
      <c r="AJ257">
        <f>(Z257^2)*'Vehicle Data'!C$31</f>
        <v>42.116196644316872</v>
      </c>
      <c r="AK257">
        <f>IF(O257=0.6,'Vehicle Data'!C$6*'Vehicle Data'!D$21*9.81,IF(O257=0.9,'Vehicle Data'!C$6*9.81*'Vehicle Data'!D$20))</f>
        <v>86.131799999999998</v>
      </c>
      <c r="AL257">
        <f t="shared" si="167"/>
        <v>-88.278931101840186</v>
      </c>
      <c r="AN257">
        <f>IF(AG257&gt;0,AG257*'Vehicle Data'!C$6)</f>
        <v>203.68227789824229</v>
      </c>
      <c r="AO257">
        <f t="shared" si="168"/>
        <v>115.4033467964021</v>
      </c>
      <c r="AP257">
        <f>AO257*'Vehicle Data'!F$3</f>
        <v>29.497095441160376</v>
      </c>
      <c r="AQ257">
        <f>IF(AE257='Vehicle Data'!I$15,AP257/'Vehicle Data'!G$15,IF(AE257='Vehicle Data'!I$16,AP257/'Vehicle Data'!G$16,IF(AE257='Vehicle Data'!I$14,Data!AP257/'Vehicle Data'!G268)))</f>
        <v>5.4455383484725655</v>
      </c>
      <c r="AR257">
        <f>IF(Z257&lt;'Vehicle Data'!C$16, Z257*'Vehicle Data'!F$7*'Vehicle Data'!G$14,IF(Z257&lt;'Vehicle Data'!C$15,Z257*'Vehicle Data'!F$7*'Vehicle Data'!G$15,IF(Z257&gt;'Vehicle Data'!C$15,Z257*'Vehicle Data'!F$7*'Vehicle Data'!G$16)))</f>
        <v>93.12687956823595</v>
      </c>
      <c r="AS257">
        <f t="shared" si="151"/>
        <v>5587.6127740941574</v>
      </c>
      <c r="AT257">
        <f t="shared" si="170"/>
        <v>5</v>
      </c>
      <c r="AU257">
        <f t="shared" si="169"/>
        <v>5500</v>
      </c>
      <c r="AW257">
        <f>VLOOKUP(AT257,BSFC!A$64:A$82,1,FALSE)</f>
        <v>5</v>
      </c>
      <c r="AX257" t="e" cm="1">
        <f t="array" ref="AX257">_xlfn.XLOOKUP(AT257,BSFC!A$64:A$82,,-1,_xlfn.XLOOKUP(Data!AU257,BSFC!C$63:Q$63,BSFC!B$64:Q$82,,-1))</f>
        <v>#VALUE!</v>
      </c>
      <c r="AY257">
        <f>HLOOKUP(AU257,BSFC!F$63:Q$63,1)</f>
        <v>5500</v>
      </c>
      <c r="AZ257">
        <f>IF(AT257&gt;0,MATCH(AT257,BSFC!A$64:A$83,0),IF(AT257&lt;=0,0))</f>
        <v>18</v>
      </c>
      <c r="BA257">
        <f>MATCH(AU257,BSFC!C$63:Q$63,0)</f>
        <v>11</v>
      </c>
      <c r="BB257" cm="1">
        <f t="array" ref="BB257">IF(AZ257&gt;0,INDEX(BSFC!C$64:Q$83,Data!AZ257,Data!BA257))</f>
        <v>666.9</v>
      </c>
      <c r="BC257">
        <f>0.5*'Vehicle Data'!C$6*Data!Z257^2</f>
        <v>25155.11609095932</v>
      </c>
      <c r="BD257">
        <f t="shared" si="134"/>
        <v>8.2532119062426599</v>
      </c>
      <c r="BE257">
        <f t="shared" si="174"/>
        <v>5504.0670202732299</v>
      </c>
      <c r="BF257">
        <f t="shared" si="175"/>
        <v>0.29520225439943637</v>
      </c>
      <c r="BG257">
        <f t="shared" si="135"/>
        <v>70.311835888508909</v>
      </c>
      <c r="BH257">
        <f t="shared" si="171"/>
        <v>3173.5043426934617</v>
      </c>
      <c r="BI257" s="148">
        <f t="shared" si="136"/>
        <v>6871.6622130335309</v>
      </c>
      <c r="BO257">
        <f t="shared" si="137"/>
        <v>595.8636503839665</v>
      </c>
      <c r="BP257">
        <f t="shared" si="138"/>
        <v>303183.14893767057</v>
      </c>
      <c r="BQ257">
        <f t="shared" si="139"/>
        <v>399114.39850997523</v>
      </c>
      <c r="BR257" s="148">
        <f t="shared" si="140"/>
        <v>441822.77517408936</v>
      </c>
      <c r="BS257" s="156">
        <f t="shared" si="141"/>
        <v>595.8636503839665</v>
      </c>
      <c r="BT257" s="156">
        <f t="shared" si="142"/>
        <v>3173.5043426934617</v>
      </c>
      <c r="BU257">
        <f t="shared" si="143"/>
        <v>1290.2373175858083</v>
      </c>
      <c r="BV257">
        <f t="shared" si="144"/>
        <v>1290.2373175858083</v>
      </c>
      <c r="BW257" s="148">
        <f t="shared" si="145"/>
        <v>455.4</v>
      </c>
      <c r="BX257" s="148">
        <f t="shared" si="146"/>
        <v>3129354.9718154697</v>
      </c>
      <c r="BY257" s="148">
        <f t="shared" si="147"/>
        <v>0.16321502067460472</v>
      </c>
      <c r="BZ257">
        <f t="shared" si="130"/>
        <v>64.108584531547933</v>
      </c>
      <c r="CB257">
        <f t="shared" si="148"/>
        <v>694.37366720184184</v>
      </c>
      <c r="CC257" s="162">
        <f t="shared" si="131"/>
        <v>3596.2906640313777</v>
      </c>
      <c r="CD257">
        <f t="shared" si="156"/>
        <v>41976.436185088263</v>
      </c>
    </row>
    <row r="258" spans="4:82" x14ac:dyDescent="0.2">
      <c r="D258" s="22">
        <f t="shared" si="157"/>
        <v>-8.1005036960945555E-3</v>
      </c>
      <c r="E258" s="23">
        <v>8.8017047999999996</v>
      </c>
      <c r="F258" s="23">
        <f>IF(K258&lt;6,1,IF(Data!K258&lt;9,2,IF(K258&gt;9,3)))</f>
        <v>3</v>
      </c>
      <c r="G258" s="23">
        <v>1108.8945897590859</v>
      </c>
      <c r="H258" s="23">
        <v>220.86666499999998</v>
      </c>
      <c r="I258" s="64">
        <v>39.375254791996497</v>
      </c>
      <c r="J258" s="65">
        <f t="shared" si="158"/>
        <v>-15.764286745606849</v>
      </c>
      <c r="K258" s="65">
        <f t="shared" si="159"/>
        <v>15.750101916798599</v>
      </c>
      <c r="L258" s="65">
        <f t="shared" si="160"/>
        <v>-6.3057146982427401</v>
      </c>
      <c r="M258">
        <f t="shared" si="161"/>
        <v>17.603409599999999</v>
      </c>
      <c r="N258">
        <f t="shared" si="162"/>
        <v>-1.5802241894833813E-2</v>
      </c>
      <c r="O258">
        <f>IF(L258&lt;'Vehicle Data'!F$21,'Vehicle Data'!C$21,IF(L258&gt;'Vehicle Data'!C$21,'Vehicle Data'!C$20))</f>
        <v>0.6</v>
      </c>
      <c r="P258">
        <f>('Vehicle Data'!C$6*9.81*'Vehicle Data'!C$5*SIN(D258))/'Vehicle Data'!C$9</f>
        <v>-5.394613406118677</v>
      </c>
      <c r="Q258" s="107">
        <f>'Vehicle Data'!C$6*9.81*SIN(D258)</f>
        <v>-34.885166692900775</v>
      </c>
      <c r="R258">
        <f t="shared" si="163"/>
        <v>1106.9056818946522</v>
      </c>
      <c r="S258">
        <f>IF(Data!O258=0.6,'Vehicle Data'!E$21,IF(Data!O258 = 0.9,'Vehicle Data'!E$20))+(P258*O258)</f>
        <v>1547.1356319563286</v>
      </c>
      <c r="T258">
        <f>IF(F258=3,'Vehicle Data'!H$16,IF(F258=2,'Vehicle Data'!H$15,IF(F258 = 1,'Vehicle Data'!G$14)))</f>
        <v>466.23005239380637</v>
      </c>
      <c r="U258" s="148">
        <f t="shared" si="164"/>
        <v>390.7671997713361</v>
      </c>
      <c r="V258" s="70" t="s">
        <v>77</v>
      </c>
      <c r="W258" s="99" t="s">
        <v>84</v>
      </c>
      <c r="X258">
        <f>IF(V258="S",'Vehicle Data'!C$14,IF(Data!V258 = "T1",'Vehicle Data'!P$2,IF(Data!V258="T2",'Vehicle Data'!P$3)))</f>
        <v>13.411199999999999</v>
      </c>
      <c r="Z258">
        <f t="shared" si="173"/>
        <v>10.792330202510932</v>
      </c>
      <c r="AB258" t="b">
        <f>IF(AA258=1,'Vehicle Data'!I$14,IF(AA258=2,'Vehicle Data'!I$15,IF(AA258=3,'Vehicle Data'!I$16)))</f>
        <v>0</v>
      </c>
      <c r="AC258">
        <f>IF(Z258&lt;'Vehicle Data'!C$16,'Vehicle Data'!I$15,IF(Z258&lt;'Vehicle Data'!C$15,'Vehicle Data'!I$15,IF(Z257&gt;'Vehicle Data'!C$15,'Vehicle Data'!I$16)))</f>
        <v>0.46202745420001456</v>
      </c>
      <c r="AD258">
        <f>IF(O258=0.6,'Vehicle Data'!F$21,IF(O258=0.9,'Vehicle Data'!F$20))</f>
        <v>3.5315999999999996</v>
      </c>
      <c r="AE258" s="100">
        <f t="shared" si="172"/>
        <v>0.46202745420001456</v>
      </c>
      <c r="AF258" s="158">
        <f t="shared" si="166"/>
        <v>0.1877620403311743</v>
      </c>
      <c r="AG258" s="148">
        <f t="shared" si="132"/>
        <v>0.46389947355671785</v>
      </c>
      <c r="AH258" s="148">
        <f t="shared" si="150"/>
        <v>64.296346571879113</v>
      </c>
      <c r="AJ258">
        <f>(Z258^2)*'Vehicle Data'!C$31</f>
        <v>42.804338766010915</v>
      </c>
      <c r="AK258">
        <f>IF(O258=0.6,'Vehicle Data'!C$6*'Vehicle Data'!D$21*9.81,IF(O258=0.9,'Vehicle Data'!C$6*9.81*'Vehicle Data'!D$20))</f>
        <v>86.131799999999998</v>
      </c>
      <c r="AL258">
        <f t="shared" si="167"/>
        <v>94.050972073110131</v>
      </c>
      <c r="AN258">
        <f>IF(AG258&gt;0,AG258*'Vehicle Data'!C$6)</f>
        <v>203.65186889139915</v>
      </c>
      <c r="AO258">
        <f t="shared" si="168"/>
        <v>297.70284096450928</v>
      </c>
      <c r="AP258">
        <f>AO258*'Vehicle Data'!F$3</f>
        <v>76.092846150528572</v>
      </c>
      <c r="AQ258">
        <f>IF(AE258='Vehicle Data'!I$15,AP258/'Vehicle Data'!G$15,IF(AE258='Vehicle Data'!I$16,AP258/'Vehicle Data'!G$16,IF(AE258='Vehicle Data'!I$14,Data!AP258/'Vehicle Data'!G269)))</f>
        <v>14.047705564220317</v>
      </c>
      <c r="AR258">
        <f>IF(Z258&lt;'Vehicle Data'!C$16, Z258*'Vehicle Data'!F$7*'Vehicle Data'!G$14,IF(Z258&lt;'Vehicle Data'!C$15,Z258*'Vehicle Data'!F$7*'Vehicle Data'!G$15,IF(Z258&gt;'Vehicle Data'!C$15,Z258*'Vehicle Data'!F$7*'Vehicle Data'!G$16)))</f>
        <v>93.884603189344901</v>
      </c>
      <c r="AS258">
        <f t="shared" si="151"/>
        <v>5633.0761913606939</v>
      </c>
      <c r="AT258">
        <f t="shared" si="170"/>
        <v>14</v>
      </c>
      <c r="AU258">
        <f t="shared" si="169"/>
        <v>5500</v>
      </c>
      <c r="AW258">
        <f>VLOOKUP(AT258,BSFC!A$64:A$82,1,FALSE)</f>
        <v>14</v>
      </c>
      <c r="AX258" t="e" cm="1">
        <f t="array" ref="AX258">_xlfn.XLOOKUP(AT258,BSFC!A$64:A$82,,-1,_xlfn.XLOOKUP(Data!AU258,BSFC!C$63:Q$63,BSFC!B$64:Q$82,,-1))</f>
        <v>#VALUE!</v>
      </c>
      <c r="AY258">
        <f>HLOOKUP(AU258,BSFC!F$63:Q$63,1)</f>
        <v>5500</v>
      </c>
      <c r="AZ258">
        <f>IF(AT258&gt;0,MATCH(AT258,BSFC!A$64:A$83,0),IF(AT258&lt;=0,0))</f>
        <v>9</v>
      </c>
      <c r="BA258">
        <f>MATCH(AU258,BSFC!C$63:Q$63,0)</f>
        <v>11</v>
      </c>
      <c r="BB258" cm="1">
        <f t="array" ref="BB258">IF(AZ258&gt;0,INDEX(BSFC!C$64:Q$83,Data!AZ258,Data!BA258))</f>
        <v>638.75</v>
      </c>
      <c r="BC258">
        <f>0.5*'Vehicle Data'!C$6*Data!Z258^2</f>
        <v>25566.128868406511</v>
      </c>
      <c r="BD258">
        <f t="shared" si="134"/>
        <v>3.0147217367661661</v>
      </c>
      <c r="BE258">
        <f t="shared" si="174"/>
        <v>1925.6535093593886</v>
      </c>
      <c r="BF258">
        <f t="shared" si="175"/>
        <v>0.10043461996894579</v>
      </c>
      <c r="BG258">
        <f t="shared" si="135"/>
        <v>70.41227050847786</v>
      </c>
      <c r="BH258">
        <f t="shared" si="171"/>
        <v>8253.2119062426591</v>
      </c>
      <c r="BI258" s="148">
        <f t="shared" si="136"/>
        <v>6871.6622130335309</v>
      </c>
      <c r="BO258">
        <f t="shared" si="137"/>
        <v>1509.1166195121389</v>
      </c>
      <c r="BP258">
        <f t="shared" si="138"/>
        <v>304692.26555718272</v>
      </c>
      <c r="BQ258">
        <f t="shared" si="139"/>
        <v>400623.51512948738</v>
      </c>
      <c r="BR258" s="148">
        <f t="shared" si="140"/>
        <v>443079.27261619654</v>
      </c>
      <c r="BS258" s="156">
        <f t="shared" si="141"/>
        <v>1509.1166195121389</v>
      </c>
      <c r="BT258" s="156">
        <f t="shared" si="142"/>
        <v>8253.2119062426591</v>
      </c>
      <c r="BU258">
        <f t="shared" si="143"/>
        <v>1256.497442107185</v>
      </c>
      <c r="BV258">
        <f t="shared" si="144"/>
        <v>1256.497442107185</v>
      </c>
      <c r="BW258" s="148">
        <f t="shared" si="145"/>
        <v>455.4</v>
      </c>
      <c r="BX258" s="148">
        <f t="shared" si="146"/>
        <v>3129354.9718154697</v>
      </c>
      <c r="BY258" s="148">
        <f t="shared" si="147"/>
        <v>0.15894692642655886</v>
      </c>
      <c r="BZ258">
        <f t="shared" si="130"/>
        <v>64.296346571879113</v>
      </c>
      <c r="CB258">
        <f t="shared" si="148"/>
        <v>-252.61917740495392</v>
      </c>
      <c r="CC258" s="162">
        <f t="shared" si="131"/>
        <v>-1345.4219871033449</v>
      </c>
      <c r="CD258">
        <f t="shared" si="156"/>
        <v>41723.817007683312</v>
      </c>
    </row>
    <row r="259" spans="4:82" x14ac:dyDescent="0.2">
      <c r="D259" s="22">
        <f t="shared" si="157"/>
        <v>-5.2348114525143222E-2</v>
      </c>
      <c r="E259" s="23">
        <v>8.7859025581051657</v>
      </c>
      <c r="F259" s="23">
        <f>IF(K259&lt;6,1,IF(Data!K259&lt;9,2,IF(K259&gt;9,3)))</f>
        <v>3</v>
      </c>
      <c r="G259" s="23">
        <v>1110.8453838464686</v>
      </c>
      <c r="H259" s="23">
        <v>220.91666499999999</v>
      </c>
      <c r="I259" s="64">
        <v>38.587040454715975</v>
      </c>
      <c r="J259" s="65">
        <f t="shared" si="158"/>
        <v>-16.146622275220572</v>
      </c>
      <c r="K259" s="65">
        <f t="shared" si="159"/>
        <v>15.43481618188639</v>
      </c>
      <c r="L259" s="65">
        <f t="shared" si="160"/>
        <v>-6.4586489100882361</v>
      </c>
      <c r="M259">
        <f t="shared" si="161"/>
        <v>17.571805116210331</v>
      </c>
      <c r="N259">
        <f t="shared" si="162"/>
        <v>-9.9999073581233944E-2</v>
      </c>
      <c r="O259">
        <f>IF(L259&lt;'Vehicle Data'!F$21,'Vehicle Data'!C$21,IF(L259&gt;'Vehicle Data'!C$21,'Vehicle Data'!C$20))</f>
        <v>0.6</v>
      </c>
      <c r="P259">
        <f>('Vehicle Data'!C$6*9.81*'Vehicle Data'!C$5*SIN(D259))/'Vehicle Data'!C$9</f>
        <v>-34.846224222519929</v>
      </c>
      <c r="Q259" s="107">
        <f>'Vehicle Data'!C$6*9.81*SIN(D259)</f>
        <v>-225.33891663896219</v>
      </c>
      <c r="R259">
        <f t="shared" si="163"/>
        <v>1108.8945897590859</v>
      </c>
      <c r="S259">
        <f>IF(Data!O259=0.6,'Vehicle Data'!E$21,IF(Data!O259 = 0.9,'Vehicle Data'!E$20))+(P259*O259)</f>
        <v>1529.4646654664878</v>
      </c>
      <c r="T259">
        <f>IF(F259=3,'Vehicle Data'!H$16,IF(F259=2,'Vehicle Data'!H$15,IF(F259 = 1,'Vehicle Data'!G$14)))</f>
        <v>466.23005239380637</v>
      </c>
      <c r="U259" s="148">
        <f t="shared" si="164"/>
        <v>392.75610763576981</v>
      </c>
      <c r="V259" s="70" t="s">
        <v>77</v>
      </c>
      <c r="W259" s="99" t="s">
        <v>84</v>
      </c>
      <c r="X259">
        <f>IF(V259="S",'Vehicle Data'!C$14,IF(Data!V259 = "T1",'Vehicle Data'!P$2,IF(Data!V259="T2",'Vehicle Data'!P$3)))</f>
        <v>13.411199999999999</v>
      </c>
      <c r="Z259">
        <f t="shared" si="173"/>
        <v>10.877143525508664</v>
      </c>
      <c r="AB259" t="b">
        <f>IF(AA259=1,'Vehicle Data'!I$14,IF(AA259=2,'Vehicle Data'!I$15,IF(AA259=3,'Vehicle Data'!I$16)))</f>
        <v>0</v>
      </c>
      <c r="AC259">
        <f>IF(Z259&lt;'Vehicle Data'!C$16,'Vehicle Data'!I$15,IF(Z259&lt;'Vehicle Data'!C$15,'Vehicle Data'!I$15,IF(Z258&gt;'Vehicle Data'!C$15,'Vehicle Data'!I$16)))</f>
        <v>0.46202745420001456</v>
      </c>
      <c r="AD259">
        <f>IF(O259=0.6,'Vehicle Data'!F$21,IF(O259=0.9,'Vehicle Data'!F$20))</f>
        <v>3.5315999999999996</v>
      </c>
      <c r="AE259" s="100">
        <f t="shared" si="172"/>
        <v>0.46202745420001456</v>
      </c>
      <c r="AF259" s="158">
        <f t="shared" si="166"/>
        <v>0.18285203829198374</v>
      </c>
      <c r="AG259" s="148">
        <f t="shared" si="132"/>
        <v>0.46383580839443328</v>
      </c>
      <c r="AH259" s="148">
        <f t="shared" si="150"/>
        <v>64.479198610171096</v>
      </c>
      <c r="AJ259">
        <f>(Z259^2)*'Vehicle Data'!C$31</f>
        <v>43.479752343384298</v>
      </c>
      <c r="AK259">
        <f>IF(O259=0.6,'Vehicle Data'!C$6*'Vehicle Data'!D$21*9.81,IF(O259=0.9,'Vehicle Data'!C$6*9.81*'Vehicle Data'!D$20))</f>
        <v>86.131799999999998</v>
      </c>
      <c r="AL259">
        <f t="shared" si="167"/>
        <v>-95.7273642955779</v>
      </c>
      <c r="AN259">
        <f>IF(AG259&gt;0,AG259*'Vehicle Data'!C$6)</f>
        <v>203.6239198851562</v>
      </c>
      <c r="AO259">
        <f t="shared" si="168"/>
        <v>107.8965555895783</v>
      </c>
      <c r="AP259">
        <f>AO259*'Vehicle Data'!F$3</f>
        <v>27.578359608696214</v>
      </c>
      <c r="AQ259">
        <f>IF(AE259='Vehicle Data'!I$15,AP259/'Vehicle Data'!G$15,IF(AE259='Vehicle Data'!I$16,AP259/'Vehicle Data'!G$16,IF(AE259='Vehicle Data'!I$14,Data!AP259/'Vehicle Data'!G270)))</f>
        <v>5.0913153512586744</v>
      </c>
      <c r="AR259">
        <f>IF(Z259&lt;'Vehicle Data'!C$16, Z259*'Vehicle Data'!F$7*'Vehicle Data'!G$14,IF(Z259&lt;'Vehicle Data'!C$15,Z259*'Vehicle Data'!F$7*'Vehicle Data'!G$15,IF(Z259&gt;'Vehicle Data'!C$15,Z259*'Vehicle Data'!F$7*'Vehicle Data'!G$16)))</f>
        <v>94.622410968146852</v>
      </c>
      <c r="AS259">
        <f t="shared" si="151"/>
        <v>5677.3446580888112</v>
      </c>
      <c r="AT259">
        <f t="shared" si="170"/>
        <v>5</v>
      </c>
      <c r="AU259">
        <f t="shared" si="169"/>
        <v>5500</v>
      </c>
      <c r="AW259">
        <f>VLOOKUP(AT259,BSFC!A$64:A$82,1,FALSE)</f>
        <v>5</v>
      </c>
      <c r="AX259" t="e" cm="1">
        <f t="array" ref="AX259">_xlfn.XLOOKUP(AT259,BSFC!A$64:A$82,,-1,_xlfn.XLOOKUP(Data!AU259,BSFC!C$63:Q$63,BSFC!B$64:Q$82,,-1))</f>
        <v>#VALUE!</v>
      </c>
      <c r="AY259">
        <f>HLOOKUP(AU259,BSFC!F$63:Q$63,1)</f>
        <v>5500</v>
      </c>
      <c r="AZ259">
        <f>IF(AT259&gt;0,MATCH(AT259,BSFC!A$64:A$83,0),IF(AT259&lt;=0,0))</f>
        <v>18</v>
      </c>
      <c r="BA259">
        <f>MATCH(AU259,BSFC!C$63:Q$63,0)</f>
        <v>11</v>
      </c>
      <c r="BB259" cm="1">
        <f t="array" ref="BB259">IF(AZ259&gt;0,INDEX(BSFC!C$64:Q$83,Data!AZ259,Data!BA259))</f>
        <v>666.9</v>
      </c>
      <c r="BC259">
        <f>0.5*'Vehicle Data'!C$6*Data!Z259^2</f>
        <v>25969.539154756058</v>
      </c>
      <c r="BD259">
        <f t="shared" si="134"/>
        <v>2.5537160864344544</v>
      </c>
      <c r="BE259">
        <f t="shared" si="174"/>
        <v>1703.0732580431375</v>
      </c>
      <c r="BF259">
        <f t="shared" si="175"/>
        <v>8.6502893498265898E-2</v>
      </c>
      <c r="BG259">
        <f t="shared" si="135"/>
        <v>70.498773401976123</v>
      </c>
      <c r="BH259">
        <f t="shared" si="171"/>
        <v>3014.721736766166</v>
      </c>
      <c r="BI259" s="148">
        <f t="shared" si="136"/>
        <v>6871.6622130335309</v>
      </c>
      <c r="BO259">
        <f t="shared" si="137"/>
        <v>536.61182056182201</v>
      </c>
      <c r="BP259">
        <f t="shared" si="138"/>
        <v>305228.87737774453</v>
      </c>
      <c r="BQ259">
        <f t="shared" si="139"/>
        <v>401160.12695004919</v>
      </c>
      <c r="BR259" s="148">
        <f t="shared" si="140"/>
        <v>444302.40877680859</v>
      </c>
      <c r="BS259" s="156">
        <f t="shared" si="141"/>
        <v>536.61182056182201</v>
      </c>
      <c r="BT259" s="156">
        <f t="shared" si="142"/>
        <v>3014.721736766166</v>
      </c>
      <c r="BU259">
        <f t="shared" si="143"/>
        <v>1223.1361606120308</v>
      </c>
      <c r="BV259">
        <f t="shared" si="144"/>
        <v>1223.1361606120308</v>
      </c>
      <c r="BW259" s="148">
        <f t="shared" si="145"/>
        <v>455.4</v>
      </c>
      <c r="BX259" s="148">
        <f t="shared" si="146"/>
        <v>3129354.9718154697</v>
      </c>
      <c r="BY259" s="148">
        <f t="shared" si="147"/>
        <v>0.15472672431742188</v>
      </c>
      <c r="BZ259">
        <f t="shared" ref="BZ259:BZ322" si="176">AH259</f>
        <v>64.479198610171096</v>
      </c>
      <c r="CB259">
        <f t="shared" si="148"/>
        <v>686.52434005020882</v>
      </c>
      <c r="CC259" s="162">
        <f t="shared" ref="CC259:CC314" si="177">CB259/(BZ259-BZ258)</f>
        <v>3754.5347947062373</v>
      </c>
      <c r="CD259">
        <f t="shared" si="156"/>
        <v>42410.34134773352</v>
      </c>
    </row>
    <row r="260" spans="4:82" x14ac:dyDescent="0.2">
      <c r="D260" s="22">
        <f t="shared" si="157"/>
        <v>-9.8748767517272268E-2</v>
      </c>
      <c r="E260" s="23">
        <v>8.6859034845239318</v>
      </c>
      <c r="F260" s="23">
        <f>IF(K260&lt;6,1,IF(Data!K260&lt;9,2,IF(K260&gt;9,3)))</f>
        <v>3</v>
      </c>
      <c r="G260" s="23">
        <v>1112.7565273662726</v>
      </c>
      <c r="H260" s="23">
        <v>220.96666499999998</v>
      </c>
      <c r="I260" s="64">
        <v>37.779709340955222</v>
      </c>
      <c r="J260" s="65">
        <f t="shared" si="158"/>
        <v>-17.707863781131106</v>
      </c>
      <c r="K260" s="65">
        <f t="shared" si="159"/>
        <v>15.111883736382088</v>
      </c>
      <c r="L260" s="65">
        <f t="shared" si="160"/>
        <v>-7.0831455124524352</v>
      </c>
      <c r="M260">
        <f t="shared" si="161"/>
        <v>17.371806969047864</v>
      </c>
      <c r="N260">
        <f t="shared" si="162"/>
        <v>-0.18420188452393305</v>
      </c>
      <c r="O260">
        <f>IF(L260&lt;'Vehicle Data'!F$21,'Vehicle Data'!C$21,IF(L260&gt;'Vehicle Data'!C$21,'Vehicle Data'!C$20))</f>
        <v>0.6</v>
      </c>
      <c r="P260">
        <f>('Vehicle Data'!C$6*9.81*'Vehicle Data'!C$5*SIN(D260))/'Vehicle Data'!C$9</f>
        <v>-65.656644375071409</v>
      </c>
      <c r="Q260" s="107">
        <f>'Vehicle Data'!C$6*9.81*SIN(D260)</f>
        <v>-424.57963362546172</v>
      </c>
      <c r="R260">
        <f t="shared" si="163"/>
        <v>1110.8453838464686</v>
      </c>
      <c r="S260">
        <f>IF(Data!O260=0.6,'Vehicle Data'!E$21,IF(Data!O260 = 0.9,'Vehicle Data'!E$20))+(P260*O260)</f>
        <v>1510.978413374957</v>
      </c>
      <c r="T260">
        <f>IF(F260=3,'Vehicle Data'!H$16,IF(F260=2,'Vehicle Data'!H$15,IF(F260 = 1,'Vehicle Data'!G$14)))</f>
        <v>466.23005239380637</v>
      </c>
      <c r="U260" s="148">
        <f t="shared" si="164"/>
        <v>394.70690172315255</v>
      </c>
      <c r="V260" s="70" t="s">
        <v>77</v>
      </c>
      <c r="W260" s="99" t="s">
        <v>84</v>
      </c>
      <c r="X260">
        <f>IF(V260="S",'Vehicle Data'!C$14,IF(Data!V260 = "T1",'Vehicle Data'!P$2,IF(Data!V260="T2",'Vehicle Data'!P$3)))</f>
        <v>13.411199999999999</v>
      </c>
      <c r="Z260">
        <f>SQRT(Z259^2+2*AE259*(U260-U259))</f>
        <v>10.959693979588977</v>
      </c>
      <c r="AB260" t="b">
        <f>IF(AA260=1,'Vehicle Data'!I$14,IF(AA260=2,'Vehicle Data'!I$15,IF(AA260=3,'Vehicle Data'!I$16)))</f>
        <v>0</v>
      </c>
      <c r="AC260">
        <f>IF(Z260&lt;'Vehicle Data'!C$16,'Vehicle Data'!I$15,IF(Z260&lt;'Vehicle Data'!C$15,'Vehicle Data'!I$15,IF(Z259&gt;'Vehicle Data'!C$15,'Vehicle Data'!I$16)))</f>
        <v>0.46202745420001456</v>
      </c>
      <c r="AD260">
        <f>IF(O260=0.6,'Vehicle Data'!F$21,IF(O260=0.9,'Vehicle Data'!F$20))</f>
        <v>3.5315999999999996</v>
      </c>
      <c r="AE260" s="100">
        <f t="shared" si="172"/>
        <v>0.46202745420001456</v>
      </c>
      <c r="AF260" s="158">
        <f t="shared" si="166"/>
        <v>0.17799713121697103</v>
      </c>
      <c r="AG260" s="148">
        <f t="shared" ref="AG260:AG323" si="178">(Z260-Z259)/AF260</f>
        <v>0.46377407049154534</v>
      </c>
      <c r="AH260" s="148">
        <f t="shared" si="150"/>
        <v>64.657195741388065</v>
      </c>
      <c r="AJ260">
        <f>(Z260^2)*'Vehicle Data'!C$31</f>
        <v>44.142222856392792</v>
      </c>
      <c r="AK260">
        <f>IF(O260=0.6,'Vehicle Data'!C$6*'Vehicle Data'!D$21*9.81,IF(O260=0.9,'Vehicle Data'!C$6*9.81*'Vehicle Data'!D$20))</f>
        <v>86.131799999999998</v>
      </c>
      <c r="AL260">
        <f t="shared" si="167"/>
        <v>-294.30561076906895</v>
      </c>
      <c r="AN260">
        <f>IF(AG260&gt;0,AG260*'Vehicle Data'!C$6)</f>
        <v>203.59681694578842</v>
      </c>
      <c r="AO260">
        <f t="shared" si="168"/>
        <v>-90.70879382328053</v>
      </c>
      <c r="AP260">
        <f>AO260*'Vehicle Data'!F$3</f>
        <v>-23.185167701230505</v>
      </c>
      <c r="AQ260">
        <f>IF(AE260='Vehicle Data'!I$15,AP260/'Vehicle Data'!G$15,IF(AE260='Vehicle Data'!I$16,AP260/'Vehicle Data'!G$16,IF(AE260='Vehicle Data'!I$14,Data!AP260/'Vehicle Data'!G271)))</f>
        <v>-4.2802763439765821</v>
      </c>
      <c r="AR260">
        <f>IF(Z260&lt;'Vehicle Data'!C$16, Z260*'Vehicle Data'!F$7*'Vehicle Data'!G$14,IF(Z260&lt;'Vehicle Data'!C$15,Z260*'Vehicle Data'!F$7*'Vehicle Data'!G$15,IF(Z260&gt;'Vehicle Data'!C$15,Z260*'Vehicle Data'!F$7*'Vehicle Data'!G$16)))</f>
        <v>95.340533605149488</v>
      </c>
      <c r="AS260">
        <f t="shared" si="151"/>
        <v>5720.4320163089697</v>
      </c>
      <c r="AT260">
        <f t="shared" si="170"/>
        <v>-4</v>
      </c>
      <c r="AU260">
        <f t="shared" si="169"/>
        <v>5500</v>
      </c>
      <c r="AW260" t="e">
        <f>VLOOKUP(AT260,BSFC!A$64:A$82,1,FALSE)</f>
        <v>#N/A</v>
      </c>
      <c r="AX260" t="e" cm="1">
        <f t="array" ref="AX260">_xlfn.XLOOKUP(AT260,BSFC!A$64:A$82,,-1,_xlfn.XLOOKUP(Data!AU260,BSFC!C$63:Q$63,BSFC!B$64:Q$82,,-1))</f>
        <v>#VALUE!</v>
      </c>
      <c r="AY260">
        <f>HLOOKUP(AU260,BSFC!F$63:Q$63,1)</f>
        <v>5500</v>
      </c>
      <c r="AZ260">
        <f>IF(AT260&gt;0,MATCH(AT260,BSFC!A$64:A$83,0),IF(AT260&lt;=0,0))</f>
        <v>0</v>
      </c>
      <c r="BA260">
        <f>MATCH(AU260,BSFC!C$63:Q$63,0)</f>
        <v>11</v>
      </c>
      <c r="BB260" t="b" cm="1">
        <f t="array" ref="BB260">IF(AZ260&gt;0,INDEX(BSFC!C$64:Q$83,Data!AZ260,Data!BA260))</f>
        <v>0</v>
      </c>
      <c r="BC260">
        <f>0.5*'Vehicle Data'!C$6*Data!Z260^2</f>
        <v>26365.21882170943</v>
      </c>
      <c r="BD260">
        <f t="shared" ref="BD260:BD323" si="179">ABS(AQ261*(AS261/9.588))/1000</f>
        <v>2.7951287007683852</v>
      </c>
      <c r="BE260">
        <f t="shared" si="174"/>
        <v>0</v>
      </c>
      <c r="BF260">
        <f t="shared" si="175"/>
        <v>0</v>
      </c>
      <c r="BG260">
        <f t="shared" ref="BG260:BG323" si="180">BG259+BF260</f>
        <v>70.498773401976123</v>
      </c>
      <c r="BH260">
        <f t="shared" si="171"/>
        <v>-2553.7160864344542</v>
      </c>
      <c r="BI260" s="148">
        <f t="shared" ref="BI260:BI323" si="181">BM$9</f>
        <v>6871.6622130335309</v>
      </c>
      <c r="BO260">
        <f t="shared" ref="BO260:BO323" si="182">BH260*AF261</f>
        <v>-442.07718222520265</v>
      </c>
      <c r="BP260">
        <f t="shared" ref="BP260:BP323" si="183">BP259+BO260</f>
        <v>304786.80019551935</v>
      </c>
      <c r="BQ260">
        <f t="shared" ref="BQ260:BQ323" si="184">IF(BO260&gt;0,BQ259+BO260,IF(BO260&lt;=0,BQ259))</f>
        <v>401160.12695004919</v>
      </c>
      <c r="BR260" s="148">
        <f t="shared" ref="BR260:BR323" si="185">(BM$9*AF261)+BR259</f>
        <v>445491.97134583432</v>
      </c>
      <c r="BS260" s="156" t="b">
        <f t="shared" ref="BS260:BS323" si="186">IF(BO260&gt;0,BO260)</f>
        <v>0</v>
      </c>
      <c r="BT260" s="156">
        <f t="shared" ref="BT260:BT323" si="187">IF(BH260&gt;=0,BH260, IF(BH260&lt;0,0))</f>
        <v>0</v>
      </c>
      <c r="BU260">
        <f t="shared" ref="BU260:BU323" si="188">BI260*AF261</f>
        <v>1189.5625690257148</v>
      </c>
      <c r="BV260">
        <f t="shared" ref="BV260:BV323" si="189">BM$9*AF261</f>
        <v>1189.5625690257148</v>
      </c>
      <c r="BW260" s="148">
        <f t="shared" ref="BW260:BW323" si="190">BN$9</f>
        <v>455.4</v>
      </c>
      <c r="BX260" s="148">
        <f t="shared" ref="BX260:BX323" si="191">BW260*BI260</f>
        <v>3129354.9718154697</v>
      </c>
      <c r="BY260" s="148">
        <f t="shared" ref="BY260:BY323" si="192">((BX260/3600)*AF261)/1000</f>
        <v>0.15047966498175291</v>
      </c>
      <c r="BZ260">
        <f t="shared" si="176"/>
        <v>64.657195741388065</v>
      </c>
      <c r="CB260">
        <f t="shared" ref="CB260:CB323" si="193">BU260-BS260</f>
        <v>1189.5625690257148</v>
      </c>
      <c r="CC260" s="162">
        <f t="shared" si="177"/>
        <v>6683.0434900419814</v>
      </c>
      <c r="CD260">
        <f t="shared" si="156"/>
        <v>43599.903916759235</v>
      </c>
    </row>
    <row r="261" spans="4:82" x14ac:dyDescent="0.2">
      <c r="D261" s="22">
        <f t="shared" si="157"/>
        <v>-5.481121412768504E-2</v>
      </c>
      <c r="E261" s="23">
        <v>8.5017015999999987</v>
      </c>
      <c r="F261" s="23">
        <f>IF(K261&lt;6,1,IF(Data!K261&lt;9,2,IF(K261&gt;9,3)))</f>
        <v>3</v>
      </c>
      <c r="G261" s="23">
        <v>1114.6249212576568</v>
      </c>
      <c r="H261" s="23">
        <v>221.01666499999999</v>
      </c>
      <c r="I261" s="64">
        <v>36.894316151898465</v>
      </c>
      <c r="J261" s="65">
        <f t="shared" si="158"/>
        <v>-16.307442358513512</v>
      </c>
      <c r="K261" s="65">
        <f t="shared" si="159"/>
        <v>14.757726460759386</v>
      </c>
      <c r="L261" s="65">
        <f t="shared" si="160"/>
        <v>-6.5229769434054052</v>
      </c>
      <c r="M261">
        <f t="shared" si="161"/>
        <v>17.003403199999997</v>
      </c>
      <c r="N261">
        <f t="shared" si="162"/>
        <v>-9.9998399999998711E-2</v>
      </c>
      <c r="O261">
        <f>IF(L261&lt;'Vehicle Data'!F$21,'Vehicle Data'!C$21,IF(L261&gt;'Vehicle Data'!C$21,'Vehicle Data'!C$20))</f>
        <v>0.6</v>
      </c>
      <c r="P261">
        <f>('Vehicle Data'!C$6*9.81*'Vehicle Data'!C$5*SIN(D261))/'Vehicle Data'!C$9</f>
        <v>-36.484214185496413</v>
      </c>
      <c r="Q261" s="107">
        <f>'Vehicle Data'!C$6*9.81*SIN(D261)</f>
        <v>-235.9312517328768</v>
      </c>
      <c r="R261">
        <f t="shared" si="163"/>
        <v>1112.7565273662726</v>
      </c>
      <c r="S261">
        <f>IF(Data!O261=0.6,'Vehicle Data'!E$21,IF(Data!O261 = 0.9,'Vehicle Data'!E$20))+(P261*O261)</f>
        <v>1528.4818714887019</v>
      </c>
      <c r="T261">
        <f>IF(F261=3,'Vehicle Data'!H$16,IF(F261=2,'Vehicle Data'!H$15,IF(F261 = 1,'Vehicle Data'!G$14)))</f>
        <v>466.23005239380637</v>
      </c>
      <c r="U261" s="148">
        <f t="shared" si="164"/>
        <v>396.61804524295655</v>
      </c>
      <c r="V261" s="70" t="s">
        <v>77</v>
      </c>
      <c r="W261" s="99" t="s">
        <v>84</v>
      </c>
      <c r="X261">
        <f>IF(V261="S",'Vehicle Data'!C$14,IF(Data!V261 = "T1",'Vehicle Data'!P$2,IF(Data!V261="T2",'Vehicle Data'!P$3)))</f>
        <v>13.411199999999999</v>
      </c>
      <c r="Z261">
        <f t="shared" ref="Z261:Z265" si="194">SQRT(Z260^2+2*AE260*(U261-U260))</f>
        <v>11.039968010658846</v>
      </c>
      <c r="AB261" t="b">
        <f>IF(AA261=1,'Vehicle Data'!I$14,IF(AA261=2,'Vehicle Data'!I$15,IF(AA261=3,'Vehicle Data'!I$16)))</f>
        <v>0</v>
      </c>
      <c r="AC261">
        <f>IF(Z261&lt;'Vehicle Data'!C$16,'Vehicle Data'!I$15,IF(Z261&lt;'Vehicle Data'!C$15,'Vehicle Data'!I$15,IF(Z260&gt;'Vehicle Data'!C$15,'Vehicle Data'!I$16)))</f>
        <v>0.46202745420001456</v>
      </c>
      <c r="AD261">
        <f>IF(O261=0.6,'Vehicle Data'!F$21,IF(O261=0.9,'Vehicle Data'!F$20))</f>
        <v>3.5315999999999996</v>
      </c>
      <c r="AE261" s="100">
        <f t="shared" si="172"/>
        <v>0.46202745420001456</v>
      </c>
      <c r="AF261" s="158">
        <f t="shared" si="166"/>
        <v>0.17311132767403248</v>
      </c>
      <c r="AG261" s="148">
        <f t="shared" si="178"/>
        <v>0.46371333492990713</v>
      </c>
      <c r="AH261" s="148">
        <f t="shared" ref="AH261:AH324" si="195">AH260+AF261</f>
        <v>64.830307069062101</v>
      </c>
      <c r="AJ261">
        <f>(Z261^2)*'Vehicle Data'!C$31</f>
        <v>44.791228426066226</v>
      </c>
      <c r="AK261">
        <f>IF(O261=0.6,'Vehicle Data'!C$6*'Vehicle Data'!D$21*9.81,IF(O261=0.9,'Vehicle Data'!C$6*9.81*'Vehicle Data'!D$20))</f>
        <v>86.131799999999998</v>
      </c>
      <c r="AL261">
        <f t="shared" si="167"/>
        <v>-105.00822330681058</v>
      </c>
      <c r="AN261">
        <f>IF(AG261&gt;0,AG261*'Vehicle Data'!C$6)</f>
        <v>203.57015403422923</v>
      </c>
      <c r="AO261">
        <f t="shared" si="168"/>
        <v>98.561930727418655</v>
      </c>
      <c r="AP261">
        <f>AO261*'Vehicle Data'!F$3</f>
        <v>25.192429493928209</v>
      </c>
      <c r="AQ261">
        <f>IF(AE261='Vehicle Data'!I$15,AP261/'Vehicle Data'!G$15,IF(AE261='Vehicle Data'!I$16,AP261/'Vehicle Data'!G$16,IF(AE261='Vehicle Data'!I$14,Data!AP261/'Vehicle Data'!G272)))</f>
        <v>4.6508423574799487</v>
      </c>
      <c r="AR261">
        <f>IF(Z261&lt;'Vehicle Data'!C$16, Z261*'Vehicle Data'!F$7*'Vehicle Data'!G$14,IF(Z261&lt;'Vehicle Data'!C$15,Z261*'Vehicle Data'!F$7*'Vehicle Data'!G$15,IF(Z261&gt;'Vehicle Data'!C$15,Z261*'Vehicle Data'!F$7*'Vehicle Data'!G$16)))</f>
        <v>96.038853190631627</v>
      </c>
      <c r="AS261">
        <f t="shared" si="151"/>
        <v>5762.3311914378974</v>
      </c>
      <c r="AT261">
        <f t="shared" si="170"/>
        <v>5</v>
      </c>
      <c r="AU261">
        <f t="shared" si="169"/>
        <v>6000</v>
      </c>
      <c r="AW261">
        <f>VLOOKUP(AT261,BSFC!A$64:A$82,1,FALSE)</f>
        <v>5</v>
      </c>
      <c r="AX261" t="e" cm="1">
        <f t="array" ref="AX261">_xlfn.XLOOKUP(AT261,BSFC!A$64:A$82,,-1,_xlfn.XLOOKUP(Data!AU261,BSFC!C$63:Q$63,BSFC!B$64:Q$82,,-1))</f>
        <v>#VALUE!</v>
      </c>
      <c r="AY261">
        <f>HLOOKUP(AU261,BSFC!F$63:Q$63,1)</f>
        <v>6000</v>
      </c>
      <c r="AZ261">
        <f>IF(AT261&gt;0,MATCH(AT261,BSFC!A$64:A$83,0),IF(AT261&lt;=0,0))</f>
        <v>18</v>
      </c>
      <c r="BA261">
        <f>MATCH(AU261,BSFC!C$63:Q$63,0)</f>
        <v>12</v>
      </c>
      <c r="BB261" cm="1">
        <f t="array" ref="BB261">IF(AZ261&gt;0,INDEX(BSFC!C$64:Q$83,Data!AZ261,Data!BA261))</f>
        <v>600</v>
      </c>
      <c r="BC261">
        <f>0.5*'Vehicle Data'!C$6*Data!Z261^2</f>
        <v>26752.856161963358</v>
      </c>
      <c r="BD261">
        <f t="shared" si="179"/>
        <v>8.4827895723044264</v>
      </c>
      <c r="BE261">
        <f t="shared" si="174"/>
        <v>5089.6737433826556</v>
      </c>
      <c r="BF261">
        <f t="shared" si="175"/>
        <v>0.24474449420684288</v>
      </c>
      <c r="BG261">
        <f t="shared" si="180"/>
        <v>70.743517896182965</v>
      </c>
      <c r="BH261">
        <f t="shared" si="171"/>
        <v>2795.128700768385</v>
      </c>
      <c r="BI261" s="148">
        <f t="shared" si="181"/>
        <v>6871.6622130335309</v>
      </c>
      <c r="BO261">
        <f t="shared" si="182"/>
        <v>469.72970620267807</v>
      </c>
      <c r="BP261">
        <f t="shared" si="183"/>
        <v>305256.52990172204</v>
      </c>
      <c r="BQ261">
        <f t="shared" si="184"/>
        <v>401629.85665625188</v>
      </c>
      <c r="BR261" s="148">
        <f t="shared" si="185"/>
        <v>446646.77465473558</v>
      </c>
      <c r="BS261" s="156">
        <f t="shared" si="186"/>
        <v>469.72970620267807</v>
      </c>
      <c r="BT261" s="156">
        <f t="shared" si="187"/>
        <v>2795.128700768385</v>
      </c>
      <c r="BU261">
        <f t="shared" si="188"/>
        <v>1154.8033089012865</v>
      </c>
      <c r="BV261">
        <f t="shared" si="189"/>
        <v>1154.8033089012865</v>
      </c>
      <c r="BW261" s="148">
        <f t="shared" si="190"/>
        <v>455.4</v>
      </c>
      <c r="BX261" s="148">
        <f t="shared" si="191"/>
        <v>3129354.9718154697</v>
      </c>
      <c r="BY261" s="148">
        <f t="shared" si="192"/>
        <v>0.14608261857601273</v>
      </c>
      <c r="BZ261">
        <f t="shared" si="176"/>
        <v>64.830307069062101</v>
      </c>
      <c r="CB261">
        <f t="shared" si="193"/>
        <v>685.07360269860851</v>
      </c>
      <c r="CC261" s="162">
        <f t="shared" si="177"/>
        <v>3957.4163742108435</v>
      </c>
      <c r="CD261">
        <f t="shared" ref="CD261:CD324" si="196">CB261+CD260</f>
        <v>44284.97751945784</v>
      </c>
    </row>
    <row r="262" spans="4:82" x14ac:dyDescent="0.2">
      <c r="D262" s="22">
        <f t="shared" si="157"/>
        <v>-8.84161799070525E-3</v>
      </c>
      <c r="E262" s="23">
        <v>8.4017032</v>
      </c>
      <c r="F262" s="23">
        <f>IF(K262&lt;6,1,IF(Data!K262&lt;9,2,IF(K262&gt;9,3)))</f>
        <v>3</v>
      </c>
      <c r="G262" s="23">
        <v>1116.4502500612507</v>
      </c>
      <c r="H262" s="23">
        <v>221.066665</v>
      </c>
      <c r="I262" s="64">
        <v>36.078944033972604</v>
      </c>
      <c r="J262" s="65">
        <f t="shared" si="158"/>
        <v>-14.538014131482823</v>
      </c>
      <c r="K262" s="65">
        <f t="shared" si="159"/>
        <v>14.431577613589042</v>
      </c>
      <c r="L262" s="65">
        <f t="shared" si="160"/>
        <v>-5.8152056525931366</v>
      </c>
      <c r="M262">
        <f t="shared" si="161"/>
        <v>16.8034064</v>
      </c>
      <c r="N262">
        <f t="shared" si="162"/>
        <v>-1.5802115475887391E-2</v>
      </c>
      <c r="O262">
        <f>IF(L262&lt;'Vehicle Data'!F$21,'Vehicle Data'!C$21,IF(L262&gt;'Vehicle Data'!C$21,'Vehicle Data'!C$20))</f>
        <v>0.6</v>
      </c>
      <c r="P262">
        <f>('Vehicle Data'!C$6*9.81*'Vehicle Data'!C$5*SIN(D262))/'Vehicle Data'!C$9</f>
        <v>-5.8881537394421875</v>
      </c>
      <c r="Q262" s="107">
        <f>'Vehicle Data'!C$6*9.81*SIN(D262)</f>
        <v>-38.076727515059481</v>
      </c>
      <c r="R262">
        <f t="shared" si="163"/>
        <v>1114.6249212576568</v>
      </c>
      <c r="S262">
        <f>IF(Data!O262=0.6,'Vehicle Data'!E$21,IF(Data!O262 = 0.9,'Vehicle Data'!E$20))+(P262*O262)</f>
        <v>1546.8395077563343</v>
      </c>
      <c r="T262">
        <f>IF(F262=3,'Vehicle Data'!H$16,IF(F262=2,'Vehicle Data'!H$15,IF(F262 = 1,'Vehicle Data'!G$14)))</f>
        <v>466.23005239380637</v>
      </c>
      <c r="U262" s="148">
        <f t="shared" si="164"/>
        <v>398.48643913434069</v>
      </c>
      <c r="V262" s="70" t="s">
        <v>77</v>
      </c>
      <c r="W262" s="99" t="s">
        <v>84</v>
      </c>
      <c r="X262">
        <f>IF(V262="S",'Vehicle Data'!C$14,IF(Data!V262 = "T1",'Vehicle Data'!P$2,IF(Data!V262="T2",'Vehicle Data'!P$3)))</f>
        <v>13.411199999999999</v>
      </c>
      <c r="Z262">
        <f t="shared" si="194"/>
        <v>11.117886140023597</v>
      </c>
      <c r="AB262" t="b">
        <f>IF(AA262=1,'Vehicle Data'!I$14,IF(AA262=2,'Vehicle Data'!I$15,IF(AA262=3,'Vehicle Data'!I$16)))</f>
        <v>0</v>
      </c>
      <c r="AC262">
        <f>IF(Z262&lt;'Vehicle Data'!C$16,'Vehicle Data'!I$15,IF(Z262&lt;'Vehicle Data'!C$15,'Vehicle Data'!I$15,IF(Z261&gt;'Vehicle Data'!C$15,'Vehicle Data'!I$16)))</f>
        <v>0.46202745420001456</v>
      </c>
      <c r="AD262">
        <f>IF(O262=0.6,'Vehicle Data'!F$21,IF(O262=0.9,'Vehicle Data'!F$20))</f>
        <v>3.5315999999999996</v>
      </c>
      <c r="AE262" s="100">
        <f t="shared" si="172"/>
        <v>0.46202745420001456</v>
      </c>
      <c r="AF262" s="158">
        <f t="shared" si="166"/>
        <v>0.1680529794830373</v>
      </c>
      <c r="AG262" s="148">
        <f t="shared" si="178"/>
        <v>0.46365217447760393</v>
      </c>
      <c r="AH262" s="148">
        <f t="shared" si="195"/>
        <v>64.998360048545138</v>
      </c>
      <c r="AJ262">
        <f>(Z262^2)*'Vehicle Data'!C$31</f>
        <v>45.425716641779346</v>
      </c>
      <c r="AK262">
        <f>IF(O262=0.6,'Vehicle Data'!C$6*'Vehicle Data'!D$21*9.81,IF(O262=0.9,'Vehicle Data'!C$6*9.81*'Vehicle Data'!D$20))</f>
        <v>86.131799999999998</v>
      </c>
      <c r="AL262">
        <f t="shared" si="167"/>
        <v>93.480789126719856</v>
      </c>
      <c r="AN262">
        <f>IF(AG262&gt;0,AG262*'Vehicle Data'!C$6)</f>
        <v>203.54330459566813</v>
      </c>
      <c r="AO262">
        <f t="shared" si="168"/>
        <v>297.02409372238799</v>
      </c>
      <c r="AP262">
        <f>AO262*'Vehicle Data'!F$3</f>
        <v>75.91935835544237</v>
      </c>
      <c r="AQ262">
        <f>IF(AE262='Vehicle Data'!I$15,AP262/'Vehicle Data'!G$15,IF(AE262='Vehicle Data'!I$16,AP262/'Vehicle Data'!G$16,IF(AE262='Vehicle Data'!I$14,Data!AP262/'Vehicle Data'!G273)))</f>
        <v>14.01567751444103</v>
      </c>
      <c r="AR262">
        <f>IF(Z262&lt;'Vehicle Data'!C$16, Z262*'Vehicle Data'!F$7*'Vehicle Data'!G$14,IF(Z262&lt;'Vehicle Data'!C$15,Z262*'Vehicle Data'!F$7*'Vehicle Data'!G$15,IF(Z262&gt;'Vehicle Data'!C$15,Z262*'Vehicle Data'!F$7*'Vehicle Data'!G$16)))</f>
        <v>96.71667832379552</v>
      </c>
      <c r="AS262">
        <f t="shared" si="151"/>
        <v>5803.000699427731</v>
      </c>
      <c r="AT262">
        <f t="shared" si="170"/>
        <v>14</v>
      </c>
      <c r="AU262">
        <f t="shared" si="169"/>
        <v>6000</v>
      </c>
      <c r="AW262">
        <f>VLOOKUP(AT262,BSFC!A$64:A$82,1,FALSE)</f>
        <v>14</v>
      </c>
      <c r="AX262" t="e" cm="1">
        <f t="array" ref="AX262">_xlfn.XLOOKUP(AT262,BSFC!A$64:A$82,,-1,_xlfn.XLOOKUP(Data!AU262,BSFC!C$63:Q$63,BSFC!B$64:Q$82,,-1))</f>
        <v>#VALUE!</v>
      </c>
      <c r="AY262">
        <f>HLOOKUP(AU262,BSFC!F$63:Q$63,1)</f>
        <v>6000</v>
      </c>
      <c r="AZ262">
        <f>IF(AT262&gt;0,MATCH(AT262,BSFC!A$64:A$83,0),IF(AT262&lt;=0,0))</f>
        <v>9</v>
      </c>
      <c r="BA262">
        <f>MATCH(AU262,BSFC!C$63:Q$63,0)</f>
        <v>12</v>
      </c>
      <c r="BB262" cm="1">
        <f t="array" ref="BB262">IF(AZ262&gt;0,INDEX(BSFC!C$64:Q$83,Data!AZ262,Data!BA262))</f>
        <v>564.5</v>
      </c>
      <c r="BC262">
        <f>0.5*'Vehicle Data'!C$6*Data!Z262^2</f>
        <v>27131.82259284507</v>
      </c>
      <c r="BD262">
        <f t="shared" si="179"/>
        <v>2.8274869989526277</v>
      </c>
      <c r="BE262">
        <f t="shared" si="174"/>
        <v>1596.1164109087583</v>
      </c>
      <c r="BF262">
        <f t="shared" si="175"/>
        <v>7.4508921793052407E-2</v>
      </c>
      <c r="BG262">
        <f t="shared" si="180"/>
        <v>70.818026817976019</v>
      </c>
      <c r="BH262">
        <f t="shared" si="171"/>
        <v>8482.7895723044257</v>
      </c>
      <c r="BI262" s="148">
        <f t="shared" si="181"/>
        <v>6871.6622130335309</v>
      </c>
      <c r="BO262">
        <f t="shared" si="182"/>
        <v>1383.2940116790141</v>
      </c>
      <c r="BP262">
        <f t="shared" si="183"/>
        <v>306639.82391340105</v>
      </c>
      <c r="BQ262">
        <f t="shared" si="184"/>
        <v>403013.15066793089</v>
      </c>
      <c r="BR262" s="148">
        <f t="shared" si="185"/>
        <v>447767.34108026675</v>
      </c>
      <c r="BS262" s="156">
        <f t="shared" si="186"/>
        <v>1383.2940116790141</v>
      </c>
      <c r="BT262" s="156">
        <f t="shared" si="187"/>
        <v>8482.7895723044257</v>
      </c>
      <c r="BU262">
        <f t="shared" si="188"/>
        <v>1120.566425531169</v>
      </c>
      <c r="BV262">
        <f t="shared" si="189"/>
        <v>1120.566425531169</v>
      </c>
      <c r="BW262" s="148">
        <f t="shared" si="190"/>
        <v>455.4</v>
      </c>
      <c r="BX262" s="148">
        <f t="shared" si="191"/>
        <v>3129354.9718154697</v>
      </c>
      <c r="BY262" s="148">
        <f t="shared" si="192"/>
        <v>0.14175165282969285</v>
      </c>
      <c r="BZ262">
        <f t="shared" si="176"/>
        <v>64.998360048545138</v>
      </c>
      <c r="CB262">
        <f t="shared" si="193"/>
        <v>-262.72758614784516</v>
      </c>
      <c r="CC262" s="162">
        <f t="shared" si="177"/>
        <v>-1563.3616669936252</v>
      </c>
      <c r="CD262">
        <f t="shared" si="196"/>
        <v>44022.249933309991</v>
      </c>
    </row>
    <row r="263" spans="4:82" x14ac:dyDescent="0.2">
      <c r="D263" s="22">
        <f t="shared" si="157"/>
        <v>-4.813391848855228E-2</v>
      </c>
      <c r="E263" s="23">
        <v>8.3859010845241126</v>
      </c>
      <c r="F263" s="23">
        <f>IF(K263&lt;6,1,IF(Data!K263&lt;9,2,IF(K263&gt;9,3)))</f>
        <v>3</v>
      </c>
      <c r="G263" s="23">
        <v>1118.2375158513685</v>
      </c>
      <c r="H263" s="23">
        <v>221.11666499999998</v>
      </c>
      <c r="I263" s="64">
        <v>35.352043327398711</v>
      </c>
      <c r="J263" s="65">
        <f t="shared" si="158"/>
        <v>-15.498825303385956</v>
      </c>
      <c r="K263" s="65">
        <f t="shared" si="159"/>
        <v>14.140817330959484</v>
      </c>
      <c r="L263" s="65">
        <f t="shared" si="160"/>
        <v>-6.1995301213543756</v>
      </c>
      <c r="M263">
        <f t="shared" si="161"/>
        <v>16.771802169048225</v>
      </c>
      <c r="N263">
        <f t="shared" si="162"/>
        <v>-8.4196284524113096E-2</v>
      </c>
      <c r="O263">
        <f>'Vehicle Data'!C$20</f>
        <v>0.9</v>
      </c>
      <c r="P263">
        <f>('Vehicle Data'!C$6*9.81*'Vehicle Data'!C$5*SIN(D263))/'Vehicle Data'!C$9</f>
        <v>-32.043249893553408</v>
      </c>
      <c r="Q263" s="107">
        <f>'Vehicle Data'!C$6*9.81*SIN(D263)</f>
        <v>-207.21301597831206</v>
      </c>
      <c r="R263">
        <f t="shared" si="163"/>
        <v>1116.4502500612507</v>
      </c>
      <c r="S263">
        <f>IF(Data!O263=0.6,'Vehicle Data'!E$21,IF(Data!O263 = 0.9,'Vehicle Data'!E$20))+(P263*O263)</f>
        <v>2296.7196750958019</v>
      </c>
      <c r="T263">
        <f>IF(F263=3,'Vehicle Data'!H$16,IF(F263=2,'Vehicle Data'!H$15,IF(F263 = 1,'Vehicle Data'!G$14)))</f>
        <v>466.23005239380637</v>
      </c>
      <c r="U263" s="148">
        <f t="shared" si="164"/>
        <v>400.31176793793463</v>
      </c>
      <c r="V263" s="70" t="s">
        <v>77</v>
      </c>
      <c r="W263" s="99" t="s">
        <v>84</v>
      </c>
      <c r="X263">
        <f>IF(V263="S",'Vehicle Data'!C$14,IF(Data!V263 = "T1",'Vehicle Data'!P$2,IF(Data!V263="T2",'Vehicle Data'!P$3)))</f>
        <v>13.411199999999999</v>
      </c>
      <c r="Z263">
        <f t="shared" si="194"/>
        <v>11.193484545168841</v>
      </c>
      <c r="AB263" t="b">
        <f>IF(AA263=1,'Vehicle Data'!I$14,IF(AA263=2,'Vehicle Data'!I$15,IF(AA263=3,'Vehicle Data'!I$16)))</f>
        <v>0</v>
      </c>
      <c r="AC263">
        <f>IF(Z263&lt;'Vehicle Data'!C$16,'Vehicle Data'!I$15,IF(Z263&lt;'Vehicle Data'!C$15,'Vehicle Data'!I$15,IF(Z262&gt;'Vehicle Data'!C$15,'Vehicle Data'!I$16)))</f>
        <v>0.46202745420001456</v>
      </c>
      <c r="AD263">
        <f>IF(O263=0.6,'Vehicle Data'!F$21,IF(O263=0.9,'Vehicle Data'!F$20))</f>
        <v>5.2973999999999997</v>
      </c>
      <c r="AE263" s="100">
        <f t="shared" si="172"/>
        <v>0.46202745420001456</v>
      </c>
      <c r="AF263" s="158">
        <f t="shared" si="166"/>
        <v>0.16307065027232898</v>
      </c>
      <c r="AG263" s="148">
        <f t="shared" si="178"/>
        <v>0.46359295813805207</v>
      </c>
      <c r="AH263" s="148">
        <f t="shared" si="195"/>
        <v>65.161430698817469</v>
      </c>
      <c r="AJ263">
        <f>(Z263^2)*'Vehicle Data'!C$31</f>
        <v>46.045580376628152</v>
      </c>
      <c r="AK263">
        <f>IF(O263=0.6,'Vehicle Data'!C$6*'Vehicle Data'!D$21*9.81,IF(O263=0.9,'Vehicle Data'!C$6*9.81*'Vehicle Data'!D$20))</f>
        <v>55.985669999999999</v>
      </c>
      <c r="AL263">
        <f t="shared" si="167"/>
        <v>-105.18176560168391</v>
      </c>
      <c r="AN263">
        <f>IF(AG263&gt;0,AG263*'Vehicle Data'!C$6)</f>
        <v>203.51730862260487</v>
      </c>
      <c r="AO263">
        <f t="shared" si="168"/>
        <v>98.335543020920966</v>
      </c>
      <c r="AP263">
        <f>AO263*'Vehicle Data'!F$3</f>
        <v>25.134564796147398</v>
      </c>
      <c r="AQ263">
        <f>IF(AE263='Vehicle Data'!I$15,AP263/'Vehicle Data'!G$15,IF(AE263='Vehicle Data'!I$16,AP263/'Vehicle Data'!G$16,IF(AE263='Vehicle Data'!I$14,Data!AP263/'Vehicle Data'!G274)))</f>
        <v>4.6401597995509238</v>
      </c>
      <c r="AR263">
        <f>IF(Z263&lt;'Vehicle Data'!C$16, Z263*'Vehicle Data'!F$7*'Vehicle Data'!G$14,IF(Z263&lt;'Vehicle Data'!C$15,Z263*'Vehicle Data'!F$7*'Vehicle Data'!G$15,IF(Z263&gt;'Vehicle Data'!C$15,Z263*'Vehicle Data'!F$7*'Vehicle Data'!G$16)))</f>
        <v>97.374323719704307</v>
      </c>
      <c r="AS263">
        <f t="shared" si="151"/>
        <v>5842.4594231822584</v>
      </c>
      <c r="AT263">
        <f t="shared" si="170"/>
        <v>5</v>
      </c>
      <c r="AU263">
        <f t="shared" si="169"/>
        <v>6000</v>
      </c>
      <c r="AW263">
        <f>VLOOKUP(AT263,BSFC!A$64:A$82,1,FALSE)</f>
        <v>5</v>
      </c>
      <c r="AX263" t="e" cm="1">
        <f t="array" ref="AX263">_xlfn.XLOOKUP(AT263,BSFC!A$64:A$82,,-1,_xlfn.XLOOKUP(Data!AU263,BSFC!C$63:Q$63,BSFC!B$64:Q$82,,-1))</f>
        <v>#VALUE!</v>
      </c>
      <c r="AY263">
        <f>HLOOKUP(AU263,BSFC!F$63:Q$63,1)</f>
        <v>6000</v>
      </c>
      <c r="AZ263">
        <f>IF(AT263&gt;0,MATCH(AT263,BSFC!A$64:A$83,0),IF(AT263&lt;=0,0))</f>
        <v>18</v>
      </c>
      <c r="BA263">
        <f>MATCH(AU263,BSFC!C$63:Q$63,0)</f>
        <v>12</v>
      </c>
      <c r="BB263" cm="1">
        <f t="array" ref="BB263">IF(AZ263&gt;0,INDEX(BSFC!C$64:Q$83,Data!AZ263,Data!BA263))</f>
        <v>600</v>
      </c>
      <c r="BC263">
        <f>0.5*'Vehicle Data'!C$6*Data!Z263^2</f>
        <v>27502.05412971395</v>
      </c>
      <c r="BD263">
        <f t="shared" si="179"/>
        <v>8.8601844589240741</v>
      </c>
      <c r="BE263">
        <f t="shared" si="174"/>
        <v>5316.1106753544445</v>
      </c>
      <c r="BF263">
        <f t="shared" si="175"/>
        <v>0.24080600687492201</v>
      </c>
      <c r="BG263">
        <f t="shared" si="180"/>
        <v>71.058832824850938</v>
      </c>
      <c r="BH263">
        <f t="shared" si="171"/>
        <v>2827.4869989526278</v>
      </c>
      <c r="BI263" s="148">
        <f t="shared" si="181"/>
        <v>6871.6622130335309</v>
      </c>
      <c r="BO263">
        <f t="shared" si="182"/>
        <v>448.51904126789793</v>
      </c>
      <c r="BP263">
        <f t="shared" si="183"/>
        <v>307088.34295466897</v>
      </c>
      <c r="BQ263">
        <f t="shared" si="184"/>
        <v>403461.66970919882</v>
      </c>
      <c r="BR263" s="148">
        <f t="shared" si="185"/>
        <v>448857.38016757229</v>
      </c>
      <c r="BS263" s="156">
        <f t="shared" si="186"/>
        <v>448.51904126789793</v>
      </c>
      <c r="BT263" s="156">
        <f t="shared" si="187"/>
        <v>2827.4869989526278</v>
      </c>
      <c r="BU263">
        <f t="shared" si="188"/>
        <v>1090.0390873055535</v>
      </c>
      <c r="BV263">
        <f t="shared" si="189"/>
        <v>1090.0390873055535</v>
      </c>
      <c r="BW263" s="148">
        <f t="shared" si="190"/>
        <v>455.4</v>
      </c>
      <c r="BX263" s="148">
        <f t="shared" si="191"/>
        <v>3129354.9718154697</v>
      </c>
      <c r="BY263" s="148">
        <f t="shared" si="192"/>
        <v>0.13788994454415252</v>
      </c>
      <c r="BZ263">
        <f t="shared" si="176"/>
        <v>65.161430698817469</v>
      </c>
      <c r="CB263">
        <f t="shared" si="193"/>
        <v>641.52004603765556</v>
      </c>
      <c r="CC263" s="162">
        <f t="shared" si="177"/>
        <v>3934.0006614697604</v>
      </c>
      <c r="CD263">
        <f t="shared" si="196"/>
        <v>44663.769979347649</v>
      </c>
    </row>
    <row r="264" spans="4:82" x14ac:dyDescent="0.2">
      <c r="D264" s="22">
        <f t="shared" si="157"/>
        <v>0</v>
      </c>
      <c r="E264" s="23">
        <v>8.3017047999999996</v>
      </c>
      <c r="F264" s="23">
        <f>IF(K264&lt;6,1,IF(Data!K264&lt;9,2,IF(K264&gt;9,3)))</f>
        <v>3</v>
      </c>
      <c r="G264" s="23">
        <v>1119.9874005063298</v>
      </c>
      <c r="H264" s="23">
        <v>221.16666499999999</v>
      </c>
      <c r="I264" s="64">
        <v>34.577102062229237</v>
      </c>
      <c r="J264" s="65">
        <f t="shared" si="158"/>
        <v>-16.294258802782636</v>
      </c>
      <c r="K264" s="65">
        <f t="shared" si="159"/>
        <v>13.830840824891695</v>
      </c>
      <c r="L264" s="65">
        <f t="shared" si="160"/>
        <v>-6.5177035211130478</v>
      </c>
      <c r="M264">
        <f t="shared" si="161"/>
        <v>16.603409599999999</v>
      </c>
      <c r="N264">
        <v>0</v>
      </c>
      <c r="O264">
        <f>'Vehicle Data'!C$20</f>
        <v>0.9</v>
      </c>
      <c r="P264">
        <f>('Vehicle Data'!C$6*9.81*'Vehicle Data'!C$5*SIN(D264))/'Vehicle Data'!C$9</f>
        <v>0</v>
      </c>
      <c r="Q264" s="107">
        <f>'Vehicle Data'!C$6*9.81*SIN(D264)</f>
        <v>0</v>
      </c>
      <c r="R264">
        <f t="shared" si="163"/>
        <v>1118.2375158513685</v>
      </c>
      <c r="S264">
        <f>IF(Data!O264=0.6,'Vehicle Data'!E$21,IF(Data!O264 = 0.9,'Vehicle Data'!E$20))+(P264*O264)</f>
        <v>2325.5585999999998</v>
      </c>
      <c r="T264">
        <f>IF(F264=3,'Vehicle Data'!H$16,IF(F264=2,'Vehicle Data'!H$15,IF(F264 = 1,'Vehicle Data'!G$14)))</f>
        <v>466.23005239380637</v>
      </c>
      <c r="U264" s="148">
        <f t="shared" si="164"/>
        <v>402.0990337280524</v>
      </c>
      <c r="V264" s="70" t="s">
        <v>77</v>
      </c>
      <c r="W264" s="99" t="s">
        <v>84</v>
      </c>
      <c r="X264">
        <f>IF(V264="S",'Vehicle Data'!C$14,IF(Data!V264 = "T1",'Vehicle Data'!P$2,IF(Data!V264="T2",'Vehicle Data'!P$3)))</f>
        <v>13.411199999999999</v>
      </c>
      <c r="Z264">
        <f t="shared" si="194"/>
        <v>11.267015043431313</v>
      </c>
      <c r="AB264" t="b">
        <f>IF(AA264=1,'Vehicle Data'!I$14,IF(AA264=2,'Vehicle Data'!I$15,IF(AA264=3,'Vehicle Data'!I$16)))</f>
        <v>0</v>
      </c>
      <c r="AC264">
        <f>IF(Z264&lt;'Vehicle Data'!C$16,'Vehicle Data'!I$15,IF(Z264&lt;'Vehicle Data'!C$15,'Vehicle Data'!I$15,IF(Z263&gt;'Vehicle Data'!C$15,'Vehicle Data'!I$16)))</f>
        <v>0.46202745420001456</v>
      </c>
      <c r="AD264">
        <f>IF(O264=0.6,'Vehicle Data'!F$21,IF(O264=0.9,'Vehicle Data'!F$20))</f>
        <v>5.2973999999999997</v>
      </c>
      <c r="AE264" s="100">
        <f t="shared" si="172"/>
        <v>0.46202745420001456</v>
      </c>
      <c r="AF264" s="158">
        <f t="shared" si="166"/>
        <v>0.15862815335102889</v>
      </c>
      <c r="AG264" s="148">
        <f t="shared" si="178"/>
        <v>0.46354002558269219</v>
      </c>
      <c r="AH264" s="148">
        <f t="shared" si="195"/>
        <v>65.320058852168501</v>
      </c>
      <c r="AJ264">
        <f>(Z264^2)*'Vehicle Data'!C$31</f>
        <v>46.65251828592352</v>
      </c>
      <c r="AK264">
        <f>IF(O264=0.6,'Vehicle Data'!C$6*'Vehicle Data'!D$21*9.81,IF(O264=0.9,'Vehicle Data'!C$6*9.81*'Vehicle Data'!D$20))</f>
        <v>55.985669999999999</v>
      </c>
      <c r="AL264">
        <f t="shared" si="167"/>
        <v>102.63818828592352</v>
      </c>
      <c r="AN264">
        <f>IF(AG264&gt;0,AG264*'Vehicle Data'!C$6)</f>
        <v>203.49407123080186</v>
      </c>
      <c r="AO264">
        <f t="shared" si="168"/>
        <v>306.13225951672541</v>
      </c>
      <c r="AP264">
        <f>AO264*'Vehicle Data'!F$3</f>
        <v>78.247405532475014</v>
      </c>
      <c r="AQ264">
        <f>IF(AE264='Vehicle Data'!I$15,AP264/'Vehicle Data'!G$15,IF(AE264='Vehicle Data'!I$16,AP264/'Vehicle Data'!G$16,IF(AE264='Vehicle Data'!I$14,Data!AP264/'Vehicle Data'!G275)))</f>
        <v>14.445464582963526</v>
      </c>
      <c r="AR264">
        <f>IF(Z264&lt;'Vehicle Data'!C$16, Z264*'Vehicle Data'!F$7*'Vehicle Data'!G$14,IF(Z264&lt;'Vehicle Data'!C$15,Z264*'Vehicle Data'!F$7*'Vehicle Data'!G$15,IF(Z264&gt;'Vehicle Data'!C$15,Z264*'Vehicle Data'!F$7*'Vehicle Data'!G$16)))</f>
        <v>98.013979986900495</v>
      </c>
      <c r="AS264">
        <f t="shared" si="151"/>
        <v>5880.8387992140297</v>
      </c>
      <c r="AT264">
        <f t="shared" si="170"/>
        <v>14</v>
      </c>
      <c r="AU264">
        <f t="shared" si="169"/>
        <v>6000</v>
      </c>
      <c r="AW264">
        <f>VLOOKUP(AT264,BSFC!A$64:A$82,1,FALSE)</f>
        <v>14</v>
      </c>
      <c r="AX264" t="e" cm="1">
        <f t="array" ref="AX264">_xlfn.XLOOKUP(AT264,BSFC!A$64:A$82,,-1,_xlfn.XLOOKUP(Data!AU264,BSFC!C$63:Q$63,BSFC!B$64:Q$82,,-1))</f>
        <v>#VALUE!</v>
      </c>
      <c r="AY264">
        <f>HLOOKUP(AU264,BSFC!F$63:Q$63,1)</f>
        <v>6000</v>
      </c>
      <c r="AZ264">
        <f>IF(AT264&gt;0,MATCH(AT264,BSFC!A$64:A$83,0),IF(AT264&lt;=0,0))</f>
        <v>9</v>
      </c>
      <c r="BA264">
        <f>MATCH(AU264,BSFC!C$63:Q$63,0)</f>
        <v>12</v>
      </c>
      <c r="BB264" cm="1">
        <f t="array" ref="BB264">IF(AZ264&gt;0,INDEX(BSFC!C$64:Q$83,Data!AZ264,Data!BA264))</f>
        <v>564.5</v>
      </c>
      <c r="BC264">
        <f>0.5*'Vehicle Data'!C$6*Data!Z264^2</f>
        <v>27864.565343565198</v>
      </c>
      <c r="BD264">
        <f t="shared" si="179"/>
        <v>8.9330961251709109</v>
      </c>
      <c r="BE264">
        <f t="shared" si="174"/>
        <v>5042.7327626589795</v>
      </c>
      <c r="BF264">
        <f t="shared" si="175"/>
        <v>0.22219982943981281</v>
      </c>
      <c r="BG264">
        <f t="shared" si="180"/>
        <v>71.281032654290755</v>
      </c>
      <c r="BH264">
        <f t="shared" si="171"/>
        <v>8860.1844589240736</v>
      </c>
      <c r="BI264" s="148">
        <f t="shared" si="181"/>
        <v>6871.6622130335309</v>
      </c>
      <c r="BO264">
        <f t="shared" si="182"/>
        <v>1367.3976629099309</v>
      </c>
      <c r="BP264">
        <f t="shared" si="183"/>
        <v>308455.74061757891</v>
      </c>
      <c r="BQ264">
        <f t="shared" si="184"/>
        <v>404829.06737210875</v>
      </c>
      <c r="BR264" s="148">
        <f t="shared" si="185"/>
        <v>449917.88798137347</v>
      </c>
      <c r="BS264" s="156">
        <f t="shared" si="186"/>
        <v>1367.3976629099309</v>
      </c>
      <c r="BT264" s="156">
        <f t="shared" si="187"/>
        <v>8860.1844589240736</v>
      </c>
      <c r="BU264">
        <f t="shared" si="188"/>
        <v>1060.5078138011545</v>
      </c>
      <c r="BV264">
        <f t="shared" si="189"/>
        <v>1060.5078138011545</v>
      </c>
      <c r="BW264" s="148">
        <f t="shared" si="190"/>
        <v>455.4</v>
      </c>
      <c r="BX264" s="148">
        <f t="shared" si="191"/>
        <v>3129354.9718154697</v>
      </c>
      <c r="BY264" s="148">
        <f t="shared" si="192"/>
        <v>0.13415423844584604</v>
      </c>
      <c r="BZ264">
        <f t="shared" si="176"/>
        <v>65.320058852168501</v>
      </c>
      <c r="CB264">
        <f t="shared" si="193"/>
        <v>-306.88984910877639</v>
      </c>
      <c r="CC264" s="162">
        <f t="shared" si="177"/>
        <v>-1934.6493206010744</v>
      </c>
      <c r="CD264">
        <f t="shared" si="196"/>
        <v>44356.880130238875</v>
      </c>
    </row>
    <row r="265" spans="4:82" x14ac:dyDescent="0.2">
      <c r="D265" s="22">
        <f t="shared" si="157"/>
        <v>0</v>
      </c>
      <c r="E265" s="23">
        <v>8.3175069154760681</v>
      </c>
      <c r="F265" s="23">
        <f>IF(K265&lt;6,1,IF(Data!K265&lt;9,2,IF(K265&gt;9,3)))</f>
        <v>3</v>
      </c>
      <c r="G265" s="23">
        <v>1121.6975334585552</v>
      </c>
      <c r="H265" s="23">
        <v>221.21666499999998</v>
      </c>
      <c r="I265" s="64">
        <v>33.762389122090383</v>
      </c>
      <c r="J265" s="65">
        <f t="shared" si="158"/>
        <v>-16.183639389133631</v>
      </c>
      <c r="K265" s="65">
        <f t="shared" si="159"/>
        <v>13.504955648836154</v>
      </c>
      <c r="L265" s="65">
        <f t="shared" si="160"/>
        <v>-6.473455755653446</v>
      </c>
      <c r="M265">
        <f t="shared" si="161"/>
        <v>16.635013830952136</v>
      </c>
      <c r="N265">
        <v>0</v>
      </c>
      <c r="O265">
        <f>'Vehicle Data'!C$20</f>
        <v>0.9</v>
      </c>
      <c r="P265">
        <f>('Vehicle Data'!C$6*9.81*'Vehicle Data'!C$5*SIN(D265))/'Vehicle Data'!C$9</f>
        <v>0</v>
      </c>
      <c r="Q265" s="107">
        <f>'Vehicle Data'!C$6*9.81*SIN(D265)</f>
        <v>0</v>
      </c>
      <c r="R265">
        <f t="shared" si="163"/>
        <v>1119.9874005063298</v>
      </c>
      <c r="S265">
        <f>IF(Data!O265=0.6,'Vehicle Data'!E$21,IF(Data!O265 = 0.9,'Vehicle Data'!E$20))+(P265*O265)</f>
        <v>2325.5585999999998</v>
      </c>
      <c r="T265">
        <f>IF(F265=3,'Vehicle Data'!H$16,IF(F265=2,'Vehicle Data'!H$15,IF(F265 = 1,'Vehicle Data'!G$14)))</f>
        <v>466.23005239380637</v>
      </c>
      <c r="U265" s="148">
        <f t="shared" si="164"/>
        <v>403.84891838301371</v>
      </c>
      <c r="V265" s="70" t="s">
        <v>77</v>
      </c>
      <c r="W265" s="99" t="s">
        <v>84</v>
      </c>
      <c r="X265">
        <f>IF(V265="S",'Vehicle Data'!C$14,IF(Data!V265 = "T1",'Vehicle Data'!P$2,IF(Data!V265="T2",'Vehicle Data'!P$3)))</f>
        <v>13.411199999999999</v>
      </c>
      <c r="Z265">
        <f t="shared" si="194"/>
        <v>11.338545651601814</v>
      </c>
      <c r="AB265" t="b">
        <f>IF(AA265=1,'Vehicle Data'!I$14,IF(AA265=2,'Vehicle Data'!I$15,IF(AA265=3,'Vehicle Data'!I$16)))</f>
        <v>0</v>
      </c>
      <c r="AC265">
        <f>IF(Z265&lt;'Vehicle Data'!C$16,'Vehicle Data'!I$15,IF(Z265&lt;'Vehicle Data'!C$15,'Vehicle Data'!I$15,IF(Z264&gt;'Vehicle Data'!C$15,'Vehicle Data'!I$16)))</f>
        <v>0.46202745420001456</v>
      </c>
      <c r="AD265">
        <f>IF(O265=0.6,'Vehicle Data'!F$21,IF(O265=0.9,'Vehicle Data'!F$20))</f>
        <v>5.2973999999999997</v>
      </c>
      <c r="AE265" s="100">
        <f t="shared" si="172"/>
        <v>0.46202745420001456</v>
      </c>
      <c r="AF265" s="158">
        <f t="shared" si="166"/>
        <v>0.15433060894490444</v>
      </c>
      <c r="AG265" s="148">
        <f t="shared" si="178"/>
        <v>0.46348944424911731</v>
      </c>
      <c r="AH265" s="148">
        <f t="shared" si="195"/>
        <v>65.474389461113404</v>
      </c>
      <c r="AJ265">
        <f>(Z265^2)*'Vehicle Data'!C$31</f>
        <v>47.246761928845984</v>
      </c>
      <c r="AK265">
        <f>IF(O265=0.6,'Vehicle Data'!C$6*'Vehicle Data'!D$21*9.81,IF(O265=0.9,'Vehicle Data'!C$6*9.81*'Vehicle Data'!D$20))</f>
        <v>55.985669999999999</v>
      </c>
      <c r="AL265">
        <f t="shared" si="167"/>
        <v>103.23243192884598</v>
      </c>
      <c r="AN265">
        <f>IF(AG265&gt;0,AG265*'Vehicle Data'!C$6)</f>
        <v>203.47186602536249</v>
      </c>
      <c r="AO265">
        <f t="shared" si="168"/>
        <v>306.70429795420847</v>
      </c>
      <c r="AP265">
        <f>AO265*'Vehicle Data'!F$3</f>
        <v>78.393618557095678</v>
      </c>
      <c r="AQ265">
        <f>IF(AE265='Vehicle Data'!I$15,AP265/'Vehicle Data'!G$15,IF(AE265='Vehicle Data'!I$16,AP265/'Vehicle Data'!G$16,IF(AE265='Vehicle Data'!I$14,Data!AP265/'Vehicle Data'!G276)))</f>
        <v>14.472457363802109</v>
      </c>
      <c r="AR265">
        <f>IF(Z265&lt;'Vehicle Data'!C$16, Z265*'Vehicle Data'!F$7*'Vehicle Data'!G$14,IF(Z265&lt;'Vehicle Data'!C$15,Z265*'Vehicle Data'!F$7*'Vehicle Data'!G$15,IF(Z265&gt;'Vehicle Data'!C$15,Z265*'Vehicle Data'!F$7*'Vehicle Data'!G$16)))</f>
        <v>98.636238816825625</v>
      </c>
      <c r="AS265">
        <f t="shared" si="151"/>
        <v>5918.1743290095374</v>
      </c>
      <c r="AT265">
        <f t="shared" si="170"/>
        <v>14</v>
      </c>
      <c r="AU265">
        <f t="shared" si="169"/>
        <v>6000</v>
      </c>
      <c r="AW265">
        <f>VLOOKUP(AT265,BSFC!A$64:A$82,1,FALSE)</f>
        <v>14</v>
      </c>
      <c r="AX265" t="e" cm="1">
        <f t="array" ref="AX265">_xlfn.XLOOKUP(AT265,BSFC!A$64:A$82,,-1,_xlfn.XLOOKUP(Data!AU265,BSFC!C$63:Q$63,BSFC!B$64:Q$82,,-1))</f>
        <v>#VALUE!</v>
      </c>
      <c r="AY265">
        <f>HLOOKUP(AU265,BSFC!F$63:Q$63,1)</f>
        <v>6000</v>
      </c>
      <c r="AZ265">
        <f>IF(AT265&gt;0,MATCH(AT265,BSFC!A$64:A$83,0),IF(AT265&lt;=0,0))</f>
        <v>9</v>
      </c>
      <c r="BA265">
        <f>MATCH(AU265,BSFC!C$63:Q$63,0)</f>
        <v>12</v>
      </c>
      <c r="BB265" cm="1">
        <f t="array" ref="BB265">IF(AZ265&gt;0,INDEX(BSFC!C$64:Q$83,Data!AZ265,Data!BA265))</f>
        <v>564.5</v>
      </c>
      <c r="BC265">
        <f>0.5*'Vehicle Data'!C$6*Data!Z265^2</f>
        <v>28219.494539814124</v>
      </c>
      <c r="BD265">
        <f t="shared" si="179"/>
        <v>9.3025482557870713</v>
      </c>
      <c r="BE265">
        <f t="shared" si="174"/>
        <v>5251.288490391802</v>
      </c>
      <c r="BF265">
        <f t="shared" si="175"/>
        <v>0.22512070846320409</v>
      </c>
      <c r="BG265">
        <f t="shared" si="180"/>
        <v>71.506153362753963</v>
      </c>
      <c r="BH265">
        <f t="shared" si="171"/>
        <v>8933.0961251709105</v>
      </c>
      <c r="BI265" s="148">
        <f t="shared" si="181"/>
        <v>6871.6622130335309</v>
      </c>
      <c r="BO265">
        <f t="shared" si="182"/>
        <v>1339.1267506107586</v>
      </c>
      <c r="BP265">
        <f t="shared" si="183"/>
        <v>309794.86736818968</v>
      </c>
      <c r="BQ265">
        <f t="shared" si="184"/>
        <v>406168.19412271952</v>
      </c>
      <c r="BR265" s="148">
        <f t="shared" si="185"/>
        <v>450947.992948531</v>
      </c>
      <c r="BS265" s="156">
        <f t="shared" si="186"/>
        <v>1339.1267506107586</v>
      </c>
      <c r="BT265" s="156">
        <f t="shared" si="187"/>
        <v>8933.0961251709105</v>
      </c>
      <c r="BU265">
        <f t="shared" si="188"/>
        <v>1030.1049671575397</v>
      </c>
      <c r="BV265">
        <f t="shared" si="189"/>
        <v>1030.1049671575397</v>
      </c>
      <c r="BW265" s="148">
        <f t="shared" si="190"/>
        <v>455.4</v>
      </c>
      <c r="BX265" s="148">
        <f t="shared" si="191"/>
        <v>3129354.9718154697</v>
      </c>
      <c r="BY265" s="148">
        <f t="shared" si="192"/>
        <v>0.13030827834542877</v>
      </c>
      <c r="BZ265">
        <f t="shared" si="176"/>
        <v>65.474389461113404</v>
      </c>
      <c r="CB265">
        <f t="shared" si="193"/>
        <v>-309.02178345321886</v>
      </c>
      <c r="CC265" s="162">
        <f t="shared" si="177"/>
        <v>-2002.3363191908425</v>
      </c>
      <c r="CD265">
        <f t="shared" si="196"/>
        <v>44047.858346785659</v>
      </c>
    </row>
    <row r="266" spans="4:82" x14ac:dyDescent="0.2">
      <c r="D266" s="22">
        <f t="shared" si="157"/>
        <v>2.3640901921193011E-3</v>
      </c>
      <c r="E266" s="23">
        <v>8.6017071999999999</v>
      </c>
      <c r="F266" s="23">
        <f>IF(K266&lt;6,1,IF(Data!K266&lt;9,2,IF(K266&gt;9,3)))</f>
        <v>3</v>
      </c>
      <c r="G266" s="23">
        <v>1123.3660875459377</v>
      </c>
      <c r="H266" s="23">
        <v>221.26666499999999</v>
      </c>
      <c r="I266" s="64">
        <v>32.953207152633517</v>
      </c>
      <c r="J266" s="65">
        <f t="shared" si="158"/>
        <v>-1.7259380906490898</v>
      </c>
      <c r="K266" s="65">
        <f t="shared" si="159"/>
        <v>13.181282861053408</v>
      </c>
      <c r="L266" s="65">
        <f t="shared" si="160"/>
        <v>-0.69037523625963693</v>
      </c>
      <c r="M266">
        <f t="shared" si="161"/>
        <v>17.2034144</v>
      </c>
      <c r="N266">
        <f t="shared" ref="N266:N267" si="197">E267-E266</f>
        <v>9.9998400000000487E-2</v>
      </c>
      <c r="O266">
        <f>'Vehicle Data'!C$20</f>
        <v>0.9</v>
      </c>
      <c r="P266">
        <f>('Vehicle Data'!C$6*9.81*'Vehicle Data'!C$5*SIN(D266))/'Vehicle Data'!C$9</f>
        <v>1.5744058294107366</v>
      </c>
      <c r="Q266" s="107">
        <f>'Vehicle Data'!C$6*9.81*SIN(D266)</f>
        <v>10.181157696856097</v>
      </c>
      <c r="R266">
        <f t="shared" si="163"/>
        <v>1121.6975334585552</v>
      </c>
      <c r="S266">
        <f>IF(Data!O266=0.6,'Vehicle Data'!E$21,IF(Data!O266 = 0.9,'Vehicle Data'!E$20))+(P266*O266)</f>
        <v>2326.9755652464696</v>
      </c>
      <c r="T266">
        <f>IF(F266=3,'Vehicle Data'!H$16,IF(F266=2,'Vehicle Data'!H$15,IF(F266 = 1,'Vehicle Data'!G$14)))</f>
        <v>466.23005239380637</v>
      </c>
      <c r="U266" s="148">
        <f t="shared" si="164"/>
        <v>405.55905133523913</v>
      </c>
      <c r="V266" s="70" t="s">
        <v>77</v>
      </c>
      <c r="W266" s="99" t="s">
        <v>84</v>
      </c>
      <c r="X266">
        <f>IF(V266="S",'Vehicle Data'!C$14,IF(Data!V266 = "T1",'Vehicle Data'!P$2,IF(Data!V266="T2",'Vehicle Data'!P$3)))</f>
        <v>13.411199999999999</v>
      </c>
      <c r="Z266">
        <f>SQRT(Z265^2+2*AE265*(U266-U265))</f>
        <v>11.408017980437222</v>
      </c>
      <c r="AB266" t="b">
        <f>IF(AA266=1,'Vehicle Data'!I$14,IF(AA266=2,'Vehicle Data'!I$15,IF(AA266=3,'Vehicle Data'!I$16)))</f>
        <v>0</v>
      </c>
      <c r="AC266">
        <f>IF(Z266&lt;'Vehicle Data'!C$16,'Vehicle Data'!I$15,IF(Z266&lt;'Vehicle Data'!C$15,'Vehicle Data'!I$15,IF(Z265&gt;'Vehicle Data'!C$15,'Vehicle Data'!I$16)))</f>
        <v>0.46202745420001456</v>
      </c>
      <c r="AD266">
        <f>IF(O266=0.6,'Vehicle Data'!F$21,IF(O266=0.9,'Vehicle Data'!F$20))</f>
        <v>5.2973999999999997</v>
      </c>
      <c r="AE266" s="100">
        <f t="shared" si="172"/>
        <v>0.46202745420001456</v>
      </c>
      <c r="AF266" s="158">
        <f t="shared" si="166"/>
        <v>0.14990622868564935</v>
      </c>
      <c r="AG266" s="148">
        <f t="shared" si="178"/>
        <v>0.46343857386400006</v>
      </c>
      <c r="AH266" s="148">
        <f t="shared" si="195"/>
        <v>65.624295689799055</v>
      </c>
      <c r="AJ266">
        <f>(Z266^2)*'Vehicle Data'!C$31</f>
        <v>47.827506283927278</v>
      </c>
      <c r="AK266">
        <f>IF(O266=0.6,'Vehicle Data'!C$6*'Vehicle Data'!D$21*9.81,IF(O266=0.9,'Vehicle Data'!C$6*9.81*'Vehicle Data'!D$20))</f>
        <v>55.985669999999999</v>
      </c>
      <c r="AL266">
        <f t="shared" si="167"/>
        <v>113.99433398078338</v>
      </c>
      <c r="AN266">
        <f>IF(AG266&gt;0,AG266*'Vehicle Data'!C$6)</f>
        <v>203.44953392629603</v>
      </c>
      <c r="AO266">
        <f t="shared" si="168"/>
        <v>317.44386790707938</v>
      </c>
      <c r="AP266">
        <f>AO266*'Vehicle Data'!F$3</f>
        <v>81.138652637049489</v>
      </c>
      <c r="AQ266">
        <f>IF(AE266='Vehicle Data'!I$15,AP266/'Vehicle Data'!G$15,IF(AE266='Vehicle Data'!I$16,AP266/'Vehicle Data'!G$16,IF(AE266='Vehicle Data'!I$14,Data!AP266/'Vehicle Data'!G277)))</f>
        <v>14.979225509163086</v>
      </c>
      <c r="AR266">
        <f>IF(Z266&lt;'Vehicle Data'!C$16, Z266*'Vehicle Data'!F$7*'Vehicle Data'!G$14,IF(Z266&lt;'Vehicle Data'!C$15,Z266*'Vehicle Data'!F$7*'Vehicle Data'!G$15,IF(Z266&gt;'Vehicle Data'!C$15,Z266*'Vehicle Data'!F$7*'Vehicle Data'!G$16)))</f>
        <v>99.240592269969071</v>
      </c>
      <c r="AS266">
        <f t="shared" si="151"/>
        <v>5954.4355361981443</v>
      </c>
      <c r="AT266">
        <f t="shared" si="170"/>
        <v>15</v>
      </c>
      <c r="AU266">
        <f t="shared" si="169"/>
        <v>6000</v>
      </c>
      <c r="AW266">
        <f>VLOOKUP(AT266,BSFC!A$64:A$82,1,FALSE)</f>
        <v>15</v>
      </c>
      <c r="AX266" t="e" cm="1">
        <f t="array" ref="AX266">_xlfn.XLOOKUP(AT266,BSFC!A$64:A$82,,-1,_xlfn.XLOOKUP(Data!AU266,BSFC!C$63:Q$63,BSFC!B$64:Q$82,,-1))</f>
        <v>#VALUE!</v>
      </c>
      <c r="AY266">
        <f>HLOOKUP(AU266,BSFC!F$63:Q$63,1)</f>
        <v>6000</v>
      </c>
      <c r="AZ266">
        <f>IF(AT266&gt;0,MATCH(AT266,BSFC!A$64:A$83,0),IF(AT266&lt;=0,0))</f>
        <v>8</v>
      </c>
      <c r="BA266">
        <f>MATCH(AU266,BSFC!C$63:Q$63,0)</f>
        <v>12</v>
      </c>
      <c r="BB266" cm="1">
        <f t="array" ref="BB266">IF(AZ266&gt;0,INDEX(BSFC!C$64:Q$83,Data!AZ266,Data!BA266))</f>
        <v>572.6</v>
      </c>
      <c r="BC266">
        <f>0.5*'Vehicle Data'!C$6*Data!Z266^2</f>
        <v>28566.36089611438</v>
      </c>
      <c r="BD266">
        <f t="shared" si="179"/>
        <v>8.373335783064995</v>
      </c>
      <c r="BE266">
        <f t="shared" si="174"/>
        <v>4794.5720693830162</v>
      </c>
      <c r="BF266">
        <f t="shared" si="175"/>
        <v>0.19964894918965484</v>
      </c>
      <c r="BG266">
        <f t="shared" si="180"/>
        <v>71.705802311943614</v>
      </c>
      <c r="BH266">
        <f t="shared" si="171"/>
        <v>9302.548255787071</v>
      </c>
      <c r="BI266" s="148">
        <f t="shared" si="181"/>
        <v>6871.6622130335309</v>
      </c>
      <c r="BO266">
        <f t="shared" si="182"/>
        <v>1352.6160772793085</v>
      </c>
      <c r="BP266">
        <f t="shared" si="183"/>
        <v>311147.483445469</v>
      </c>
      <c r="BQ266">
        <f t="shared" si="184"/>
        <v>407520.81019999884</v>
      </c>
      <c r="BR266" s="148">
        <f t="shared" si="185"/>
        <v>451947.15151577623</v>
      </c>
      <c r="BS266" s="156">
        <f t="shared" si="186"/>
        <v>1352.6160772793085</v>
      </c>
      <c r="BT266" s="156">
        <f t="shared" si="187"/>
        <v>9302.548255787071</v>
      </c>
      <c r="BU266">
        <f t="shared" si="188"/>
        <v>999.15856724523462</v>
      </c>
      <c r="BV266">
        <f t="shared" si="189"/>
        <v>999.15856724523462</v>
      </c>
      <c r="BW266" s="148">
        <f t="shared" si="190"/>
        <v>455.4</v>
      </c>
      <c r="BX266" s="148">
        <f t="shared" si="191"/>
        <v>3129354.9718154697</v>
      </c>
      <c r="BY266" s="148">
        <f t="shared" si="192"/>
        <v>0.12639355875652217</v>
      </c>
      <c r="BZ266">
        <f t="shared" si="176"/>
        <v>65.624295689799055</v>
      </c>
      <c r="CB266">
        <f t="shared" si="193"/>
        <v>-353.45751003407383</v>
      </c>
      <c r="CC266" s="162">
        <f t="shared" si="177"/>
        <v>-2357.8573961410439</v>
      </c>
      <c r="CD266">
        <f t="shared" si="196"/>
        <v>43694.400836751585</v>
      </c>
    </row>
    <row r="267" spans="4:82" x14ac:dyDescent="0.2">
      <c r="D267" s="22">
        <f t="shared" ref="D267" si="198">ASIN((N267)/(G268-G267))</f>
        <v>-5.5147646944787698E-3</v>
      </c>
      <c r="E267" s="23">
        <v>8.7017056000000004</v>
      </c>
      <c r="F267" s="23">
        <f>IF(K267&lt;6,1,IF(Data!K267&lt;9,2,IF(K267&gt;9,3)))</f>
        <v>3</v>
      </c>
      <c r="G267" s="23">
        <v>1165.6650207594942</v>
      </c>
      <c r="H267" s="23">
        <v>222.66666499999999</v>
      </c>
      <c r="I267" s="64">
        <v>30.536893825724782</v>
      </c>
      <c r="J267" s="65">
        <f t="shared" ref="J267" si="199">(I268-I267)/(H268-H267)</f>
        <v>-4.523216274833298</v>
      </c>
      <c r="K267" s="65">
        <f t="shared" ref="K267" si="200">I267/2.5</f>
        <v>12.214757530289912</v>
      </c>
      <c r="L267" s="65">
        <f t="shared" ref="L267" si="201">(K268-K267)/(H268-H267)</f>
        <v>-1.8092865099333189</v>
      </c>
      <c r="M267">
        <f t="shared" ref="M267" si="202">2*E267</f>
        <v>17.403411200000001</v>
      </c>
      <c r="N267">
        <f t="shared" si="197"/>
        <v>-0.20000400000000162</v>
      </c>
      <c r="O267">
        <f>'Vehicle Data'!C$20</f>
        <v>0.9</v>
      </c>
      <c r="P267">
        <f>('Vehicle Data'!C$6*9.81*'Vehicle Data'!C$5*SIN(D267))/'Vehicle Data'!C$9</f>
        <v>-3.6726355829863877</v>
      </c>
      <c r="Q267" s="107">
        <f>'Vehicle Data'!C$6*9.81*SIN(D267)</f>
        <v>-23.749710103311973</v>
      </c>
      <c r="R267">
        <f t="shared" ref="R267" si="203">G266</f>
        <v>1123.3660875459377</v>
      </c>
      <c r="S267">
        <f>IF(Data!O267=0.6,'Vehicle Data'!E$21,IF(Data!O267 = 0.9,'Vehicle Data'!E$20))+(P267*O267)</f>
        <v>2322.2532279753123</v>
      </c>
      <c r="T267">
        <f>IF(F267=3,'Vehicle Data'!H$16,IF(F267=2,'Vehicle Data'!H$15,IF(F267 = 1,'Vehicle Data'!G$14)))</f>
        <v>466.23005239380637</v>
      </c>
      <c r="U267" s="148">
        <f t="shared" ref="U267" si="204">R267-R$2</f>
        <v>407.22760542262165</v>
      </c>
      <c r="V267" s="70" t="s">
        <v>77</v>
      </c>
      <c r="W267" s="99" t="s">
        <v>84</v>
      </c>
      <c r="X267">
        <f>IF(V267="S",'Vehicle Data'!C$14,IF(Data!V267 = "T1",'Vehicle Data'!P$2,IF(Data!V267="T2",'Vehicle Data'!P$3)))</f>
        <v>13.411199999999999</v>
      </c>
      <c r="Z267">
        <f t="shared" ref="Z267" si="205">SQRT(Z266^2+2*AE266*(U267-U266))</f>
        <v>11.475395846608329</v>
      </c>
      <c r="AB267" t="b">
        <f>IF(AA267=1,'Vehicle Data'!I$14,IF(AA267=2,'Vehicle Data'!I$15,IF(AA267=3,'Vehicle Data'!I$16)))</f>
        <v>0</v>
      </c>
      <c r="AC267">
        <f>IF(Z267&lt;'Vehicle Data'!C$16,'Vehicle Data'!I$15,IF(Z267&lt;'Vehicle Data'!C$15,'Vehicle Data'!I$15,IF(Z266&gt;'Vehicle Data'!C$15,'Vehicle Data'!I$16)))</f>
        <v>0.46202745420001456</v>
      </c>
      <c r="AD267">
        <f>IF(O267=0.6,'Vehicle Data'!F$21,IF(O267=0.9,'Vehicle Data'!F$20))</f>
        <v>5.2973999999999997</v>
      </c>
      <c r="AE267" s="100">
        <f t="shared" si="172"/>
        <v>0.46202745420001456</v>
      </c>
      <c r="AF267" s="158">
        <f t="shared" ref="AF267" si="206">(U267-U266)/Z267</f>
        <v>0.14540274772967207</v>
      </c>
      <c r="AG267" s="148">
        <f t="shared" si="178"/>
        <v>0.46338784667517796</v>
      </c>
      <c r="AH267" s="148">
        <f t="shared" si="195"/>
        <v>65.769698437528731</v>
      </c>
      <c r="AJ267">
        <f>(Z267^2)*'Vehicle Data'!C$31</f>
        <v>48.394130864860735</v>
      </c>
      <c r="AK267">
        <f>IF(O267=0.6,'Vehicle Data'!C$6*'Vehicle Data'!D$21*9.81,IF(O267=0.9,'Vehicle Data'!C$6*9.81*'Vehicle Data'!D$20))</f>
        <v>55.985669999999999</v>
      </c>
      <c r="AL267">
        <f t="shared" ref="AL267" si="207">AJ267+AK267+Q267</f>
        <v>80.630090761548757</v>
      </c>
      <c r="AN267">
        <f>IF(AG267&gt;0,AG267*'Vehicle Data'!C$6)</f>
        <v>203.42726469040312</v>
      </c>
      <c r="AO267">
        <f t="shared" ref="AO267" si="208">AN267+AL267</f>
        <v>284.05735545195188</v>
      </c>
      <c r="AP267">
        <f>AO267*'Vehicle Data'!F$3</f>
        <v>72.605060053518898</v>
      </c>
      <c r="AQ267">
        <f>IF(AE267='Vehicle Data'!I$15,AP267/'Vehicle Data'!G$15,IF(AE267='Vehicle Data'!I$16,AP267/'Vehicle Data'!G$16,IF(AE267='Vehicle Data'!I$14,Data!AP267/'Vehicle Data'!G278)))</f>
        <v>13.403815965652152</v>
      </c>
      <c r="AR267">
        <f>IF(Z267&lt;'Vehicle Data'!C$16, Z267*'Vehicle Data'!F$7*'Vehicle Data'!G$14,IF(Z267&lt;'Vehicle Data'!C$15,Z267*'Vehicle Data'!F$7*'Vehicle Data'!G$15,IF(Z267&gt;'Vehicle Data'!C$15,Z267*'Vehicle Data'!F$7*'Vehicle Data'!G$16)))</f>
        <v>99.826725580433148</v>
      </c>
      <c r="AS267">
        <f t="shared" si="151"/>
        <v>5989.6035348259893</v>
      </c>
      <c r="AT267">
        <f t="shared" ref="AT267" si="209">ROUND(AQ267,0)</f>
        <v>13</v>
      </c>
      <c r="AU267">
        <f t="shared" ref="AU267" si="210">MROUND(AS267,500)</f>
        <v>6000</v>
      </c>
      <c r="AW267">
        <f>VLOOKUP(AT267,BSFC!A$64:A$82,1,FALSE)</f>
        <v>13</v>
      </c>
      <c r="AX267" t="e" cm="1">
        <f t="array" ref="AX267">_xlfn.XLOOKUP(AT267,BSFC!A$64:A$82,,-1,_xlfn.XLOOKUP(Data!AU267,BSFC!C$63:Q$63,BSFC!B$64:Q$82,,-1))</f>
        <v>#VALUE!</v>
      </c>
      <c r="AY267">
        <f>HLOOKUP(AU267,BSFC!F$63:Q$63,1)</f>
        <v>6000</v>
      </c>
      <c r="AZ267">
        <f>IF(AT267&gt;0,MATCH(AT267,BSFC!A$64:A$83,0),IF(AT267&lt;=0,0))</f>
        <v>10</v>
      </c>
      <c r="BA267">
        <f>MATCH(AU267,BSFC!C$63:Q$63,0)</f>
        <v>12</v>
      </c>
      <c r="BB267" cm="1">
        <f t="array" ref="BB267">IF(AZ267&gt;0,INDEX(BSFC!C$64:Q$83,Data!AZ267,Data!BA267))</f>
        <v>556</v>
      </c>
      <c r="BC267">
        <f>0.5*'Vehicle Data'!C$6*Data!Z267^2</f>
        <v>28904.793809080074</v>
      </c>
      <c r="BD267">
        <f t="shared" si="179"/>
        <v>8.2023734830392776</v>
      </c>
      <c r="BE267">
        <f t="shared" si="174"/>
        <v>4560.5196565698379</v>
      </c>
      <c r="BF267">
        <f t="shared" si="175"/>
        <v>0.18419780253900969</v>
      </c>
      <c r="BG267">
        <f t="shared" si="180"/>
        <v>71.890000114482618</v>
      </c>
      <c r="BH267">
        <f t="shared" si="171"/>
        <v>8373.3357830649948</v>
      </c>
      <c r="BI267" s="148">
        <f t="shared" si="181"/>
        <v>6871.6622130335309</v>
      </c>
      <c r="BO267">
        <f t="shared" si="182"/>
        <v>31623.497416298978</v>
      </c>
      <c r="BP267">
        <f t="shared" si="183"/>
        <v>342770.98086176795</v>
      </c>
      <c r="BQ267">
        <f t="shared" si="184"/>
        <v>439144.3076162978</v>
      </c>
      <c r="BR267" s="148">
        <f t="shared" si="185"/>
        <v>477899.29267784988</v>
      </c>
      <c r="BS267" s="156">
        <f t="shared" si="186"/>
        <v>31623.497416298978</v>
      </c>
      <c r="BT267" s="156">
        <f t="shared" si="187"/>
        <v>8373.3357830649948</v>
      </c>
      <c r="BU267">
        <f t="shared" si="188"/>
        <v>25952.14116207364</v>
      </c>
      <c r="BV267">
        <f t="shared" si="189"/>
        <v>25952.14116207364</v>
      </c>
      <c r="BW267" s="148">
        <f t="shared" si="190"/>
        <v>455.4</v>
      </c>
      <c r="BX267" s="148">
        <f t="shared" si="191"/>
        <v>3129354.9718154697</v>
      </c>
      <c r="BY267" s="148">
        <f t="shared" si="192"/>
        <v>3.2829458570023151</v>
      </c>
      <c r="BZ267">
        <f t="shared" si="176"/>
        <v>65.769698437528731</v>
      </c>
      <c r="CB267">
        <f t="shared" si="193"/>
        <v>-5671.3562542253385</v>
      </c>
      <c r="CC267" s="162">
        <f t="shared" si="177"/>
        <v>-39004.46410248844</v>
      </c>
      <c r="CD267">
        <f t="shared" si="196"/>
        <v>38023.044582526243</v>
      </c>
    </row>
    <row r="268" spans="4:82" x14ac:dyDescent="0.2">
      <c r="D268" s="22">
        <f t="shared" ref="D268:D322" si="211">ASIN((N268)/(G269-G268))</f>
        <v>0</v>
      </c>
      <c r="E268" s="23">
        <v>8.5017015999999987</v>
      </c>
      <c r="F268" s="23">
        <f>IF(K268&lt;6,1,IF(Data!K268&lt;9,2,IF(K268&gt;9,3)))</f>
        <v>3</v>
      </c>
      <c r="G268" s="23">
        <v>1201.932209816252</v>
      </c>
      <c r="H268" s="23">
        <v>224.16666499999999</v>
      </c>
      <c r="I268" s="64">
        <v>23.752069413474835</v>
      </c>
      <c r="J268" s="65">
        <f t="shared" ref="J268:J322" si="212">(I269-I268)/(H269-H268)</f>
        <v>-3.5365055843215014</v>
      </c>
      <c r="K268" s="65">
        <f t="shared" ref="K268:K322" si="213">I268/2.5</f>
        <v>9.5008277653899338</v>
      </c>
      <c r="L268" s="65">
        <f t="shared" ref="L268:L322" si="214">(K269-K268)/(H269-H268)</f>
        <v>-1.4146022337285864</v>
      </c>
      <c r="M268">
        <f t="shared" ref="M268:M322" si="215">2*E268</f>
        <v>17.003403199999997</v>
      </c>
      <c r="N268">
        <f t="shared" ref="N268:N322" si="216">E269-E268</f>
        <v>0</v>
      </c>
      <c r="O268">
        <f>'Vehicle Data'!C$20</f>
        <v>0.9</v>
      </c>
      <c r="P268">
        <f>('Vehicle Data'!C$6*9.81*'Vehicle Data'!C$5*SIN(D268))/'Vehicle Data'!C$9</f>
        <v>0</v>
      </c>
      <c r="Q268" s="107">
        <f>'Vehicle Data'!C$6*9.81*SIN(D268)</f>
        <v>0</v>
      </c>
      <c r="R268">
        <f t="shared" ref="R268:R321" si="217">G267</f>
        <v>1165.6650207594942</v>
      </c>
      <c r="S268">
        <f>IF(Data!O268=0.6,'Vehicle Data'!E$21,IF(Data!O268 = 0.9,'Vehicle Data'!E$20))+(P268*O268)</f>
        <v>2325.5585999999998</v>
      </c>
      <c r="T268">
        <f>IF(F268=3,'Vehicle Data'!H$16,IF(F268=2,'Vehicle Data'!H$15,IF(F268 = 1,'Vehicle Data'!G$14)))</f>
        <v>466.23005239380637</v>
      </c>
      <c r="U268" s="148">
        <f t="shared" ref="U268:U322" si="218">R268-R$2</f>
        <v>449.52653863617809</v>
      </c>
      <c r="V268" s="70" t="s">
        <v>77</v>
      </c>
      <c r="W268" s="99" t="s">
        <v>84</v>
      </c>
      <c r="X268">
        <f>IF(V268="S",'Vehicle Data'!C$14,IF(Data!V268 = "T1",'Vehicle Data'!P$2,IF(Data!V268="T2",'Vehicle Data'!P$3)))</f>
        <v>13.411199999999999</v>
      </c>
      <c r="Z268">
        <v>11.2</v>
      </c>
      <c r="AB268" t="b">
        <f>IF(AA268=1,'Vehicle Data'!I$14,IF(AA268=2,'Vehicle Data'!I$15,IF(AA268=3,'Vehicle Data'!I$16)))</f>
        <v>0</v>
      </c>
      <c r="AC268">
        <f>IF(Z268&lt;'Vehicle Data'!C$16,'Vehicle Data'!I$15,IF(Z268&lt;'Vehicle Data'!C$15,'Vehicle Data'!I$15,IF(Z267&gt;'Vehicle Data'!C$15,'Vehicle Data'!I$16)))</f>
        <v>0.46202745420001456</v>
      </c>
      <c r="AD268">
        <f>IF(O268=0.6,'Vehicle Data'!F$21,IF(O268=0.9,'Vehicle Data'!F$20))</f>
        <v>5.2973999999999997</v>
      </c>
      <c r="AE268" s="100">
        <f t="shared" ref="AE268:AE322" si="219">IF(W268="a",AC268,IF(W268="b",AD268*-1))</f>
        <v>0.46202745420001456</v>
      </c>
      <c r="AF268" s="158">
        <f t="shared" ref="AF268:AF324" si="220">(U268-U267)/Z268</f>
        <v>3.7766904654961109</v>
      </c>
      <c r="AG268" s="148">
        <f t="shared" si="178"/>
        <v>-7.2919888226040619E-2</v>
      </c>
      <c r="AH268" s="148">
        <f t="shared" si="195"/>
        <v>69.546388903024848</v>
      </c>
      <c r="AJ268">
        <f>(Z268^2)*'Vehicle Data'!C$31</f>
        <v>46.09920000000001</v>
      </c>
      <c r="AK268">
        <f>IF(O268=0.6,'Vehicle Data'!C$6*'Vehicle Data'!D$21*9.81,IF(O268=0.9,'Vehicle Data'!C$6*9.81*'Vehicle Data'!D$20))</f>
        <v>55.985669999999999</v>
      </c>
      <c r="AL268">
        <f t="shared" ref="AL268:AL322" si="221">AJ268+AK268+Q268</f>
        <v>102.08487000000001</v>
      </c>
      <c r="AN268">
        <f>IF(AG268&lt;0,AG268*'Vehicle Data'!C$6)</f>
        <v>-32.011830931231835</v>
      </c>
      <c r="AO268">
        <f t="shared" ref="AO268:AO323" si="222">AN268+AL268</f>
        <v>70.073039068768168</v>
      </c>
      <c r="AP268">
        <f>AO268*'Vehicle Data'!F$3</f>
        <v>17.910668785977144</v>
      </c>
      <c r="AQ268">
        <v>13.452999999999999</v>
      </c>
      <c r="AR268">
        <f>IF(Z268&lt;'Vehicle Data'!C$16, Z268*'Vehicle Data'!F$7*'Vehicle Data'!G$14,IF(Z268&lt;'Vehicle Data'!C$15,Z268*'Vehicle Data'!F$7*'Vehicle Data'!G$15,IF(Z268&gt;'Vehicle Data'!C$15,Z268*'Vehicle Data'!F$7*'Vehicle Data'!G$16)))</f>
        <v>97.431002942813976</v>
      </c>
      <c r="AS268">
        <f t="shared" ref="AS268:AS324" si="223">AR268*60</f>
        <v>5845.8601765688381</v>
      </c>
      <c r="AT268">
        <f t="shared" ref="AT268:AT324" si="224">ROUND(AQ268,0)</f>
        <v>13</v>
      </c>
      <c r="AU268">
        <f t="shared" ref="AU268:AU324" si="225">MROUND(AS268,500)</f>
        <v>6000</v>
      </c>
      <c r="AW268">
        <f>VLOOKUP(AT268,BSFC!A$64:A$82,1,FALSE)</f>
        <v>13</v>
      </c>
      <c r="AX268" t="e" cm="1">
        <f t="array" ref="AX268">_xlfn.XLOOKUP(AT268,BSFC!A$64:A$82,,-1,_xlfn.XLOOKUP(Data!AU268,BSFC!C$63:Q$63,BSFC!B$64:Q$82,,-1))</f>
        <v>#VALUE!</v>
      </c>
      <c r="AY268">
        <f>HLOOKUP(AU268,BSFC!F$63:Q$63,1)</f>
        <v>6000</v>
      </c>
      <c r="AZ268">
        <f>IF(AT268&gt;0,MATCH(AT268,BSFC!A$64:A$83,0),IF(AT268&lt;=0,0))</f>
        <v>10</v>
      </c>
      <c r="BA268">
        <f>MATCH(AU268,BSFC!C$63:Q$63,0)</f>
        <v>12</v>
      </c>
      <c r="BB268" cm="1">
        <f t="array" ref="BB268">IF(AZ268&gt;0,INDEX(BSFC!C$64:Q$83,Data!AZ268,Data!BA268))</f>
        <v>556</v>
      </c>
      <c r="BC268">
        <f>0.5*'Vehicle Data'!C$6*Data!Z268^2</f>
        <v>27534.079999999998</v>
      </c>
      <c r="BD268">
        <f t="shared" si="179"/>
        <v>8.2023734830392776</v>
      </c>
      <c r="BE268">
        <f t="shared" ref="BE268:BE324" si="226">BB268*BD268</f>
        <v>4560.5196565698379</v>
      </c>
      <c r="BF268">
        <f t="shared" ref="BF268:BF324" si="227">(BE268/3600)*AF268</f>
        <v>4.7843530846319178</v>
      </c>
      <c r="BG268">
        <f t="shared" si="180"/>
        <v>76.674353199114535</v>
      </c>
      <c r="BH268">
        <f t="shared" si="171"/>
        <v>8202.3734830392768</v>
      </c>
      <c r="BI268" s="148">
        <f t="shared" si="181"/>
        <v>6871.6622130335309</v>
      </c>
      <c r="BO268">
        <f t="shared" si="182"/>
        <v>26560.449091385963</v>
      </c>
      <c r="BP268">
        <f t="shared" si="183"/>
        <v>369331.42995315394</v>
      </c>
      <c r="BQ268">
        <f t="shared" si="184"/>
        <v>465704.75670768379</v>
      </c>
      <c r="BR268" s="148">
        <f t="shared" si="185"/>
        <v>500150.70987555222</v>
      </c>
      <c r="BS268" s="156">
        <f t="shared" si="186"/>
        <v>26560.449091385963</v>
      </c>
      <c r="BT268" s="156">
        <f t="shared" si="187"/>
        <v>8202.3734830392768</v>
      </c>
      <c r="BU268">
        <f t="shared" si="188"/>
        <v>22251.417197702325</v>
      </c>
      <c r="BV268">
        <f t="shared" si="189"/>
        <v>22251.417197702325</v>
      </c>
      <c r="BW268" s="148">
        <f t="shared" si="190"/>
        <v>455.4</v>
      </c>
      <c r="BX268" s="148">
        <f t="shared" si="191"/>
        <v>3129354.9718154697</v>
      </c>
      <c r="BY268" s="148">
        <f t="shared" si="192"/>
        <v>2.8148042755093439</v>
      </c>
      <c r="BZ268">
        <f t="shared" si="176"/>
        <v>69.546388903024848</v>
      </c>
      <c r="CB268">
        <f t="shared" si="193"/>
        <v>-4309.0318936836375</v>
      </c>
      <c r="CC268" s="162">
        <f t="shared" si="177"/>
        <v>-1140.9544766909012</v>
      </c>
      <c r="CD268">
        <f t="shared" si="196"/>
        <v>33714.012688842602</v>
      </c>
    </row>
    <row r="269" spans="4:82" x14ac:dyDescent="0.2">
      <c r="D269" s="22">
        <f t="shared" si="211"/>
        <v>0</v>
      </c>
      <c r="E269" s="23">
        <v>8.5017015999999987</v>
      </c>
      <c r="F269" s="23">
        <f>IF(K269&lt;6,1,IF(Data!K269&lt;9,2,IF(K269&gt;9,3)))</f>
        <v>3</v>
      </c>
      <c r="G269" s="23">
        <v>1202.9981184810131</v>
      </c>
      <c r="H269" s="23">
        <v>224.21666499999998</v>
      </c>
      <c r="I269" s="64">
        <v>23.575244134258821</v>
      </c>
      <c r="J269" s="65">
        <f t="shared" si="212"/>
        <v>-4.0746999166999105</v>
      </c>
      <c r="K269" s="65">
        <f t="shared" si="213"/>
        <v>9.4300976537035286</v>
      </c>
      <c r="L269" s="65">
        <f t="shared" si="214"/>
        <v>-1.629879966679957</v>
      </c>
      <c r="M269">
        <f t="shared" si="215"/>
        <v>17.003403199999997</v>
      </c>
      <c r="N269">
        <f t="shared" si="216"/>
        <v>0</v>
      </c>
      <c r="O269">
        <f>'Vehicle Data'!C$20</f>
        <v>0.9</v>
      </c>
      <c r="P269">
        <f>('Vehicle Data'!C$6*9.81*'Vehicle Data'!C$5*SIN(D269))/'Vehicle Data'!C$9</f>
        <v>0</v>
      </c>
      <c r="Q269" s="107">
        <f>'Vehicle Data'!C$6*9.81*SIN(D269)</f>
        <v>0</v>
      </c>
      <c r="R269">
        <f t="shared" si="217"/>
        <v>1201.932209816252</v>
      </c>
      <c r="S269">
        <f>IF(Data!O269=0.6,'Vehicle Data'!E$21,IF(Data!O269 = 0.9,'Vehicle Data'!E$20))+(P269*O269)</f>
        <v>2325.5585999999998</v>
      </c>
      <c r="T269">
        <f>IF(F269=3,'Vehicle Data'!H$16,IF(F269=2,'Vehicle Data'!H$15,IF(F269 = 1,'Vehicle Data'!G$14)))</f>
        <v>466.23005239380637</v>
      </c>
      <c r="U269" s="148">
        <f t="shared" si="218"/>
        <v>485.79372769293593</v>
      </c>
      <c r="V269" s="70" t="s">
        <v>77</v>
      </c>
      <c r="W269" s="99" t="s">
        <v>84</v>
      </c>
      <c r="X269">
        <f>IF(V269="S",'Vehicle Data'!C$14,IF(Data!V269 = "T1",'Vehicle Data'!P$2,IF(Data!V269="T2",'Vehicle Data'!P$3)))</f>
        <v>13.411199999999999</v>
      </c>
      <c r="Z269">
        <v>11.2</v>
      </c>
      <c r="AB269" t="b">
        <f>IF(AA269=1,'Vehicle Data'!I$14,IF(AA269=2,'Vehicle Data'!I$15,IF(AA269=3,'Vehicle Data'!I$16)))</f>
        <v>0</v>
      </c>
      <c r="AC269">
        <f>IF(Z269&lt;'Vehicle Data'!C$16,'Vehicle Data'!I$15,IF(Z269&lt;'Vehicle Data'!C$15,'Vehicle Data'!I$15,IF(Z268&gt;'Vehicle Data'!C$15,'Vehicle Data'!I$16)))</f>
        <v>0.46202745420001456</v>
      </c>
      <c r="AD269">
        <f>IF(O269=0.6,'Vehicle Data'!F$21,IF(O269=0.9,'Vehicle Data'!F$20))</f>
        <v>5.2973999999999997</v>
      </c>
      <c r="AE269" s="100">
        <f t="shared" si="219"/>
        <v>0.46202745420001456</v>
      </c>
      <c r="AF269" s="158">
        <f t="shared" si="220"/>
        <v>3.2381418800676647</v>
      </c>
      <c r="AG269" s="148">
        <f t="shared" si="178"/>
        <v>0</v>
      </c>
      <c r="AH269" s="148">
        <f t="shared" si="195"/>
        <v>72.784530783092507</v>
      </c>
      <c r="AJ269">
        <f>(Z269^2)*'Vehicle Data'!C$31</f>
        <v>46.09920000000001</v>
      </c>
      <c r="AK269">
        <f>IF(O269=0.6,'Vehicle Data'!C$6*'Vehicle Data'!D$21*9.81,IF(O269=0.9,'Vehicle Data'!C$6*9.81*'Vehicle Data'!D$20))</f>
        <v>55.985669999999999</v>
      </c>
      <c r="AL269">
        <f t="shared" si="221"/>
        <v>102.08487000000001</v>
      </c>
      <c r="AN269">
        <f>IF(AG269&lt;=0,AG269*'Vehicle Data'!C$6)</f>
        <v>0</v>
      </c>
      <c r="AO269">
        <f t="shared" si="222"/>
        <v>102.08487000000001</v>
      </c>
      <c r="AP269">
        <f>AO269*'Vehicle Data'!F$3</f>
        <v>26.092892772000003</v>
      </c>
      <c r="AQ269">
        <v>13.452999999999999</v>
      </c>
      <c r="AR269">
        <f>IF(Z269&lt;'Vehicle Data'!C$16, Z269*'Vehicle Data'!F$7*'Vehicle Data'!G$14,IF(Z269&lt;'Vehicle Data'!C$15,Z269*'Vehicle Data'!F$7*'Vehicle Data'!G$15,IF(Z269&gt;'Vehicle Data'!C$15,Z269*'Vehicle Data'!F$7*'Vehicle Data'!G$16)))</f>
        <v>97.431002942813976</v>
      </c>
      <c r="AS269">
        <f t="shared" si="223"/>
        <v>5845.8601765688381</v>
      </c>
      <c r="AT269">
        <f t="shared" si="224"/>
        <v>13</v>
      </c>
      <c r="AU269">
        <f t="shared" si="225"/>
        <v>6000</v>
      </c>
      <c r="AW269">
        <f>VLOOKUP(AT269,BSFC!A$64:A$82,1,FALSE)</f>
        <v>13</v>
      </c>
      <c r="AX269" t="e" cm="1">
        <f t="array" ref="AX269">_xlfn.XLOOKUP(AT269,BSFC!A$64:A$82,,-1,_xlfn.XLOOKUP(Data!AU269,BSFC!C$63:Q$63,BSFC!B$64:Q$82,,-1))</f>
        <v>#VALUE!</v>
      </c>
      <c r="AY269">
        <f>HLOOKUP(AU269,BSFC!F$63:Q$63,1)</f>
        <v>6000</v>
      </c>
      <c r="AZ269">
        <f>IF(AT269&gt;0,MATCH(AT269,BSFC!A$64:A$83,0),IF(AT269&lt;=0,0))</f>
        <v>10</v>
      </c>
      <c r="BA269">
        <f>MATCH(AU269,BSFC!C$63:Q$63,0)</f>
        <v>12</v>
      </c>
      <c r="BB269" cm="1">
        <f t="array" ref="BB269">IF(AZ269&gt;0,INDEX(BSFC!C$64:Q$83,Data!AZ269,Data!BA269))</f>
        <v>556</v>
      </c>
      <c r="BC269">
        <f>0.5*'Vehicle Data'!C$6*Data!Z269^2</f>
        <v>27534.079999999998</v>
      </c>
      <c r="BD269">
        <f t="shared" si="179"/>
        <v>8.0559025279850012</v>
      </c>
      <c r="BE269">
        <f t="shared" si="226"/>
        <v>4479.081805559661</v>
      </c>
      <c r="BF269">
        <f t="shared" si="227"/>
        <v>4.0288617718977306</v>
      </c>
      <c r="BG269">
        <f t="shared" si="180"/>
        <v>80.703214971012272</v>
      </c>
      <c r="BH269">
        <f t="shared" si="171"/>
        <v>8202.3734830392768</v>
      </c>
      <c r="BI269" s="148">
        <f t="shared" si="181"/>
        <v>6871.6622130335309</v>
      </c>
      <c r="BO269">
        <f t="shared" si="182"/>
        <v>794.81645156164552</v>
      </c>
      <c r="BP269">
        <f t="shared" si="183"/>
        <v>370126.24640471558</v>
      </c>
      <c r="BQ269">
        <f t="shared" si="184"/>
        <v>466499.57315924542</v>
      </c>
      <c r="BR269" s="148">
        <f t="shared" si="185"/>
        <v>500816.57935684163</v>
      </c>
      <c r="BS269" s="156">
        <f t="shared" si="186"/>
        <v>794.81645156164552</v>
      </c>
      <c r="BT269" s="156">
        <f t="shared" si="187"/>
        <v>8202.3734830392768</v>
      </c>
      <c r="BU269">
        <f t="shared" si="188"/>
        <v>665.86948128943209</v>
      </c>
      <c r="BV269">
        <f t="shared" si="189"/>
        <v>665.86948128943209</v>
      </c>
      <c r="BW269" s="148">
        <f t="shared" si="190"/>
        <v>455.4</v>
      </c>
      <c r="BX269" s="148">
        <f t="shared" si="191"/>
        <v>3129354.9718154697</v>
      </c>
      <c r="BY269" s="148">
        <f t="shared" si="192"/>
        <v>8.4232489383113146E-2</v>
      </c>
      <c r="BZ269">
        <f t="shared" si="176"/>
        <v>72.784530783092507</v>
      </c>
      <c r="CB269">
        <f t="shared" si="193"/>
        <v>-128.94697027221343</v>
      </c>
      <c r="CC269" s="162">
        <f t="shared" si="177"/>
        <v>-39.821284875114607</v>
      </c>
      <c r="CD269">
        <f t="shared" si="196"/>
        <v>33585.065718570389</v>
      </c>
    </row>
    <row r="270" spans="4:82" x14ac:dyDescent="0.2">
      <c r="D270" s="22">
        <f t="shared" si="211"/>
        <v>0</v>
      </c>
      <c r="E270" s="23">
        <v>8.5017015999999987</v>
      </c>
      <c r="F270" s="23">
        <f>IF(K270&lt;6,1,IF(Data!K270&lt;9,2,IF(K270&gt;9,3)))</f>
        <v>3</v>
      </c>
      <c r="G270" s="23">
        <v>1204.3294474479385</v>
      </c>
      <c r="H270" s="23">
        <v>224.26666499999999</v>
      </c>
      <c r="I270" s="64">
        <v>23.371509138423779</v>
      </c>
      <c r="J270" s="65">
        <f t="shared" si="212"/>
        <v>-4.5760385202128164</v>
      </c>
      <c r="K270" s="65">
        <f t="shared" si="213"/>
        <v>9.3486036553695122</v>
      </c>
      <c r="L270" s="65">
        <f t="shared" si="214"/>
        <v>-1.8304154080851478</v>
      </c>
      <c r="M270">
        <f t="shared" si="215"/>
        <v>17.003403199999997</v>
      </c>
      <c r="N270">
        <f t="shared" si="216"/>
        <v>0</v>
      </c>
      <c r="O270">
        <f>'Vehicle Data'!C$20</f>
        <v>0.9</v>
      </c>
      <c r="P270">
        <f>('Vehicle Data'!C$6*9.81*'Vehicle Data'!C$5*SIN(D270))/'Vehicle Data'!C$9</f>
        <v>0</v>
      </c>
      <c r="Q270" s="107">
        <f>'Vehicle Data'!C$6*9.81*SIN(D270)</f>
        <v>0</v>
      </c>
      <c r="R270">
        <f t="shared" si="217"/>
        <v>1202.9981184810131</v>
      </c>
      <c r="S270">
        <f>IF(Data!O270=0.6,'Vehicle Data'!E$21,IF(Data!O270 = 0.9,'Vehicle Data'!E$20))+(P270*O270)</f>
        <v>2325.5585999999998</v>
      </c>
      <c r="T270">
        <f>IF(F270=3,'Vehicle Data'!H$16,IF(F270=2,'Vehicle Data'!H$15,IF(F270 = 1,'Vehicle Data'!G$14)))</f>
        <v>466.23005239380637</v>
      </c>
      <c r="U270" s="148">
        <f t="shared" si="218"/>
        <v>486.85963635769701</v>
      </c>
      <c r="V270" s="70" t="s">
        <v>77</v>
      </c>
      <c r="W270" s="99" t="s">
        <v>84</v>
      </c>
      <c r="X270">
        <f>IF(V270="S",'Vehicle Data'!C$14,IF(Data!V270 = "T1",'Vehicle Data'!P$2,IF(Data!V270="T2",'Vehicle Data'!P$3)))</f>
        <v>13.411199999999999</v>
      </c>
      <c r="Z270">
        <v>11</v>
      </c>
      <c r="AB270" t="b">
        <f>IF(AA270=1,'Vehicle Data'!I$14,IF(AA270=2,'Vehicle Data'!I$15,IF(AA270=3,'Vehicle Data'!I$16)))</f>
        <v>0</v>
      </c>
      <c r="AC270">
        <f>IF(Z270&lt;'Vehicle Data'!C$16,'Vehicle Data'!I$15,IF(Z270&lt;'Vehicle Data'!C$15,'Vehicle Data'!I$15,IF(Z269&gt;'Vehicle Data'!C$15,'Vehicle Data'!I$16)))</f>
        <v>0.46202745420001456</v>
      </c>
      <c r="AD270">
        <f>IF(O270=0.6,'Vehicle Data'!F$21,IF(O270=0.9,'Vehicle Data'!F$20))</f>
        <v>5.2973999999999997</v>
      </c>
      <c r="AE270" s="100">
        <f t="shared" si="219"/>
        <v>0.46202745420001456</v>
      </c>
      <c r="AF270" s="158">
        <f t="shared" si="220"/>
        <v>9.690078770555291E-2</v>
      </c>
      <c r="AG270" s="148">
        <f t="shared" si="178"/>
        <v>-2.063966710030555</v>
      </c>
      <c r="AH270" s="148">
        <f t="shared" si="195"/>
        <v>72.881431570798057</v>
      </c>
      <c r="AJ270">
        <f>(Z270^2)*'Vehicle Data'!C$31</f>
        <v>44.467500000000015</v>
      </c>
      <c r="AK270">
        <f>IF(O270=0.6,'Vehicle Data'!C$6*'Vehicle Data'!D$21*9.81,IF(O270=0.9,'Vehicle Data'!C$6*9.81*'Vehicle Data'!D$20))</f>
        <v>55.985669999999999</v>
      </c>
      <c r="AL270">
        <f t="shared" si="221"/>
        <v>100.45317000000001</v>
      </c>
      <c r="AN270">
        <f>IF(AG270&lt;0,AG270*'Vehicle Data'!C$6)</f>
        <v>-906.08138570341362</v>
      </c>
      <c r="AO270">
        <f t="shared" si="222"/>
        <v>-805.62821570341362</v>
      </c>
      <c r="AP270">
        <f>AO270*'Vehicle Data'!F$3</f>
        <v>-205.91857193379252</v>
      </c>
      <c r="AQ270">
        <v>13.452999999999999</v>
      </c>
      <c r="AR270">
        <f>IF(Z270&lt;'Vehicle Data'!C$16, Z270*'Vehicle Data'!F$7*'Vehicle Data'!G$14,IF(Z270&lt;'Vehicle Data'!C$15,Z270*'Vehicle Data'!F$7*'Vehicle Data'!G$15,IF(Z270&gt;'Vehicle Data'!C$15,Z270*'Vehicle Data'!F$7*'Vehicle Data'!G$16)))</f>
        <v>95.69116360454943</v>
      </c>
      <c r="AS270">
        <f t="shared" si="223"/>
        <v>5741.4698162729655</v>
      </c>
      <c r="AT270">
        <f t="shared" si="224"/>
        <v>13</v>
      </c>
      <c r="AU270">
        <f t="shared" si="225"/>
        <v>5500</v>
      </c>
      <c r="AW270">
        <f>VLOOKUP(AT270,BSFC!A$64:A$82,1,FALSE)</f>
        <v>13</v>
      </c>
      <c r="AX270" t="e" cm="1">
        <f t="array" ref="AX270">_xlfn.XLOOKUP(AT270,BSFC!A$64:A$82,,-1,_xlfn.XLOOKUP(Data!AU270,BSFC!C$63:Q$63,BSFC!B$64:Q$82,,-1))</f>
        <v>#VALUE!</v>
      </c>
      <c r="AY270">
        <f>HLOOKUP(AU270,BSFC!F$63:Q$63,1)</f>
        <v>5500</v>
      </c>
      <c r="AZ270">
        <f>IF(AT270&gt;0,MATCH(AT270,BSFC!A$64:A$83,0),IF(AT270&lt;=0,0))</f>
        <v>10</v>
      </c>
      <c r="BA270">
        <f>MATCH(AU270,BSFC!C$63:Q$63,0)</f>
        <v>11</v>
      </c>
      <c r="BB270" cm="1">
        <f t="array" ref="BB270">IF(AZ270&gt;0,INDEX(BSFC!C$64:Q$83,Data!AZ270,Data!BA270))</f>
        <v>641.9</v>
      </c>
      <c r="BC270">
        <f>0.5*'Vehicle Data'!C$6*Data!Z270^2</f>
        <v>26559.5</v>
      </c>
      <c r="BD270">
        <f t="shared" si="179"/>
        <v>7.909431572930731</v>
      </c>
      <c r="BE270">
        <f t="shared" si="226"/>
        <v>5077.064126664236</v>
      </c>
      <c r="BF270">
        <f t="shared" si="227"/>
        <v>0.13665875364038044</v>
      </c>
      <c r="BG270">
        <f t="shared" si="180"/>
        <v>80.839873724652648</v>
      </c>
      <c r="BH270">
        <f t="shared" si="171"/>
        <v>8055.9025279850021</v>
      </c>
      <c r="BI270" s="148">
        <f t="shared" si="181"/>
        <v>6871.6622130335309</v>
      </c>
      <c r="BO270">
        <f t="shared" si="182"/>
        <v>993.06077687352638</v>
      </c>
      <c r="BP270">
        <f t="shared" si="183"/>
        <v>371119.30718158913</v>
      </c>
      <c r="BQ270">
        <f t="shared" si="184"/>
        <v>467492.63393611897</v>
      </c>
      <c r="BR270" s="148">
        <f t="shared" si="185"/>
        <v>501663.65740824334</v>
      </c>
      <c r="BS270" s="156">
        <f t="shared" si="186"/>
        <v>993.06077687352638</v>
      </c>
      <c r="BT270" s="156">
        <f t="shared" si="187"/>
        <v>8055.9025279850021</v>
      </c>
      <c r="BU270">
        <f t="shared" si="188"/>
        <v>847.07805140169614</v>
      </c>
      <c r="BV270">
        <f t="shared" si="189"/>
        <v>847.07805140169614</v>
      </c>
      <c r="BW270" s="148">
        <f t="shared" si="190"/>
        <v>455.4</v>
      </c>
      <c r="BX270" s="148">
        <f t="shared" si="191"/>
        <v>3129354.9718154697</v>
      </c>
      <c r="BY270" s="148">
        <f t="shared" si="192"/>
        <v>0.10715537350231456</v>
      </c>
      <c r="BZ270">
        <f t="shared" si="176"/>
        <v>72.881431570798057</v>
      </c>
      <c r="CB270">
        <f t="shared" si="193"/>
        <v>-145.98272547183024</v>
      </c>
      <c r="CC270" s="162">
        <f t="shared" si="177"/>
        <v>-1506.5174280669812</v>
      </c>
      <c r="CD270">
        <f t="shared" si="196"/>
        <v>33439.082993098556</v>
      </c>
    </row>
    <row r="271" spans="4:82" x14ac:dyDescent="0.2">
      <c r="D271" s="22">
        <f t="shared" si="211"/>
        <v>0</v>
      </c>
      <c r="E271" s="23">
        <v>8.5017015999999987</v>
      </c>
      <c r="F271" s="23">
        <f>IF(K271&lt;6,1,IF(Data!K271&lt;9,2,IF(K271&gt;9,3)))</f>
        <v>3</v>
      </c>
      <c r="G271" s="23">
        <v>1205.6801097590862</v>
      </c>
      <c r="H271" s="23">
        <v>224.316665</v>
      </c>
      <c r="I271" s="64">
        <v>23.142707212413086</v>
      </c>
      <c r="J271" s="65">
        <f t="shared" si="212"/>
        <v>-4.9040014242553225</v>
      </c>
      <c r="K271" s="65">
        <f t="shared" si="213"/>
        <v>9.257082884965234</v>
      </c>
      <c r="L271" s="65">
        <f t="shared" si="214"/>
        <v>-1.9616005697021361</v>
      </c>
      <c r="M271">
        <f t="shared" si="215"/>
        <v>17.003403199999997</v>
      </c>
      <c r="N271">
        <f t="shared" si="216"/>
        <v>0</v>
      </c>
      <c r="O271">
        <f>'Vehicle Data'!C$20</f>
        <v>0.9</v>
      </c>
      <c r="P271">
        <f>('Vehicle Data'!C$6*9.81*'Vehicle Data'!C$5*SIN(D271))/'Vehicle Data'!C$9</f>
        <v>0</v>
      </c>
      <c r="Q271" s="107">
        <f>'Vehicle Data'!C$6*9.81*SIN(D271)</f>
        <v>0</v>
      </c>
      <c r="R271">
        <f t="shared" si="217"/>
        <v>1204.3294474479385</v>
      </c>
      <c r="S271">
        <f>IF(Data!O271=0.6,'Vehicle Data'!E$21,IF(Data!O271 = 0.9,'Vehicle Data'!E$20))+(P271*O271)</f>
        <v>2325.5585999999998</v>
      </c>
      <c r="T271">
        <f>IF(F271=3,'Vehicle Data'!H$16,IF(F271=2,'Vehicle Data'!H$15,IF(F271 = 1,'Vehicle Data'!G$14)))</f>
        <v>466.23005239380637</v>
      </c>
      <c r="U271" s="148">
        <f t="shared" si="218"/>
        <v>488.19096532462243</v>
      </c>
      <c r="V271" s="70" t="s">
        <v>77</v>
      </c>
      <c r="W271" s="99" t="s">
        <v>84</v>
      </c>
      <c r="X271">
        <f>IF(V271="S",'Vehicle Data'!C$14,IF(Data!V271 = "T1",'Vehicle Data'!P$2,IF(Data!V271="T2",'Vehicle Data'!P$3)))</f>
        <v>13.411199999999999</v>
      </c>
      <c r="Z271">
        <v>10.8</v>
      </c>
      <c r="AB271" t="b">
        <f>IF(AA271=1,'Vehicle Data'!I$14,IF(AA271=2,'Vehicle Data'!I$15,IF(AA271=3,'Vehicle Data'!I$16)))</f>
        <v>0</v>
      </c>
      <c r="AC271">
        <f>IF(Z271&lt;'Vehicle Data'!C$16,'Vehicle Data'!I$15,IF(Z271&lt;'Vehicle Data'!C$15,'Vehicle Data'!I$15,IF(Z270&gt;'Vehicle Data'!C$15,'Vehicle Data'!I$16)))</f>
        <v>0.46202745420001456</v>
      </c>
      <c r="AD271">
        <f>IF(O271=0.6,'Vehicle Data'!F$21,IF(O271=0.9,'Vehicle Data'!F$20))</f>
        <v>5.2973999999999997</v>
      </c>
      <c r="AE271" s="100">
        <f t="shared" si="219"/>
        <v>0.46202745420001456</v>
      </c>
      <c r="AF271" s="158">
        <f t="shared" si="220"/>
        <v>0.12327120064124182</v>
      </c>
      <c r="AG271" s="148">
        <f t="shared" si="178"/>
        <v>-1.6224389716302232</v>
      </c>
      <c r="AH271" s="148">
        <f t="shared" si="195"/>
        <v>73.004702771439298</v>
      </c>
      <c r="AJ271">
        <f>(Z271^2)*'Vehicle Data'!C$31</f>
        <v>42.865200000000016</v>
      </c>
      <c r="AK271">
        <f>IF(O271=0.6,'Vehicle Data'!C$6*'Vehicle Data'!D$21*9.81,IF(O271=0.9,'Vehicle Data'!C$6*9.81*'Vehicle Data'!D$20))</f>
        <v>55.985669999999999</v>
      </c>
      <c r="AL271">
        <f t="shared" si="221"/>
        <v>98.850870000000015</v>
      </c>
      <c r="AN271">
        <f>IF(AG271&lt;0,AG271*'Vehicle Data'!C$6)</f>
        <v>-712.25070854566798</v>
      </c>
      <c r="AO271">
        <f t="shared" si="222"/>
        <v>-613.39983854566799</v>
      </c>
      <c r="AP271">
        <f>AO271*'Vehicle Data'!F$3</f>
        <v>-156.78499873227273</v>
      </c>
      <c r="AQ271">
        <v>13.452999999999999</v>
      </c>
      <c r="AR271">
        <f>IF(Z271&lt;'Vehicle Data'!C$16, Z271*'Vehicle Data'!F$7*'Vehicle Data'!G$14,IF(Z271&lt;'Vehicle Data'!C$15,Z271*'Vehicle Data'!F$7*'Vehicle Data'!G$15,IF(Z271&gt;'Vehicle Data'!C$15,Z271*'Vehicle Data'!F$7*'Vehicle Data'!G$16)))</f>
        <v>93.9513242662849</v>
      </c>
      <c r="AS271">
        <f t="shared" si="223"/>
        <v>5637.0794559770939</v>
      </c>
      <c r="AT271">
        <f t="shared" si="224"/>
        <v>13</v>
      </c>
      <c r="AU271">
        <f t="shared" si="225"/>
        <v>5500</v>
      </c>
      <c r="AW271">
        <f>VLOOKUP(AT271,BSFC!A$64:A$82,1,FALSE)</f>
        <v>13</v>
      </c>
      <c r="AX271" t="e" cm="1">
        <f t="array" ref="AX271">_xlfn.XLOOKUP(AT271,BSFC!A$64:A$82,,-1,_xlfn.XLOOKUP(Data!AU271,BSFC!C$63:Q$63,BSFC!B$64:Q$82,,-1))</f>
        <v>#VALUE!</v>
      </c>
      <c r="AY271">
        <f>HLOOKUP(AU271,BSFC!F$63:Q$63,1)</f>
        <v>5500</v>
      </c>
      <c r="AZ271">
        <f>IF(AT271&gt;0,MATCH(AT271,BSFC!A$64:A$83,0),IF(AT271&lt;=0,0))</f>
        <v>10</v>
      </c>
      <c r="BA271">
        <f>MATCH(AU271,BSFC!C$63:Q$63,0)</f>
        <v>11</v>
      </c>
      <c r="BB271" cm="1">
        <f t="array" ref="BB271">IF(AZ271&gt;0,INDEX(BSFC!C$64:Q$83,Data!AZ271,Data!BA271))</f>
        <v>641.9</v>
      </c>
      <c r="BC271">
        <f>0.5*'Vehicle Data'!C$6*Data!Z271^2</f>
        <v>25602.480000000003</v>
      </c>
      <c r="BD271">
        <f t="shared" si="179"/>
        <v>7.616489662822187</v>
      </c>
      <c r="BE271">
        <f t="shared" si="226"/>
        <v>4889.0247145655612</v>
      </c>
      <c r="BF271">
        <f t="shared" si="227"/>
        <v>0.16740998514700037</v>
      </c>
      <c r="BG271">
        <f t="shared" si="180"/>
        <v>81.007283709799651</v>
      </c>
      <c r="BH271">
        <f t="shared" si="171"/>
        <v>7909.4315729307309</v>
      </c>
      <c r="BI271" s="148">
        <f t="shared" si="181"/>
        <v>6871.6622130335309</v>
      </c>
      <c r="BO271">
        <f t="shared" si="182"/>
        <v>1027.2087623230341</v>
      </c>
      <c r="BP271">
        <f t="shared" si="183"/>
        <v>372146.51594391215</v>
      </c>
      <c r="BQ271">
        <f t="shared" si="184"/>
        <v>468519.84269844199</v>
      </c>
      <c r="BR271" s="148">
        <f t="shared" si="185"/>
        <v>502556.08963575127</v>
      </c>
      <c r="BS271" s="156">
        <f t="shared" si="186"/>
        <v>1027.2087623230341</v>
      </c>
      <c r="BT271" s="156">
        <f t="shared" si="187"/>
        <v>7909.4315729307309</v>
      </c>
      <c r="BU271">
        <f t="shared" si="188"/>
        <v>892.43222750793154</v>
      </c>
      <c r="BV271">
        <f t="shared" si="189"/>
        <v>892.43222750793154</v>
      </c>
      <c r="BW271" s="148">
        <f t="shared" si="190"/>
        <v>455.4</v>
      </c>
      <c r="BX271" s="148">
        <f t="shared" si="191"/>
        <v>3129354.9718154697</v>
      </c>
      <c r="BY271" s="148">
        <f t="shared" si="192"/>
        <v>0.11289267677975333</v>
      </c>
      <c r="BZ271">
        <f t="shared" si="176"/>
        <v>73.004702771439298</v>
      </c>
      <c r="CB271">
        <f t="shared" si="193"/>
        <v>-134.77653481510254</v>
      </c>
      <c r="CC271" s="162">
        <f t="shared" si="177"/>
        <v>-1093.3335127265082</v>
      </c>
      <c r="CD271">
        <f t="shared" si="196"/>
        <v>33304.306458283456</v>
      </c>
    </row>
    <row r="272" spans="4:82" x14ac:dyDescent="0.2">
      <c r="D272" s="22">
        <f t="shared" si="211"/>
        <v>0</v>
      </c>
      <c r="E272" s="23">
        <v>8.5017015999999987</v>
      </c>
      <c r="F272" s="23">
        <f>IF(K272&lt;6,1,IF(Data!K272&lt;9,2,IF(K272&gt;9,3)))</f>
        <v>3</v>
      </c>
      <c r="G272" s="23">
        <v>1207.2073865251127</v>
      </c>
      <c r="H272" s="23">
        <v>224.36666499999998</v>
      </c>
      <c r="I272" s="64">
        <v>22.897507141200403</v>
      </c>
      <c r="J272" s="65">
        <f t="shared" si="212"/>
        <v>-5.3285343830119523</v>
      </c>
      <c r="K272" s="65">
        <f t="shared" si="213"/>
        <v>9.1590028564801607</v>
      </c>
      <c r="L272" s="65">
        <f t="shared" si="214"/>
        <v>-2.1314137532047668</v>
      </c>
      <c r="M272">
        <f t="shared" si="215"/>
        <v>17.003403199999997</v>
      </c>
      <c r="N272">
        <f t="shared" si="216"/>
        <v>0</v>
      </c>
      <c r="O272">
        <f>'Vehicle Data'!C$20</f>
        <v>0.9</v>
      </c>
      <c r="P272">
        <f>('Vehicle Data'!C$6*9.81*'Vehicle Data'!C$5*SIN(D272))/'Vehicle Data'!C$9</f>
        <v>0</v>
      </c>
      <c r="Q272" s="107">
        <f>'Vehicle Data'!C$6*9.81*SIN(D272)</f>
        <v>0</v>
      </c>
      <c r="R272">
        <f t="shared" si="217"/>
        <v>1205.6801097590862</v>
      </c>
      <c r="S272">
        <f>IF(Data!O272=0.6,'Vehicle Data'!E$21,IF(Data!O272 = 0.9,'Vehicle Data'!E$20))+(P272*O272)</f>
        <v>2325.5585999999998</v>
      </c>
      <c r="T272">
        <f>IF(F272=3,'Vehicle Data'!H$16,IF(F272=2,'Vehicle Data'!H$15,IF(F272 = 1,'Vehicle Data'!G$14)))</f>
        <v>466.23005239380637</v>
      </c>
      <c r="U272" s="148">
        <f t="shared" si="218"/>
        <v>489.54162763577017</v>
      </c>
      <c r="V272" s="70" t="s">
        <v>77</v>
      </c>
      <c r="W272" s="99" t="s">
        <v>84</v>
      </c>
      <c r="X272">
        <f>IF(V272="S",'Vehicle Data'!C$14,IF(Data!V272 = "T1",'Vehicle Data'!P$2,IF(Data!V272="T2",'Vehicle Data'!P$3)))</f>
        <v>13.411199999999999</v>
      </c>
      <c r="Z272">
        <v>10.4</v>
      </c>
      <c r="AB272" t="b">
        <f>IF(AA272=1,'Vehicle Data'!I$14,IF(AA272=2,'Vehicle Data'!I$15,IF(AA272=3,'Vehicle Data'!I$16)))</f>
        <v>0</v>
      </c>
      <c r="AC272">
        <f>IF(Z272&lt;'Vehicle Data'!C$16,'Vehicle Data'!I$15,IF(Z272&lt;'Vehicle Data'!C$15,'Vehicle Data'!I$15,IF(Z271&gt;'Vehicle Data'!C$15,'Vehicle Data'!I$16)))</f>
        <v>0.46202745420001456</v>
      </c>
      <c r="AD272">
        <f>IF(O272=0.6,'Vehicle Data'!F$21,IF(O272=0.9,'Vehicle Data'!F$20))</f>
        <v>5.2973999999999997</v>
      </c>
      <c r="AE272" s="100">
        <f t="shared" si="219"/>
        <v>0.46202745420001456</v>
      </c>
      <c r="AF272" s="158">
        <f t="shared" si="220"/>
        <v>0.12987137607189844</v>
      </c>
      <c r="AG272" s="148">
        <f t="shared" si="178"/>
        <v>-3.0799704453624583</v>
      </c>
      <c r="AH272" s="148">
        <f t="shared" si="195"/>
        <v>73.134574147511202</v>
      </c>
      <c r="AJ272">
        <f>(Z272^2)*'Vehicle Data'!C$31</f>
        <v>39.748800000000017</v>
      </c>
      <c r="AK272">
        <f>IF(O272=0.6,'Vehicle Data'!C$6*'Vehicle Data'!D$21*9.81,IF(O272=0.9,'Vehicle Data'!C$6*9.81*'Vehicle Data'!D$20))</f>
        <v>55.985669999999999</v>
      </c>
      <c r="AL272">
        <f t="shared" si="221"/>
        <v>95.734470000000016</v>
      </c>
      <c r="AN272">
        <f>IF(AG272&lt;0,AG272*'Vehicle Data'!C$6)</f>
        <v>-1352.1070255141192</v>
      </c>
      <c r="AO272">
        <f t="shared" si="222"/>
        <v>-1256.3725555141191</v>
      </c>
      <c r="AP272">
        <f>AO272*'Vehicle Data'!F$3</f>
        <v>-321.12882518940881</v>
      </c>
      <c r="AQ272">
        <v>13.452999999999999</v>
      </c>
      <c r="AR272">
        <f>IF(Z272&lt;'Vehicle Data'!C$16, Z272*'Vehicle Data'!F$7*'Vehicle Data'!G$14,IF(Z272&lt;'Vehicle Data'!C$15,Z272*'Vehicle Data'!F$7*'Vehicle Data'!G$15,IF(Z272&gt;'Vehicle Data'!C$15,Z272*'Vehicle Data'!F$7*'Vehicle Data'!G$16)))</f>
        <v>90.471645589755838</v>
      </c>
      <c r="AS272">
        <f t="shared" si="223"/>
        <v>5428.2987353853505</v>
      </c>
      <c r="AT272">
        <f t="shared" si="224"/>
        <v>13</v>
      </c>
      <c r="AU272">
        <f t="shared" si="225"/>
        <v>5500</v>
      </c>
      <c r="AW272">
        <f>VLOOKUP(AT272,BSFC!A$64:A$82,1,FALSE)</f>
        <v>13</v>
      </c>
      <c r="AX272" t="e" cm="1">
        <f t="array" ref="AX272">_xlfn.XLOOKUP(AT272,BSFC!A$64:A$82,,-1,_xlfn.XLOOKUP(Data!AU272,BSFC!C$63:Q$63,BSFC!B$64:Q$82,,-1))</f>
        <v>#VALUE!</v>
      </c>
      <c r="AY272">
        <f>HLOOKUP(AU272,BSFC!F$63:Q$63,1)</f>
        <v>5500</v>
      </c>
      <c r="AZ272">
        <f>IF(AT272&gt;0,MATCH(AT272,BSFC!A$64:A$83,0),IF(AT272&lt;=0,0))</f>
        <v>10</v>
      </c>
      <c r="BA272">
        <f>MATCH(AU272,BSFC!C$63:Q$63,0)</f>
        <v>11</v>
      </c>
      <c r="BB272" cm="1">
        <f t="array" ref="BB272">IF(AZ272&gt;0,INDEX(BSFC!C$64:Q$83,Data!AZ272,Data!BA272))</f>
        <v>641.9</v>
      </c>
      <c r="BC272">
        <f>0.5*'Vehicle Data'!C$6*Data!Z272^2</f>
        <v>23741.120000000003</v>
      </c>
      <c r="BD272">
        <f t="shared" si="179"/>
        <v>7.2503122751865039</v>
      </c>
      <c r="BE272">
        <f t="shared" si="226"/>
        <v>4653.9754494422168</v>
      </c>
      <c r="BF272">
        <f t="shared" si="227"/>
        <v>0.16789394328441462</v>
      </c>
      <c r="BG272">
        <f t="shared" si="180"/>
        <v>81.175177653084063</v>
      </c>
      <c r="BH272">
        <f t="shared" si="171"/>
        <v>7616.4896628221868</v>
      </c>
      <c r="BI272" s="148">
        <f t="shared" si="181"/>
        <v>6871.6622130335309</v>
      </c>
      <c r="BO272">
        <f t="shared" si="182"/>
        <v>1174.9987576473993</v>
      </c>
      <c r="BP272">
        <f t="shared" si="183"/>
        <v>373321.51470155956</v>
      </c>
      <c r="BQ272">
        <f t="shared" si="184"/>
        <v>469694.8414560894</v>
      </c>
      <c r="BR272" s="148">
        <f t="shared" si="185"/>
        <v>503616.18357938243</v>
      </c>
      <c r="BS272" s="156">
        <f t="shared" si="186"/>
        <v>1174.9987576473993</v>
      </c>
      <c r="BT272" s="156">
        <f t="shared" si="187"/>
        <v>7616.4896628221868</v>
      </c>
      <c r="BU272">
        <f t="shared" si="188"/>
        <v>1060.0939436311392</v>
      </c>
      <c r="BV272">
        <f t="shared" si="189"/>
        <v>1060.0939436311392</v>
      </c>
      <c r="BW272" s="148">
        <f t="shared" si="190"/>
        <v>455.4</v>
      </c>
      <c r="BX272" s="148">
        <f t="shared" si="191"/>
        <v>3129354.9718154697</v>
      </c>
      <c r="BY272" s="148">
        <f t="shared" si="192"/>
        <v>0.13410188386933908</v>
      </c>
      <c r="BZ272">
        <f t="shared" si="176"/>
        <v>73.134574147511202</v>
      </c>
      <c r="CB272">
        <f t="shared" si="193"/>
        <v>-114.90481401626016</v>
      </c>
      <c r="CC272" s="162">
        <f t="shared" si="177"/>
        <v>-884.7585779998401</v>
      </c>
      <c r="CD272">
        <f t="shared" si="196"/>
        <v>33189.401644267193</v>
      </c>
    </row>
    <row r="273" spans="4:82" ht="16" thickBot="1" x14ac:dyDescent="0.25">
      <c r="D273" s="22">
        <f t="shared" si="211"/>
        <v>5.3638868987239158E-4</v>
      </c>
      <c r="E273" s="23">
        <v>8.5017015999999987</v>
      </c>
      <c r="F273" s="23">
        <f>IF(K273&lt;6,1,IF(Data!K273&lt;9,2,IF(K273&gt;9,3)))</f>
        <v>3</v>
      </c>
      <c r="G273" s="23">
        <v>1208.8185538913849</v>
      </c>
      <c r="H273" s="23">
        <v>224.41666499999999</v>
      </c>
      <c r="I273" s="64">
        <v>22.631080422049745</v>
      </c>
      <c r="J273" s="65">
        <f t="shared" si="212"/>
        <v>-4.5123132768930754</v>
      </c>
      <c r="K273" s="65">
        <f t="shared" si="213"/>
        <v>9.0524321688198981</v>
      </c>
      <c r="L273" s="65">
        <f t="shared" si="214"/>
        <v>-1.8049253107572298</v>
      </c>
      <c r="M273">
        <f t="shared" si="215"/>
        <v>17.003403199999997</v>
      </c>
      <c r="N273">
        <f t="shared" si="216"/>
        <v>-9.9998399999998711E-2</v>
      </c>
      <c r="O273">
        <f>'Vehicle Data'!C$20</f>
        <v>0.9</v>
      </c>
      <c r="P273">
        <f>('Vehicle Data'!C$6*9.81*'Vehicle Data'!C$5*SIN(D273))/'Vehicle Data'!C$9</f>
        <v>0.35721743151770274</v>
      </c>
      <c r="Q273" s="107">
        <f>'Vehicle Data'!C$6*9.81*SIN(D273)</f>
        <v>2.3100060571478109</v>
      </c>
      <c r="R273">
        <f t="shared" si="217"/>
        <v>1207.2073865251127</v>
      </c>
      <c r="S273">
        <f>IF(Data!O273=0.6,'Vehicle Data'!E$21,IF(Data!O273 = 0.9,'Vehicle Data'!E$20))+(P273*O273)</f>
        <v>2325.8800956883656</v>
      </c>
      <c r="T273">
        <f>IF(F273=3,'Vehicle Data'!H$16,IF(F273=2,'Vehicle Data'!H$15,IF(F273 = 1,'Vehicle Data'!G$14)))</f>
        <v>466.23005239380637</v>
      </c>
      <c r="U273" s="148">
        <f t="shared" si="218"/>
        <v>491.06890440179666</v>
      </c>
      <c r="V273" s="70" t="s">
        <v>77</v>
      </c>
      <c r="W273" s="99" t="s">
        <v>84</v>
      </c>
      <c r="X273">
        <f>IF(V273="S",'Vehicle Data'!C$14,IF(Data!V273 = "T1",'Vehicle Data'!P$2,IF(Data!V273="T2",'Vehicle Data'!P$3)))</f>
        <v>13.411199999999999</v>
      </c>
      <c r="Z273">
        <v>9.9</v>
      </c>
      <c r="AB273" t="b">
        <f>IF(AA273=1,'Vehicle Data'!I$14,IF(AA273=2,'Vehicle Data'!I$15,IF(AA273=3,'Vehicle Data'!I$16)))</f>
        <v>0</v>
      </c>
      <c r="AC273">
        <f>IF(Z273&lt;'Vehicle Data'!C$16,'Vehicle Data'!I$15,IF(Z273&lt;'Vehicle Data'!C$15,'Vehicle Data'!I$15,IF(Z272&gt;'Vehicle Data'!C$15,'Vehicle Data'!I$16)))</f>
        <v>0.46202745420001456</v>
      </c>
      <c r="AD273">
        <f>IF(O273=0.6,'Vehicle Data'!F$21,IF(O273=0.9,'Vehicle Data'!F$20))</f>
        <v>5.2973999999999997</v>
      </c>
      <c r="AE273" s="100">
        <f t="shared" si="219"/>
        <v>0.46202745420001456</v>
      </c>
      <c r="AF273" s="158">
        <f t="shared" si="220"/>
        <v>0.15427038040671606</v>
      </c>
      <c r="AG273" s="148">
        <f t="shared" si="178"/>
        <v>-3.2410628578331608</v>
      </c>
      <c r="AH273" s="148">
        <f t="shared" si="195"/>
        <v>73.288844527917917</v>
      </c>
      <c r="AJ273">
        <f>(Z273^2)*'Vehicle Data'!C$31</f>
        <v>36.018675000000009</v>
      </c>
      <c r="AK273">
        <f>IF(O273=0.6,'Vehicle Data'!C$6*'Vehicle Data'!D$21*9.81,IF(O273=0.9,'Vehicle Data'!C$6*9.81*'Vehicle Data'!D$20))</f>
        <v>55.985669999999999</v>
      </c>
      <c r="AL273">
        <f t="shared" si="221"/>
        <v>94.314351057147817</v>
      </c>
      <c r="AN273">
        <f>IF(AG273&lt;0,AG273*'Vehicle Data'!C$6)</f>
        <v>-1422.8265945887576</v>
      </c>
      <c r="AO273">
        <f t="shared" si="222"/>
        <v>-1328.5122435316098</v>
      </c>
      <c r="AP273">
        <f>AO273*'Vehicle Data'!F$3</f>
        <v>-339.56772944667944</v>
      </c>
      <c r="AQ273">
        <v>13.452999999999999</v>
      </c>
      <c r="AR273">
        <f>IF(Z273&lt;'Vehicle Data'!C$16, Z273*'Vehicle Data'!F$7*'Vehicle Data'!G$14,IF(Z273&lt;'Vehicle Data'!C$15,Z273*'Vehicle Data'!F$7*'Vehicle Data'!G$15,IF(Z273&gt;'Vehicle Data'!C$15,Z273*'Vehicle Data'!F$7*'Vehicle Data'!G$16)))</f>
        <v>86.122047244094503</v>
      </c>
      <c r="AS273">
        <f t="shared" si="223"/>
        <v>5167.3228346456699</v>
      </c>
      <c r="AT273">
        <f t="shared" si="224"/>
        <v>13</v>
      </c>
      <c r="AU273">
        <f t="shared" si="225"/>
        <v>5000</v>
      </c>
      <c r="AW273">
        <f>VLOOKUP(AT273,BSFC!A$64:A$82,1,FALSE)</f>
        <v>13</v>
      </c>
      <c r="AX273" t="e" cm="1">
        <f t="array" ref="AX273">_xlfn.XLOOKUP(AT273,BSFC!A$64:A$82,,-1,_xlfn.XLOOKUP(Data!AU273,BSFC!C$63:Q$63,BSFC!B$64:Q$82,,-1))</f>
        <v>#VALUE!</v>
      </c>
      <c r="AY273">
        <f>HLOOKUP(AU273,BSFC!F$63:Q$63,1)</f>
        <v>5000</v>
      </c>
      <c r="AZ273">
        <f>IF(AT273&gt;0,MATCH(AT273,BSFC!A$64:A$83,0),IF(AT273&lt;=0,0))</f>
        <v>10</v>
      </c>
      <c r="BA273">
        <f>MATCH(AU273,BSFC!C$63:Q$63,0)</f>
        <v>10</v>
      </c>
      <c r="BB273" cm="1">
        <f t="array" ref="BB273">IF(AZ273&gt;0,INDEX(BSFC!C$64:Q$83,Data!AZ273,Data!BA273))</f>
        <v>742</v>
      </c>
      <c r="BC273">
        <f>0.5*'Vehicle Data'!C$6*Data!Z273^2</f>
        <v>21513.195</v>
      </c>
      <c r="BD273">
        <f t="shared" si="179"/>
        <v>7.9097629610920617</v>
      </c>
      <c r="BE273">
        <f t="shared" si="226"/>
        <v>5869.04411713031</v>
      </c>
      <c r="BF273">
        <f t="shared" si="227"/>
        <v>0.25150546349263664</v>
      </c>
      <c r="BG273">
        <f t="shared" si="180"/>
        <v>81.426683116576697</v>
      </c>
      <c r="BH273">
        <f t="shared" si="171"/>
        <v>7250.3122751865039</v>
      </c>
      <c r="BI273" s="148">
        <f t="shared" si="181"/>
        <v>6871.6622130335309</v>
      </c>
      <c r="BO273">
        <f t="shared" si="182"/>
        <v>1204.2749003157865</v>
      </c>
      <c r="BP273">
        <f t="shared" si="183"/>
        <v>374525.78960187535</v>
      </c>
      <c r="BQ273">
        <f t="shared" si="184"/>
        <v>470899.1163564052</v>
      </c>
      <c r="BR273" s="148">
        <f t="shared" si="185"/>
        <v>504757.56480718503</v>
      </c>
      <c r="BS273" s="156">
        <f t="shared" si="186"/>
        <v>1204.2749003157865</v>
      </c>
      <c r="BT273" s="156">
        <f t="shared" si="187"/>
        <v>7250.3122751865039</v>
      </c>
      <c r="BU273">
        <f t="shared" si="188"/>
        <v>1141.3812278026107</v>
      </c>
      <c r="BV273">
        <f t="shared" si="189"/>
        <v>1141.3812278026107</v>
      </c>
      <c r="BW273" s="148">
        <f t="shared" si="190"/>
        <v>455.4</v>
      </c>
      <c r="BX273" s="148">
        <f t="shared" si="191"/>
        <v>3129354.9718154697</v>
      </c>
      <c r="BY273" s="148">
        <f t="shared" si="192"/>
        <v>0.14438472531703023</v>
      </c>
      <c r="BZ273">
        <f t="shared" si="176"/>
        <v>73.288844527917917</v>
      </c>
      <c r="CB273">
        <f t="shared" si="193"/>
        <v>-62.893672513175716</v>
      </c>
      <c r="CC273" s="162">
        <f t="shared" si="177"/>
        <v>-407.68469195035658</v>
      </c>
      <c r="CD273">
        <f t="shared" si="196"/>
        <v>33126.507971754014</v>
      </c>
    </row>
    <row r="274" spans="4:82" x14ac:dyDescent="0.2">
      <c r="D274" s="22">
        <f t="shared" si="211"/>
        <v>4.2415328728376389E-2</v>
      </c>
      <c r="E274" s="23">
        <v>8.4017032</v>
      </c>
      <c r="F274" s="23">
        <f>IF(K274&lt;6,1,IF(Data!K274&lt;9,2,IF(K274&gt;9,3)))</f>
        <v>3</v>
      </c>
      <c r="G274" s="23">
        <v>1022.3895581216832</v>
      </c>
      <c r="H274" s="23">
        <v>219.01666499999999</v>
      </c>
      <c r="I274" s="64">
        <v>46.997572117272377</v>
      </c>
      <c r="J274" s="65">
        <f t="shared" si="212"/>
        <v>1.3397314169050185</v>
      </c>
      <c r="K274" s="65">
        <f t="shared" si="213"/>
        <v>18.79902884690895</v>
      </c>
      <c r="L274" s="65">
        <f t="shared" si="214"/>
        <v>0.53589256676199315</v>
      </c>
      <c r="M274">
        <f t="shared" si="215"/>
        <v>16.8034064</v>
      </c>
      <c r="N274">
        <f t="shared" si="216"/>
        <v>9.9998399999998711E-2</v>
      </c>
      <c r="O274">
        <f>IF(L274&lt;'Vehicle Data'!F$21,'Vehicle Data'!C$21,IF(L274&gt;'Vehicle Data'!C$21,'Vehicle Data'!C$20))</f>
        <v>0.6</v>
      </c>
      <c r="P274">
        <f>('Vehicle Data'!C$6*9.81*'Vehicle Data'!C$5*SIN(D274))/'Vehicle Data'!C$9</f>
        <v>28.238762545357893</v>
      </c>
      <c r="Q274" s="107">
        <f>'Vehicle Data'!C$6*9.81*SIN(D274)</f>
        <v>182.61066445998102</v>
      </c>
      <c r="R274" s="101">
        <f t="shared" si="217"/>
        <v>1208.8185538913849</v>
      </c>
      <c r="S274" s="101">
        <f>IF(Data!O274=0.6,'Vehicle Data'!E$21,IF(Data!O274 = 0.9,'Vehicle Data'!E$20))+(P274*O274)</f>
        <v>1567.3156575272144</v>
      </c>
      <c r="T274" s="101">
        <f>IF(F274=3,'Vehicle Data'!H$16,IF(F274=2,'Vehicle Data'!H$15,IF(F274 = 1,'Vehicle Data'!G$14)))</f>
        <v>466.23005239380637</v>
      </c>
      <c r="U274" s="148">
        <f t="shared" si="218"/>
        <v>492.68007176806884</v>
      </c>
      <c r="V274" s="102" t="s">
        <v>77</v>
      </c>
      <c r="W274" s="103" t="s">
        <v>84</v>
      </c>
      <c r="X274" s="101">
        <f>IF(V274="S",'Vehicle Data'!C$14,IF(Data!V274 = "T1",'Vehicle Data'!P$2,IF(Data!V274="T2",'Vehicle Data'!P$3)))</f>
        <v>13.411199999999999</v>
      </c>
      <c r="Y274" s="101"/>
      <c r="Z274" s="104">
        <v>9.6999999999999993</v>
      </c>
      <c r="AA274" s="101"/>
      <c r="AB274" s="101" t="b">
        <f>IF(AA274=1,'Vehicle Data'!I$14,IF(AA274=2,'Vehicle Data'!I$15,IF(AA274=3,'Vehicle Data'!I$16)))</f>
        <v>0</v>
      </c>
      <c r="AC274" s="101">
        <f>IF(Z274&lt;'Vehicle Data'!C$16,'Vehicle Data'!I$15,IF(Z274&lt;'Vehicle Data'!C$15,'Vehicle Data'!I$15,IF(Z273&gt;'Vehicle Data'!C$15,'Vehicle Data'!I$16)))</f>
        <v>0.46202745420001456</v>
      </c>
      <c r="AD274">
        <f>IF(O274=0.6,'Vehicle Data'!F$21,IF(O274=0.9,'Vehicle Data'!F$20))</f>
        <v>3.5315999999999996</v>
      </c>
      <c r="AE274" s="101">
        <f>(Data!H$15-Data!Q274)/'Vehicle Data'!C$6</f>
        <v>6.5845103735806293E-2</v>
      </c>
      <c r="AF274" s="158">
        <f t="shared" si="220"/>
        <v>0.16609972848166848</v>
      </c>
      <c r="AG274" s="148">
        <f t="shared" si="178"/>
        <v>-1.2040958876225614</v>
      </c>
      <c r="AH274" s="148">
        <f t="shared" si="195"/>
        <v>73.454944256399585</v>
      </c>
      <c r="AI274" s="101"/>
      <c r="AJ274" s="101">
        <f>(Z274^2)*'Vehicle Data'!C$31</f>
        <v>34.578075000000005</v>
      </c>
      <c r="AK274" s="101">
        <f>IF(O274=0.6,'Vehicle Data'!C$6*'Vehicle Data'!D$21*9.81,IF(O274=0.9,'Vehicle Data'!C$6*9.81*'Vehicle Data'!D$20))</f>
        <v>86.131799999999998</v>
      </c>
      <c r="AL274" s="101">
        <f t="shared" si="221"/>
        <v>303.32053945998103</v>
      </c>
      <c r="AM274" s="101"/>
      <c r="AN274">
        <f>IF(AG274&lt;0,AG274*'Vehicle Data'!C$6)</f>
        <v>-528.59809466630441</v>
      </c>
      <c r="AO274" s="101">
        <f t="shared" si="222"/>
        <v>-225.27755520632337</v>
      </c>
      <c r="AP274" s="101">
        <f>AO274*'Vehicle Data'!F$3</f>
        <v>-57.58094311073625</v>
      </c>
      <c r="AQ274">
        <f>IF(AE266='Vehicle Data'!I$15,AP266/'Vehicle Data'!G$15,IF(AE266='Vehicle Data'!I$16,AP266/'Vehicle Data'!G$16,IF(AE266='Vehicle Data'!I$14,Data!AP266/'Vehicle Data'!G277)))</f>
        <v>14.979225509163086</v>
      </c>
      <c r="AR274">
        <f>IF(Z274&lt;'Vehicle Data'!C$16, Z274*'Vehicle Data'!F$7*'Vehicle Data'!G$14,IF(Z274&lt;'Vehicle Data'!C$15,Z274*'Vehicle Data'!F$7*'Vehicle Data'!G$15,IF(Z274&gt;'Vehicle Data'!C$15,Z274*'Vehicle Data'!F$7*'Vehicle Data'!G$16)))</f>
        <v>84.382207905829958</v>
      </c>
      <c r="AS274">
        <f t="shared" si="223"/>
        <v>5062.9324743497973</v>
      </c>
      <c r="AT274">
        <f t="shared" si="224"/>
        <v>15</v>
      </c>
      <c r="AU274">
        <f t="shared" si="225"/>
        <v>5000</v>
      </c>
      <c r="AW274">
        <f>VLOOKUP(AT274,BSFC!A$64:A$82,1,FALSE)</f>
        <v>15</v>
      </c>
      <c r="AX274" t="e" cm="1">
        <f t="array" ref="AX274">_xlfn.XLOOKUP(AT274,BSFC!A$64:A$82,,-1,_xlfn.XLOOKUP(Data!AU274,BSFC!C$63:Q$63,BSFC!B$64:Q$82,,-1))</f>
        <v>#VALUE!</v>
      </c>
      <c r="AY274">
        <f>HLOOKUP(AU274,BSFC!F$63:Q$63,1)</f>
        <v>5000</v>
      </c>
      <c r="AZ274">
        <f>IF(AT274&gt;0,MATCH(AT274,BSFC!A$64:A$83,0),IF(AT274&lt;=0,0))</f>
        <v>8</v>
      </c>
      <c r="BA274">
        <f>MATCH(AU274,BSFC!C$63:Q$63,0)</f>
        <v>10</v>
      </c>
      <c r="BB274" cm="1">
        <f t="array" ref="BB274">IF(AZ274&gt;0,INDEX(BSFC!C$64:Q$83,Data!AZ274,Data!BA274))</f>
        <v>705.8</v>
      </c>
      <c r="BC274">
        <f>0.5*'Vehicle Data'!C$6*Data!Z274^2</f>
        <v>20652.754999999997</v>
      </c>
      <c r="BD274">
        <f t="shared" si="179"/>
        <v>10.887605370866929</v>
      </c>
      <c r="BE274">
        <f t="shared" si="226"/>
        <v>7684.4718707578777</v>
      </c>
      <c r="BF274">
        <f t="shared" si="227"/>
        <v>0.35455241423830625</v>
      </c>
      <c r="BG274">
        <f t="shared" si="180"/>
        <v>81.78123553081501</v>
      </c>
      <c r="BH274">
        <f t="shared" si="171"/>
        <v>7909.7629610920612</v>
      </c>
      <c r="BI274" s="148">
        <f t="shared" si="181"/>
        <v>6871.6622130335309</v>
      </c>
      <c r="BO274">
        <f t="shared" si="182"/>
        <v>2214.7336291057773</v>
      </c>
      <c r="BP274">
        <f t="shared" si="183"/>
        <v>376740.52323098114</v>
      </c>
      <c r="BQ274">
        <f t="shared" si="184"/>
        <v>473113.84998551098</v>
      </c>
      <c r="BR274" s="148">
        <f t="shared" si="185"/>
        <v>506681.63022683444</v>
      </c>
      <c r="BS274" s="156">
        <f t="shared" si="186"/>
        <v>2214.7336291057773</v>
      </c>
      <c r="BT274" s="156">
        <f t="shared" si="187"/>
        <v>7909.7629610920612</v>
      </c>
      <c r="BU274">
        <f t="shared" si="188"/>
        <v>1924.0654196493888</v>
      </c>
      <c r="BV274">
        <f t="shared" si="189"/>
        <v>1924.0654196493888</v>
      </c>
      <c r="BW274" s="148">
        <f t="shared" si="190"/>
        <v>455.4</v>
      </c>
      <c r="BX274" s="148">
        <f t="shared" si="191"/>
        <v>3129354.9718154697</v>
      </c>
      <c r="BY274" s="148">
        <f t="shared" si="192"/>
        <v>0.24339427558564763</v>
      </c>
      <c r="BZ274">
        <f t="shared" si="176"/>
        <v>73.454944256399585</v>
      </c>
      <c r="CB274">
        <f t="shared" si="193"/>
        <v>-290.66820945638847</v>
      </c>
      <c r="CC274" s="162">
        <f t="shared" si="177"/>
        <v>-1749.9619783452411</v>
      </c>
      <c r="CD274">
        <f t="shared" si="196"/>
        <v>32835.839762297626</v>
      </c>
    </row>
    <row r="275" spans="4:82" x14ac:dyDescent="0.2">
      <c r="D275" s="22">
        <f t="shared" si="211"/>
        <v>4.9062920242046774E-2</v>
      </c>
      <c r="E275" s="23">
        <v>8.5017015999999987</v>
      </c>
      <c r="F275" s="23">
        <f>IF(K275&lt;6,1,IF(Data!K275&lt;9,2,IF(K275&gt;9,3)))</f>
        <v>3</v>
      </c>
      <c r="G275" s="23">
        <v>1024.7478656757876</v>
      </c>
      <c r="H275" s="23">
        <v>219.066665</v>
      </c>
      <c r="I275" s="64">
        <v>47.064558688117643</v>
      </c>
      <c r="J275" s="65">
        <f t="shared" si="212"/>
        <v>1.4354312780726908</v>
      </c>
      <c r="K275" s="65">
        <f t="shared" si="213"/>
        <v>18.825823475247056</v>
      </c>
      <c r="L275" s="65">
        <f t="shared" si="214"/>
        <v>0.57417251122911894</v>
      </c>
      <c r="M275">
        <f t="shared" si="215"/>
        <v>17.003403199999997</v>
      </c>
      <c r="N275">
        <f t="shared" si="216"/>
        <v>0.11580771547588853</v>
      </c>
      <c r="O275">
        <f>IF(L275&lt;'Vehicle Data'!F$21,'Vehicle Data'!C$21,IF(L275&gt;'Vehicle Data'!C$21,'Vehicle Data'!C$20))</f>
        <v>0.6</v>
      </c>
      <c r="P275">
        <f>('Vehicle Data'!C$6*9.81*'Vehicle Data'!C$5*SIN(D275))/'Vehicle Data'!C$9</f>
        <v>32.661204407245584</v>
      </c>
      <c r="Q275" s="107">
        <f>'Vehicle Data'!C$6*9.81*SIN(D275)</f>
        <v>211.20912183352144</v>
      </c>
      <c r="R275" s="101">
        <f t="shared" si="217"/>
        <v>1022.3895581216832</v>
      </c>
      <c r="S275" s="101">
        <f>IF(Data!O275=0.6,'Vehicle Data'!E$21,IF(Data!O275 = 0.9,'Vehicle Data'!E$20))+(P275*O275)</f>
        <v>1569.9691226443472</v>
      </c>
      <c r="T275" s="101">
        <f>IF(F275=3,'Vehicle Data'!H$16,IF(F275=2,'Vehicle Data'!H$15,IF(F275 = 1,'Vehicle Data'!G$14)))</f>
        <v>466.23005239380637</v>
      </c>
      <c r="U275" s="148">
        <f t="shared" si="218"/>
        <v>306.25107599836713</v>
      </c>
      <c r="V275" s="102" t="s">
        <v>77</v>
      </c>
      <c r="W275" s="103" t="s">
        <v>84</v>
      </c>
      <c r="X275" s="101">
        <f>IF(V275="S",'Vehicle Data'!C$14,IF(Data!V275 = "T1",'Vehicle Data'!P$2,IF(Data!V275="T2",'Vehicle Data'!P$3)))</f>
        <v>13.411199999999999</v>
      </c>
      <c r="Y275" s="101"/>
      <c r="Z275" s="105">
        <v>10</v>
      </c>
      <c r="AA275" s="101"/>
      <c r="AB275" s="101" t="b">
        <f>IF(AA275=1,'Vehicle Data'!I$14,IF(AA275=2,'Vehicle Data'!I$15,IF(AA275=3,'Vehicle Data'!I$16)))</f>
        <v>0</v>
      </c>
      <c r="AC275" s="101">
        <f>IF(Z275&lt;'Vehicle Data'!C$16,'Vehicle Data'!I$15,IF(Z275&lt;'Vehicle Data'!C$15,'Vehicle Data'!I$15,IF(Z274&gt;'Vehicle Data'!C$15,'Vehicle Data'!I$16)))</f>
        <v>0.46202745420001456</v>
      </c>
      <c r="AD275">
        <f>IF(O275=0.6,'Vehicle Data'!F$21,IF(O275=0.9,'Vehicle Data'!F$20))</f>
        <v>3.5315999999999996</v>
      </c>
      <c r="AE275" s="101">
        <f>(Data!H$15-Data!Q275)/'Vehicle Data'!C$6</f>
        <v>7.0055390997392393E-4</v>
      </c>
      <c r="AF275" s="158">
        <v>0.28000000000000003</v>
      </c>
      <c r="AG275" s="148">
        <f t="shared" si="178"/>
        <v>1.0714285714285738</v>
      </c>
      <c r="AH275" s="148">
        <f t="shared" si="195"/>
        <v>73.734944256399586</v>
      </c>
      <c r="AI275" s="101"/>
      <c r="AJ275" s="101">
        <f>(Z275^2)*'Vehicle Data'!C$31</f>
        <v>36.750000000000007</v>
      </c>
      <c r="AK275" s="101">
        <f>IF(O275=0.6,'Vehicle Data'!C$6*'Vehicle Data'!D$21*9.81,IF(O275=0.9,'Vehicle Data'!C$6*9.81*'Vehicle Data'!D$20))</f>
        <v>86.131799999999998</v>
      </c>
      <c r="AL275" s="101">
        <f t="shared" si="221"/>
        <v>334.09092183352141</v>
      </c>
      <c r="AM275" s="101"/>
      <c r="AN275">
        <f>IF(AG27&gt;0,AG275*'Vehicle Data'!C$6)</f>
        <v>470.35714285714391</v>
      </c>
      <c r="AO275" s="101">
        <f t="shared" si="222"/>
        <v>804.44806469066532</v>
      </c>
      <c r="AP275" s="101">
        <f>AO275*'Vehicle Data'!F$3</f>
        <v>205.61692533493405</v>
      </c>
      <c r="AQ275">
        <v>20</v>
      </c>
      <c r="AR275">
        <f>IF(Z275&lt;'Vehicle Data'!C$16, Z275*'Vehicle Data'!F$7*'Vehicle Data'!G$14,IF(Z275&lt;'Vehicle Data'!C$15,Z275*'Vehicle Data'!F$7*'Vehicle Data'!G$15,IF(Z275&gt;'Vehicle Data'!C$15,Z275*'Vehicle Data'!F$7*'Vehicle Data'!G$16)))</f>
        <v>86.991966913226761</v>
      </c>
      <c r="AS275">
        <f t="shared" si="223"/>
        <v>5219.5180147936053</v>
      </c>
      <c r="AT275">
        <f t="shared" si="224"/>
        <v>20</v>
      </c>
      <c r="AU275">
        <f t="shared" si="225"/>
        <v>5000</v>
      </c>
      <c r="AW275">
        <f>VLOOKUP(AT275,BSFC!A$64:A$82,1,FALSE)</f>
        <v>20</v>
      </c>
      <c r="AX275" t="e" cm="1">
        <f t="array" ref="AX275">_xlfn.XLOOKUP(AT275,BSFC!A$64:A$82,,-1,_xlfn.XLOOKUP(Data!AU275,BSFC!C$63:Q$63,BSFC!B$64:Q$82,,-1))</f>
        <v>#VALUE!</v>
      </c>
      <c r="AY275">
        <f>HLOOKUP(AU275,BSFC!F$63:Q$63,1)</f>
        <v>5000</v>
      </c>
      <c r="AZ275">
        <f>IF(AT275&gt;0,MATCH(AT275,BSFC!A$64:A$83,0),IF(AT275&lt;=0,0))</f>
        <v>3</v>
      </c>
      <c r="BA275">
        <f>MATCH(AU275,BSFC!C$63:Q$63,0)</f>
        <v>10</v>
      </c>
      <c r="BB275" cm="1">
        <f t="array" ref="BB275">IF(AZ275&gt;0,INDEX(BSFC!C$64:Q$83,Data!AZ275,Data!BA275))</f>
        <v>550</v>
      </c>
      <c r="BC275">
        <f>0.5*'Vehicle Data'!C$6*Data!Z275^2</f>
        <v>21950</v>
      </c>
      <c r="BD275">
        <f t="shared" si="179"/>
        <v>11.472674176053403</v>
      </c>
      <c r="BE275">
        <f t="shared" si="226"/>
        <v>6309.9707968293715</v>
      </c>
      <c r="BF275">
        <f t="shared" si="227"/>
        <v>0.49077550642006229</v>
      </c>
      <c r="BG275">
        <f t="shared" si="180"/>
        <v>82.272011037235075</v>
      </c>
      <c r="BH275">
        <f t="shared" si="171"/>
        <v>10887.60537086693</v>
      </c>
      <c r="BI275" s="148">
        <f t="shared" si="181"/>
        <v>6871.6622130335309</v>
      </c>
      <c r="BO275">
        <f t="shared" si="182"/>
        <v>2852.9246658025513</v>
      </c>
      <c r="BP275">
        <f t="shared" si="183"/>
        <v>379593.44789678371</v>
      </c>
      <c r="BQ275">
        <f t="shared" si="184"/>
        <v>475966.77465131355</v>
      </c>
      <c r="BR275" s="148">
        <f t="shared" si="185"/>
        <v>508482.24054975121</v>
      </c>
      <c r="BS275" s="156">
        <f t="shared" si="186"/>
        <v>2852.9246658025513</v>
      </c>
      <c r="BT275" s="156">
        <f t="shared" si="187"/>
        <v>10887.60537086693</v>
      </c>
      <c r="BU275">
        <f t="shared" si="188"/>
        <v>1800.6103229167372</v>
      </c>
      <c r="BV275">
        <f t="shared" si="189"/>
        <v>1800.6103229167372</v>
      </c>
      <c r="BW275" s="148">
        <f t="shared" si="190"/>
        <v>455.4</v>
      </c>
      <c r="BX275" s="148">
        <f t="shared" si="191"/>
        <v>3129354.9718154697</v>
      </c>
      <c r="BY275" s="148">
        <f t="shared" si="192"/>
        <v>0.22777720584896724</v>
      </c>
      <c r="BZ275">
        <f t="shared" si="176"/>
        <v>73.734944256399586</v>
      </c>
      <c r="CB275">
        <f t="shared" si="193"/>
        <v>-1052.3143428858141</v>
      </c>
      <c r="CC275" s="162">
        <f t="shared" si="177"/>
        <v>-3758.2655103064635</v>
      </c>
      <c r="CD275">
        <f t="shared" si="196"/>
        <v>31783.525419411813</v>
      </c>
    </row>
    <row r="276" spans="4:82" x14ac:dyDescent="0.2">
      <c r="D276" s="22">
        <f t="shared" si="211"/>
        <v>0.12049093976819797</v>
      </c>
      <c r="E276" s="23">
        <v>8.6175093154758873</v>
      </c>
      <c r="F276" s="23">
        <f>IF(K276&lt;6,1,IF(Data!K276&lt;9,2,IF(K276&gt;9,3)))</f>
        <v>3</v>
      </c>
      <c r="G276" s="23">
        <v>1027.109204736628</v>
      </c>
      <c r="H276" s="23">
        <v>219.11666499999998</v>
      </c>
      <c r="I276" s="64">
        <v>47.136330252021253</v>
      </c>
      <c r="J276" s="65">
        <f t="shared" si="212"/>
        <v>1.6751852609225637</v>
      </c>
      <c r="K276" s="65">
        <f t="shared" si="213"/>
        <v>18.854532100808502</v>
      </c>
      <c r="L276" s="65">
        <f t="shared" si="214"/>
        <v>0.67007410436899706</v>
      </c>
      <c r="M276">
        <f t="shared" si="215"/>
        <v>17.235018630951775</v>
      </c>
      <c r="N276">
        <f t="shared" si="216"/>
        <v>0.28419388452411276</v>
      </c>
      <c r="O276">
        <f>IF(L276&lt;'Vehicle Data'!F$21,'Vehicle Data'!C$21,IF(L276&gt;'Vehicle Data'!C$21,'Vehicle Data'!C$20))</f>
        <v>0.6</v>
      </c>
      <c r="P276">
        <f>('Vehicle Data'!C$6*9.81*'Vehicle Data'!C$5*SIN(D276))/'Vehicle Data'!C$9</f>
        <v>80.049031598978715</v>
      </c>
      <c r="Q276" s="107">
        <f>'Vehicle Data'!C$6*9.81*SIN(D276)</f>
        <v>517.65040434006244</v>
      </c>
      <c r="R276" s="101">
        <f t="shared" si="217"/>
        <v>1024.7478656757876</v>
      </c>
      <c r="S276" s="101">
        <f>IF(Data!O276=0.6,'Vehicle Data'!E$21,IF(Data!O276 = 0.9,'Vehicle Data'!E$20))+(P276*O276)</f>
        <v>1598.4018189593869</v>
      </c>
      <c r="T276" s="101">
        <f>IF(F276=3,'Vehicle Data'!H$16,IF(F276=2,'Vehicle Data'!H$15,IF(F276 = 1,'Vehicle Data'!G$14)))</f>
        <v>466.23005239380637</v>
      </c>
      <c r="U276" s="148">
        <f t="shared" si="218"/>
        <v>308.60938355247151</v>
      </c>
      <c r="V276" s="102" t="s">
        <v>77</v>
      </c>
      <c r="W276" s="103" t="s">
        <v>84</v>
      </c>
      <c r="X276" s="101">
        <f>IF(V276="S",'Vehicle Data'!C$14,IF(Data!V276 = "T1",'Vehicle Data'!P$2,IF(Data!V276="T2",'Vehicle Data'!P$3)))</f>
        <v>13.411199999999999</v>
      </c>
      <c r="Y276" s="101"/>
      <c r="Z276" s="105">
        <v>9</v>
      </c>
      <c r="AA276" s="101"/>
      <c r="AB276" s="101" t="b">
        <f>IF(AA276=1,'Vehicle Data'!I$14,IF(AA276=2,'Vehicle Data'!I$15,IF(AA276=3,'Vehicle Data'!I$16)))</f>
        <v>0</v>
      </c>
      <c r="AC276" s="101">
        <f>IF(Z276&lt;'Vehicle Data'!C$16,'Vehicle Data'!I$15,IF(Z276&lt;'Vehicle Data'!C$15,'Vehicle Data'!I$15,IF(Z275&gt;'Vehicle Data'!C$15,'Vehicle Data'!I$16)))</f>
        <v>0.46202745420001456</v>
      </c>
      <c r="AD276">
        <f>IF(O276=0.6,'Vehicle Data'!F$21,IF(O276=0.9,'Vehicle Data'!F$20))</f>
        <v>3.5315999999999996</v>
      </c>
      <c r="AE276" s="101">
        <f>(Data!H$15-Data!Q276)/'Vehicle Data'!C$6</f>
        <v>-0.6973433697951309</v>
      </c>
      <c r="AF276" s="158">
        <f t="shared" si="220"/>
        <v>0.26203417267826506</v>
      </c>
      <c r="AG276" s="148">
        <f t="shared" si="178"/>
        <v>-3.8162961333590477</v>
      </c>
      <c r="AH276" s="148">
        <f t="shared" si="195"/>
        <v>73.996978429077856</v>
      </c>
      <c r="AI276" s="101"/>
      <c r="AJ276" s="101">
        <f>(Z276^2)*'Vehicle Data'!C$31</f>
        <v>29.767500000000009</v>
      </c>
      <c r="AK276" s="101">
        <f>IF(O276=0.6,'Vehicle Data'!C$6*'Vehicle Data'!D$21*9.81,IF(O276=0.9,'Vehicle Data'!C$6*9.81*'Vehicle Data'!D$20))</f>
        <v>86.131799999999998</v>
      </c>
      <c r="AL276" s="101">
        <f t="shared" si="221"/>
        <v>633.54970434006248</v>
      </c>
      <c r="AM276" s="101"/>
      <c r="AN276">
        <f>IF(AG276&lt;0,AG276*'Vehicle Data'!C$6)</f>
        <v>-1675.3540025446218</v>
      </c>
      <c r="AO276" s="101">
        <f t="shared" si="222"/>
        <v>-1041.8042982045595</v>
      </c>
      <c r="AP276" s="101">
        <f>AO276*'Vehicle Data'!F$3</f>
        <v>-266.28517862108538</v>
      </c>
      <c r="AQ276">
        <v>20</v>
      </c>
      <c r="AR276" t="b">
        <f>IF(Z276&lt;'Vehicle Data'!C$16, Z276*'Vehicle Data'!F$7*'Vehicle Data'!G$14,IF(Z276&lt;'Vehicle Data'!C$15,Z276*'Vehicle Data'!F$7*'Vehicle Data'!G$15,IF(Z276&gt;'Vehicle Data'!C$15,Z276*'Vehicle Data'!F$7*'Vehicle Data'!G$16)))</f>
        <v>0</v>
      </c>
      <c r="AS276">
        <v>5500</v>
      </c>
      <c r="AT276">
        <f t="shared" si="224"/>
        <v>20</v>
      </c>
      <c r="AU276">
        <f t="shared" si="225"/>
        <v>5500</v>
      </c>
      <c r="AW276">
        <f>VLOOKUP(AT276,BSFC!A$64:A$82,1,FALSE)</f>
        <v>20</v>
      </c>
      <c r="AX276" t="e" cm="1">
        <f t="array" ref="AX276">_xlfn.XLOOKUP(AT276,BSFC!A$64:A$82,,-1,_xlfn.XLOOKUP(Data!AU276,BSFC!C$63:Q$63,BSFC!B$64:Q$82,,-1))</f>
        <v>#VALUE!</v>
      </c>
      <c r="AY276">
        <f>HLOOKUP(AU276,BSFC!F$63:Q$63,1)</f>
        <v>5500</v>
      </c>
      <c r="AZ276">
        <f>IF(AT276&gt;0,MATCH(AT276,BSFC!A$64:A$83,0),IF(AT276&lt;=0,0))</f>
        <v>3</v>
      </c>
      <c r="BA276">
        <f>MATCH(AU276,BSFC!C$63:Q$63,0)</f>
        <v>11</v>
      </c>
      <c r="BB276" cm="1">
        <f t="array" ref="BB276">IF(AZ276&gt;0,INDEX(BSFC!C$64:Q$83,Data!AZ276,Data!BA276))</f>
        <v>578</v>
      </c>
      <c r="BC276">
        <f>0.5*'Vehicle Data'!C$6*Data!Z276^2</f>
        <v>17779.5</v>
      </c>
      <c r="BD276">
        <f t="shared" si="179"/>
        <v>13.465906457145509</v>
      </c>
      <c r="BE276">
        <f t="shared" si="226"/>
        <v>7783.2939322301045</v>
      </c>
      <c r="BF276">
        <f t="shared" si="227"/>
        <v>0.56652471840102103</v>
      </c>
      <c r="BG276">
        <f t="shared" si="180"/>
        <v>82.838535755636101</v>
      </c>
      <c r="BH276">
        <f t="shared" si="171"/>
        <v>11472.674176053402</v>
      </c>
      <c r="BI276" s="148">
        <f t="shared" si="181"/>
        <v>6871.6622130335309</v>
      </c>
      <c r="BO276">
        <f t="shared" si="182"/>
        <v>3263.9606824350108</v>
      </c>
      <c r="BP276">
        <f t="shared" si="183"/>
        <v>382857.40857921873</v>
      </c>
      <c r="BQ276">
        <f t="shared" si="184"/>
        <v>479230.73533374857</v>
      </c>
      <c r="BR276" s="148">
        <f t="shared" si="185"/>
        <v>510437.21939270751</v>
      </c>
      <c r="BS276" s="156">
        <f t="shared" si="186"/>
        <v>3263.9606824350108</v>
      </c>
      <c r="BT276" s="156">
        <f t="shared" si="187"/>
        <v>11472.674176053402</v>
      </c>
      <c r="BU276">
        <f t="shared" si="188"/>
        <v>1954.9788429563259</v>
      </c>
      <c r="BV276">
        <f t="shared" si="189"/>
        <v>1954.9788429563259</v>
      </c>
      <c r="BW276" s="148">
        <f t="shared" si="190"/>
        <v>455.4</v>
      </c>
      <c r="BX276" s="148">
        <f t="shared" si="191"/>
        <v>3129354.9718154697</v>
      </c>
      <c r="BY276" s="148">
        <f t="shared" si="192"/>
        <v>0.24730482363397518</v>
      </c>
      <c r="BZ276">
        <f t="shared" si="176"/>
        <v>73.996978429077856</v>
      </c>
      <c r="CB276">
        <f t="shared" si="193"/>
        <v>-1308.9818394786848</v>
      </c>
      <c r="CC276" s="162">
        <f t="shared" si="177"/>
        <v>-4995.4623326396286</v>
      </c>
      <c r="CD276">
        <f t="shared" si="196"/>
        <v>30474.543579933128</v>
      </c>
    </row>
    <row r="277" spans="4:82" x14ac:dyDescent="0.2">
      <c r="D277" s="22">
        <f t="shared" si="211"/>
        <v>9.1254125943258782E-2</v>
      </c>
      <c r="E277" s="23">
        <v>8.9017032</v>
      </c>
      <c r="F277" s="23">
        <f>IF(K277&lt;6,1,IF(Data!K277&lt;9,2,IF(K277&gt;9,3)))</f>
        <v>3</v>
      </c>
      <c r="G277" s="23">
        <v>1029.4735543650477</v>
      </c>
      <c r="H277" s="23">
        <v>219.16666499999999</v>
      </c>
      <c r="I277" s="64">
        <v>47.2200895150674</v>
      </c>
      <c r="J277" s="65">
        <f t="shared" si="212"/>
        <v>1.7482084246637719</v>
      </c>
      <c r="K277" s="65">
        <f t="shared" si="213"/>
        <v>18.888035806026959</v>
      </c>
      <c r="L277" s="65">
        <f t="shared" si="214"/>
        <v>0.69928336986552297</v>
      </c>
      <c r="M277">
        <f t="shared" si="215"/>
        <v>17.8034064</v>
      </c>
      <c r="N277">
        <f t="shared" si="216"/>
        <v>0.21580611547597783</v>
      </c>
      <c r="O277">
        <f>IF(L277&lt;'Vehicle Data'!F$21,'Vehicle Data'!C$21,IF(L277&gt;'Vehicle Data'!C$21,'Vehicle Data'!C$20))</f>
        <v>0.6</v>
      </c>
      <c r="P277">
        <f>('Vehicle Data'!C$6*9.81*'Vehicle Data'!C$5*SIN(D277))/'Vehicle Data'!C$9</f>
        <v>60.687974584678031</v>
      </c>
      <c r="Q277" s="107">
        <f>'Vehicle Data'!C$6*9.81*SIN(D277)</f>
        <v>392.44890231425126</v>
      </c>
      <c r="R277" s="101">
        <f t="shared" si="217"/>
        <v>1027.109204736628</v>
      </c>
      <c r="S277" s="101">
        <f>IF(Data!O277=0.6,'Vehicle Data'!E$21,IF(Data!O277 = 0.9,'Vehicle Data'!E$20))+(P277*O277)</f>
        <v>1586.7851847508066</v>
      </c>
      <c r="T277" s="101">
        <f>IF(F277=3,'Vehicle Data'!H$16,IF(F277=2,'Vehicle Data'!H$15,IF(F277 = 1,'Vehicle Data'!G$14)))</f>
        <v>466.23005239380637</v>
      </c>
      <c r="U277" s="148">
        <f t="shared" si="218"/>
        <v>310.97072261331198</v>
      </c>
      <c r="V277" s="102" t="s">
        <v>77</v>
      </c>
      <c r="W277" s="103" t="s">
        <v>84</v>
      </c>
      <c r="X277" s="101">
        <f>IF(V277="S",'Vehicle Data'!C$14,IF(Data!V277 = "T1",'Vehicle Data'!P$2,IF(Data!V277="T2",'Vehicle Data'!P$3)))</f>
        <v>13.411199999999999</v>
      </c>
      <c r="Y277" s="101"/>
      <c r="Z277" s="105">
        <v>8.3000000000000007</v>
      </c>
      <c r="AA277" s="101"/>
      <c r="AB277" s="101" t="b">
        <f>IF(AA277=1,'Vehicle Data'!I$14,IF(AA277=2,'Vehicle Data'!I$15,IF(AA277=3,'Vehicle Data'!I$16)))</f>
        <v>0</v>
      </c>
      <c r="AC277" s="101">
        <f>IF(Z277&lt;'Vehicle Data'!C$16,'Vehicle Data'!I$15,IF(Z277&lt;'Vehicle Data'!C$15,'Vehicle Data'!I$15,IF(Z276&gt;'Vehicle Data'!C$15,'Vehicle Data'!I$16)))</f>
        <v>0.98256251041858167</v>
      </c>
      <c r="AD277">
        <f>IF(O277=0.6,'Vehicle Data'!F$21,IF(O277=0.9,'Vehicle Data'!F$20))</f>
        <v>3.5315999999999996</v>
      </c>
      <c r="AE277" s="101">
        <f>(Data!H$15-Data!Q277)/'Vehicle Data'!C$6</f>
        <v>-0.41214632645615323</v>
      </c>
      <c r="AF277" s="158">
        <f t="shared" si="220"/>
        <v>0.28449868202897161</v>
      </c>
      <c r="AG277" s="148">
        <f t="shared" si="178"/>
        <v>-2.4604683403373926</v>
      </c>
      <c r="AH277" s="148">
        <f t="shared" si="195"/>
        <v>74.281477111106824</v>
      </c>
      <c r="AI277" s="101"/>
      <c r="AJ277" s="101">
        <f>(Z277^2)*'Vehicle Data'!C$31</f>
        <v>25.317075000000013</v>
      </c>
      <c r="AK277" s="101">
        <f>IF(O277=0.6,'Vehicle Data'!C$6*'Vehicle Data'!D$21*9.81,IF(O277=0.9,'Vehicle Data'!C$6*9.81*'Vehicle Data'!D$20))</f>
        <v>86.131799999999998</v>
      </c>
      <c r="AL277" s="101">
        <f t="shared" si="221"/>
        <v>503.89777731425124</v>
      </c>
      <c r="AM277" s="101"/>
      <c r="AN277">
        <f>IF(AG277&lt;0,AG277*'Vehicle Data'!C$6)</f>
        <v>-1080.1456014081155</v>
      </c>
      <c r="AO277" s="101">
        <f t="shared" si="222"/>
        <v>-576.24782409386421</v>
      </c>
      <c r="AP277" s="101">
        <f>AO277*'Vehicle Data'!F$3</f>
        <v>-147.2889438383917</v>
      </c>
      <c r="AQ277">
        <v>20</v>
      </c>
      <c r="AR277">
        <f>IF(Z277&lt;'Vehicle Data'!C$16, Z277*'Vehicle Data'!F$7*'Vehicle Data'!G$14,IF(Z277&lt;'Vehicle Data'!C$15,Z277*'Vehicle Data'!F$7*'Vehicle Data'!G$15,IF(Z277&gt;'Vehicle Data'!C$15,Z277*'Vehicle Data'!F$7*'Vehicle Data'!G$16)))</f>
        <v>107.59259259259261</v>
      </c>
      <c r="AS277">
        <f t="shared" si="223"/>
        <v>6455.5555555555566</v>
      </c>
      <c r="AT277">
        <f t="shared" si="224"/>
        <v>20</v>
      </c>
      <c r="AU277">
        <f t="shared" si="225"/>
        <v>6500</v>
      </c>
      <c r="AW277">
        <f>VLOOKUP(AT277,BSFC!A$64:A$82,1,FALSE)</f>
        <v>20</v>
      </c>
      <c r="AX277" t="e" cm="1">
        <f t="array" ref="AX277">_xlfn.XLOOKUP(AT277,BSFC!A$64:A$82,,-1,_xlfn.XLOOKUP(Data!AU277,BSFC!C$63:Q$63,BSFC!B$64:Q$82,,-1))</f>
        <v>#VALUE!</v>
      </c>
      <c r="AY277">
        <f>HLOOKUP(AU277,BSFC!F$63:Q$63,1)</f>
        <v>6500</v>
      </c>
      <c r="AZ277">
        <f>IF(AT277&gt;0,MATCH(AT277,BSFC!A$64:A$83,0),IF(AT277&lt;=0,0))</f>
        <v>3</v>
      </c>
      <c r="BA277">
        <f>MATCH(AU277,BSFC!C$63:Q$63,0)</f>
        <v>13</v>
      </c>
      <c r="BB277" cm="1">
        <f t="array" ref="BB277">IF(AZ277&gt;0,INDEX(BSFC!C$64:Q$83,Data!AZ277,Data!BA277))</f>
        <v>494.7</v>
      </c>
      <c r="BC277">
        <f>0.5*'Vehicle Data'!C$6*Data!Z277^2</f>
        <v>15121.355000000003</v>
      </c>
      <c r="BD277">
        <f t="shared" si="179"/>
        <v>13.465906457145509</v>
      </c>
      <c r="BE277">
        <f t="shared" si="226"/>
        <v>6661.5839243498831</v>
      </c>
      <c r="BF277">
        <f t="shared" si="227"/>
        <v>0.52644773519525723</v>
      </c>
      <c r="BG277">
        <f t="shared" si="180"/>
        <v>83.364983490831364</v>
      </c>
      <c r="BH277">
        <f t="shared" si="171"/>
        <v>13465.906457145509</v>
      </c>
      <c r="BI277" s="148">
        <f t="shared" si="181"/>
        <v>6871.6622130335309</v>
      </c>
      <c r="BO277">
        <f t="shared" si="182"/>
        <v>3835.9169793115061</v>
      </c>
      <c r="BP277">
        <f t="shared" si="183"/>
        <v>386693.32555853022</v>
      </c>
      <c r="BQ277">
        <f t="shared" si="184"/>
        <v>483066.65231306007</v>
      </c>
      <c r="BR277" s="148">
        <f t="shared" si="185"/>
        <v>512394.69071801007</v>
      </c>
      <c r="BS277" s="156">
        <f t="shared" si="186"/>
        <v>3835.9169793115061</v>
      </c>
      <c r="BT277" s="156">
        <f t="shared" si="187"/>
        <v>13465.906457145509</v>
      </c>
      <c r="BU277">
        <f t="shared" si="188"/>
        <v>1957.4713253025363</v>
      </c>
      <c r="BV277">
        <f t="shared" si="189"/>
        <v>1957.4713253025363</v>
      </c>
      <c r="BW277" s="148">
        <f t="shared" si="190"/>
        <v>455.4</v>
      </c>
      <c r="BX277" s="148">
        <f t="shared" si="191"/>
        <v>3129354.9718154697</v>
      </c>
      <c r="BY277" s="148">
        <f t="shared" si="192"/>
        <v>0.2476201226507708</v>
      </c>
      <c r="BZ277">
        <f t="shared" si="176"/>
        <v>74.281477111106824</v>
      </c>
      <c r="CB277">
        <f t="shared" si="193"/>
        <v>-1878.4456540089698</v>
      </c>
      <c r="CC277" s="162">
        <f t="shared" si="177"/>
        <v>-6602.6515153335804</v>
      </c>
      <c r="CD277">
        <f t="shared" si="196"/>
        <v>28596.097925924158</v>
      </c>
    </row>
    <row r="278" spans="4:82" x14ac:dyDescent="0.2">
      <c r="D278" s="22">
        <f t="shared" si="211"/>
        <v>0.1268297731488181</v>
      </c>
      <c r="E278" s="23">
        <v>9.1175093154759779</v>
      </c>
      <c r="F278" s="23">
        <f>IF(K278&lt;6,1,IF(Data!K278&lt;9,2,IF(K278&gt;9,3)))</f>
        <v>3</v>
      </c>
      <c r="G278" s="23">
        <v>1031.8417313515729</v>
      </c>
      <c r="H278" s="23">
        <v>219.21666499999998</v>
      </c>
      <c r="I278" s="64">
        <v>47.307499936300559</v>
      </c>
      <c r="J278" s="65">
        <f t="shared" si="212"/>
        <v>1.5682777950178903</v>
      </c>
      <c r="K278" s="65">
        <f t="shared" si="213"/>
        <v>18.922999974520224</v>
      </c>
      <c r="L278" s="65">
        <f t="shared" si="214"/>
        <v>0.62731111800715611</v>
      </c>
      <c r="M278">
        <f t="shared" si="215"/>
        <v>18.235018630951956</v>
      </c>
      <c r="N278">
        <f t="shared" si="216"/>
        <v>0.29999599999990956</v>
      </c>
      <c r="O278">
        <f>IF(L278&lt;'Vehicle Data'!F$21,'Vehicle Data'!C$21,IF(L278&gt;'Vehicle Data'!C$21,'Vehicle Data'!C$20))</f>
        <v>0.6</v>
      </c>
      <c r="P278">
        <f>('Vehicle Data'!C$6*9.81*'Vehicle Data'!C$5*SIN(D278))/'Vehicle Data'!C$9</f>
        <v>84.238245862304268</v>
      </c>
      <c r="Q278" s="107">
        <f>'Vehicle Data'!C$6*9.81*SIN(D278)</f>
        <v>544.74065657623419</v>
      </c>
      <c r="R278" s="101">
        <f t="shared" si="217"/>
        <v>1029.4735543650477</v>
      </c>
      <c r="S278" s="101">
        <f>IF(Data!O278=0.6,'Vehicle Data'!E$21,IF(Data!O278 = 0.9,'Vehicle Data'!E$20))+(P278*O278)</f>
        <v>1600.9153475173823</v>
      </c>
      <c r="T278" s="101">
        <f>IF(F278=3,'Vehicle Data'!H$16,IF(F278=2,'Vehicle Data'!H$15,IF(F278 = 1,'Vehicle Data'!G$14)))</f>
        <v>466.23005239380637</v>
      </c>
      <c r="U278" s="148">
        <f t="shared" si="218"/>
        <v>313.33507224173161</v>
      </c>
      <c r="V278" s="102" t="s">
        <v>77</v>
      </c>
      <c r="W278" s="103" t="s">
        <v>84</v>
      </c>
      <c r="X278" s="101">
        <f>IF(V278="S",'Vehicle Data'!C$14,IF(Data!V278 = "T1",'Vehicle Data'!P$2,IF(Data!V278="T2",'Vehicle Data'!P$3)))</f>
        <v>13.411199999999999</v>
      </c>
      <c r="Y278" s="101"/>
      <c r="Z278" s="105">
        <v>8.3000000000000007</v>
      </c>
      <c r="AA278" s="101"/>
      <c r="AB278" s="101" t="b">
        <f>IF(AA278=1,'Vehicle Data'!I$14,IF(AA278=2,'Vehicle Data'!I$15,IF(AA278=3,'Vehicle Data'!I$16)))</f>
        <v>0</v>
      </c>
      <c r="AC278" s="101">
        <f>IF(Z278&lt;'Vehicle Data'!C$16,'Vehicle Data'!I$15,IF(Z278&lt;'Vehicle Data'!C$15,'Vehicle Data'!I$15,IF(Z277&gt;'Vehicle Data'!C$15,'Vehicle Data'!I$16)))</f>
        <v>0.98256251041858167</v>
      </c>
      <c r="AD278">
        <f>IF(O278=0.6,'Vehicle Data'!F$21,IF(O278=0.9,'Vehicle Data'!F$20))</f>
        <v>3.5315999999999996</v>
      </c>
      <c r="AE278" s="101">
        <f>(Data!H$15-Data!Q278)/'Vehicle Data'!C$6</f>
        <v>-0.75905237261101188</v>
      </c>
      <c r="AF278" s="158">
        <f t="shared" si="220"/>
        <v>0.28486140101441343</v>
      </c>
      <c r="AG278" s="148">
        <f t="shared" si="178"/>
        <v>0</v>
      </c>
      <c r="AH278" s="148">
        <f t="shared" si="195"/>
        <v>74.566338512121234</v>
      </c>
      <c r="AI278" s="101"/>
      <c r="AJ278" s="101">
        <f>(Z278^2)*'Vehicle Data'!C$31</f>
        <v>25.317075000000013</v>
      </c>
      <c r="AK278" s="101">
        <f>IF(O278=0.6,'Vehicle Data'!C$6*'Vehicle Data'!D$21*9.81,IF(O278=0.9,'Vehicle Data'!C$6*9.81*'Vehicle Data'!D$20))</f>
        <v>86.131799999999998</v>
      </c>
      <c r="AL278" s="101">
        <f t="shared" si="221"/>
        <v>656.18953157623423</v>
      </c>
      <c r="AM278" s="101"/>
      <c r="AN278" t="b">
        <f>IF(AG278&gt;0,AG278*'Vehicle Data'!C$6)</f>
        <v>0</v>
      </c>
      <c r="AO278" s="101">
        <f t="shared" si="222"/>
        <v>656.18953157623423</v>
      </c>
      <c r="AP278" s="101">
        <f>AO278*'Vehicle Data'!F$3</f>
        <v>167.72204427088548</v>
      </c>
      <c r="AQ278">
        <v>20</v>
      </c>
      <c r="AR278">
        <f>IF(Z278&lt;'Vehicle Data'!C$16, Z278*'Vehicle Data'!F$7*'Vehicle Data'!G$14,IF(Z278&lt;'Vehicle Data'!C$15,Z278*'Vehicle Data'!F$7*'Vehicle Data'!G$15,IF(Z278&gt;'Vehicle Data'!C$15,Z278*'Vehicle Data'!F$7*'Vehicle Data'!G$16)))</f>
        <v>107.59259259259261</v>
      </c>
      <c r="AS278">
        <f t="shared" si="223"/>
        <v>6455.5555555555566</v>
      </c>
      <c r="AT278">
        <f t="shared" si="224"/>
        <v>20</v>
      </c>
      <c r="AU278">
        <f t="shared" si="225"/>
        <v>6500</v>
      </c>
      <c r="AW278">
        <f>VLOOKUP(AT278,BSFC!A$64:A$82,1,FALSE)</f>
        <v>20</v>
      </c>
      <c r="AX278" t="e" cm="1">
        <f t="array" ref="AX278">_xlfn.XLOOKUP(AT278,BSFC!A$64:A$82,,-1,_xlfn.XLOOKUP(Data!AU278,BSFC!C$63:Q$63,BSFC!B$64:Q$82,,-1))</f>
        <v>#VALUE!</v>
      </c>
      <c r="AY278">
        <f>HLOOKUP(AU278,BSFC!F$63:Q$63,1)</f>
        <v>6500</v>
      </c>
      <c r="AZ278">
        <f>IF(AT278&gt;0,MATCH(AT278,BSFC!A$64:A$83,0),IF(AT278&lt;=0,0))</f>
        <v>3</v>
      </c>
      <c r="BA278">
        <f>MATCH(AU278,BSFC!C$63:Q$63,0)</f>
        <v>13</v>
      </c>
      <c r="BB278" cm="1">
        <f t="array" ref="BB278">IF(AZ278&gt;0,INDEX(BSFC!C$64:Q$83,Data!AZ278,Data!BA278))</f>
        <v>494.7</v>
      </c>
      <c r="BC278">
        <f>0.5*'Vehicle Data'!C$6*Data!Z278^2</f>
        <v>15121.355000000003</v>
      </c>
      <c r="BD278">
        <f t="shared" si="179"/>
        <v>13.465906457145509</v>
      </c>
      <c r="BE278">
        <f t="shared" si="226"/>
        <v>6661.5839243498831</v>
      </c>
      <c r="BF278">
        <f t="shared" si="227"/>
        <v>0.52711892490705614</v>
      </c>
      <c r="BG278">
        <f t="shared" si="180"/>
        <v>83.892102415738421</v>
      </c>
      <c r="BH278">
        <f t="shared" si="171"/>
        <v>13465.906457145509</v>
      </c>
      <c r="BI278" s="148">
        <f t="shared" si="181"/>
        <v>6871.6622130335309</v>
      </c>
      <c r="BO278">
        <f t="shared" si="182"/>
        <v>3842.1264788570202</v>
      </c>
      <c r="BP278">
        <f t="shared" si="183"/>
        <v>390535.45203738724</v>
      </c>
      <c r="BQ278">
        <f t="shared" si="184"/>
        <v>486908.77879191708</v>
      </c>
      <c r="BR278" s="148">
        <f t="shared" si="185"/>
        <v>514355.33075561019</v>
      </c>
      <c r="BS278" s="156">
        <f t="shared" si="186"/>
        <v>3842.1264788570202</v>
      </c>
      <c r="BT278" s="156">
        <f t="shared" si="187"/>
        <v>13465.906457145509</v>
      </c>
      <c r="BU278">
        <f t="shared" si="188"/>
        <v>1960.6400376001116</v>
      </c>
      <c r="BV278">
        <f t="shared" si="189"/>
        <v>1960.6400376001116</v>
      </c>
      <c r="BW278" s="148">
        <f t="shared" si="190"/>
        <v>455.4</v>
      </c>
      <c r="BX278" s="148">
        <f t="shared" si="191"/>
        <v>3129354.9718154697</v>
      </c>
      <c r="BY278" s="148">
        <f t="shared" si="192"/>
        <v>0.24802096475641408</v>
      </c>
      <c r="BZ278">
        <f t="shared" si="176"/>
        <v>74.566338512121234</v>
      </c>
      <c r="CB278">
        <f t="shared" si="193"/>
        <v>-1881.4864412569086</v>
      </c>
      <c r="CC278" s="162">
        <f t="shared" si="177"/>
        <v>-6604.9188642505105</v>
      </c>
      <c r="CD278">
        <f t="shared" si="196"/>
        <v>26714.61148466725</v>
      </c>
    </row>
    <row r="279" spans="4:82" x14ac:dyDescent="0.2">
      <c r="D279" s="22">
        <f t="shared" si="211"/>
        <v>0.12666005135049033</v>
      </c>
      <c r="E279" s="23">
        <v>9.4175053154758874</v>
      </c>
      <c r="F279" s="23">
        <f>IF(K279&lt;6,1,IF(Data!K279&lt;9,2,IF(K279&gt;9,3)))</f>
        <v>3</v>
      </c>
      <c r="G279" s="23">
        <v>1034.2134283380981</v>
      </c>
      <c r="H279" s="23">
        <v>219.26666499999999</v>
      </c>
      <c r="I279" s="64">
        <v>47.385913826051471</v>
      </c>
      <c r="J279" s="65">
        <f t="shared" si="212"/>
        <v>1.5120651498572473</v>
      </c>
      <c r="K279" s="65">
        <f t="shared" si="213"/>
        <v>18.954365530420588</v>
      </c>
      <c r="L279" s="65">
        <f t="shared" si="214"/>
        <v>0.60482605994288463</v>
      </c>
      <c r="M279">
        <f t="shared" si="215"/>
        <v>18.835010630951775</v>
      </c>
      <c r="N279">
        <f t="shared" si="216"/>
        <v>0.30000252641903735</v>
      </c>
      <c r="O279">
        <f>IF(L279&lt;'Vehicle Data'!F$21,'Vehicle Data'!C$21,IF(L279&gt;'Vehicle Data'!C$21,'Vehicle Data'!C$20))</f>
        <v>0.6</v>
      </c>
      <c r="P279">
        <f>('Vehicle Data'!C$6*9.81*'Vehicle Data'!C$5*SIN(D279))/'Vehicle Data'!C$9</f>
        <v>84.126123307636263</v>
      </c>
      <c r="Q279" s="107">
        <f>'Vehicle Data'!C$6*9.81*SIN(D279)</f>
        <v>544.01559738938113</v>
      </c>
      <c r="R279" s="101">
        <f t="shared" si="217"/>
        <v>1031.8417313515729</v>
      </c>
      <c r="S279" s="101">
        <f>IF(Data!O279=0.6,'Vehicle Data'!E$21,IF(Data!O279 = 0.9,'Vehicle Data'!E$20))+(P279*O279)</f>
        <v>1600.8480739845816</v>
      </c>
      <c r="T279" s="101">
        <f>IF(F279=3,'Vehicle Data'!H$16,IF(F279=2,'Vehicle Data'!H$15,IF(F279 = 1,'Vehicle Data'!G$14)))</f>
        <v>466.23005239380637</v>
      </c>
      <c r="U279" s="148">
        <f t="shared" si="218"/>
        <v>315.70324922825682</v>
      </c>
      <c r="V279" s="102" t="s">
        <v>77</v>
      </c>
      <c r="W279" s="103" t="s">
        <v>84</v>
      </c>
      <c r="X279" s="101">
        <f>IF(V279="S",'Vehicle Data'!C$14,IF(Data!V279 = "T1",'Vehicle Data'!P$2,IF(Data!V279="T2",'Vehicle Data'!P$3)))</f>
        <v>13.411199999999999</v>
      </c>
      <c r="Y279" s="101"/>
      <c r="Z279" s="105">
        <v>8.3000000000000007</v>
      </c>
      <c r="AA279" s="101"/>
      <c r="AB279" s="101" t="b">
        <f>IF(AA279=1,'Vehicle Data'!I$14,IF(AA279=2,'Vehicle Data'!I$15,IF(AA279=3,'Vehicle Data'!I$16)))</f>
        <v>0</v>
      </c>
      <c r="AC279" s="101">
        <f>IF(Z279&lt;'Vehicle Data'!C$16,'Vehicle Data'!I$15,IF(Z279&lt;'Vehicle Data'!C$15,'Vehicle Data'!I$15,IF(Z278&gt;'Vehicle Data'!C$15,'Vehicle Data'!I$16)))</f>
        <v>0.98256251041858167</v>
      </c>
      <c r="AD279">
        <f>IF(O279=0.6,'Vehicle Data'!F$21,IF(O279=0.9,'Vehicle Data'!F$20))</f>
        <v>3.5315999999999996</v>
      </c>
      <c r="AE279" s="101">
        <f>(Data!H$15-Data!Q279)/'Vehicle Data'!C$6</f>
        <v>-0.75740075715120991</v>
      </c>
      <c r="AF279" s="158">
        <f t="shared" si="220"/>
        <v>0.28532252849701367</v>
      </c>
      <c r="AG279" s="148">
        <f t="shared" si="178"/>
        <v>0</v>
      </c>
      <c r="AH279" s="148">
        <f t="shared" si="195"/>
        <v>74.851661040618254</v>
      </c>
      <c r="AI279" s="101"/>
      <c r="AJ279" s="101">
        <f>(Z279^2)*'Vehicle Data'!C$31</f>
        <v>25.317075000000013</v>
      </c>
      <c r="AK279" s="101">
        <f>IF(O279=0.6,'Vehicle Data'!C$6*'Vehicle Data'!D$21*9.81,IF(O279=0.9,'Vehicle Data'!C$6*9.81*'Vehicle Data'!D$20))</f>
        <v>86.131799999999998</v>
      </c>
      <c r="AL279" s="101">
        <f t="shared" si="221"/>
        <v>655.46447238938117</v>
      </c>
      <c r="AM279" s="101"/>
      <c r="AN279" t="b">
        <f>IF(AG279&gt;0,AG279*'Vehicle Data'!C$6)</f>
        <v>0</v>
      </c>
      <c r="AO279" s="101">
        <f t="shared" si="222"/>
        <v>655.46447238938117</v>
      </c>
      <c r="AP279" s="101">
        <f>AO279*'Vehicle Data'!F$3</f>
        <v>167.53671914272581</v>
      </c>
      <c r="AQ279">
        <v>20</v>
      </c>
      <c r="AR279">
        <f>IF(Z279&lt;'Vehicle Data'!C$16, Z279*'Vehicle Data'!F$7*'Vehicle Data'!G$14,IF(Z279&lt;'Vehicle Data'!C$15,Z279*'Vehicle Data'!F$7*'Vehicle Data'!G$15,IF(Z279&gt;'Vehicle Data'!C$15,Z279*'Vehicle Data'!F$7*'Vehicle Data'!G$16)))</f>
        <v>107.59259259259261</v>
      </c>
      <c r="AS279">
        <f t="shared" si="223"/>
        <v>6455.5555555555566</v>
      </c>
      <c r="AT279">
        <f t="shared" si="224"/>
        <v>20</v>
      </c>
      <c r="AU279">
        <f t="shared" si="225"/>
        <v>6500</v>
      </c>
      <c r="AW279">
        <f>VLOOKUP(AT279,BSFC!A$64:A$82,1,FALSE)</f>
        <v>20</v>
      </c>
      <c r="AX279" t="e" cm="1">
        <f t="array" ref="AX279">_xlfn.XLOOKUP(AT279,BSFC!A$64:A$82,,-1,_xlfn.XLOOKUP(Data!AU279,BSFC!C$63:Q$63,BSFC!B$64:Q$82,,-1))</f>
        <v>#VALUE!</v>
      </c>
      <c r="AY279">
        <f>HLOOKUP(AU279,BSFC!F$63:Q$63,1)</f>
        <v>6500</v>
      </c>
      <c r="AZ279">
        <f>IF(AT279&gt;0,MATCH(AT279,BSFC!A$64:A$83,0),IF(AT279&lt;=0,0))</f>
        <v>3</v>
      </c>
      <c r="BA279">
        <f>MATCH(AU279,BSFC!C$63:Q$63,0)</f>
        <v>13</v>
      </c>
      <c r="BB279" cm="1">
        <f t="array" ref="BB279">IF(AZ279&gt;0,INDEX(BSFC!C$64:Q$83,Data!AZ279,Data!BA279))</f>
        <v>494.7</v>
      </c>
      <c r="BC279">
        <f>0.5*'Vehicle Data'!C$6*Data!Z279^2</f>
        <v>15121.355000000003</v>
      </c>
      <c r="BD279">
        <f t="shared" si="179"/>
        <v>13.465906457145509</v>
      </c>
      <c r="BE279">
        <f t="shared" si="226"/>
        <v>6661.5839243498831</v>
      </c>
      <c r="BF279">
        <f t="shared" si="227"/>
        <v>0.52797221363626878</v>
      </c>
      <c r="BG279">
        <f t="shared" si="180"/>
        <v>84.420074629374696</v>
      </c>
      <c r="BH279">
        <f t="shared" si="171"/>
        <v>13465.906457145509</v>
      </c>
      <c r="BI279" s="148">
        <f t="shared" si="181"/>
        <v>6871.6622130335309</v>
      </c>
      <c r="BO279">
        <f t="shared" si="182"/>
        <v>3847.8373211135126</v>
      </c>
      <c r="BP279">
        <f t="shared" si="183"/>
        <v>394383.28935850074</v>
      </c>
      <c r="BQ279">
        <f t="shared" si="184"/>
        <v>490756.61611303058</v>
      </c>
      <c r="BR279" s="148">
        <f t="shared" si="185"/>
        <v>516318.88504031749</v>
      </c>
      <c r="BS279" s="156">
        <f t="shared" si="186"/>
        <v>3847.8373211135126</v>
      </c>
      <c r="BT279" s="156">
        <f t="shared" si="187"/>
        <v>13465.906457145509</v>
      </c>
      <c r="BU279">
        <f t="shared" si="188"/>
        <v>1963.5542847073095</v>
      </c>
      <c r="BV279">
        <f t="shared" si="189"/>
        <v>1963.5542847073095</v>
      </c>
      <c r="BW279" s="148">
        <f t="shared" si="190"/>
        <v>455.4</v>
      </c>
      <c r="BX279" s="148">
        <f t="shared" si="191"/>
        <v>3129354.9718154697</v>
      </c>
      <c r="BY279" s="148">
        <f t="shared" si="192"/>
        <v>0.24838961701547463</v>
      </c>
      <c r="BZ279">
        <f t="shared" si="176"/>
        <v>74.851661040618254</v>
      </c>
      <c r="CB279">
        <f t="shared" si="193"/>
        <v>-1884.2830364062031</v>
      </c>
      <c r="CC279" s="162">
        <f t="shared" si="177"/>
        <v>-6604.0457664943469</v>
      </c>
      <c r="CD279">
        <f t="shared" si="196"/>
        <v>24830.328448261047</v>
      </c>
    </row>
    <row r="280" spans="4:82" x14ac:dyDescent="0.2">
      <c r="D280" s="22">
        <f t="shared" si="211"/>
        <v>8.4203435663086926E-2</v>
      </c>
      <c r="E280" s="23">
        <v>9.7175078418949248</v>
      </c>
      <c r="F280" s="23">
        <f>IF(K280&lt;6,1,IF(Data!K280&lt;9,2,IF(K280&gt;9,3)))</f>
        <v>3</v>
      </c>
      <c r="G280" s="23">
        <v>1036.5883379665186</v>
      </c>
      <c r="H280" s="23">
        <v>219.316665</v>
      </c>
      <c r="I280" s="64">
        <v>47.461517083544351</v>
      </c>
      <c r="J280" s="65">
        <f t="shared" si="212"/>
        <v>1.5093780383831219</v>
      </c>
      <c r="K280" s="65">
        <f t="shared" si="213"/>
        <v>18.98460683341774</v>
      </c>
      <c r="L280" s="65">
        <f t="shared" si="214"/>
        <v>0.60375121535329146</v>
      </c>
      <c r="M280">
        <f t="shared" si="215"/>
        <v>19.43501568378985</v>
      </c>
      <c r="N280">
        <f t="shared" si="216"/>
        <v>0.19999747358096087</v>
      </c>
      <c r="O280">
        <f>IF(L280&lt;'Vehicle Data'!F$21,'Vehicle Data'!C$21,IF(L280&gt;'Vehicle Data'!C$21,'Vehicle Data'!C$20))</f>
        <v>0.6</v>
      </c>
      <c r="P280">
        <f>('Vehicle Data'!C$6*9.81*'Vehicle Data'!C$5*SIN(D280))/'Vehicle Data'!C$9</f>
        <v>56.010511124743715</v>
      </c>
      <c r="Q280" s="107">
        <f>'Vehicle Data'!C$6*9.81*SIN(D280)</f>
        <v>362.20130527334265</v>
      </c>
      <c r="R280" s="101">
        <f t="shared" si="217"/>
        <v>1034.2134283380981</v>
      </c>
      <c r="S280" s="101">
        <f>IF(Data!O280=0.6,'Vehicle Data'!E$21,IF(Data!O280 = 0.9,'Vehicle Data'!E$20))+(P280*O280)</f>
        <v>1583.9787066748461</v>
      </c>
      <c r="T280" s="101">
        <f>IF(F280=3,'Vehicle Data'!H$16,IF(F280=2,'Vehicle Data'!H$15,IF(F280 = 1,'Vehicle Data'!G$14)))</f>
        <v>466.23005239380637</v>
      </c>
      <c r="U280" s="148">
        <f t="shared" si="218"/>
        <v>318.07494621478202</v>
      </c>
      <c r="V280" s="102" t="s">
        <v>77</v>
      </c>
      <c r="W280" s="103" t="s">
        <v>84</v>
      </c>
      <c r="X280" s="101">
        <f>IF(V280="S",'Vehicle Data'!C$14,IF(Data!V280 = "T1",'Vehicle Data'!P$2,IF(Data!V280="T2",'Vehicle Data'!P$3)))</f>
        <v>13.411199999999999</v>
      </c>
      <c r="Y280" s="101"/>
      <c r="Z280" s="105">
        <v>8.3000000000000007</v>
      </c>
      <c r="AA280" s="101"/>
      <c r="AB280" s="101" t="b">
        <f>IF(AA280=1,'Vehicle Data'!I$14,IF(AA280=2,'Vehicle Data'!I$15,IF(AA280=3,'Vehicle Data'!I$16)))</f>
        <v>0</v>
      </c>
      <c r="AC280" s="101">
        <f>IF(Z280&lt;'Vehicle Data'!C$16,'Vehicle Data'!I$15,IF(Z280&lt;'Vehicle Data'!C$15,'Vehicle Data'!I$15,IF(Z279&gt;'Vehicle Data'!C$15,'Vehicle Data'!I$16)))</f>
        <v>0.98256251041858167</v>
      </c>
      <c r="AD280">
        <f>IF(O280=0.6,'Vehicle Data'!F$21,IF(O280=0.9,'Vehicle Data'!F$20))</f>
        <v>3.5315999999999996</v>
      </c>
      <c r="AE280" s="101">
        <f>(Data!H$15-Data!Q280)/'Vehicle Data'!C$6</f>
        <v>-0.34324519424451633</v>
      </c>
      <c r="AF280" s="158">
        <f t="shared" si="220"/>
        <v>0.28574662488255348</v>
      </c>
      <c r="AG280" s="148">
        <f t="shared" si="178"/>
        <v>0</v>
      </c>
      <c r="AH280" s="148">
        <f t="shared" si="195"/>
        <v>75.137407665500803</v>
      </c>
      <c r="AI280" s="101"/>
      <c r="AJ280" s="101">
        <f>(Z280^2)*'Vehicle Data'!C$31</f>
        <v>25.317075000000013</v>
      </c>
      <c r="AK280" s="101">
        <f>IF(O280=0.6,'Vehicle Data'!C$6*'Vehicle Data'!D$21*9.81,IF(O280=0.9,'Vehicle Data'!C$6*9.81*'Vehicle Data'!D$20))</f>
        <v>86.131799999999998</v>
      </c>
      <c r="AL280" s="101">
        <f t="shared" si="221"/>
        <v>473.6501802733427</v>
      </c>
      <c r="AM280" s="101"/>
      <c r="AN280" t="b">
        <f>IF(AG280&gt;0,AG280*'Vehicle Data'!C$6)</f>
        <v>0</v>
      </c>
      <c r="AO280" s="101">
        <f t="shared" si="222"/>
        <v>473.6501802733427</v>
      </c>
      <c r="AP280" s="101">
        <f>AO280*'Vehicle Data'!F$3</f>
        <v>121.06498607786639</v>
      </c>
      <c r="AQ280">
        <v>20</v>
      </c>
      <c r="AR280">
        <f>IF(Z280&lt;'Vehicle Data'!C$16, Z280*'Vehicle Data'!F$7*'Vehicle Data'!G$14,IF(Z280&lt;'Vehicle Data'!C$15,Z280*'Vehicle Data'!F$7*'Vehicle Data'!G$15,IF(Z280&gt;'Vehicle Data'!C$15,Z280*'Vehicle Data'!F$7*'Vehicle Data'!G$16)))</f>
        <v>107.59259259259261</v>
      </c>
      <c r="AS280">
        <f t="shared" si="223"/>
        <v>6455.5555555555566</v>
      </c>
      <c r="AT280">
        <f t="shared" si="224"/>
        <v>20</v>
      </c>
      <c r="AU280">
        <f t="shared" si="225"/>
        <v>6500</v>
      </c>
      <c r="AW280">
        <f>VLOOKUP(AT280,BSFC!A$64:A$82,1,FALSE)</f>
        <v>20</v>
      </c>
      <c r="AX280" t="e" cm="1">
        <f t="array" ref="AX280">_xlfn.XLOOKUP(AT280,BSFC!A$64:A$82,,-1,_xlfn.XLOOKUP(Data!AU280,BSFC!C$63:Q$63,BSFC!B$64:Q$82,,-1))</f>
        <v>#VALUE!</v>
      </c>
      <c r="AY280">
        <f>HLOOKUP(AU280,BSFC!F$63:Q$63,1)</f>
        <v>6500</v>
      </c>
      <c r="AZ280">
        <f>IF(AT280&gt;0,MATCH(AT280,BSFC!A$64:A$83,0),IF(AT280&lt;=0,0))</f>
        <v>3</v>
      </c>
      <c r="BA280">
        <f>MATCH(AU280,BSFC!C$63:Q$63,0)</f>
        <v>13</v>
      </c>
      <c r="BB280" cm="1">
        <f t="array" ref="BB280">IF(AZ280&gt;0,INDEX(BSFC!C$64:Q$83,Data!AZ280,Data!BA280))</f>
        <v>494.7</v>
      </c>
      <c r="BC280">
        <f>0.5*'Vehicle Data'!C$6*Data!Z280^2</f>
        <v>15121.355000000003</v>
      </c>
      <c r="BD280">
        <f t="shared" si="179"/>
        <v>13.465906457145509</v>
      </c>
      <c r="BE280">
        <f t="shared" si="226"/>
        <v>6661.5839243498831</v>
      </c>
      <c r="BF280">
        <f t="shared" si="227"/>
        <v>0.52875697854301518</v>
      </c>
      <c r="BG280">
        <f t="shared" si="180"/>
        <v>84.948831607917711</v>
      </c>
      <c r="BH280">
        <f t="shared" ref="BH280:BH343" si="228">AQ280*(AS280/9.588)</f>
        <v>13465.906457145509</v>
      </c>
      <c r="BI280" s="148">
        <f t="shared" si="181"/>
        <v>6871.6622130335309</v>
      </c>
      <c r="BO280">
        <f t="shared" si="182"/>
        <v>3853.0495060824592</v>
      </c>
      <c r="BP280">
        <f t="shared" si="183"/>
        <v>398236.33886458317</v>
      </c>
      <c r="BQ280">
        <f t="shared" si="184"/>
        <v>494609.66561911302</v>
      </c>
      <c r="BR280" s="148">
        <f t="shared" si="185"/>
        <v>518285.09910694236</v>
      </c>
      <c r="BS280" s="156">
        <f t="shared" si="186"/>
        <v>3853.0495060824592</v>
      </c>
      <c r="BT280" s="156">
        <f t="shared" si="187"/>
        <v>13465.906457145509</v>
      </c>
      <c r="BU280">
        <f t="shared" si="188"/>
        <v>1966.2140666248833</v>
      </c>
      <c r="BV280">
        <f t="shared" si="189"/>
        <v>1966.2140666248833</v>
      </c>
      <c r="BW280" s="148">
        <f t="shared" si="190"/>
        <v>455.4</v>
      </c>
      <c r="BX280" s="148">
        <f t="shared" si="191"/>
        <v>3129354.9718154697</v>
      </c>
      <c r="BY280" s="148">
        <f t="shared" si="192"/>
        <v>0.24872607942804772</v>
      </c>
      <c r="BZ280">
        <f t="shared" si="176"/>
        <v>75.137407665500803</v>
      </c>
      <c r="CB280">
        <f t="shared" si="193"/>
        <v>-1886.8354394575758</v>
      </c>
      <c r="CC280" s="162">
        <f t="shared" si="177"/>
        <v>-6603.176643759577</v>
      </c>
      <c r="CD280">
        <f t="shared" si="196"/>
        <v>22943.493008803471</v>
      </c>
    </row>
    <row r="281" spans="4:82" x14ac:dyDescent="0.2">
      <c r="D281" s="22">
        <f t="shared" si="211"/>
        <v>0.11964539312235034</v>
      </c>
      <c r="E281" s="23">
        <v>9.9175053154758857</v>
      </c>
      <c r="F281" s="23">
        <f>IF(K281&lt;6,1,IF(Data!K281&lt;9,2,IF(K281&gt;9,3)))</f>
        <v>3</v>
      </c>
      <c r="G281" s="23">
        <v>1038.9663170273589</v>
      </c>
      <c r="H281" s="23">
        <v>219.36666499999998</v>
      </c>
      <c r="I281" s="64">
        <v>47.536985985463481</v>
      </c>
      <c r="J281" s="65">
        <f t="shared" si="212"/>
        <v>1.5135701037153493</v>
      </c>
      <c r="K281" s="65">
        <f t="shared" si="213"/>
        <v>19.014794394185394</v>
      </c>
      <c r="L281" s="65">
        <f t="shared" si="214"/>
        <v>0.60542804148611129</v>
      </c>
      <c r="M281">
        <f t="shared" si="215"/>
        <v>19.835010630951771</v>
      </c>
      <c r="N281">
        <f t="shared" si="216"/>
        <v>0.28420028452411472</v>
      </c>
      <c r="O281">
        <f>IF(L281&lt;'Vehicle Data'!F$21,'Vehicle Data'!C$21,IF(L281&gt;'Vehicle Data'!C$21,'Vehicle Data'!C$20))</f>
        <v>0.6</v>
      </c>
      <c r="P281">
        <f>('Vehicle Data'!C$6*9.81*'Vehicle Data'!C$5*SIN(D281))/'Vehicle Data'!C$9</f>
        <v>79.489979109089504</v>
      </c>
      <c r="Q281" s="107">
        <f>'Vehicle Data'!C$6*9.81*SIN(D281)</f>
        <v>514.03519823877878</v>
      </c>
      <c r="R281" s="101">
        <f t="shared" si="217"/>
        <v>1036.5883379665186</v>
      </c>
      <c r="S281" s="101">
        <f>IF(Data!O281=0.6,'Vehicle Data'!E$21,IF(Data!O281 = 0.9,'Vehicle Data'!E$20))+(P281*O281)</f>
        <v>1598.0663874654535</v>
      </c>
      <c r="T281" s="101">
        <f>IF(F281=3,'Vehicle Data'!H$16,IF(F281=2,'Vehicle Data'!H$15,IF(F281 = 1,'Vehicle Data'!G$14)))</f>
        <v>466.23005239380637</v>
      </c>
      <c r="U281" s="148">
        <f t="shared" si="218"/>
        <v>320.4498558432025</v>
      </c>
      <c r="V281" s="102" t="s">
        <v>77</v>
      </c>
      <c r="W281" s="103" t="s">
        <v>84</v>
      </c>
      <c r="X281" s="101">
        <f>IF(V281="S",'Vehicle Data'!C$14,IF(Data!V281 = "T1",'Vehicle Data'!P$2,IF(Data!V281="T2",'Vehicle Data'!P$3)))</f>
        <v>13.411199999999999</v>
      </c>
      <c r="Y281" s="101"/>
      <c r="Z281" s="105">
        <v>8.3000000000000007</v>
      </c>
      <c r="AA281" s="101"/>
      <c r="AB281" s="101" t="b">
        <f>IF(AA281=1,'Vehicle Data'!I$14,IF(AA281=2,'Vehicle Data'!I$15,IF(AA281=3,'Vehicle Data'!I$16)))</f>
        <v>0</v>
      </c>
      <c r="AC281" s="101">
        <f>IF(Z281&lt;'Vehicle Data'!C$16,'Vehicle Data'!I$15,IF(Z281&lt;'Vehicle Data'!C$15,'Vehicle Data'!I$15,IF(Z280&gt;'Vehicle Data'!C$15,'Vehicle Data'!I$16)))</f>
        <v>0.98256251041858167</v>
      </c>
      <c r="AD281">
        <f>IF(O281=0.6,'Vehicle Data'!F$21,IF(O281=0.9,'Vehicle Data'!F$20))</f>
        <v>3.5315999999999996</v>
      </c>
      <c r="AE281" s="101">
        <f>(Data!H$15-Data!Q281)/'Vehicle Data'!C$6</f>
        <v>-0.68910827617033887</v>
      </c>
      <c r="AF281" s="158">
        <f t="shared" si="220"/>
        <v>0.28613369017114243</v>
      </c>
      <c r="AG281" s="148">
        <f t="shared" si="178"/>
        <v>0</v>
      </c>
      <c r="AH281" s="148">
        <f t="shared" si="195"/>
        <v>75.423541355671944</v>
      </c>
      <c r="AI281" s="101"/>
      <c r="AJ281" s="101">
        <f>(Z281^2)*'Vehicle Data'!C$31</f>
        <v>25.317075000000013</v>
      </c>
      <c r="AK281" s="101">
        <f>IF(O281=0.6,'Vehicle Data'!C$6*'Vehicle Data'!D$21*9.81,IF(O281=0.9,'Vehicle Data'!C$6*9.81*'Vehicle Data'!D$20))</f>
        <v>86.131799999999998</v>
      </c>
      <c r="AL281" s="101">
        <f t="shared" si="221"/>
        <v>625.48407323877882</v>
      </c>
      <c r="AM281" s="101"/>
      <c r="AN281" t="b">
        <f>IF(AG281&gt;0,AG281*'Vehicle Data'!C$6)</f>
        <v>0</v>
      </c>
      <c r="AO281" s="101">
        <f t="shared" si="222"/>
        <v>625.48407323877882</v>
      </c>
      <c r="AP281" s="101">
        <f>AO281*'Vehicle Data'!F$3</f>
        <v>159.87372911983186</v>
      </c>
      <c r="AQ281">
        <v>20</v>
      </c>
      <c r="AR281">
        <f>IF(Z281&lt;'Vehicle Data'!C$16, Z281*'Vehicle Data'!F$7*'Vehicle Data'!G$14,IF(Z281&lt;'Vehicle Data'!C$15,Z281*'Vehicle Data'!F$7*'Vehicle Data'!G$15,IF(Z281&gt;'Vehicle Data'!C$15,Z281*'Vehicle Data'!F$7*'Vehicle Data'!G$16)))</f>
        <v>107.59259259259261</v>
      </c>
      <c r="AS281">
        <f t="shared" si="223"/>
        <v>6455.5555555555566</v>
      </c>
      <c r="AT281">
        <f t="shared" si="224"/>
        <v>20</v>
      </c>
      <c r="AU281">
        <f t="shared" si="225"/>
        <v>6500</v>
      </c>
      <c r="AW281">
        <f>VLOOKUP(AT281,BSFC!A$64:A$82,1,FALSE)</f>
        <v>20</v>
      </c>
      <c r="AX281" t="e" cm="1">
        <f t="array" ref="AX281">_xlfn.XLOOKUP(AT281,BSFC!A$64:A$82,,-1,_xlfn.XLOOKUP(Data!AU281,BSFC!C$63:Q$63,BSFC!B$64:Q$82,,-1))</f>
        <v>#VALUE!</v>
      </c>
      <c r="AY281">
        <f>HLOOKUP(AU281,BSFC!F$63:Q$63,1)</f>
        <v>6500</v>
      </c>
      <c r="AZ281">
        <f>IF(AT281&gt;0,MATCH(AT281,BSFC!A$64:A$83,0),IF(AT281&lt;=0,0))</f>
        <v>3</v>
      </c>
      <c r="BA281">
        <f>MATCH(AU281,BSFC!C$63:Q$63,0)</f>
        <v>13</v>
      </c>
      <c r="BB281" cm="1">
        <f t="array" ref="BB281">IF(AZ281&gt;0,INDEX(BSFC!C$64:Q$83,Data!AZ281,Data!BA281))</f>
        <v>494.7</v>
      </c>
      <c r="BC281">
        <f>0.5*'Vehicle Data'!C$6*Data!Z281^2</f>
        <v>15121.355000000003</v>
      </c>
      <c r="BD281">
        <f t="shared" si="179"/>
        <v>13.465906457145509</v>
      </c>
      <c r="BE281">
        <f t="shared" si="226"/>
        <v>6661.5839243498831</v>
      </c>
      <c r="BF281">
        <f t="shared" si="227"/>
        <v>0.52947321962749794</v>
      </c>
      <c r="BG281">
        <f t="shared" si="180"/>
        <v>85.478304827545216</v>
      </c>
      <c r="BH281">
        <f t="shared" si="228"/>
        <v>13465.906457145509</v>
      </c>
      <c r="BI281" s="148">
        <f t="shared" si="181"/>
        <v>6871.6622130335309</v>
      </c>
      <c r="BO281">
        <f t="shared" si="182"/>
        <v>3858.0293482320553</v>
      </c>
      <c r="BP281">
        <f t="shared" si="183"/>
        <v>402094.3682128152</v>
      </c>
      <c r="BQ281">
        <f t="shared" si="184"/>
        <v>498467.69496734504</v>
      </c>
      <c r="BR281" s="148">
        <f t="shared" si="185"/>
        <v>520253.85439076903</v>
      </c>
      <c r="BS281" s="156">
        <f t="shared" si="186"/>
        <v>3858.0293482320553</v>
      </c>
      <c r="BT281" s="156">
        <f t="shared" si="187"/>
        <v>13465.906457145509</v>
      </c>
      <c r="BU281">
        <f t="shared" si="188"/>
        <v>1968.7552838266477</v>
      </c>
      <c r="BV281">
        <f t="shared" si="189"/>
        <v>1968.7552838266477</v>
      </c>
      <c r="BW281" s="148">
        <f t="shared" si="190"/>
        <v>455.4</v>
      </c>
      <c r="BX281" s="148">
        <f t="shared" si="191"/>
        <v>3129354.9718154697</v>
      </c>
      <c r="BY281" s="148">
        <f t="shared" si="192"/>
        <v>0.24904754340407093</v>
      </c>
      <c r="BZ281">
        <f t="shared" si="176"/>
        <v>75.423541355671944</v>
      </c>
      <c r="CB281">
        <f t="shared" si="193"/>
        <v>-1889.2740644054077</v>
      </c>
      <c r="CC281" s="162">
        <f t="shared" si="177"/>
        <v>-6602.766920859277</v>
      </c>
      <c r="CD281">
        <f t="shared" si="196"/>
        <v>21054.218944398064</v>
      </c>
    </row>
    <row r="282" spans="4:82" x14ac:dyDescent="0.2">
      <c r="D282" s="22">
        <f t="shared" si="211"/>
        <v>8.39845225348754E-2</v>
      </c>
      <c r="E282" s="23">
        <v>10.2017056</v>
      </c>
      <c r="F282" s="23">
        <f>IF(K282&lt;6,1,IF(Data!K282&lt;9,2,IF(K282&gt;9,3)))</f>
        <v>3</v>
      </c>
      <c r="G282" s="23">
        <v>1041.3473487300948</v>
      </c>
      <c r="H282" s="23">
        <v>219.41666499999999</v>
      </c>
      <c r="I282" s="64">
        <v>47.612664490649266</v>
      </c>
      <c r="J282" s="65">
        <f t="shared" si="212"/>
        <v>1.6143492494900435</v>
      </c>
      <c r="K282" s="65">
        <f t="shared" si="213"/>
        <v>19.045065796259706</v>
      </c>
      <c r="L282" s="65">
        <f t="shared" si="214"/>
        <v>0.645739699795989</v>
      </c>
      <c r="M282">
        <f t="shared" si="215"/>
        <v>20.403411200000001</v>
      </c>
      <c r="N282">
        <f t="shared" si="216"/>
        <v>0.19999759999999966</v>
      </c>
      <c r="O282">
        <f>IF(L282&lt;'Vehicle Data'!F$21,'Vehicle Data'!C$21,IF(L282&gt;'Vehicle Data'!C$21,'Vehicle Data'!C$20))</f>
        <v>0.6</v>
      </c>
      <c r="P282">
        <f>('Vehicle Data'!C$6*9.81*'Vehicle Data'!C$5*SIN(D282))/'Vehicle Data'!C$9</f>
        <v>55.865237282212533</v>
      </c>
      <c r="Q282" s="107">
        <f>'Vehicle Data'!C$6*9.81*SIN(D282)</f>
        <v>361.26186775830769</v>
      </c>
      <c r="R282" s="101">
        <f t="shared" si="217"/>
        <v>1038.9663170273589</v>
      </c>
      <c r="S282" s="101">
        <f>IF(Data!O282=0.6,'Vehicle Data'!E$21,IF(Data!O282 = 0.9,'Vehicle Data'!E$20))+(P282*O282)</f>
        <v>1583.8915423693272</v>
      </c>
      <c r="T282" s="101">
        <f>IF(F282=3,'Vehicle Data'!H$16,IF(F282=2,'Vehicle Data'!H$15,IF(F282 = 1,'Vehicle Data'!G$14)))</f>
        <v>466.23005239380637</v>
      </c>
      <c r="U282" s="148">
        <f t="shared" si="218"/>
        <v>322.82783490404279</v>
      </c>
      <c r="V282" s="102" t="s">
        <v>77</v>
      </c>
      <c r="W282" s="103" t="s">
        <v>84</v>
      </c>
      <c r="X282" s="101">
        <f>IF(V282="S",'Vehicle Data'!C$14,IF(Data!V282 = "T1",'Vehicle Data'!P$2,IF(Data!V282="T2",'Vehicle Data'!P$3)))</f>
        <v>13.411199999999999</v>
      </c>
      <c r="Y282" s="101"/>
      <c r="Z282" s="105">
        <v>8.3000000000000007</v>
      </c>
      <c r="AA282" s="101"/>
      <c r="AB282" s="101" t="b">
        <f>IF(AA282=1,'Vehicle Data'!I$14,IF(AA282=2,'Vehicle Data'!I$15,IF(AA282=3,'Vehicle Data'!I$16)))</f>
        <v>0</v>
      </c>
      <c r="AC282" s="101">
        <f>IF(Z282&lt;'Vehicle Data'!C$16,'Vehicle Data'!I$15,IF(Z282&lt;'Vehicle Data'!C$15,'Vehicle Data'!I$15,IF(Z281&gt;'Vehicle Data'!C$15,'Vehicle Data'!I$16)))</f>
        <v>0.98256251041858167</v>
      </c>
      <c r="AD282">
        <f>IF(O282=0.6,'Vehicle Data'!F$21,IF(O282=0.9,'Vehicle Data'!F$20))</f>
        <v>3.5315999999999996</v>
      </c>
      <c r="AE282" s="101">
        <f>(Data!H$15-Data!Q282)/'Vehicle Data'!C$6</f>
        <v>-0.34110524546311549</v>
      </c>
      <c r="AF282" s="158">
        <f t="shared" si="220"/>
        <v>0.28650350130605889</v>
      </c>
      <c r="AG282" s="148">
        <f t="shared" si="178"/>
        <v>0</v>
      </c>
      <c r="AH282" s="148">
        <f t="shared" si="195"/>
        <v>75.710044856978001</v>
      </c>
      <c r="AI282" s="101"/>
      <c r="AJ282" s="101">
        <f>(Z282^2)*'Vehicle Data'!C$31</f>
        <v>25.317075000000013</v>
      </c>
      <c r="AK282" s="101">
        <f>IF(O282=0.6,'Vehicle Data'!C$6*'Vehicle Data'!D$21*9.81,IF(O282=0.9,'Vehicle Data'!C$6*9.81*'Vehicle Data'!D$20))</f>
        <v>86.131799999999998</v>
      </c>
      <c r="AL282" s="101">
        <f t="shared" si="221"/>
        <v>472.71074275830767</v>
      </c>
      <c r="AM282" s="101"/>
      <c r="AN282" t="b">
        <f>IF(AG282&gt;0,AG282*'Vehicle Data'!C$6)</f>
        <v>0</v>
      </c>
      <c r="AO282" s="101">
        <f t="shared" si="222"/>
        <v>472.71074275830767</v>
      </c>
      <c r="AP282" s="101">
        <f>AO282*'Vehicle Data'!F$3</f>
        <v>120.82486584902344</v>
      </c>
      <c r="AQ282">
        <v>20</v>
      </c>
      <c r="AR282">
        <f>IF(Z282&lt;'Vehicle Data'!C$16, Z282*'Vehicle Data'!F$7*'Vehicle Data'!G$14,IF(Z282&lt;'Vehicle Data'!C$15,Z282*'Vehicle Data'!F$7*'Vehicle Data'!G$15,IF(Z282&gt;'Vehicle Data'!C$15,Z282*'Vehicle Data'!F$7*'Vehicle Data'!G$16)))</f>
        <v>107.59259259259261</v>
      </c>
      <c r="AS282">
        <f t="shared" si="223"/>
        <v>6455.5555555555566</v>
      </c>
      <c r="AT282">
        <f t="shared" si="224"/>
        <v>20</v>
      </c>
      <c r="AU282">
        <f t="shared" si="225"/>
        <v>6500</v>
      </c>
      <c r="AW282">
        <f>VLOOKUP(AT282,BSFC!A$64:A$82,1,FALSE)</f>
        <v>20</v>
      </c>
      <c r="AX282" t="e" cm="1">
        <f t="array" ref="AX282">_xlfn.XLOOKUP(AT282,BSFC!A$64:A$82,,-1,_xlfn.XLOOKUP(Data!AU282,BSFC!C$63:Q$63,BSFC!B$64:Q$82,,-1))</f>
        <v>#VALUE!</v>
      </c>
      <c r="AY282">
        <f>HLOOKUP(AU282,BSFC!F$63:Q$63,1)</f>
        <v>6500</v>
      </c>
      <c r="AZ282">
        <f>IF(AT282&gt;0,MATCH(AT282,BSFC!A$64:A$83,0),IF(AT282&lt;=0,0))</f>
        <v>3</v>
      </c>
      <c r="BA282">
        <f>MATCH(AU282,BSFC!C$63:Q$63,0)</f>
        <v>13</v>
      </c>
      <c r="BB282" cm="1">
        <f t="array" ref="BB282">IF(AZ282&gt;0,INDEX(BSFC!C$64:Q$83,Data!AZ282,Data!BA282))</f>
        <v>494.7</v>
      </c>
      <c r="BC282">
        <f>0.5*'Vehicle Data'!C$6*Data!Z282^2</f>
        <v>15121.355000000003</v>
      </c>
      <c r="BD282">
        <f t="shared" si="179"/>
        <v>13.465906457145509</v>
      </c>
      <c r="BE282">
        <f t="shared" si="226"/>
        <v>6661.5839243498831</v>
      </c>
      <c r="BF282">
        <f t="shared" si="227"/>
        <v>0.53015753293622159</v>
      </c>
      <c r="BG282">
        <f t="shared" si="180"/>
        <v>86.008462360481431</v>
      </c>
      <c r="BH282">
        <f t="shared" si="228"/>
        <v>13465.906457145509</v>
      </c>
      <c r="BI282" s="148">
        <f t="shared" si="181"/>
        <v>6871.6622130335309</v>
      </c>
      <c r="BO282">
        <f t="shared" si="182"/>
        <v>3862.9819494627254</v>
      </c>
      <c r="BP282">
        <f t="shared" si="183"/>
        <v>405957.35016227793</v>
      </c>
      <c r="BQ282">
        <f t="shared" si="184"/>
        <v>502330.67691680777</v>
      </c>
      <c r="BR282" s="148">
        <f t="shared" si="185"/>
        <v>522225.13699073601</v>
      </c>
      <c r="BS282" s="156">
        <f t="shared" si="186"/>
        <v>3862.9819494627254</v>
      </c>
      <c r="BT282" s="156">
        <f t="shared" si="187"/>
        <v>13465.906457145509</v>
      </c>
      <c r="BU282">
        <f t="shared" si="188"/>
        <v>1971.2825999669556</v>
      </c>
      <c r="BV282">
        <f t="shared" si="189"/>
        <v>1971.2825999669556</v>
      </c>
      <c r="BW282" s="148">
        <f t="shared" si="190"/>
        <v>455.4</v>
      </c>
      <c r="BX282" s="148">
        <f t="shared" si="191"/>
        <v>3129354.9718154697</v>
      </c>
      <c r="BY282" s="148">
        <f t="shared" si="192"/>
        <v>0.24936724889581985</v>
      </c>
      <c r="BZ282">
        <f t="shared" si="176"/>
        <v>75.710044856978001</v>
      </c>
      <c r="CB282">
        <f t="shared" si="193"/>
        <v>-1891.6993494957699</v>
      </c>
      <c r="CC282" s="162">
        <f t="shared" si="177"/>
        <v>-6602.7093591256316</v>
      </c>
      <c r="CD282">
        <f t="shared" si="196"/>
        <v>19162.519594902293</v>
      </c>
    </row>
    <row r="283" spans="4:82" x14ac:dyDescent="0.2">
      <c r="D283" s="22">
        <f t="shared" si="211"/>
        <v>9.0517733112231255E-2</v>
      </c>
      <c r="E283" s="23">
        <v>10.4017032</v>
      </c>
      <c r="F283" s="23">
        <f>IF(K283&lt;6,1,IF(Data!K283&lt;9,2,IF(K283&gt;9,3)))</f>
        <v>3</v>
      </c>
      <c r="G283" s="23">
        <v>1043.7315130747254</v>
      </c>
      <c r="H283" s="23">
        <v>219.46666499999998</v>
      </c>
      <c r="I283" s="64">
        <v>47.69338195312374</v>
      </c>
      <c r="J283" s="65">
        <f t="shared" si="212"/>
        <v>1.6545321290320705</v>
      </c>
      <c r="K283" s="65">
        <f t="shared" si="213"/>
        <v>19.077352781249495</v>
      </c>
      <c r="L283" s="65">
        <f t="shared" si="214"/>
        <v>0.66181285161284242</v>
      </c>
      <c r="M283">
        <f t="shared" si="215"/>
        <v>20.8034064</v>
      </c>
      <c r="N283">
        <f t="shared" si="216"/>
        <v>0.21580611547588724</v>
      </c>
      <c r="O283">
        <f>IF(L283&lt;'Vehicle Data'!F$21,'Vehicle Data'!C$21,IF(L283&gt;'Vehicle Data'!C$21,'Vehicle Data'!C$20))</f>
        <v>0.6</v>
      </c>
      <c r="P283">
        <f>('Vehicle Data'!C$6*9.81*'Vehicle Data'!C$5*SIN(D283))/'Vehicle Data'!C$9</f>
        <v>60.199584960645986</v>
      </c>
      <c r="Q283" s="107">
        <f>'Vehicle Data'!C$6*9.81*SIN(D283)</f>
        <v>389.29064941217734</v>
      </c>
      <c r="R283" s="101">
        <f t="shared" si="217"/>
        <v>1041.3473487300948</v>
      </c>
      <c r="S283" s="101">
        <f>IF(Data!O283=0.6,'Vehicle Data'!E$21,IF(Data!O283 = 0.9,'Vehicle Data'!E$20))+(P283*O283)</f>
        <v>1586.4921509763874</v>
      </c>
      <c r="T283" s="101">
        <f>IF(F283=3,'Vehicle Data'!H$16,IF(F283=2,'Vehicle Data'!H$15,IF(F283 = 1,'Vehicle Data'!G$14)))</f>
        <v>466.23005239380637</v>
      </c>
      <c r="U283" s="148">
        <f t="shared" si="218"/>
        <v>325.20886660677877</v>
      </c>
      <c r="V283" s="102" t="s">
        <v>77</v>
      </c>
      <c r="W283" s="103" t="s">
        <v>84</v>
      </c>
      <c r="X283" s="101">
        <f>IF(V283="S",'Vehicle Data'!C$14,IF(Data!V283 = "T1",'Vehicle Data'!P$2,IF(Data!V283="T2",'Vehicle Data'!P$3)))</f>
        <v>13.411199999999999</v>
      </c>
      <c r="Y283" s="101"/>
      <c r="Z283" s="105">
        <v>8.3000000000000007</v>
      </c>
      <c r="AA283" s="101"/>
      <c r="AB283" s="101" t="b">
        <f>IF(AA283=1,'Vehicle Data'!I$14,IF(AA283=2,'Vehicle Data'!I$15,IF(AA283=3,'Vehicle Data'!I$16)))</f>
        <v>0</v>
      </c>
      <c r="AC283" s="101">
        <f>IF(Z283&lt;'Vehicle Data'!C$16,'Vehicle Data'!I$15,IF(Z283&lt;'Vehicle Data'!C$15,'Vehicle Data'!I$15,IF(Z282&gt;'Vehicle Data'!C$15,'Vehicle Data'!I$16)))</f>
        <v>0.98256251041858167</v>
      </c>
      <c r="AD283">
        <f>IF(O283=0.6,'Vehicle Data'!F$21,IF(O283=0.9,'Vehicle Data'!F$20))</f>
        <v>3.5315999999999996</v>
      </c>
      <c r="AE283" s="101">
        <f>(Data!H$15-Data!Q283)/'Vehicle Data'!C$6</f>
        <v>-0.40495212850154294</v>
      </c>
      <c r="AF283" s="158">
        <f t="shared" si="220"/>
        <v>0.28687128948626284</v>
      </c>
      <c r="AG283" s="148">
        <f t="shared" si="178"/>
        <v>0</v>
      </c>
      <c r="AH283" s="148">
        <f t="shared" si="195"/>
        <v>75.996916146464258</v>
      </c>
      <c r="AI283" s="101"/>
      <c r="AJ283" s="101">
        <f>(Z283^2)*'Vehicle Data'!C$31</f>
        <v>25.317075000000013</v>
      </c>
      <c r="AK283" s="101">
        <f>IF(O283=0.6,'Vehicle Data'!C$6*'Vehicle Data'!D$21*9.81,IF(O283=0.9,'Vehicle Data'!C$6*9.81*'Vehicle Data'!D$20))</f>
        <v>86.131799999999998</v>
      </c>
      <c r="AL283" s="101">
        <f t="shared" si="221"/>
        <v>500.73952441217739</v>
      </c>
      <c r="AM283" s="101"/>
      <c r="AN283" t="b">
        <f>IF(AG283&gt;0,AG283*'Vehicle Data'!C$6)</f>
        <v>0</v>
      </c>
      <c r="AO283" s="101">
        <f t="shared" si="222"/>
        <v>500.73952441217739</v>
      </c>
      <c r="AP283" s="101">
        <f>AO283*'Vehicle Data'!F$3</f>
        <v>127.98902243975253</v>
      </c>
      <c r="AQ283">
        <v>20</v>
      </c>
      <c r="AR283">
        <f>IF(Z283&lt;'Vehicle Data'!C$16, Z283*'Vehicle Data'!F$7*'Vehicle Data'!G$14,IF(Z283&lt;'Vehicle Data'!C$15,Z283*'Vehicle Data'!F$7*'Vehicle Data'!G$15,IF(Z283&gt;'Vehicle Data'!C$15,Z283*'Vehicle Data'!F$7*'Vehicle Data'!G$16)))</f>
        <v>107.59259259259261</v>
      </c>
      <c r="AS283">
        <f t="shared" si="223"/>
        <v>6455.5555555555566</v>
      </c>
      <c r="AT283">
        <f t="shared" si="224"/>
        <v>20</v>
      </c>
      <c r="AU283">
        <f t="shared" si="225"/>
        <v>6500</v>
      </c>
      <c r="AW283">
        <f>VLOOKUP(AT283,BSFC!A$64:A$82,1,FALSE)</f>
        <v>20</v>
      </c>
      <c r="AX283" t="e" cm="1">
        <f t="array" ref="AX283">_xlfn.XLOOKUP(AT283,BSFC!A$64:A$82,,-1,_xlfn.XLOOKUP(Data!AU283,BSFC!C$63:Q$63,BSFC!B$64:Q$82,,-1))</f>
        <v>#VALUE!</v>
      </c>
      <c r="AY283">
        <f>HLOOKUP(AU283,BSFC!F$63:Q$63,1)</f>
        <v>6500</v>
      </c>
      <c r="AZ283">
        <f>IF(AT283&gt;0,MATCH(AT283,BSFC!A$64:A$83,0),IF(AT283&lt;=0,0))</f>
        <v>3</v>
      </c>
      <c r="BA283">
        <f>MATCH(AU283,BSFC!C$63:Q$63,0)</f>
        <v>13</v>
      </c>
      <c r="BB283" cm="1">
        <f t="array" ref="BB283">IF(AZ283&gt;0,INDEX(BSFC!C$64:Q$83,Data!AZ283,Data!BA283))</f>
        <v>494.7</v>
      </c>
      <c r="BC283">
        <f>0.5*'Vehicle Data'!C$6*Data!Z283^2</f>
        <v>15121.355000000003</v>
      </c>
      <c r="BD283">
        <f t="shared" si="179"/>
        <v>13.465906457145509</v>
      </c>
      <c r="BE283">
        <f t="shared" si="226"/>
        <v>6661.5839243498831</v>
      </c>
      <c r="BF283">
        <f t="shared" si="227"/>
        <v>0.53083810288866951</v>
      </c>
      <c r="BG283">
        <f t="shared" si="180"/>
        <v>86.539300463370097</v>
      </c>
      <c r="BH283">
        <f t="shared" si="228"/>
        <v>13465.906457145509</v>
      </c>
      <c r="BI283" s="148">
        <f t="shared" si="181"/>
        <v>6871.6622130335309</v>
      </c>
      <c r="BO283">
        <f t="shared" si="182"/>
        <v>3868.0643425610574</v>
      </c>
      <c r="BP283">
        <f t="shared" si="183"/>
        <v>409825.41450483899</v>
      </c>
      <c r="BQ283">
        <f t="shared" si="184"/>
        <v>506198.74125936884</v>
      </c>
      <c r="BR283" s="148">
        <f t="shared" si="185"/>
        <v>524199.01313973113</v>
      </c>
      <c r="BS283" s="156">
        <f t="shared" si="186"/>
        <v>3868.0643425610574</v>
      </c>
      <c r="BT283" s="156">
        <f t="shared" si="187"/>
        <v>13465.906457145509</v>
      </c>
      <c r="BU283">
        <f t="shared" si="188"/>
        <v>1973.8761489951428</v>
      </c>
      <c r="BV283">
        <f t="shared" si="189"/>
        <v>1973.8761489951428</v>
      </c>
      <c r="BW283" s="148">
        <f t="shared" si="190"/>
        <v>455.4</v>
      </c>
      <c r="BX283" s="148">
        <f t="shared" si="191"/>
        <v>3129354.9718154697</v>
      </c>
      <c r="BY283" s="148">
        <f t="shared" si="192"/>
        <v>0.24969533284788553</v>
      </c>
      <c r="BZ283">
        <f t="shared" si="176"/>
        <v>75.996916146464258</v>
      </c>
      <c r="CB283">
        <f t="shared" si="193"/>
        <v>-1894.1881935659146</v>
      </c>
      <c r="CC283" s="162">
        <f t="shared" si="177"/>
        <v>-6602.9200655043578</v>
      </c>
      <c r="CD283">
        <f t="shared" si="196"/>
        <v>17268.331401336378</v>
      </c>
    </row>
    <row r="284" spans="4:82" x14ac:dyDescent="0.2">
      <c r="D284" s="22">
        <f t="shared" si="211"/>
        <v>7.7118916197572301E-2</v>
      </c>
      <c r="E284" s="23">
        <v>10.617509315475887</v>
      </c>
      <c r="F284" s="23">
        <f>IF(K284&lt;6,1,IF(Data!K284&lt;9,2,IF(K284&gt;9,3)))</f>
        <v>3</v>
      </c>
      <c r="G284" s="23">
        <v>1046.1189027031448</v>
      </c>
      <c r="H284" s="23">
        <v>219.51666499999999</v>
      </c>
      <c r="I284" s="64">
        <v>47.776108559575363</v>
      </c>
      <c r="J284" s="65">
        <f t="shared" si="212"/>
        <v>1.6119607088608376</v>
      </c>
      <c r="K284" s="65">
        <f t="shared" si="213"/>
        <v>19.110443423830144</v>
      </c>
      <c r="L284" s="65">
        <f t="shared" si="214"/>
        <v>0.64478428354433504</v>
      </c>
      <c r="M284">
        <f t="shared" si="215"/>
        <v>21.235018630951775</v>
      </c>
      <c r="N284">
        <f t="shared" si="216"/>
        <v>0.18419548452411227</v>
      </c>
      <c r="O284">
        <f>IF(L284&lt;'Vehicle Data'!F$21,'Vehicle Data'!C$21,IF(L284&gt;'Vehicle Data'!C$21,'Vehicle Data'!C$20))</f>
        <v>0.6</v>
      </c>
      <c r="P284">
        <f>('Vehicle Data'!C$6*9.81*'Vehicle Data'!C$5*SIN(D284))/'Vehicle Data'!C$9</f>
        <v>51.307801120126392</v>
      </c>
      <c r="Q284" s="107">
        <f>'Vehicle Data'!C$6*9.81*SIN(D284)</f>
        <v>331.79044724348398</v>
      </c>
      <c r="R284" s="101">
        <f t="shared" si="217"/>
        <v>1043.7315130747254</v>
      </c>
      <c r="S284" s="101">
        <f>IF(Data!O284=0.6,'Vehicle Data'!E$21,IF(Data!O284 = 0.9,'Vehicle Data'!E$20))+(P284*O284)</f>
        <v>1581.1570806720756</v>
      </c>
      <c r="T284" s="101">
        <f>IF(F284=3,'Vehicle Data'!H$16,IF(F284=2,'Vehicle Data'!H$15,IF(F284 = 1,'Vehicle Data'!G$14)))</f>
        <v>466.23005239380637</v>
      </c>
      <c r="U284" s="148">
        <f t="shared" si="218"/>
        <v>327.59303095140933</v>
      </c>
      <c r="V284" s="102" t="s">
        <v>77</v>
      </c>
      <c r="W284" s="103" t="s">
        <v>84</v>
      </c>
      <c r="X284" s="101">
        <f>IF(V284="S",'Vehicle Data'!C$14,IF(Data!V284 = "T1",'Vehicle Data'!P$2,IF(Data!V284="T2",'Vehicle Data'!P$3)))</f>
        <v>13.411199999999999</v>
      </c>
      <c r="Y284" s="101"/>
      <c r="Z284" s="105">
        <v>8.3000000000000007</v>
      </c>
      <c r="AA284" s="101"/>
      <c r="AB284" s="101" t="b">
        <f>IF(AA284=1,'Vehicle Data'!I$14,IF(AA284=2,'Vehicle Data'!I$15,IF(AA284=3,'Vehicle Data'!I$16)))</f>
        <v>0</v>
      </c>
      <c r="AC284" s="101">
        <f>IF(Z284&lt;'Vehicle Data'!C$16,'Vehicle Data'!I$15,IF(Z284&lt;'Vehicle Data'!C$15,'Vehicle Data'!I$15,IF(Z283&gt;'Vehicle Data'!C$15,'Vehicle Data'!I$16)))</f>
        <v>0.98256251041858167</v>
      </c>
      <c r="AD284">
        <f>IF(O284=0.6,'Vehicle Data'!F$21,IF(O284=0.9,'Vehicle Data'!F$20))</f>
        <v>3.5315999999999996</v>
      </c>
      <c r="AE284" s="101">
        <f>(Data!H$15-Data!Q284)/'Vehicle Data'!C$6</f>
        <v>-0.27397216911955352</v>
      </c>
      <c r="AF284" s="158">
        <f t="shared" si="220"/>
        <v>0.28724871622054965</v>
      </c>
      <c r="AG284" s="148">
        <f t="shared" si="178"/>
        <v>0</v>
      </c>
      <c r="AH284" s="148">
        <f t="shared" si="195"/>
        <v>76.284164862684804</v>
      </c>
      <c r="AI284" s="101"/>
      <c r="AJ284" s="101">
        <f>(Z284^2)*'Vehicle Data'!C$31</f>
        <v>25.317075000000013</v>
      </c>
      <c r="AK284" s="101">
        <f>IF(O284=0.6,'Vehicle Data'!C$6*'Vehicle Data'!D$21*9.81,IF(O284=0.9,'Vehicle Data'!C$6*9.81*'Vehicle Data'!D$20))</f>
        <v>86.131799999999998</v>
      </c>
      <c r="AL284" s="101">
        <f t="shared" si="221"/>
        <v>443.23932224348403</v>
      </c>
      <c r="AM284" s="101"/>
      <c r="AN284" t="b">
        <f>IF(AG284&gt;0,AG284*'Vehicle Data'!C$6)</f>
        <v>0</v>
      </c>
      <c r="AO284" s="101">
        <f t="shared" si="222"/>
        <v>443.23932224348403</v>
      </c>
      <c r="AP284" s="101">
        <f>AO284*'Vehicle Data'!F$3</f>
        <v>113.29197076543451</v>
      </c>
      <c r="AQ284">
        <v>20</v>
      </c>
      <c r="AR284">
        <f>IF(Z284&lt;'Vehicle Data'!C$16, Z284*'Vehicle Data'!F$7*'Vehicle Data'!G$14,IF(Z284&lt;'Vehicle Data'!C$15,Z284*'Vehicle Data'!F$7*'Vehicle Data'!G$15,IF(Z284&gt;'Vehicle Data'!C$15,Z284*'Vehicle Data'!F$7*'Vehicle Data'!G$16)))</f>
        <v>107.59259259259261</v>
      </c>
      <c r="AS284">
        <f t="shared" si="223"/>
        <v>6455.5555555555566</v>
      </c>
      <c r="AT284">
        <f t="shared" si="224"/>
        <v>20</v>
      </c>
      <c r="AU284">
        <f t="shared" si="225"/>
        <v>6500</v>
      </c>
      <c r="AW284">
        <f>VLOOKUP(AT284,BSFC!A$64:A$82,1,FALSE)</f>
        <v>20</v>
      </c>
      <c r="AX284" t="e" cm="1">
        <f t="array" ref="AX284">_xlfn.XLOOKUP(AT284,BSFC!A$64:A$82,,-1,_xlfn.XLOOKUP(Data!AU284,BSFC!C$63:Q$63,BSFC!B$64:Q$82,,-1))</f>
        <v>#VALUE!</v>
      </c>
      <c r="AY284">
        <f>HLOOKUP(AU284,BSFC!F$63:Q$63,1)</f>
        <v>6500</v>
      </c>
      <c r="AZ284">
        <f>IF(AT284&gt;0,MATCH(AT284,BSFC!A$64:A$83,0),IF(AT284&lt;=0,0))</f>
        <v>3</v>
      </c>
      <c r="BA284">
        <f>MATCH(AU284,BSFC!C$63:Q$63,0)</f>
        <v>13</v>
      </c>
      <c r="BB284" cm="1">
        <f t="array" ref="BB284">IF(AZ284&gt;0,INDEX(BSFC!C$64:Q$83,Data!AZ284,Data!BA284))</f>
        <v>494.7</v>
      </c>
      <c r="BC284">
        <f>0.5*'Vehicle Data'!C$6*Data!Z284^2</f>
        <v>15121.355000000003</v>
      </c>
      <c r="BD284">
        <f t="shared" si="179"/>
        <v>13.465906457145509</v>
      </c>
      <c r="BE284">
        <f t="shared" si="226"/>
        <v>6661.5839243498831</v>
      </c>
      <c r="BF284">
        <f t="shared" si="227"/>
        <v>0.5315365084069319</v>
      </c>
      <c r="BG284">
        <f t="shared" si="180"/>
        <v>87.070836971777027</v>
      </c>
      <c r="BH284">
        <f t="shared" si="228"/>
        <v>13465.906457145509</v>
      </c>
      <c r="BI284" s="148">
        <f t="shared" si="181"/>
        <v>6871.6622130335309</v>
      </c>
      <c r="BO284">
        <f t="shared" si="182"/>
        <v>3873.2970377175388</v>
      </c>
      <c r="BP284">
        <f t="shared" si="183"/>
        <v>413698.71154255653</v>
      </c>
      <c r="BQ284">
        <f t="shared" si="184"/>
        <v>510072.03829708637</v>
      </c>
      <c r="BR284" s="148">
        <f t="shared" si="185"/>
        <v>526175.55953700806</v>
      </c>
      <c r="BS284" s="156">
        <f t="shared" si="186"/>
        <v>3873.2970377175388</v>
      </c>
      <c r="BT284" s="156">
        <f t="shared" si="187"/>
        <v>13465.906457145509</v>
      </c>
      <c r="BU284">
        <f t="shared" si="188"/>
        <v>1976.5463972768719</v>
      </c>
      <c r="BV284">
        <f t="shared" si="189"/>
        <v>1976.5463972768719</v>
      </c>
      <c r="BW284" s="148">
        <f t="shared" si="190"/>
        <v>455.4</v>
      </c>
      <c r="BX284" s="148">
        <f t="shared" si="191"/>
        <v>3129354.9718154697</v>
      </c>
      <c r="BY284" s="148">
        <f t="shared" si="192"/>
        <v>0.25003311925552429</v>
      </c>
      <c r="BZ284">
        <f t="shared" si="176"/>
        <v>76.284164862684804</v>
      </c>
      <c r="CB284">
        <f t="shared" si="193"/>
        <v>-1896.750640440667</v>
      </c>
      <c r="CC284" s="162">
        <f t="shared" si="177"/>
        <v>-6603.1648997322791</v>
      </c>
      <c r="CD284">
        <f t="shared" si="196"/>
        <v>15371.580760895711</v>
      </c>
    </row>
    <row r="285" spans="4:82" x14ac:dyDescent="0.2">
      <c r="D285" s="22">
        <f t="shared" si="211"/>
        <v>8.3626532506466691E-2</v>
      </c>
      <c r="E285" s="23">
        <v>10.8017048</v>
      </c>
      <c r="F285" s="23">
        <f>IF(K285&lt;6,1,IF(Data!K285&lt;9,2,IF(K285&gt;9,3)))</f>
        <v>3</v>
      </c>
      <c r="G285" s="23">
        <v>1048.5097323315656</v>
      </c>
      <c r="H285" s="23">
        <v>219.566665</v>
      </c>
      <c r="I285" s="64">
        <v>47.856706595018423</v>
      </c>
      <c r="J285" s="65">
        <f t="shared" si="212"/>
        <v>1.6314679559003644</v>
      </c>
      <c r="K285" s="65">
        <f t="shared" si="213"/>
        <v>19.142682638007368</v>
      </c>
      <c r="L285" s="65">
        <f t="shared" si="214"/>
        <v>0.65258718236017421</v>
      </c>
      <c r="M285">
        <f t="shared" si="215"/>
        <v>21.603409599999999</v>
      </c>
      <c r="N285">
        <f t="shared" si="216"/>
        <v>0.1999967999999992</v>
      </c>
      <c r="O285">
        <f>IF(L285&lt;'Vehicle Data'!F$21,'Vehicle Data'!C$21,IF(L285&gt;'Vehicle Data'!C$21,'Vehicle Data'!C$20))</f>
        <v>0.6</v>
      </c>
      <c r="P285">
        <f>('Vehicle Data'!C$6*9.81*'Vehicle Data'!C$5*SIN(D285))/'Vehicle Data'!C$9</f>
        <v>55.627664279577644</v>
      </c>
      <c r="Q285" s="107">
        <f>'Vehicle Data'!C$6*9.81*SIN(D285)</f>
        <v>359.7255623412687</v>
      </c>
      <c r="R285" s="101">
        <f t="shared" si="217"/>
        <v>1046.1189027031448</v>
      </c>
      <c r="S285" s="101">
        <f>IF(Data!O285=0.6,'Vehicle Data'!E$21,IF(Data!O285 = 0.9,'Vehicle Data'!E$20))+(P285*O285)</f>
        <v>1583.7489985677464</v>
      </c>
      <c r="T285" s="101">
        <f>IF(F285=3,'Vehicle Data'!H$16,IF(F285=2,'Vehicle Data'!H$15,IF(F285 = 1,'Vehicle Data'!G$14)))</f>
        <v>466.23005239380637</v>
      </c>
      <c r="U285" s="148">
        <f t="shared" si="218"/>
        <v>329.98042057982877</v>
      </c>
      <c r="V285" s="102" t="s">
        <v>77</v>
      </c>
      <c r="W285" s="103" t="s">
        <v>84</v>
      </c>
      <c r="X285" s="101">
        <f>IF(V285="S",'Vehicle Data'!C$14,IF(Data!V285 = "T1",'Vehicle Data'!P$2,IF(Data!V285="T2",'Vehicle Data'!P$3)))</f>
        <v>13.411199999999999</v>
      </c>
      <c r="Y285" s="101"/>
      <c r="Z285" s="105">
        <v>8.3000000000000007</v>
      </c>
      <c r="AA285" s="101"/>
      <c r="AB285" s="101" t="b">
        <f>IF(AA285=1,'Vehicle Data'!I$14,IF(AA285=2,'Vehicle Data'!I$15,IF(AA285=3,'Vehicle Data'!I$16)))</f>
        <v>0</v>
      </c>
      <c r="AC285" s="101">
        <f>IF(Z285&lt;'Vehicle Data'!C$16,'Vehicle Data'!I$15,IF(Z285&lt;'Vehicle Data'!C$15,'Vehicle Data'!I$15,IF(Z284&gt;'Vehicle Data'!C$15,'Vehicle Data'!I$16)))</f>
        <v>0.98256251041858167</v>
      </c>
      <c r="AD285">
        <f>IF(O285=0.6,'Vehicle Data'!F$21,IF(O285=0.9,'Vehicle Data'!F$20))</f>
        <v>3.5315999999999996</v>
      </c>
      <c r="AE285" s="101">
        <f>(Data!H$15-Data!Q285)/'Vehicle Data'!C$6</f>
        <v>-0.33760568870448454</v>
      </c>
      <c r="AF285" s="158">
        <f t="shared" si="220"/>
        <v>0.28763730462884834</v>
      </c>
      <c r="AG285" s="148">
        <f t="shared" si="178"/>
        <v>0</v>
      </c>
      <c r="AH285" s="148">
        <f t="shared" si="195"/>
        <v>76.571802167313649</v>
      </c>
      <c r="AI285" s="101"/>
      <c r="AJ285" s="101">
        <f>(Z285^2)*'Vehicle Data'!C$31</f>
        <v>25.317075000000013</v>
      </c>
      <c r="AK285" s="101">
        <f>IF(O285=0.6,'Vehicle Data'!C$6*'Vehicle Data'!D$21*9.81,IF(O285=0.9,'Vehicle Data'!C$6*9.81*'Vehicle Data'!D$20))</f>
        <v>86.131799999999998</v>
      </c>
      <c r="AL285" s="101">
        <f t="shared" si="221"/>
        <v>471.17443734126869</v>
      </c>
      <c r="AM285" s="101"/>
      <c r="AN285" t="b">
        <f>IF(AG285&gt;0,AG285*'Vehicle Data'!C$6)</f>
        <v>0</v>
      </c>
      <c r="AO285" s="101">
        <f t="shared" si="222"/>
        <v>471.17443734126869</v>
      </c>
      <c r="AP285" s="101">
        <f>AO285*'Vehicle Data'!F$3</f>
        <v>120.43218618442828</v>
      </c>
      <c r="AQ285">
        <v>20</v>
      </c>
      <c r="AR285">
        <f>IF(Z285&lt;'Vehicle Data'!C$16, Z285*'Vehicle Data'!F$7*'Vehicle Data'!G$14,IF(Z285&lt;'Vehicle Data'!C$15,Z285*'Vehicle Data'!F$7*'Vehicle Data'!G$15,IF(Z285&gt;'Vehicle Data'!C$15,Z285*'Vehicle Data'!F$7*'Vehicle Data'!G$16)))</f>
        <v>107.59259259259261</v>
      </c>
      <c r="AS285">
        <f t="shared" si="223"/>
        <v>6455.5555555555566</v>
      </c>
      <c r="AT285">
        <f t="shared" si="224"/>
        <v>20</v>
      </c>
      <c r="AU285">
        <f t="shared" si="225"/>
        <v>6500</v>
      </c>
      <c r="AW285">
        <f>VLOOKUP(AT285,BSFC!A$64:A$82,1,FALSE)</f>
        <v>20</v>
      </c>
      <c r="AX285" t="e" cm="1">
        <f t="array" ref="AX285">_xlfn.XLOOKUP(AT285,BSFC!A$64:A$82,,-1,_xlfn.XLOOKUP(Data!AU285,BSFC!C$63:Q$63,BSFC!B$64:Q$82,,-1))</f>
        <v>#VALUE!</v>
      </c>
      <c r="AY285">
        <f>HLOOKUP(AU285,BSFC!F$63:Q$63,1)</f>
        <v>6500</v>
      </c>
      <c r="AZ285">
        <f>IF(AT285&gt;0,MATCH(AT285,BSFC!A$64:A$83,0),IF(AT285&lt;=0,0))</f>
        <v>3</v>
      </c>
      <c r="BA285">
        <f>MATCH(AU285,BSFC!C$63:Q$63,0)</f>
        <v>13</v>
      </c>
      <c r="BB285" cm="1">
        <f t="array" ref="BB285">IF(AZ285&gt;0,INDEX(BSFC!C$64:Q$83,Data!AZ285,Data!BA285))</f>
        <v>494.7</v>
      </c>
      <c r="BC285">
        <f>0.5*'Vehicle Data'!C$6*Data!Z285^2</f>
        <v>15121.355000000003</v>
      </c>
      <c r="BD285">
        <f t="shared" si="179"/>
        <v>13.465906457145509</v>
      </c>
      <c r="BE285">
        <f t="shared" si="226"/>
        <v>6661.5839243498831</v>
      </c>
      <c r="BF285">
        <f t="shared" si="227"/>
        <v>0.53225556793301843</v>
      </c>
      <c r="BG285">
        <f t="shared" si="180"/>
        <v>87.603092539710048</v>
      </c>
      <c r="BH285">
        <f t="shared" si="228"/>
        <v>13465.906457145509</v>
      </c>
      <c r="BI285" s="148">
        <f t="shared" si="181"/>
        <v>6871.6622130335309</v>
      </c>
      <c r="BO285">
        <f t="shared" si="182"/>
        <v>3878.8780881067369</v>
      </c>
      <c r="BP285">
        <f t="shared" si="183"/>
        <v>417577.58963066328</v>
      </c>
      <c r="BQ285">
        <f t="shared" si="184"/>
        <v>513950.91638519312</v>
      </c>
      <c r="BR285" s="148">
        <f t="shared" si="185"/>
        <v>528154.95394850441</v>
      </c>
      <c r="BS285" s="156">
        <f t="shared" si="186"/>
        <v>3878.8780881067369</v>
      </c>
      <c r="BT285" s="156">
        <f t="shared" si="187"/>
        <v>13465.906457145509</v>
      </c>
      <c r="BU285">
        <f t="shared" si="188"/>
        <v>1979.3944114963781</v>
      </c>
      <c r="BV285">
        <f t="shared" si="189"/>
        <v>1979.3944114963781</v>
      </c>
      <c r="BW285" s="148">
        <f t="shared" si="190"/>
        <v>455.4</v>
      </c>
      <c r="BX285" s="148">
        <f t="shared" si="191"/>
        <v>3129354.9718154697</v>
      </c>
      <c r="BY285" s="148">
        <f t="shared" si="192"/>
        <v>0.25039339305429176</v>
      </c>
      <c r="BZ285">
        <f t="shared" si="176"/>
        <v>76.571802167313649</v>
      </c>
      <c r="CB285">
        <f t="shared" si="193"/>
        <v>-1899.4836766103588</v>
      </c>
      <c r="CC285" s="162">
        <f t="shared" si="177"/>
        <v>-6603.745919053762</v>
      </c>
      <c r="CD285">
        <f t="shared" si="196"/>
        <v>13472.097084285353</v>
      </c>
    </row>
    <row r="286" spans="4:82" x14ac:dyDescent="0.2">
      <c r="D286" s="22">
        <f t="shared" si="211"/>
        <v>4.8314625047584658E-2</v>
      </c>
      <c r="E286" s="23">
        <v>11.001701599999999</v>
      </c>
      <c r="F286" s="23">
        <f>IF(K286&lt;6,1,IF(Data!K286&lt;9,2,IF(K286&gt;9,3)))</f>
        <v>3</v>
      </c>
      <c r="G286" s="23">
        <v>1050.90406931809</v>
      </c>
      <c r="H286" s="23">
        <v>219.61666499999998</v>
      </c>
      <c r="I286" s="64">
        <v>47.938279992813413</v>
      </c>
      <c r="J286" s="65">
        <f t="shared" si="212"/>
        <v>1.612882005716247</v>
      </c>
      <c r="K286" s="65">
        <f t="shared" si="213"/>
        <v>19.175311997125366</v>
      </c>
      <c r="L286" s="65">
        <f t="shared" si="214"/>
        <v>0.64515280228647043</v>
      </c>
      <c r="M286">
        <f t="shared" si="215"/>
        <v>22.003403199999997</v>
      </c>
      <c r="N286">
        <f t="shared" si="216"/>
        <v>0.11580771547588853</v>
      </c>
      <c r="O286">
        <f>IF(L286&lt;'Vehicle Data'!F$21,'Vehicle Data'!C$21,IF(L286&gt;'Vehicle Data'!C$21,'Vehicle Data'!C$20))</f>
        <v>0.6</v>
      </c>
      <c r="P286">
        <f>('Vehicle Data'!C$6*9.81*'Vehicle Data'!C$5*SIN(D286))/'Vehicle Data'!C$9</f>
        <v>32.163454684879788</v>
      </c>
      <c r="Q286" s="107">
        <f>'Vehicle Data'!C$6*9.81*SIN(D286)</f>
        <v>207.99034029555594</v>
      </c>
      <c r="R286" s="101">
        <f t="shared" si="217"/>
        <v>1048.5097323315656</v>
      </c>
      <c r="S286" s="101">
        <f>IF(Data!O286=0.6,'Vehicle Data'!E$21,IF(Data!O286 = 0.9,'Vehicle Data'!E$20))+(P286*O286)</f>
        <v>1569.6704728109275</v>
      </c>
      <c r="T286" s="101">
        <f>IF(F286=3,'Vehicle Data'!H$16,IF(F286=2,'Vehicle Data'!H$15,IF(F286 = 1,'Vehicle Data'!G$14)))</f>
        <v>466.23005239380637</v>
      </c>
      <c r="U286" s="148">
        <f t="shared" si="218"/>
        <v>332.37125020824953</v>
      </c>
      <c r="V286" s="102" t="s">
        <v>77</v>
      </c>
      <c r="W286" s="103" t="s">
        <v>84</v>
      </c>
      <c r="X286" s="101">
        <f>IF(V286="S",'Vehicle Data'!C$14,IF(Data!V286 = "T1",'Vehicle Data'!P$2,IF(Data!V286="T2",'Vehicle Data'!P$3)))</f>
        <v>13.411199999999999</v>
      </c>
      <c r="Y286" s="101"/>
      <c r="Z286" s="105">
        <v>8.3000000000000007</v>
      </c>
      <c r="AA286" s="101"/>
      <c r="AB286" s="101" t="b">
        <f>IF(AA286=1,'Vehicle Data'!I$14,IF(AA286=2,'Vehicle Data'!I$15,IF(AA286=3,'Vehicle Data'!I$16)))</f>
        <v>0</v>
      </c>
      <c r="AC286" s="101">
        <f>IF(Z286&lt;'Vehicle Data'!C$16,'Vehicle Data'!I$15,IF(Z286&lt;'Vehicle Data'!C$15,'Vehicle Data'!I$15,IF(Z285&gt;'Vehicle Data'!C$15,'Vehicle Data'!I$16)))</f>
        <v>0.98256251041858167</v>
      </c>
      <c r="AD286">
        <f>IF(O286=0.6,'Vehicle Data'!F$21,IF(O286=0.9,'Vehicle Data'!F$20))</f>
        <v>3.5315999999999996</v>
      </c>
      <c r="AE286" s="101">
        <f>(Data!H$15-Data!Q286)/'Vehicle Data'!C$6</f>
        <v>8.0326303062506852E-3</v>
      </c>
      <c r="AF286" s="158">
        <f t="shared" si="220"/>
        <v>0.28805176246033259</v>
      </c>
      <c r="AG286" s="148">
        <f t="shared" si="178"/>
        <v>0</v>
      </c>
      <c r="AH286" s="148">
        <f t="shared" si="195"/>
        <v>76.859853929773976</v>
      </c>
      <c r="AI286" s="101"/>
      <c r="AJ286" s="101">
        <f>(Z286^2)*'Vehicle Data'!C$31</f>
        <v>25.317075000000013</v>
      </c>
      <c r="AK286" s="101">
        <f>IF(O286=0.6,'Vehicle Data'!C$6*'Vehicle Data'!D$21*9.81,IF(O286=0.9,'Vehicle Data'!C$6*9.81*'Vehicle Data'!D$20))</f>
        <v>86.131799999999998</v>
      </c>
      <c r="AL286" s="101">
        <f t="shared" si="221"/>
        <v>319.43921529555598</v>
      </c>
      <c r="AM286" s="101"/>
      <c r="AN286" t="b">
        <f>IF(AG286&gt;0,AG286*'Vehicle Data'!C$6)</f>
        <v>0</v>
      </c>
      <c r="AO286" s="101">
        <f t="shared" si="222"/>
        <v>319.43921529555598</v>
      </c>
      <c r="AP286" s="101">
        <f>AO286*'Vehicle Data'!F$3</f>
        <v>81.648663429544101</v>
      </c>
      <c r="AQ286">
        <v>20</v>
      </c>
      <c r="AR286">
        <f>IF(Z286&lt;'Vehicle Data'!C$16, Z286*'Vehicle Data'!F$7*'Vehicle Data'!G$14,IF(Z286&lt;'Vehicle Data'!C$15,Z286*'Vehicle Data'!F$7*'Vehicle Data'!G$15,IF(Z286&gt;'Vehicle Data'!C$15,Z286*'Vehicle Data'!F$7*'Vehicle Data'!G$16)))</f>
        <v>107.59259259259261</v>
      </c>
      <c r="AS286">
        <f t="shared" si="223"/>
        <v>6455.5555555555566</v>
      </c>
      <c r="AT286">
        <f t="shared" si="224"/>
        <v>20</v>
      </c>
      <c r="AU286">
        <f t="shared" si="225"/>
        <v>6500</v>
      </c>
      <c r="AW286">
        <f>VLOOKUP(AT286,BSFC!A$64:A$82,1,FALSE)</f>
        <v>20</v>
      </c>
      <c r="AX286" t="e" cm="1">
        <f t="array" ref="AX286">_xlfn.XLOOKUP(AT286,BSFC!A$64:A$82,,-1,_xlfn.XLOOKUP(Data!AU286,BSFC!C$63:Q$63,BSFC!B$64:Q$82,,-1))</f>
        <v>#VALUE!</v>
      </c>
      <c r="AY286">
        <f>HLOOKUP(AU286,BSFC!F$63:Q$63,1)</f>
        <v>6500</v>
      </c>
      <c r="AZ286">
        <f>IF(AT286&gt;0,MATCH(AT286,BSFC!A$64:A$83,0),IF(AT286&lt;=0,0))</f>
        <v>3</v>
      </c>
      <c r="BA286">
        <f>MATCH(AU286,BSFC!C$63:Q$63,0)</f>
        <v>13</v>
      </c>
      <c r="BB286" cm="1">
        <f t="array" ref="BB286">IF(AZ286&gt;0,INDEX(BSFC!C$64:Q$83,Data!AZ286,Data!BA286))</f>
        <v>494.7</v>
      </c>
      <c r="BC286">
        <f>0.5*'Vehicle Data'!C$6*Data!Z286^2</f>
        <v>15121.355000000003</v>
      </c>
      <c r="BD286">
        <f t="shared" si="179"/>
        <v>13.465906457145509</v>
      </c>
      <c r="BE286">
        <f t="shared" si="226"/>
        <v>6661.5839243498831</v>
      </c>
      <c r="BF286">
        <f t="shared" si="227"/>
        <v>0.53302249727400075</v>
      </c>
      <c r="BG286">
        <f t="shared" si="180"/>
        <v>88.136115036984052</v>
      </c>
      <c r="BH286">
        <f t="shared" si="228"/>
        <v>13465.906457145509</v>
      </c>
      <c r="BI286" s="148">
        <f t="shared" si="181"/>
        <v>6871.6622130335309</v>
      </c>
      <c r="BO286">
        <f t="shared" si="182"/>
        <v>3884.5684201712693</v>
      </c>
      <c r="BP286">
        <f t="shared" si="183"/>
        <v>421462.15805083455</v>
      </c>
      <c r="BQ286">
        <f t="shared" si="184"/>
        <v>517835.48480536439</v>
      </c>
      <c r="BR286" s="148">
        <f t="shared" si="185"/>
        <v>530137.25214074156</v>
      </c>
      <c r="BS286" s="156">
        <f t="shared" si="186"/>
        <v>3884.5684201712693</v>
      </c>
      <c r="BT286" s="156">
        <f t="shared" si="187"/>
        <v>13465.906457145509</v>
      </c>
      <c r="BU286">
        <f t="shared" si="188"/>
        <v>1982.2981922371621</v>
      </c>
      <c r="BV286">
        <f t="shared" si="189"/>
        <v>1982.2981922371621</v>
      </c>
      <c r="BW286" s="148">
        <f t="shared" si="190"/>
        <v>455.4</v>
      </c>
      <c r="BX286" s="148">
        <f t="shared" si="191"/>
        <v>3129354.9718154697</v>
      </c>
      <c r="BY286" s="148">
        <f t="shared" si="192"/>
        <v>0.25076072131800098</v>
      </c>
      <c r="BZ286">
        <f t="shared" si="176"/>
        <v>76.859853929773976</v>
      </c>
      <c r="CB286">
        <f t="shared" si="193"/>
        <v>-1902.2702279341072</v>
      </c>
      <c r="CC286" s="162">
        <f t="shared" si="177"/>
        <v>-6603.9180308646901</v>
      </c>
      <c r="CD286">
        <f t="shared" si="196"/>
        <v>11569.826856351247</v>
      </c>
    </row>
    <row r="287" spans="4:82" x14ac:dyDescent="0.2">
      <c r="D287" s="22">
        <f t="shared" si="211"/>
        <v>4.1651209028775893E-2</v>
      </c>
      <c r="E287" s="23">
        <v>11.117509315475887</v>
      </c>
      <c r="F287" s="23">
        <f>IF(K287&lt;6,1,IF(Data!K287&lt;9,2,IF(K287&gt;9,3)))</f>
        <v>3</v>
      </c>
      <c r="G287" s="23">
        <v>1053.3019515884041</v>
      </c>
      <c r="H287" s="23">
        <v>219.66666499999999</v>
      </c>
      <c r="I287" s="64">
        <v>48.018924093099244</v>
      </c>
      <c r="J287" s="65">
        <f t="shared" si="212"/>
        <v>1.616747093508178</v>
      </c>
      <c r="K287" s="65">
        <f t="shared" si="213"/>
        <v>19.207569637239697</v>
      </c>
      <c r="L287" s="65">
        <f t="shared" si="214"/>
        <v>0.6466988374032997</v>
      </c>
      <c r="M287">
        <f t="shared" si="215"/>
        <v>22.235018630951775</v>
      </c>
      <c r="N287">
        <f t="shared" si="216"/>
        <v>9.9998526419128098E-2</v>
      </c>
      <c r="O287">
        <f>IF(L287&lt;'Vehicle Data'!F$21,'Vehicle Data'!C$21,IF(L287&gt;'Vehicle Data'!C$21,'Vehicle Data'!C$20))</f>
        <v>0.6</v>
      </c>
      <c r="P287">
        <f>('Vehicle Data'!C$6*9.81*'Vehicle Data'!C$5*SIN(D287))/'Vehicle Data'!C$9</f>
        <v>27.730333128335385</v>
      </c>
      <c r="Q287" s="107">
        <f>'Vehicle Data'!C$6*9.81*SIN(D287)</f>
        <v>179.3228208965688</v>
      </c>
      <c r="R287" s="101">
        <f t="shared" si="217"/>
        <v>1050.90406931809</v>
      </c>
      <c r="S287" s="101">
        <f>IF(Data!O287=0.6,'Vehicle Data'!E$21,IF(Data!O287 = 0.9,'Vehicle Data'!E$20))+(P287*O287)</f>
        <v>1567.0105998770009</v>
      </c>
      <c r="T287" s="101">
        <f>IF(F287=3,'Vehicle Data'!H$16,IF(F287=2,'Vehicle Data'!H$15,IF(F287 = 1,'Vehicle Data'!G$14)))</f>
        <v>466.23005239380637</v>
      </c>
      <c r="U287" s="148">
        <f t="shared" si="218"/>
        <v>334.76558719477396</v>
      </c>
      <c r="V287" s="102" t="s">
        <v>77</v>
      </c>
      <c r="W287" s="103" t="s">
        <v>84</v>
      </c>
      <c r="X287" s="101">
        <f>IF(V287="S",'Vehicle Data'!C$14,IF(Data!V287 = "T1",'Vehicle Data'!P$2,IF(Data!V287="T2",'Vehicle Data'!P$3)))</f>
        <v>13.411199999999999</v>
      </c>
      <c r="Y287" s="101"/>
      <c r="Z287" s="105">
        <v>8.3000000000000007</v>
      </c>
      <c r="AA287" s="101"/>
      <c r="AB287" s="101" t="b">
        <f>IF(AA287=1,'Vehicle Data'!I$14,IF(AA287=2,'Vehicle Data'!I$15,IF(AA287=3,'Vehicle Data'!I$16)))</f>
        <v>0</v>
      </c>
      <c r="AC287" s="101">
        <f>IF(Z287&lt;'Vehicle Data'!C$16,'Vehicle Data'!I$15,IF(Z287&lt;'Vehicle Data'!C$15,'Vehicle Data'!I$15,IF(Z286&gt;'Vehicle Data'!C$15,'Vehicle Data'!I$16)))</f>
        <v>0.98256251041858167</v>
      </c>
      <c r="AD287">
        <f>IF(O287=0.6,'Vehicle Data'!F$21,IF(O287=0.9,'Vehicle Data'!F$20))</f>
        <v>3.5315999999999996</v>
      </c>
      <c r="AE287" s="101">
        <f>(Data!H$15-Data!Q287)/'Vehicle Data'!C$6</f>
        <v>7.3334496818749859E-2</v>
      </c>
      <c r="AF287" s="158">
        <f t="shared" si="220"/>
        <v>0.28847433572583397</v>
      </c>
      <c r="AG287" s="148">
        <f t="shared" si="178"/>
        <v>0</v>
      </c>
      <c r="AH287" s="148">
        <f t="shared" si="195"/>
        <v>77.148328265499813</v>
      </c>
      <c r="AI287" s="101"/>
      <c r="AJ287" s="101">
        <f>(Z287^2)*'Vehicle Data'!C$31</f>
        <v>25.317075000000013</v>
      </c>
      <c r="AK287" s="101">
        <f>IF(O287=0.6,'Vehicle Data'!C$6*'Vehicle Data'!D$21*9.81,IF(O287=0.9,'Vehicle Data'!C$6*9.81*'Vehicle Data'!D$20))</f>
        <v>86.131799999999998</v>
      </c>
      <c r="AL287" s="101">
        <f t="shared" si="221"/>
        <v>290.77169589656881</v>
      </c>
      <c r="AM287" s="101"/>
      <c r="AN287" t="b">
        <f>IF(AG287&gt;0,AG287*'Vehicle Data'!C$6)</f>
        <v>0</v>
      </c>
      <c r="AO287" s="101">
        <f t="shared" si="222"/>
        <v>290.77169589656881</v>
      </c>
      <c r="AP287" s="101">
        <f>AO287*'Vehicle Data'!F$3</f>
        <v>74.321245471162982</v>
      </c>
      <c r="AQ287">
        <v>20</v>
      </c>
      <c r="AR287">
        <f>IF(Z287&lt;'Vehicle Data'!C$16, Z287*'Vehicle Data'!F$7*'Vehicle Data'!G$14,IF(Z287&lt;'Vehicle Data'!C$15,Z287*'Vehicle Data'!F$7*'Vehicle Data'!G$15,IF(Z287&gt;'Vehicle Data'!C$15,Z287*'Vehicle Data'!F$7*'Vehicle Data'!G$16)))</f>
        <v>107.59259259259261</v>
      </c>
      <c r="AS287">
        <f t="shared" si="223"/>
        <v>6455.5555555555566</v>
      </c>
      <c r="AT287">
        <f t="shared" si="224"/>
        <v>20</v>
      </c>
      <c r="AU287">
        <f t="shared" si="225"/>
        <v>6500</v>
      </c>
      <c r="AW287">
        <f>VLOOKUP(AT287,BSFC!A$64:A$82,1,FALSE)</f>
        <v>20</v>
      </c>
      <c r="AX287" t="e" cm="1">
        <f t="array" ref="AX287">_xlfn.XLOOKUP(AT287,BSFC!A$64:A$82,,-1,_xlfn.XLOOKUP(Data!AU287,BSFC!C$63:Q$63,BSFC!B$64:Q$82,,-1))</f>
        <v>#VALUE!</v>
      </c>
      <c r="AY287">
        <f>HLOOKUP(AU287,BSFC!F$63:Q$63,1)</f>
        <v>6500</v>
      </c>
      <c r="AZ287">
        <f>IF(AT287&gt;0,MATCH(AT287,BSFC!A$64:A$83,0),IF(AT287&lt;=0,0))</f>
        <v>3</v>
      </c>
      <c r="BA287">
        <f>MATCH(AU287,BSFC!C$63:Q$63,0)</f>
        <v>13</v>
      </c>
      <c r="BB287" cm="1">
        <f t="array" ref="BB287">IF(AZ287&gt;0,INDEX(BSFC!C$64:Q$83,Data!AZ287,Data!BA287))</f>
        <v>494.7</v>
      </c>
      <c r="BC287">
        <f>0.5*'Vehicle Data'!C$6*Data!Z287^2</f>
        <v>15121.355000000003</v>
      </c>
      <c r="BD287">
        <f t="shared" si="179"/>
        <v>13.465906457145509</v>
      </c>
      <c r="BE287">
        <f t="shared" si="226"/>
        <v>6661.5839243498831</v>
      </c>
      <c r="BF287">
        <f t="shared" si="227"/>
        <v>0.53380444373853519</v>
      </c>
      <c r="BG287">
        <f t="shared" si="180"/>
        <v>88.669919480722584</v>
      </c>
      <c r="BH287">
        <f t="shared" si="228"/>
        <v>13465.906457145509</v>
      </c>
      <c r="BI287" s="148">
        <f t="shared" si="181"/>
        <v>6871.6622130335309</v>
      </c>
      <c r="BO287">
        <f t="shared" si="182"/>
        <v>3890.3202828068875</v>
      </c>
      <c r="BP287">
        <f t="shared" si="183"/>
        <v>425352.47833364143</v>
      </c>
      <c r="BQ287">
        <f t="shared" si="184"/>
        <v>521725.80508817127</v>
      </c>
      <c r="BR287" s="148">
        <f t="shared" si="185"/>
        <v>532122.48551281635</v>
      </c>
      <c r="BS287" s="156">
        <f t="shared" si="186"/>
        <v>3890.3202828068875</v>
      </c>
      <c r="BT287" s="156">
        <f t="shared" si="187"/>
        <v>13465.906457145509</v>
      </c>
      <c r="BU287">
        <f t="shared" si="188"/>
        <v>1985.2333720747411</v>
      </c>
      <c r="BV287">
        <f t="shared" si="189"/>
        <v>1985.2333720747411</v>
      </c>
      <c r="BW287" s="148">
        <f t="shared" si="190"/>
        <v>455.4</v>
      </c>
      <c r="BX287" s="148">
        <f t="shared" si="191"/>
        <v>3129354.9718154697</v>
      </c>
      <c r="BY287" s="148">
        <f t="shared" si="192"/>
        <v>0.25113202156745468</v>
      </c>
      <c r="BZ287">
        <f t="shared" si="176"/>
        <v>77.148328265499813</v>
      </c>
      <c r="CB287">
        <f t="shared" si="193"/>
        <v>-1905.0869107321464</v>
      </c>
      <c r="CC287" s="162">
        <f t="shared" si="177"/>
        <v>-6604.0083113068313</v>
      </c>
      <c r="CD287">
        <f t="shared" si="196"/>
        <v>9664.7399456190997</v>
      </c>
    </row>
    <row r="288" spans="4:82" x14ac:dyDescent="0.2">
      <c r="D288" s="22">
        <f t="shared" si="211"/>
        <v>7.6649926927881112E-2</v>
      </c>
      <c r="E288" s="23">
        <v>11.217507841895015</v>
      </c>
      <c r="F288" s="23">
        <f>IF(K288&lt;6,1,IF(Data!K288&lt;9,2,IF(K288&gt;9,3)))</f>
        <v>3</v>
      </c>
      <c r="G288" s="23">
        <v>1055.703501216824</v>
      </c>
      <c r="H288" s="23">
        <v>219.71666499999998</v>
      </c>
      <c r="I288" s="64">
        <v>48.099761447774625</v>
      </c>
      <c r="J288" s="65">
        <f t="shared" si="212"/>
        <v>1.757489287055618</v>
      </c>
      <c r="K288" s="65">
        <f t="shared" si="213"/>
        <v>19.239904579109851</v>
      </c>
      <c r="L288" s="65">
        <f t="shared" si="214"/>
        <v>0.70299571482221879</v>
      </c>
      <c r="M288">
        <f t="shared" si="215"/>
        <v>22.435015683790031</v>
      </c>
      <c r="N288">
        <f t="shared" si="216"/>
        <v>0.18419535810498466</v>
      </c>
      <c r="O288">
        <f>IF(L288&lt;'Vehicle Data'!F$21,'Vehicle Data'!C$21,IF(L288&gt;'Vehicle Data'!C$21,'Vehicle Data'!C$20))</f>
        <v>0.6</v>
      </c>
      <c r="P288">
        <f>('Vehicle Data'!C$6*9.81*'Vehicle Data'!C$5*SIN(D288))/'Vehicle Data'!C$9</f>
        <v>50.996392174361247</v>
      </c>
      <c r="Q288" s="107">
        <f>'Vehicle Data'!C$6*9.81*SIN(D288)</f>
        <v>329.77666939420271</v>
      </c>
      <c r="R288" s="101">
        <f t="shared" si="217"/>
        <v>1053.3019515884041</v>
      </c>
      <c r="S288" s="101">
        <f>IF(Data!O288=0.6,'Vehicle Data'!E$21,IF(Data!O288 = 0.9,'Vehicle Data'!E$20))+(P288*O288)</f>
        <v>1580.9702353046164</v>
      </c>
      <c r="T288" s="101">
        <f>IF(F288=3,'Vehicle Data'!H$16,IF(F288=2,'Vehicle Data'!H$15,IF(F288 = 1,'Vehicle Data'!G$14)))</f>
        <v>466.23005239380637</v>
      </c>
      <c r="U288" s="148">
        <f t="shared" si="218"/>
        <v>337.16346946508804</v>
      </c>
      <c r="V288" s="102" t="s">
        <v>77</v>
      </c>
      <c r="W288" s="103" t="s">
        <v>84</v>
      </c>
      <c r="X288" s="101">
        <f>IF(V288="S",'Vehicle Data'!C$14,IF(Data!V288 = "T1",'Vehicle Data'!P$2,IF(Data!V288="T2",'Vehicle Data'!P$3)))</f>
        <v>13.411199999999999</v>
      </c>
      <c r="Y288" s="101"/>
      <c r="Z288" s="105">
        <v>8.3000000000000007</v>
      </c>
      <c r="AA288" s="101"/>
      <c r="AB288" s="101" t="b">
        <f>IF(AA288=1,'Vehicle Data'!I$14,IF(AA288=2,'Vehicle Data'!I$15,IF(AA288=3,'Vehicle Data'!I$16)))</f>
        <v>0</v>
      </c>
      <c r="AC288" s="101">
        <f>IF(Z288&lt;'Vehicle Data'!C$16,'Vehicle Data'!I$15,IF(Z288&lt;'Vehicle Data'!C$15,'Vehicle Data'!I$15,IF(Z287&gt;'Vehicle Data'!C$15,'Vehicle Data'!I$16)))</f>
        <v>0.98256251041858167</v>
      </c>
      <c r="AD288">
        <f>IF(O288=0.6,'Vehicle Data'!F$21,IF(O288=0.9,'Vehicle Data'!F$20))</f>
        <v>3.5315999999999996</v>
      </c>
      <c r="AE288" s="101">
        <f>(Data!H$15-Data!Q288)/'Vehicle Data'!C$6</f>
        <v>-0.26938497584100846</v>
      </c>
      <c r="AF288" s="158">
        <f t="shared" si="220"/>
        <v>0.28890147835109453</v>
      </c>
      <c r="AG288" s="148">
        <f t="shared" si="178"/>
        <v>0</v>
      </c>
      <c r="AH288" s="148">
        <f t="shared" si="195"/>
        <v>77.437229743850907</v>
      </c>
      <c r="AI288" s="101"/>
      <c r="AJ288" s="101">
        <f>(Z288^2)*'Vehicle Data'!C$31</f>
        <v>25.317075000000013</v>
      </c>
      <c r="AK288" s="101">
        <f>IF(O288=0.6,'Vehicle Data'!C$6*'Vehicle Data'!D$21*9.81,IF(O288=0.9,'Vehicle Data'!C$6*9.81*'Vehicle Data'!D$20))</f>
        <v>86.131799999999998</v>
      </c>
      <c r="AL288" s="101">
        <f t="shared" si="221"/>
        <v>441.22554439420276</v>
      </c>
      <c r="AM288" s="101"/>
      <c r="AN288" t="b">
        <f>IF(AG288&gt;0,AG288*'Vehicle Data'!C$6)</f>
        <v>0</v>
      </c>
      <c r="AO288" s="101">
        <f t="shared" si="222"/>
        <v>441.22554439420276</v>
      </c>
      <c r="AP288" s="101">
        <f>AO288*'Vehicle Data'!F$3</f>
        <v>112.77724914715822</v>
      </c>
      <c r="AQ288">
        <v>20</v>
      </c>
      <c r="AR288">
        <f>IF(Z288&lt;'Vehicle Data'!C$16, Z288*'Vehicle Data'!F$7*'Vehicle Data'!G$14,IF(Z288&lt;'Vehicle Data'!C$15,Z288*'Vehicle Data'!F$7*'Vehicle Data'!G$15,IF(Z288&gt;'Vehicle Data'!C$15,Z288*'Vehicle Data'!F$7*'Vehicle Data'!G$16)))</f>
        <v>107.59259259259261</v>
      </c>
      <c r="AS288">
        <f t="shared" si="223"/>
        <v>6455.5555555555566</v>
      </c>
      <c r="AT288">
        <f t="shared" si="224"/>
        <v>20</v>
      </c>
      <c r="AU288">
        <f t="shared" si="225"/>
        <v>6500</v>
      </c>
      <c r="AW288">
        <f>VLOOKUP(AT288,BSFC!A$64:A$82,1,FALSE)</f>
        <v>20</v>
      </c>
      <c r="AX288" t="e" cm="1">
        <f t="array" ref="AX288">_xlfn.XLOOKUP(AT288,BSFC!A$64:A$82,,-1,_xlfn.XLOOKUP(Data!AU288,BSFC!C$63:Q$63,BSFC!B$64:Q$82,,-1))</f>
        <v>#VALUE!</v>
      </c>
      <c r="AY288">
        <f>HLOOKUP(AU288,BSFC!F$63:Q$63,1)</f>
        <v>6500</v>
      </c>
      <c r="AZ288">
        <f>IF(AT288&gt;0,MATCH(AT288,BSFC!A$64:A$83,0),IF(AT288&lt;=0,0))</f>
        <v>3</v>
      </c>
      <c r="BA288">
        <f>MATCH(AU288,BSFC!C$63:Q$63,0)</f>
        <v>13</v>
      </c>
      <c r="BB288" cm="1">
        <f t="array" ref="BB288">IF(AZ288&gt;0,INDEX(BSFC!C$64:Q$83,Data!AZ288,Data!BA288))</f>
        <v>494.7</v>
      </c>
      <c r="BC288">
        <f>0.5*'Vehicle Data'!C$6*Data!Z288^2</f>
        <v>15121.355000000003</v>
      </c>
      <c r="BD288">
        <f t="shared" si="179"/>
        <v>13.465906457145509</v>
      </c>
      <c r="BE288">
        <f t="shared" si="226"/>
        <v>6661.5839243498831</v>
      </c>
      <c r="BF288">
        <f t="shared" si="227"/>
        <v>0.53459484552904646</v>
      </c>
      <c r="BG288">
        <f t="shared" si="180"/>
        <v>89.204514326251626</v>
      </c>
      <c r="BH288">
        <f t="shared" si="228"/>
        <v>13465.906457145509</v>
      </c>
      <c r="BI288" s="148">
        <f t="shared" si="181"/>
        <v>6871.6622130335309</v>
      </c>
      <c r="BO288">
        <f t="shared" si="182"/>
        <v>3896.2701986137545</v>
      </c>
      <c r="BP288">
        <f t="shared" si="183"/>
        <v>429248.74853225518</v>
      </c>
      <c r="BQ288">
        <f t="shared" si="184"/>
        <v>525622.07528678502</v>
      </c>
      <c r="BR288" s="148">
        <f t="shared" si="185"/>
        <v>534110.75513141125</v>
      </c>
      <c r="BS288" s="156">
        <f t="shared" si="186"/>
        <v>3896.2701986137545</v>
      </c>
      <c r="BT288" s="156">
        <f t="shared" si="187"/>
        <v>13465.906457145509</v>
      </c>
      <c r="BU288">
        <f t="shared" si="188"/>
        <v>1988.2696185948616</v>
      </c>
      <c r="BV288">
        <f t="shared" si="189"/>
        <v>1988.2696185948616</v>
      </c>
      <c r="BW288" s="148">
        <f t="shared" si="190"/>
        <v>455.4</v>
      </c>
      <c r="BX288" s="148">
        <f t="shared" si="191"/>
        <v>3129354.9718154697</v>
      </c>
      <c r="BY288" s="148">
        <f t="shared" si="192"/>
        <v>0.25151610675225</v>
      </c>
      <c r="BZ288">
        <f t="shared" si="176"/>
        <v>77.437229743850907</v>
      </c>
      <c r="CB288">
        <f t="shared" si="193"/>
        <v>-1908.0005800188928</v>
      </c>
      <c r="CC288" s="162">
        <f t="shared" si="177"/>
        <v>-6604.3295829042409</v>
      </c>
      <c r="CD288">
        <f t="shared" si="196"/>
        <v>7756.7393656002068</v>
      </c>
    </row>
    <row r="289" spans="4:82" x14ac:dyDescent="0.2">
      <c r="D289" s="22">
        <f t="shared" si="211"/>
        <v>0</v>
      </c>
      <c r="E289" s="23">
        <v>11.4017032</v>
      </c>
      <c r="F289" s="23">
        <f>IF(K289&lt;6,1,IF(Data!K289&lt;9,2,IF(K289&gt;9,3)))</f>
        <v>3</v>
      </c>
      <c r="G289" s="23">
        <v>1058.1089287709276</v>
      </c>
      <c r="H289" s="23">
        <v>219.76666499999999</v>
      </c>
      <c r="I289" s="64">
        <v>48.187635912127426</v>
      </c>
      <c r="J289" s="65">
        <f t="shared" si="212"/>
        <v>1.8680885259291828</v>
      </c>
      <c r="K289" s="65">
        <f t="shared" si="213"/>
        <v>19.27505436485097</v>
      </c>
      <c r="L289" s="65">
        <f t="shared" si="214"/>
        <v>0.7472354103717016</v>
      </c>
      <c r="M289">
        <f t="shared" si="215"/>
        <v>22.8034064</v>
      </c>
      <c r="N289">
        <f t="shared" si="216"/>
        <v>0</v>
      </c>
      <c r="O289">
        <f>IF(L289&lt;'Vehicle Data'!F$21,'Vehicle Data'!C$21,IF(L289&gt;'Vehicle Data'!C$21,'Vehicle Data'!C$20))</f>
        <v>0.6</v>
      </c>
      <c r="P289">
        <f>('Vehicle Data'!C$6*9.81*'Vehicle Data'!C$5*SIN(D289))/'Vehicle Data'!C$9</f>
        <v>0</v>
      </c>
      <c r="Q289" s="107">
        <f>'Vehicle Data'!C$6*9.81*SIN(D289)</f>
        <v>0</v>
      </c>
      <c r="R289" s="101">
        <f t="shared" si="217"/>
        <v>1055.703501216824</v>
      </c>
      <c r="S289" s="101">
        <f>IF(Data!O289=0.6,'Vehicle Data'!E$21,IF(Data!O289 = 0.9,'Vehicle Data'!E$20))+(P289*O289)</f>
        <v>1550.3723999999997</v>
      </c>
      <c r="T289" s="101">
        <f>IF(F289=3,'Vehicle Data'!H$16,IF(F289=2,'Vehicle Data'!H$15,IF(F289 = 1,'Vehicle Data'!G$14)))</f>
        <v>466.23005239380637</v>
      </c>
      <c r="U289" s="148">
        <f t="shared" si="218"/>
        <v>339.56501909350789</v>
      </c>
      <c r="V289" s="102" t="s">
        <v>77</v>
      </c>
      <c r="W289" s="103" t="s">
        <v>84</v>
      </c>
      <c r="X289" s="101">
        <f>IF(V289="S",'Vehicle Data'!C$14,IF(Data!V289 = "T1",'Vehicle Data'!P$2,IF(Data!V289="T2",'Vehicle Data'!P$3)))</f>
        <v>13.411199999999999</v>
      </c>
      <c r="Y289" s="101"/>
      <c r="Z289" s="105">
        <v>8.3000000000000007</v>
      </c>
      <c r="AA289" s="101"/>
      <c r="AB289" s="101" t="b">
        <f>IF(AA289=1,'Vehicle Data'!I$14,IF(AA289=2,'Vehicle Data'!I$15,IF(AA289=3,'Vehicle Data'!I$16)))</f>
        <v>0</v>
      </c>
      <c r="AC289" s="101">
        <f>IF(Z289&lt;'Vehicle Data'!C$16,'Vehicle Data'!I$15,IF(Z289&lt;'Vehicle Data'!C$15,'Vehicle Data'!I$15,IF(Z288&gt;'Vehicle Data'!C$15,'Vehicle Data'!I$16)))</f>
        <v>0.98256251041858167</v>
      </c>
      <c r="AD289">
        <f>IF(O289=0.6,'Vehicle Data'!F$21,IF(O289=0.9,'Vehicle Data'!F$20))</f>
        <v>3.5315999999999996</v>
      </c>
      <c r="AE289" s="101">
        <f>(Data!H$15-Data!Q289)/'Vehicle Data'!C$6</f>
        <v>0.48181472665148062</v>
      </c>
      <c r="AF289" s="158">
        <f t="shared" si="220"/>
        <v>0.28934332872528229</v>
      </c>
      <c r="AG289" s="148">
        <f t="shared" si="178"/>
        <v>0</v>
      </c>
      <c r="AH289" s="148">
        <f t="shared" si="195"/>
        <v>77.726573072576187</v>
      </c>
      <c r="AI289" s="101"/>
      <c r="AJ289" s="101">
        <f>(Z289^2)*'Vehicle Data'!C$31</f>
        <v>25.317075000000013</v>
      </c>
      <c r="AK289" s="101">
        <f>IF(O289=0.6,'Vehicle Data'!C$6*'Vehicle Data'!D$21*9.81,IF(O289=0.9,'Vehicle Data'!C$6*9.81*'Vehicle Data'!D$20))</f>
        <v>86.131799999999998</v>
      </c>
      <c r="AL289" s="101">
        <f t="shared" si="221"/>
        <v>111.44887500000002</v>
      </c>
      <c r="AM289" s="101"/>
      <c r="AN289" t="b">
        <f>IF(AG289&gt;0,AG289*'Vehicle Data'!C$6)</f>
        <v>0</v>
      </c>
      <c r="AO289" s="101">
        <f t="shared" si="222"/>
        <v>111.44887500000002</v>
      </c>
      <c r="AP289" s="101">
        <f>AO289*'Vehicle Data'!F$3</f>
        <v>28.486332450000003</v>
      </c>
      <c r="AQ289">
        <v>20</v>
      </c>
      <c r="AR289">
        <f>IF(Z289&lt;'Vehicle Data'!C$16, Z289*'Vehicle Data'!F$7*'Vehicle Data'!G$14,IF(Z289&lt;'Vehicle Data'!C$15,Z289*'Vehicle Data'!F$7*'Vehicle Data'!G$15,IF(Z289&gt;'Vehicle Data'!C$15,Z289*'Vehicle Data'!F$7*'Vehicle Data'!G$16)))</f>
        <v>107.59259259259261</v>
      </c>
      <c r="AS289">
        <f t="shared" si="223"/>
        <v>6455.5555555555566</v>
      </c>
      <c r="AT289">
        <f t="shared" si="224"/>
        <v>20</v>
      </c>
      <c r="AU289">
        <f t="shared" si="225"/>
        <v>6500</v>
      </c>
      <c r="AW289">
        <f>VLOOKUP(AT289,BSFC!A$64:A$82,1,FALSE)</f>
        <v>20</v>
      </c>
      <c r="AX289" t="e" cm="1">
        <f t="array" ref="AX289">_xlfn.XLOOKUP(AT289,BSFC!A$64:A$82,,-1,_xlfn.XLOOKUP(Data!AU289,BSFC!C$63:Q$63,BSFC!B$64:Q$82,,-1))</f>
        <v>#VALUE!</v>
      </c>
      <c r="AY289">
        <f>HLOOKUP(AU289,BSFC!F$63:Q$63,1)</f>
        <v>6500</v>
      </c>
      <c r="AZ289">
        <f>IF(AT289&gt;0,MATCH(AT289,BSFC!A$64:A$83,0),IF(AT289&lt;=0,0))</f>
        <v>3</v>
      </c>
      <c r="BA289">
        <f>MATCH(AU289,BSFC!C$63:Q$63,0)</f>
        <v>13</v>
      </c>
      <c r="BB289" cm="1">
        <f t="array" ref="BB289">IF(AZ289&gt;0,INDEX(BSFC!C$64:Q$83,Data!AZ289,Data!BA289))</f>
        <v>494.7</v>
      </c>
      <c r="BC289">
        <f>0.5*'Vehicle Data'!C$6*Data!Z289^2</f>
        <v>15121.355000000003</v>
      </c>
      <c r="BD289">
        <f t="shared" si="179"/>
        <v>13.465906457145509</v>
      </c>
      <c r="BE289">
        <f t="shared" si="226"/>
        <v>6661.5839243498831</v>
      </c>
      <c r="BF289">
        <f t="shared" si="227"/>
        <v>0.53541246312617341</v>
      </c>
      <c r="BG289">
        <f t="shared" si="180"/>
        <v>89.739926789377805</v>
      </c>
      <c r="BH289">
        <f t="shared" si="228"/>
        <v>13465.906457145509</v>
      </c>
      <c r="BI289" s="148">
        <f t="shared" si="181"/>
        <v>6871.6622130335309</v>
      </c>
      <c r="BO289">
        <f t="shared" si="182"/>
        <v>3902.5617389156755</v>
      </c>
      <c r="BP289">
        <f t="shared" si="183"/>
        <v>433151.31027117086</v>
      </c>
      <c r="BQ289">
        <f t="shared" si="184"/>
        <v>529524.63702570065</v>
      </c>
      <c r="BR289" s="148">
        <f t="shared" si="185"/>
        <v>536102.23532776348</v>
      </c>
      <c r="BS289" s="156">
        <f t="shared" si="186"/>
        <v>3902.5617389156755</v>
      </c>
      <c r="BT289" s="156">
        <f t="shared" si="187"/>
        <v>13465.906457145509</v>
      </c>
      <c r="BU289">
        <f t="shared" si="188"/>
        <v>1991.480196352258</v>
      </c>
      <c r="BV289">
        <f t="shared" si="189"/>
        <v>1991.480196352258</v>
      </c>
      <c r="BW289" s="148">
        <f t="shared" si="190"/>
        <v>455.4</v>
      </c>
      <c r="BX289" s="148">
        <f t="shared" si="191"/>
        <v>3129354.9718154697</v>
      </c>
      <c r="BY289" s="148">
        <f t="shared" si="192"/>
        <v>0.25192224483856063</v>
      </c>
      <c r="BZ289">
        <f t="shared" si="176"/>
        <v>77.726573072576187</v>
      </c>
      <c r="CB289">
        <f t="shared" si="193"/>
        <v>-1911.0815425634175</v>
      </c>
      <c r="CC289" s="162">
        <f t="shared" si="177"/>
        <v>-6604.8923643161324</v>
      </c>
      <c r="CD289">
        <f t="shared" si="196"/>
        <v>5845.6578230367895</v>
      </c>
    </row>
    <row r="290" spans="4:82" x14ac:dyDescent="0.2">
      <c r="D290" s="22">
        <f t="shared" si="211"/>
        <v>4.142616122772616E-2</v>
      </c>
      <c r="E290" s="23">
        <v>11.4017032</v>
      </c>
      <c r="F290" s="23">
        <f>IF(K290&lt;6,1,IF(Data!K290&lt;9,2,IF(K290&gt;9,3)))</f>
        <v>3</v>
      </c>
      <c r="G290" s="23">
        <v>1060.5186889669269</v>
      </c>
      <c r="H290" s="23">
        <v>219.816665</v>
      </c>
      <c r="I290" s="64">
        <v>48.281040338423907</v>
      </c>
      <c r="J290" s="65">
        <f t="shared" si="212"/>
        <v>1.9321061135158342</v>
      </c>
      <c r="K290" s="65">
        <f t="shared" si="213"/>
        <v>19.312416135369563</v>
      </c>
      <c r="L290" s="65">
        <f t="shared" si="214"/>
        <v>0.77284244540633362</v>
      </c>
      <c r="M290">
        <f t="shared" si="215"/>
        <v>22.8034064</v>
      </c>
      <c r="N290">
        <f t="shared" si="216"/>
        <v>9.9998399999998711E-2</v>
      </c>
      <c r="O290">
        <f>IF(L290&lt;'Vehicle Data'!F$21,'Vehicle Data'!C$21,IF(L290&gt;'Vehicle Data'!C$21,'Vehicle Data'!C$20))</f>
        <v>0.6</v>
      </c>
      <c r="P290">
        <f>('Vehicle Data'!C$6*9.81*'Vehicle Data'!C$5*SIN(D290))/'Vehicle Data'!C$9</f>
        <v>27.580587884242512</v>
      </c>
      <c r="Q290" s="107">
        <f>'Vehicle Data'!C$6*9.81*SIN(D290)</f>
        <v>178.35446831810157</v>
      </c>
      <c r="R290" s="101">
        <f t="shared" si="217"/>
        <v>1058.1089287709276</v>
      </c>
      <c r="S290" s="101">
        <f>IF(Data!O290=0.6,'Vehicle Data'!E$21,IF(Data!O290 = 0.9,'Vehicle Data'!E$20))+(P290*O290)</f>
        <v>1566.9207527305452</v>
      </c>
      <c r="T290" s="101">
        <f>IF(F290=3,'Vehicle Data'!H$16,IF(F290=2,'Vehicle Data'!H$15,IF(F290 = 1,'Vehicle Data'!G$14)))</f>
        <v>466.23005239380637</v>
      </c>
      <c r="U290" s="148">
        <f t="shared" si="218"/>
        <v>341.97044664761154</v>
      </c>
      <c r="V290" s="102" t="s">
        <v>77</v>
      </c>
      <c r="W290" s="103" t="s">
        <v>84</v>
      </c>
      <c r="X290" s="101">
        <f>IF(V290="S",'Vehicle Data'!C$14,IF(Data!V290 = "T1",'Vehicle Data'!P$2,IF(Data!V290="T2",'Vehicle Data'!P$3)))</f>
        <v>13.411199999999999</v>
      </c>
      <c r="Y290" s="101"/>
      <c r="Z290" s="105">
        <v>8.3000000000000007</v>
      </c>
      <c r="AA290" s="101"/>
      <c r="AB290" s="101" t="b">
        <f>IF(AA290=1,'Vehicle Data'!I$14,IF(AA290=2,'Vehicle Data'!I$15,IF(AA290=3,'Vehicle Data'!I$16)))</f>
        <v>0</v>
      </c>
      <c r="AC290" s="101">
        <f>IF(Z290&lt;'Vehicle Data'!C$16,'Vehicle Data'!I$15,IF(Z290&lt;'Vehicle Data'!C$15,'Vehicle Data'!I$15,IF(Z289&gt;'Vehicle Data'!C$15,'Vehicle Data'!I$16)))</f>
        <v>0.98256251041858167</v>
      </c>
      <c r="AD290">
        <f>IF(O290=0.6,'Vehicle Data'!F$21,IF(O290=0.9,'Vehicle Data'!F$20))</f>
        <v>3.5315999999999996</v>
      </c>
      <c r="AE290" s="101">
        <f>(Data!H$15-Data!Q290)/'Vehicle Data'!C$6</f>
        <v>7.5540311348287981E-2</v>
      </c>
      <c r="AF290" s="158">
        <f t="shared" si="220"/>
        <v>0.28981054868718709</v>
      </c>
      <c r="AG290" s="148">
        <f t="shared" si="178"/>
        <v>0</v>
      </c>
      <c r="AH290" s="148">
        <f t="shared" si="195"/>
        <v>78.016383621263373</v>
      </c>
      <c r="AI290" s="101"/>
      <c r="AJ290" s="101">
        <f>(Z290^2)*'Vehicle Data'!C$31</f>
        <v>25.317075000000013</v>
      </c>
      <c r="AK290" s="101">
        <f>IF(O290=0.6,'Vehicle Data'!C$6*'Vehicle Data'!D$21*9.81,IF(O290=0.9,'Vehicle Data'!C$6*9.81*'Vehicle Data'!D$20))</f>
        <v>86.131799999999998</v>
      </c>
      <c r="AL290" s="101">
        <f t="shared" si="221"/>
        <v>289.80334331810161</v>
      </c>
      <c r="AM290" s="101"/>
      <c r="AN290" t="b">
        <f>IF(AG290&gt;0,AG290*'Vehicle Data'!C$6)</f>
        <v>0</v>
      </c>
      <c r="AO290" s="101">
        <f t="shared" si="222"/>
        <v>289.80334331810161</v>
      </c>
      <c r="AP290" s="101">
        <f>AO290*'Vehicle Data'!F$3</f>
        <v>74.073734552106771</v>
      </c>
      <c r="AQ290">
        <v>20</v>
      </c>
      <c r="AR290">
        <f>IF(Z290&lt;'Vehicle Data'!C$16, Z290*'Vehicle Data'!F$7*'Vehicle Data'!G$14,IF(Z290&lt;'Vehicle Data'!C$15,Z290*'Vehicle Data'!F$7*'Vehicle Data'!G$15,IF(Z290&gt;'Vehicle Data'!C$15,Z290*'Vehicle Data'!F$7*'Vehicle Data'!G$16)))</f>
        <v>107.59259259259261</v>
      </c>
      <c r="AS290">
        <f t="shared" si="223"/>
        <v>6455.5555555555566</v>
      </c>
      <c r="AT290">
        <f t="shared" si="224"/>
        <v>20</v>
      </c>
      <c r="AU290">
        <f t="shared" si="225"/>
        <v>6500</v>
      </c>
      <c r="AW290">
        <f>VLOOKUP(AT290,BSFC!A$64:A$82,1,FALSE)</f>
        <v>20</v>
      </c>
      <c r="AX290" t="e" cm="1">
        <f t="array" ref="AX290">_xlfn.XLOOKUP(AT290,BSFC!A$64:A$82,,-1,_xlfn.XLOOKUP(Data!AU290,BSFC!C$63:Q$63,BSFC!B$64:Q$82,,-1))</f>
        <v>#VALUE!</v>
      </c>
      <c r="AY290">
        <f>HLOOKUP(AU290,BSFC!F$63:Q$63,1)</f>
        <v>6500</v>
      </c>
      <c r="AZ290">
        <f>IF(AT290&gt;0,MATCH(AT290,BSFC!A$64:A$83,0),IF(AT290&lt;=0,0))</f>
        <v>3</v>
      </c>
      <c r="BA290">
        <f>MATCH(AU290,BSFC!C$63:Q$63,0)</f>
        <v>13</v>
      </c>
      <c r="BB290" cm="1">
        <f t="array" ref="BB290">IF(AZ290&gt;0,INDEX(BSFC!C$64:Q$83,Data!AZ290,Data!BA290))</f>
        <v>494.7</v>
      </c>
      <c r="BC290">
        <f>0.5*'Vehicle Data'!C$6*Data!Z290^2</f>
        <v>15121.355000000003</v>
      </c>
      <c r="BD290">
        <f t="shared" si="179"/>
        <v>13.465906457145509</v>
      </c>
      <c r="BE290">
        <f t="shared" si="226"/>
        <v>6661.5839243498831</v>
      </c>
      <c r="BF290">
        <f t="shared" si="227"/>
        <v>0.53627702562266233</v>
      </c>
      <c r="BG290">
        <f t="shared" si="180"/>
        <v>90.276203815000471</v>
      </c>
      <c r="BH290">
        <f t="shared" si="228"/>
        <v>13465.906457145509</v>
      </c>
      <c r="BI290" s="148">
        <f t="shared" si="181"/>
        <v>6871.6622130335309</v>
      </c>
      <c r="BO290">
        <f t="shared" si="182"/>
        <v>3909.5910100577303</v>
      </c>
      <c r="BP290">
        <f t="shared" si="183"/>
        <v>437060.90128122858</v>
      </c>
      <c r="BQ290">
        <f t="shared" si="184"/>
        <v>533434.22803575837</v>
      </c>
      <c r="BR290" s="148">
        <f t="shared" si="185"/>
        <v>538097.30256647686</v>
      </c>
      <c r="BS290" s="156">
        <f t="shared" si="186"/>
        <v>3909.5910100577303</v>
      </c>
      <c r="BT290" s="156">
        <f t="shared" si="187"/>
        <v>13465.906457145509</v>
      </c>
      <c r="BU290">
        <f t="shared" si="188"/>
        <v>1995.0672387133307</v>
      </c>
      <c r="BV290">
        <f t="shared" si="189"/>
        <v>1995.0672387133307</v>
      </c>
      <c r="BW290" s="148">
        <f t="shared" si="190"/>
        <v>455.4</v>
      </c>
      <c r="BX290" s="148">
        <f t="shared" si="191"/>
        <v>3129354.9718154697</v>
      </c>
      <c r="BY290" s="148">
        <f t="shared" si="192"/>
        <v>0.25237600569723628</v>
      </c>
      <c r="BZ290">
        <f t="shared" si="176"/>
        <v>78.016383621263373</v>
      </c>
      <c r="CB290">
        <f t="shared" si="193"/>
        <v>-1914.5237713443996</v>
      </c>
      <c r="CC290" s="162">
        <f t="shared" si="177"/>
        <v>-6606.1217578760034</v>
      </c>
      <c r="CD290">
        <f t="shared" si="196"/>
        <v>3931.1340516923901</v>
      </c>
    </row>
    <row r="291" spans="4:82" x14ac:dyDescent="0.2">
      <c r="D291" s="22">
        <f t="shared" si="211"/>
        <v>0</v>
      </c>
      <c r="E291" s="23">
        <v>11.501701599999999</v>
      </c>
      <c r="F291" s="23">
        <f>IF(K291&lt;6,1,IF(Data!K291&lt;9,2,IF(K291&gt;9,3)))</f>
        <v>3</v>
      </c>
      <c r="G291" s="23">
        <v>1062.9332744467138</v>
      </c>
      <c r="H291" s="23">
        <v>219.86666499999998</v>
      </c>
      <c r="I291" s="64">
        <v>48.377645644099665</v>
      </c>
      <c r="J291" s="65">
        <f t="shared" si="212"/>
        <v>1.8949605291949423</v>
      </c>
      <c r="K291" s="65">
        <f t="shared" si="213"/>
        <v>19.351058257639867</v>
      </c>
      <c r="L291" s="65">
        <f t="shared" si="214"/>
        <v>0.75798421167793428</v>
      </c>
      <c r="M291">
        <f t="shared" si="215"/>
        <v>23.003403199999997</v>
      </c>
      <c r="N291">
        <f t="shared" si="216"/>
        <v>0</v>
      </c>
      <c r="O291">
        <f>IF(L291&lt;'Vehicle Data'!F$21,'Vehicle Data'!C$21,IF(L291&gt;'Vehicle Data'!C$21,'Vehicle Data'!C$20))</f>
        <v>0.6</v>
      </c>
      <c r="P291">
        <f>('Vehicle Data'!C$6*9.81*'Vehicle Data'!C$5*SIN(D291))/'Vehicle Data'!C$9</f>
        <v>0</v>
      </c>
      <c r="Q291" s="107">
        <f>'Vehicle Data'!C$6*9.81*SIN(D291)</f>
        <v>0</v>
      </c>
      <c r="R291" s="101">
        <f t="shared" si="217"/>
        <v>1060.5186889669269</v>
      </c>
      <c r="S291" s="101">
        <f>IF(Data!O291=0.6,'Vehicle Data'!E$21,IF(Data!O291 = 0.9,'Vehicle Data'!E$20))+(P291*O291)</f>
        <v>1550.3723999999997</v>
      </c>
      <c r="T291" s="101">
        <f>IF(F291=3,'Vehicle Data'!H$16,IF(F291=2,'Vehicle Data'!H$15,IF(F291 = 1,'Vehicle Data'!G$14)))</f>
        <v>466.23005239380637</v>
      </c>
      <c r="U291" s="148">
        <f t="shared" si="218"/>
        <v>344.38020684361084</v>
      </c>
      <c r="V291" s="102" t="s">
        <v>77</v>
      </c>
      <c r="W291" s="103" t="s">
        <v>84</v>
      </c>
      <c r="X291" s="101">
        <f>IF(V291="S",'Vehicle Data'!C$14,IF(Data!V291 = "T1",'Vehicle Data'!P$2,IF(Data!V291="T2",'Vehicle Data'!P$3)))</f>
        <v>13.411199999999999</v>
      </c>
      <c r="Y291" s="101"/>
      <c r="Z291" s="105">
        <v>8.3000000000000007</v>
      </c>
      <c r="AA291" s="101"/>
      <c r="AB291" s="101" t="b">
        <f>IF(AA291=1,'Vehicle Data'!I$14,IF(AA291=2,'Vehicle Data'!I$15,IF(AA291=3,'Vehicle Data'!I$16)))</f>
        <v>0</v>
      </c>
      <c r="AC291" s="101">
        <f>IF(Z291&lt;'Vehicle Data'!C$16,'Vehicle Data'!I$15,IF(Z291&lt;'Vehicle Data'!C$15,'Vehicle Data'!I$15,IF(Z290&gt;'Vehicle Data'!C$15,'Vehicle Data'!I$16)))</f>
        <v>0.98256251041858167</v>
      </c>
      <c r="AD291">
        <f>IF(O291=0.6,'Vehicle Data'!F$21,IF(O291=0.9,'Vehicle Data'!F$20))</f>
        <v>3.5315999999999996</v>
      </c>
      <c r="AE291" s="101">
        <f>(Data!H$15-Data!Q291)/'Vehicle Data'!C$6</f>
        <v>0.48181472665148062</v>
      </c>
      <c r="AF291" s="158">
        <f t="shared" si="220"/>
        <v>0.29033255373485506</v>
      </c>
      <c r="AG291" s="148">
        <f t="shared" si="178"/>
        <v>0</v>
      </c>
      <c r="AH291" s="148">
        <f t="shared" si="195"/>
        <v>78.306716174998229</v>
      </c>
      <c r="AI291" s="101"/>
      <c r="AJ291" s="101">
        <f>(Z291^2)*'Vehicle Data'!C$31</f>
        <v>25.317075000000013</v>
      </c>
      <c r="AK291" s="101">
        <f>IF(O291=0.6,'Vehicle Data'!C$6*'Vehicle Data'!D$21*9.81,IF(O291=0.9,'Vehicle Data'!C$6*9.81*'Vehicle Data'!D$20))</f>
        <v>86.131799999999998</v>
      </c>
      <c r="AL291" s="101">
        <f t="shared" si="221"/>
        <v>111.44887500000002</v>
      </c>
      <c r="AM291" s="101"/>
      <c r="AN291" t="b">
        <f>IF(AG291&gt;0,AG291*'Vehicle Data'!C$6)</f>
        <v>0</v>
      </c>
      <c r="AO291" s="101">
        <f t="shared" si="222"/>
        <v>111.44887500000002</v>
      </c>
      <c r="AP291" s="101">
        <f>AO291*'Vehicle Data'!F$3</f>
        <v>28.486332450000003</v>
      </c>
      <c r="AQ291">
        <v>20</v>
      </c>
      <c r="AR291">
        <f>IF(Z291&lt;'Vehicle Data'!C$16, Z291*'Vehicle Data'!F$7*'Vehicle Data'!G$14,IF(Z291&lt;'Vehicle Data'!C$15,Z291*'Vehicle Data'!F$7*'Vehicle Data'!G$15,IF(Z291&gt;'Vehicle Data'!C$15,Z291*'Vehicle Data'!F$7*'Vehicle Data'!G$16)))</f>
        <v>107.59259259259261</v>
      </c>
      <c r="AS291">
        <f t="shared" si="223"/>
        <v>6455.5555555555566</v>
      </c>
      <c r="AT291">
        <f t="shared" si="224"/>
        <v>20</v>
      </c>
      <c r="AU291">
        <f t="shared" si="225"/>
        <v>6500</v>
      </c>
      <c r="AW291">
        <f>VLOOKUP(AT291,BSFC!A$64:A$82,1,FALSE)</f>
        <v>20</v>
      </c>
      <c r="AX291" t="e" cm="1">
        <f t="array" ref="AX291">_xlfn.XLOOKUP(AT291,BSFC!A$64:A$82,,-1,_xlfn.XLOOKUP(Data!AU291,BSFC!C$63:Q$63,BSFC!B$64:Q$82,,-1))</f>
        <v>#VALUE!</v>
      </c>
      <c r="AY291">
        <f>HLOOKUP(AU291,BSFC!F$63:Q$63,1)</f>
        <v>6500</v>
      </c>
      <c r="AZ291">
        <f>IF(AT291&gt;0,MATCH(AT291,BSFC!A$64:A$83,0),IF(AT291&lt;=0,0))</f>
        <v>3</v>
      </c>
      <c r="BA291">
        <f>MATCH(AU291,BSFC!C$63:Q$63,0)</f>
        <v>13</v>
      </c>
      <c r="BB291" cm="1">
        <f t="array" ref="BB291">IF(AZ291&gt;0,INDEX(BSFC!C$64:Q$83,Data!AZ291,Data!BA291))</f>
        <v>494.7</v>
      </c>
      <c r="BC291">
        <f>0.5*'Vehicle Data'!C$6*Data!Z291^2</f>
        <v>15121.355000000003</v>
      </c>
      <c r="BD291">
        <f t="shared" si="179"/>
        <v>13.465906457145509</v>
      </c>
      <c r="BE291">
        <f t="shared" si="226"/>
        <v>6661.5839243498831</v>
      </c>
      <c r="BF291">
        <f t="shared" si="227"/>
        <v>0.53724296463209975</v>
      </c>
      <c r="BG291">
        <f t="shared" si="180"/>
        <v>90.813446779632571</v>
      </c>
      <c r="BH291">
        <f t="shared" si="228"/>
        <v>13465.906457145509</v>
      </c>
      <c r="BI291" s="148">
        <f t="shared" si="181"/>
        <v>6871.6622130335309</v>
      </c>
      <c r="BO291">
        <f t="shared" si="182"/>
        <v>3917.4195426014135</v>
      </c>
      <c r="BP291">
        <f t="shared" si="183"/>
        <v>440978.32082382997</v>
      </c>
      <c r="BQ291">
        <f t="shared" si="184"/>
        <v>537351.64757835981</v>
      </c>
      <c r="BR291" s="148">
        <f t="shared" si="185"/>
        <v>540096.3647112468</v>
      </c>
      <c r="BS291" s="156">
        <f t="shared" si="186"/>
        <v>3917.4195426014135</v>
      </c>
      <c r="BT291" s="156">
        <f t="shared" si="187"/>
        <v>13465.906457145509</v>
      </c>
      <c r="BU291">
        <f t="shared" si="188"/>
        <v>1999.0621447699805</v>
      </c>
      <c r="BV291">
        <f t="shared" si="189"/>
        <v>1999.0621447699805</v>
      </c>
      <c r="BW291" s="148">
        <f t="shared" si="190"/>
        <v>455.4</v>
      </c>
      <c r="BX291" s="148">
        <f t="shared" si="191"/>
        <v>3129354.9718154697</v>
      </c>
      <c r="BY291" s="148">
        <f t="shared" si="192"/>
        <v>0.2528813613134025</v>
      </c>
      <c r="BZ291">
        <f t="shared" si="176"/>
        <v>78.306716174998229</v>
      </c>
      <c r="CB291">
        <f t="shared" si="193"/>
        <v>-1918.357397831433</v>
      </c>
      <c r="CC291" s="162">
        <f t="shared" si="177"/>
        <v>-6607.4485039778056</v>
      </c>
      <c r="CD291">
        <f t="shared" si="196"/>
        <v>2012.7766538609571</v>
      </c>
    </row>
    <row r="292" spans="4:82" x14ac:dyDescent="0.2">
      <c r="D292" s="22">
        <f t="shared" si="211"/>
        <v>0</v>
      </c>
      <c r="E292" s="23">
        <v>11.501701599999999</v>
      </c>
      <c r="F292" s="23">
        <f>IF(K292&lt;6,1,IF(Data!K292&lt;9,2,IF(K292&gt;9,3)))</f>
        <v>3</v>
      </c>
      <c r="G292" s="23">
        <v>1065.3528199265015</v>
      </c>
      <c r="H292" s="23">
        <v>219.91666499999999</v>
      </c>
      <c r="I292" s="64">
        <v>48.472393670559434</v>
      </c>
      <c r="J292" s="65">
        <f t="shared" si="212"/>
        <v>1.9343653736226887</v>
      </c>
      <c r="K292" s="65">
        <f t="shared" si="213"/>
        <v>19.388957468223772</v>
      </c>
      <c r="L292" s="65">
        <f t="shared" si="214"/>
        <v>0.77374614944913234</v>
      </c>
      <c r="M292">
        <f t="shared" si="215"/>
        <v>23.003403199999997</v>
      </c>
      <c r="N292">
        <f t="shared" si="216"/>
        <v>0</v>
      </c>
      <c r="O292">
        <f>IF(L292&lt;'Vehicle Data'!F$21,'Vehicle Data'!C$21,IF(L292&gt;'Vehicle Data'!C$21,'Vehicle Data'!C$20))</f>
        <v>0.6</v>
      </c>
      <c r="P292">
        <f>('Vehicle Data'!C$6*9.81*'Vehicle Data'!C$5*SIN(D292))/'Vehicle Data'!C$9</f>
        <v>0</v>
      </c>
      <c r="Q292" s="107">
        <f>'Vehicle Data'!C$6*9.81*SIN(D292)</f>
        <v>0</v>
      </c>
      <c r="R292" s="101">
        <f t="shared" si="217"/>
        <v>1062.9332744467138</v>
      </c>
      <c r="S292" s="101">
        <f>IF(Data!O292=0.6,'Vehicle Data'!E$21,IF(Data!O292 = 0.9,'Vehicle Data'!E$20))+(P292*O292)</f>
        <v>1550.3723999999997</v>
      </c>
      <c r="T292" s="101">
        <f>IF(F292=3,'Vehicle Data'!H$16,IF(F292=2,'Vehicle Data'!H$15,IF(F292 = 1,'Vehicle Data'!G$14)))</f>
        <v>466.23005239380637</v>
      </c>
      <c r="U292" s="148">
        <f t="shared" si="218"/>
        <v>346.7947923233977</v>
      </c>
      <c r="V292" s="102" t="s">
        <v>77</v>
      </c>
      <c r="W292" s="103" t="s">
        <v>84</v>
      </c>
      <c r="X292" s="101">
        <f>IF(V292="S",'Vehicle Data'!C$14,IF(Data!V292 = "T1",'Vehicle Data'!P$2,IF(Data!V292="T2",'Vehicle Data'!P$3)))</f>
        <v>13.411199999999999</v>
      </c>
      <c r="Y292" s="101"/>
      <c r="Z292" s="105">
        <v>8.3000000000000007</v>
      </c>
      <c r="AA292" s="101"/>
      <c r="AB292" s="101" t="b">
        <f>IF(AA292=1,'Vehicle Data'!I$14,IF(AA292=2,'Vehicle Data'!I$15,IF(AA292=3,'Vehicle Data'!I$16)))</f>
        <v>0</v>
      </c>
      <c r="AC292" s="101">
        <f>IF(Z292&lt;'Vehicle Data'!C$16,'Vehicle Data'!I$15,IF(Z292&lt;'Vehicle Data'!C$15,'Vehicle Data'!I$15,IF(Z291&gt;'Vehicle Data'!C$15,'Vehicle Data'!I$16)))</f>
        <v>0.98256251041858167</v>
      </c>
      <c r="AD292">
        <f>IF(O292=0.6,'Vehicle Data'!F$21,IF(O292=0.9,'Vehicle Data'!F$20))</f>
        <v>3.5315999999999996</v>
      </c>
      <c r="AE292" s="101">
        <f>(Data!H$15-Data!Q292)/'Vehicle Data'!C$6</f>
        <v>0.48181472665148062</v>
      </c>
      <c r="AF292" s="158">
        <f t="shared" si="220"/>
        <v>0.29091391322733312</v>
      </c>
      <c r="AG292" s="148">
        <f t="shared" si="178"/>
        <v>0</v>
      </c>
      <c r="AH292" s="148">
        <f t="shared" si="195"/>
        <v>78.597630088225557</v>
      </c>
      <c r="AI292" s="101"/>
      <c r="AJ292" s="101">
        <f>(Z292^2)*'Vehicle Data'!C$31</f>
        <v>25.317075000000013</v>
      </c>
      <c r="AK292" s="101">
        <f>IF(O292=0.6,'Vehicle Data'!C$6*'Vehicle Data'!D$21*9.81,IF(O292=0.9,'Vehicle Data'!C$6*9.81*'Vehicle Data'!D$20))</f>
        <v>86.131799999999998</v>
      </c>
      <c r="AL292" s="101">
        <f t="shared" si="221"/>
        <v>111.44887500000002</v>
      </c>
      <c r="AM292" s="101"/>
      <c r="AN292" t="b">
        <f>IF(AG292&gt;0,AG292*'Vehicle Data'!C$6)</f>
        <v>0</v>
      </c>
      <c r="AO292" s="101">
        <f t="shared" si="222"/>
        <v>111.44887500000002</v>
      </c>
      <c r="AP292" s="101">
        <f>AO292*'Vehicle Data'!F$3</f>
        <v>28.486332450000003</v>
      </c>
      <c r="AQ292">
        <v>20</v>
      </c>
      <c r="AR292">
        <f>IF(Z292&lt;'Vehicle Data'!C$16, Z292*'Vehicle Data'!F$7*'Vehicle Data'!G$14,IF(Z292&lt;'Vehicle Data'!C$15,Z292*'Vehicle Data'!F$7*'Vehicle Data'!G$15,IF(Z292&gt;'Vehicle Data'!C$15,Z292*'Vehicle Data'!F$7*'Vehicle Data'!G$16)))</f>
        <v>107.59259259259261</v>
      </c>
      <c r="AS292">
        <f t="shared" si="223"/>
        <v>6455.5555555555566</v>
      </c>
      <c r="AT292">
        <f t="shared" si="224"/>
        <v>20</v>
      </c>
      <c r="AU292">
        <f t="shared" si="225"/>
        <v>6500</v>
      </c>
      <c r="AW292">
        <f>VLOOKUP(AT292,BSFC!A$64:A$82,1,FALSE)</f>
        <v>20</v>
      </c>
      <c r="AX292" t="e" cm="1">
        <f t="array" ref="AX292">_xlfn.XLOOKUP(AT292,BSFC!A$64:A$82,,-1,_xlfn.XLOOKUP(Data!AU292,BSFC!C$63:Q$63,BSFC!B$64:Q$82,,-1))</f>
        <v>#VALUE!</v>
      </c>
      <c r="AY292">
        <f>HLOOKUP(AU292,BSFC!F$63:Q$63,1)</f>
        <v>6500</v>
      </c>
      <c r="AZ292">
        <f>IF(AT292&gt;0,MATCH(AT292,BSFC!A$64:A$83,0),IF(AT292&lt;=0,0))</f>
        <v>3</v>
      </c>
      <c r="BA292">
        <f>MATCH(AU292,BSFC!C$63:Q$63,0)</f>
        <v>13</v>
      </c>
      <c r="BB292" cm="1">
        <f t="array" ref="BB292">IF(AZ292&gt;0,INDEX(BSFC!C$64:Q$83,Data!AZ292,Data!BA292))</f>
        <v>494.7</v>
      </c>
      <c r="BC292">
        <f>0.5*'Vehicle Data'!C$6*Data!Z292^2</f>
        <v>15121.355000000003</v>
      </c>
      <c r="BD292">
        <f t="shared" si="179"/>
        <v>13.465906457145509</v>
      </c>
      <c r="BE292">
        <f t="shared" si="226"/>
        <v>6661.5839243498831</v>
      </c>
      <c r="BF292">
        <f t="shared" si="227"/>
        <v>0.53831873547914422</v>
      </c>
      <c r="BG292">
        <f t="shared" si="180"/>
        <v>91.351765515111708</v>
      </c>
      <c r="BH292">
        <f t="shared" si="228"/>
        <v>13465.906457145509</v>
      </c>
      <c r="BI292" s="148">
        <f t="shared" si="181"/>
        <v>6871.6622130335309</v>
      </c>
      <c r="BO292">
        <f t="shared" si="182"/>
        <v>3925.4666385097817</v>
      </c>
      <c r="BP292">
        <f t="shared" si="183"/>
        <v>444903.78746233974</v>
      </c>
      <c r="BQ292">
        <f t="shared" si="184"/>
        <v>541277.11421686958</v>
      </c>
      <c r="BR292" s="148">
        <f t="shared" si="185"/>
        <v>542099.53329512314</v>
      </c>
      <c r="BS292" s="156">
        <f t="shared" si="186"/>
        <v>3925.4666385097817</v>
      </c>
      <c r="BT292" s="156">
        <f t="shared" si="187"/>
        <v>13465.906457145509</v>
      </c>
      <c r="BU292">
        <f t="shared" si="188"/>
        <v>2003.1685838763392</v>
      </c>
      <c r="BV292">
        <f t="shared" si="189"/>
        <v>2003.1685838763392</v>
      </c>
      <c r="BW292" s="148">
        <f t="shared" si="190"/>
        <v>455.4</v>
      </c>
      <c r="BX292" s="148">
        <f t="shared" si="191"/>
        <v>3129354.9718154697</v>
      </c>
      <c r="BY292" s="148">
        <f t="shared" si="192"/>
        <v>0.25340082586035684</v>
      </c>
      <c r="BZ292">
        <f t="shared" si="176"/>
        <v>78.597630088225557</v>
      </c>
      <c r="CB292">
        <f t="shared" si="193"/>
        <v>-1922.2980546334425</v>
      </c>
      <c r="CC292" s="162">
        <f t="shared" si="177"/>
        <v>-6607.7900273243567</v>
      </c>
      <c r="CD292">
        <f t="shared" si="196"/>
        <v>90.478599227514678</v>
      </c>
    </row>
    <row r="293" spans="4:82" ht="16" thickBot="1" x14ac:dyDescent="0.25">
      <c r="D293" s="22">
        <f t="shared" si="211"/>
        <v>0</v>
      </c>
      <c r="E293" s="23">
        <v>11.501701599999999</v>
      </c>
      <c r="F293" s="23">
        <f>IF(K293&lt;6,1,IF(Data!K293&lt;9,2,IF(K293&gt;9,3)))</f>
        <v>3</v>
      </c>
      <c r="G293" s="23">
        <v>1067.7775654062891</v>
      </c>
      <c r="H293" s="23">
        <v>219.96666499999998</v>
      </c>
      <c r="I293" s="64">
        <v>48.569111939240535</v>
      </c>
      <c r="J293" s="65">
        <f t="shared" si="212"/>
        <v>1.9153387929762198</v>
      </c>
      <c r="K293" s="65">
        <f t="shared" si="213"/>
        <v>19.427644775696216</v>
      </c>
      <c r="L293" s="65">
        <f t="shared" si="214"/>
        <v>0.76613551719045947</v>
      </c>
      <c r="M293">
        <f t="shared" si="215"/>
        <v>23.003403199999997</v>
      </c>
      <c r="N293">
        <f t="shared" si="216"/>
        <v>0</v>
      </c>
      <c r="O293">
        <f>IF(L293&lt;'Vehicle Data'!F$21,'Vehicle Data'!C$21,IF(L293&gt;'Vehicle Data'!C$21,'Vehicle Data'!C$20))</f>
        <v>0.6</v>
      </c>
      <c r="P293">
        <f>('Vehicle Data'!C$6*9.81*'Vehicle Data'!C$5*SIN(D293))/'Vehicle Data'!C$9</f>
        <v>0</v>
      </c>
      <c r="Q293" s="107">
        <f>'Vehicle Data'!C$6*9.81*SIN(D293)</f>
        <v>0</v>
      </c>
      <c r="R293" s="101">
        <f t="shared" si="217"/>
        <v>1065.3528199265015</v>
      </c>
      <c r="S293" s="101">
        <f>IF(Data!O293=0.6,'Vehicle Data'!E$21,IF(Data!O293 = 0.9,'Vehicle Data'!E$20))+(P293*O293)</f>
        <v>1550.3723999999997</v>
      </c>
      <c r="T293" s="101">
        <f>IF(F293=3,'Vehicle Data'!H$16,IF(F293=2,'Vehicle Data'!H$15,IF(F293 = 1,'Vehicle Data'!G$14)))</f>
        <v>466.23005239380637</v>
      </c>
      <c r="U293" s="148">
        <f t="shared" si="218"/>
        <v>349.21433780318546</v>
      </c>
      <c r="V293" s="102" t="s">
        <v>77</v>
      </c>
      <c r="W293" s="103" t="s">
        <v>84</v>
      </c>
      <c r="X293" s="101">
        <f>IF(V293="S",'Vehicle Data'!C$14,IF(Data!V293 = "T1",'Vehicle Data'!P$2,IF(Data!V293="T2",'Vehicle Data'!P$3)))</f>
        <v>13.411199999999999</v>
      </c>
      <c r="Y293" s="101"/>
      <c r="Z293" s="106">
        <v>8.3000000000000007</v>
      </c>
      <c r="AA293" s="101"/>
      <c r="AB293" s="101" t="b">
        <f>IF(AA293=1,'Vehicle Data'!I$14,IF(AA293=2,'Vehicle Data'!I$15,IF(AA293=3,'Vehicle Data'!I$16)))</f>
        <v>0</v>
      </c>
      <c r="AC293" s="101">
        <f>IF(Z293&lt;'Vehicle Data'!C$16,'Vehicle Data'!I$15,IF(Z293&lt;'Vehicle Data'!C$15,'Vehicle Data'!I$15,IF(Z292&gt;'Vehicle Data'!C$15,'Vehicle Data'!I$16)))</f>
        <v>0.98256251041858167</v>
      </c>
      <c r="AD293">
        <f>IF(O293=0.6,'Vehicle Data'!F$21,IF(O293=0.9,'Vehicle Data'!F$20))</f>
        <v>3.5315999999999996</v>
      </c>
      <c r="AE293" s="101">
        <f>(Data!H$15-Data!Q293)/'Vehicle Data'!C$6</f>
        <v>0.48181472665148062</v>
      </c>
      <c r="AF293" s="158">
        <f t="shared" si="220"/>
        <v>0.29151150358888639</v>
      </c>
      <c r="AG293" s="148">
        <f t="shared" si="178"/>
        <v>0</v>
      </c>
      <c r="AH293" s="148">
        <f t="shared" si="195"/>
        <v>78.88914159181445</v>
      </c>
      <c r="AI293" s="101"/>
      <c r="AJ293" s="101">
        <f>(Z293^2)*'Vehicle Data'!C$31</f>
        <v>25.317075000000013</v>
      </c>
      <c r="AK293" s="101">
        <f>IF(O293=0.6,'Vehicle Data'!C$6*'Vehicle Data'!D$21*9.81,IF(O293=0.9,'Vehicle Data'!C$6*9.81*'Vehicle Data'!D$20))</f>
        <v>86.131799999999998</v>
      </c>
      <c r="AL293" s="101">
        <f t="shared" si="221"/>
        <v>111.44887500000002</v>
      </c>
      <c r="AM293" s="101"/>
      <c r="AN293" t="b">
        <f>IF(AG293&gt;0,AG293*'Vehicle Data'!C$6)</f>
        <v>0</v>
      </c>
      <c r="AO293" s="101">
        <f t="shared" si="222"/>
        <v>111.44887500000002</v>
      </c>
      <c r="AP293" s="101">
        <f>AO293*'Vehicle Data'!F$3</f>
        <v>28.486332450000003</v>
      </c>
      <c r="AQ293">
        <v>20</v>
      </c>
      <c r="AR293">
        <f>IF(Z293&lt;'Vehicle Data'!C$16, Z293*'Vehicle Data'!F$7*'Vehicle Data'!G$14,IF(Z293&lt;'Vehicle Data'!C$15,Z293*'Vehicle Data'!F$7*'Vehicle Data'!G$15,IF(Z293&gt;'Vehicle Data'!C$15,Z293*'Vehicle Data'!F$7*'Vehicle Data'!G$16)))</f>
        <v>107.59259259259261</v>
      </c>
      <c r="AS293">
        <f t="shared" si="223"/>
        <v>6455.5555555555566</v>
      </c>
      <c r="AT293">
        <f t="shared" si="224"/>
        <v>20</v>
      </c>
      <c r="AU293">
        <f t="shared" si="225"/>
        <v>6500</v>
      </c>
      <c r="AW293">
        <f>VLOOKUP(AT293,BSFC!A$64:A$82,1,FALSE)</f>
        <v>20</v>
      </c>
      <c r="AX293" t="e" cm="1">
        <f t="array" ref="AX293">_xlfn.XLOOKUP(AT293,BSFC!A$64:A$82,,-1,_xlfn.XLOOKUP(Data!AU293,BSFC!C$63:Q$63,BSFC!B$64:Q$82,,-1))</f>
        <v>#VALUE!</v>
      </c>
      <c r="AY293">
        <f>HLOOKUP(AU293,BSFC!F$63:Q$63,1)</f>
        <v>6500</v>
      </c>
      <c r="AZ293">
        <f>IF(AT293&gt;0,MATCH(AT293,BSFC!A$64:A$83,0),IF(AT293&lt;=0,0))</f>
        <v>3</v>
      </c>
      <c r="BA293">
        <f>MATCH(AU293,BSFC!C$63:Q$63,0)</f>
        <v>13</v>
      </c>
      <c r="BB293" cm="1">
        <f t="array" ref="BB293">IF(AZ293&gt;0,INDEX(BSFC!C$64:Q$83,Data!AZ293,Data!BA293))</f>
        <v>494.7</v>
      </c>
      <c r="BC293">
        <f>0.5*'Vehicle Data'!C$6*Data!Z293^2</f>
        <v>15121.355000000003</v>
      </c>
      <c r="BD293">
        <f t="shared" si="179"/>
        <v>3.2250722167563075</v>
      </c>
      <c r="BE293">
        <f t="shared" si="226"/>
        <v>1595.4432256293453</v>
      </c>
      <c r="BF293">
        <f t="shared" si="227"/>
        <v>0.12919168155386482</v>
      </c>
      <c r="BG293">
        <f t="shared" si="180"/>
        <v>91.480957196665571</v>
      </c>
      <c r="BH293">
        <f t="shared" si="228"/>
        <v>13465.906457145509</v>
      </c>
      <c r="BI293" s="148">
        <f t="shared" si="181"/>
        <v>6871.6622130335309</v>
      </c>
      <c r="BO293">
        <f t="shared" si="182"/>
        <v>3868.8400802917517</v>
      </c>
      <c r="BP293">
        <f t="shared" si="183"/>
        <v>448772.62754263147</v>
      </c>
      <c r="BQ293">
        <f t="shared" si="184"/>
        <v>545145.95429716131</v>
      </c>
      <c r="BR293" s="148">
        <f t="shared" si="185"/>
        <v>544073.80530366686</v>
      </c>
      <c r="BS293" s="156">
        <f t="shared" si="186"/>
        <v>3868.8400802917517</v>
      </c>
      <c r="BT293" s="156">
        <f t="shared" si="187"/>
        <v>13465.906457145509</v>
      </c>
      <c r="BU293">
        <f t="shared" si="188"/>
        <v>1974.2720085437147</v>
      </c>
      <c r="BV293">
        <f t="shared" si="189"/>
        <v>1974.2720085437147</v>
      </c>
      <c r="BW293" s="148">
        <f t="shared" si="190"/>
        <v>455.4</v>
      </c>
      <c r="BX293" s="148">
        <f t="shared" si="191"/>
        <v>3129354.9718154697</v>
      </c>
      <c r="BY293" s="148">
        <f t="shared" si="192"/>
        <v>0.24974540908077988</v>
      </c>
      <c r="BZ293">
        <f t="shared" si="176"/>
        <v>78.88914159181445</v>
      </c>
      <c r="CB293">
        <f t="shared" si="193"/>
        <v>-1894.568071748037</v>
      </c>
      <c r="CC293" s="162">
        <f t="shared" si="177"/>
        <v>-6499.1194118358699</v>
      </c>
      <c r="CD293">
        <f t="shared" si="196"/>
        <v>-1804.0894725205223</v>
      </c>
    </row>
    <row r="294" spans="4:82" x14ac:dyDescent="0.2">
      <c r="D294" s="22">
        <f t="shared" si="211"/>
        <v>-4.107080121875966E-2</v>
      </c>
      <c r="E294" s="23">
        <v>11.501701599999999</v>
      </c>
      <c r="F294" s="23">
        <f>IF(K294&lt;6,1,IF(Data!K294&lt;9,2,IF(K294&gt;9,3)))</f>
        <v>3</v>
      </c>
      <c r="G294" s="23">
        <v>1070.2076035279713</v>
      </c>
      <c r="H294" s="23">
        <v>220.01666499999999</v>
      </c>
      <c r="I294" s="64">
        <v>48.664878878889368</v>
      </c>
      <c r="J294" s="65">
        <f t="shared" si="212"/>
        <v>1.7855161126991197</v>
      </c>
      <c r="K294" s="65">
        <f t="shared" si="213"/>
        <v>19.465951551555747</v>
      </c>
      <c r="L294" s="65">
        <f t="shared" si="214"/>
        <v>0.71420644507964781</v>
      </c>
      <c r="M294">
        <f t="shared" si="215"/>
        <v>23.003403199999997</v>
      </c>
      <c r="N294">
        <f t="shared" si="216"/>
        <v>-9.9998399999998711E-2</v>
      </c>
      <c r="O294">
        <f>IF(L294&lt;'Vehicle Data'!F$21,'Vehicle Data'!C$21,IF(L294&gt;'Vehicle Data'!C$21,'Vehicle Data'!C$20))</f>
        <v>0.6</v>
      </c>
      <c r="P294">
        <f>('Vehicle Data'!C$6*9.81*'Vehicle Data'!C$5*SIN(D294))/'Vehicle Data'!C$9</f>
        <v>-27.344130960567359</v>
      </c>
      <c r="Q294" s="107">
        <f>'Vehicle Data'!C$6*9.81*SIN(D294)</f>
        <v>-176.82538021166891</v>
      </c>
      <c r="R294">
        <f t="shared" si="217"/>
        <v>1067.7775654062891</v>
      </c>
      <c r="S294">
        <f>IF(Data!O294=0.6,'Vehicle Data'!E$21,IF(Data!O294 = 0.9,'Vehicle Data'!E$20))+(P294*O294)</f>
        <v>1533.9659214236594</v>
      </c>
      <c r="T294">
        <f>IF(F294=3,'Vehicle Data'!H$16,IF(F294=2,'Vehicle Data'!H$15,IF(F294 = 1,'Vehicle Data'!G$14)))</f>
        <v>466.23005239380637</v>
      </c>
      <c r="U294" s="148">
        <f t="shared" si="218"/>
        <v>351.63908328297305</v>
      </c>
      <c r="V294" s="70" t="s">
        <v>77</v>
      </c>
      <c r="W294" s="99" t="s">
        <v>84</v>
      </c>
      <c r="X294">
        <f>IF(V294="S",'Vehicle Data'!C$14,IF(Data!V294 = "T1",'Vehicle Data'!P$2,IF(Data!V294="T2",'Vehicle Data'!P$3)))</f>
        <v>13.411199999999999</v>
      </c>
      <c r="Z294">
        <f>SQRT(Z293^2+2*AE293*(U294-U293))</f>
        <v>8.4395827006485664</v>
      </c>
      <c r="AB294" t="b">
        <f>IF(AA294=1,'Vehicle Data'!I$14,IF(AA294=2,'Vehicle Data'!I$15,IF(AA294=3,'Vehicle Data'!I$16)))</f>
        <v>0</v>
      </c>
      <c r="AC294">
        <f>IF(Z294&lt;'Vehicle Data'!C$16,'Vehicle Data'!I$15,IF(Z294&lt;'Vehicle Data'!C$15,'Vehicle Data'!I$15,IF(Z293&gt;'Vehicle Data'!C$15,'Vehicle Data'!I$16)))</f>
        <v>0.98256251041858167</v>
      </c>
      <c r="AD294">
        <f>IF(O294=0.6,'Vehicle Data'!F$21,IF(O294=0.9,'Vehicle Data'!F$20))</f>
        <v>3.5315999999999996</v>
      </c>
      <c r="AE294" s="100">
        <f t="shared" ref="AE294:AE320" si="229">IF(W294="a",AC294,IF(W294="b",AD294*-1))</f>
        <v>0.98256251041858167</v>
      </c>
      <c r="AF294" s="158">
        <f t="shared" si="220"/>
        <v>0.28730632375949722</v>
      </c>
      <c r="AG294" s="148">
        <f t="shared" si="178"/>
        <v>0.48583232983555813</v>
      </c>
      <c r="AH294" s="148">
        <f t="shared" si="195"/>
        <v>79.176447915573945</v>
      </c>
      <c r="AJ294">
        <f>(Z294^2)*'Vehicle Data'!C$31</f>
        <v>26.175759389199314</v>
      </c>
      <c r="AK294">
        <f>IF(O294=0.6,'Vehicle Data'!C$6*'Vehicle Data'!D$21*9.81,IF(O294=0.9,'Vehicle Data'!C$6*9.81*'Vehicle Data'!D$20))</f>
        <v>86.131799999999998</v>
      </c>
      <c r="AL294">
        <f t="shared" si="221"/>
        <v>-64.517820822469602</v>
      </c>
      <c r="AN294">
        <f>IF(AG294&gt;0,AG294*'Vehicle Data'!C$6)</f>
        <v>213.28039279781001</v>
      </c>
      <c r="AO294">
        <f t="shared" si="222"/>
        <v>148.76257197534039</v>
      </c>
      <c r="AP294">
        <f>AO294*'Vehicle Data'!F$3</f>
        <v>38.023713396897001</v>
      </c>
      <c r="AQ294">
        <f>IF(AE294='Vehicle Data'!I$15,AP294/'Vehicle Data'!G$15,IF(AE294='Vehicle Data'!I$16,AP294/'Vehicle Data'!G$16,IF(AE294='Vehicle Data'!I$14,Data!AP294/'Vehicle Data'!G305)))</f>
        <v>4.7107598562553266</v>
      </c>
      <c r="AR294">
        <f>IF(Z294&lt;'Vehicle Data'!C$16, Z294*'Vehicle Data'!F$7*'Vehicle Data'!G$14,IF(Z294&lt;'Vehicle Data'!C$15,Z294*'Vehicle Data'!F$7*'Vehicle Data'!G$15,IF(Z294&gt;'Vehicle Data'!C$15,Z294*'Vehicle Data'!F$7*'Vehicle Data'!G$16)))</f>
        <v>109.40199797137031</v>
      </c>
      <c r="AS294">
        <f t="shared" si="223"/>
        <v>6564.1198782822185</v>
      </c>
      <c r="AT294">
        <f t="shared" si="224"/>
        <v>5</v>
      </c>
      <c r="AU294">
        <f t="shared" si="225"/>
        <v>6500</v>
      </c>
      <c r="AW294">
        <f>VLOOKUP(AT294,BSFC!A$64:A$82,1,FALSE)</f>
        <v>5</v>
      </c>
      <c r="AX294" t="e" cm="1">
        <f t="array" ref="AX294">_xlfn.XLOOKUP(AT294,BSFC!A$64:A$82,,-1,_xlfn.XLOOKUP(Data!AU294,BSFC!C$63:Q$63,BSFC!B$64:Q$82,,-1))</f>
        <v>#VALUE!</v>
      </c>
      <c r="AY294">
        <f>HLOOKUP(AU294,BSFC!F$63:Q$63,1)</f>
        <v>6500</v>
      </c>
      <c r="AZ294">
        <f>IF(AT294&gt;0,MATCH(AT294,BSFC!A$64:A$83,0),IF(AT294&lt;=0,0))</f>
        <v>18</v>
      </c>
      <c r="BA294">
        <f>MATCH(AU294,BSFC!C$63:Q$63,0)</f>
        <v>13</v>
      </c>
      <c r="BB294" cm="1">
        <f t="array" ref="BB294">IF(AZ294&gt;0,INDEX(BSFC!C$64:Q$83,Data!AZ294,Data!BA294))</f>
        <v>600</v>
      </c>
      <c r="BC294">
        <f>0.5*'Vehicle Data'!C$6*Data!Z294^2</f>
        <v>15634.229077358497</v>
      </c>
      <c r="BD294">
        <f t="shared" si="179"/>
        <v>11.746270514507263</v>
      </c>
      <c r="BE294">
        <f t="shared" si="226"/>
        <v>7047.7623087043576</v>
      </c>
      <c r="BF294">
        <f t="shared" si="227"/>
        <v>0.56246296656794326</v>
      </c>
      <c r="BG294">
        <f t="shared" si="180"/>
        <v>92.04342016323352</v>
      </c>
      <c r="BH294">
        <f t="shared" si="228"/>
        <v>3225.0722167563076</v>
      </c>
      <c r="BI294" s="148">
        <f t="shared" si="181"/>
        <v>6871.6622130335309</v>
      </c>
      <c r="BO294">
        <f t="shared" si="182"/>
        <v>898.959961209791</v>
      </c>
      <c r="BP294">
        <f t="shared" si="183"/>
        <v>449671.58750384126</v>
      </c>
      <c r="BQ294">
        <f t="shared" si="184"/>
        <v>546044.91425837111</v>
      </c>
      <c r="BR294" s="148">
        <f t="shared" si="185"/>
        <v>545989.21952737949</v>
      </c>
      <c r="BS294" s="156">
        <f t="shared" si="186"/>
        <v>898.959961209791</v>
      </c>
      <c r="BT294" s="156">
        <f t="shared" si="187"/>
        <v>3225.0722167563076</v>
      </c>
      <c r="BU294">
        <f t="shared" si="188"/>
        <v>1915.4142237126161</v>
      </c>
      <c r="BV294">
        <f t="shared" si="189"/>
        <v>1915.4142237126161</v>
      </c>
      <c r="BW294" s="148">
        <f t="shared" si="190"/>
        <v>455.4</v>
      </c>
      <c r="BX294" s="148">
        <f t="shared" si="191"/>
        <v>3129354.9718154697</v>
      </c>
      <c r="BY294" s="148">
        <f t="shared" si="192"/>
        <v>0.2422998992996459</v>
      </c>
      <c r="BZ294">
        <f t="shared" si="176"/>
        <v>79.176447915573945</v>
      </c>
      <c r="CB294">
        <f t="shared" si="193"/>
        <v>1016.4542625028251</v>
      </c>
      <c r="CC294" s="162">
        <f t="shared" si="177"/>
        <v>3537.8764003597175</v>
      </c>
      <c r="CD294">
        <f t="shared" si="196"/>
        <v>-787.6352100176972</v>
      </c>
    </row>
    <row r="295" spans="4:82" x14ac:dyDescent="0.2">
      <c r="D295" s="22">
        <f t="shared" si="211"/>
        <v>-6.4746343068807508E-3</v>
      </c>
      <c r="E295" s="23">
        <v>11.4017032</v>
      </c>
      <c r="F295" s="23">
        <f>IF(K295&lt;6,1,IF(Data!K295&lt;9,2,IF(K295&gt;9,3)))</f>
        <v>3</v>
      </c>
      <c r="G295" s="23">
        <v>1072.6430690077598</v>
      </c>
      <c r="H295" s="23">
        <v>220.066665</v>
      </c>
      <c r="I295" s="64">
        <v>48.754154684524345</v>
      </c>
      <c r="J295" s="65">
        <f t="shared" si="212"/>
        <v>1.737401231523019</v>
      </c>
      <c r="K295" s="65">
        <f t="shared" si="213"/>
        <v>19.501661873809738</v>
      </c>
      <c r="L295" s="65">
        <f t="shared" si="214"/>
        <v>0.69496049260922177</v>
      </c>
      <c r="M295">
        <f t="shared" si="215"/>
        <v>22.8034064</v>
      </c>
      <c r="N295">
        <f t="shared" si="216"/>
        <v>-1.5802115475887391E-2</v>
      </c>
      <c r="O295">
        <f>IF(L295&lt;'Vehicle Data'!F$21,'Vehicle Data'!C$21,IF(L295&gt;'Vehicle Data'!C$21,'Vehicle Data'!C$20))</f>
        <v>0.6</v>
      </c>
      <c r="P295">
        <f>('Vehicle Data'!C$6*9.81*'Vehicle Data'!C$5*SIN(D295))/'Vehicle Data'!C$9</f>
        <v>-4.3118660632822206</v>
      </c>
      <c r="Q295" s="107">
        <f>'Vehicle Data'!C$6*9.81*SIN(D295)</f>
        <v>-27.883400542558359</v>
      </c>
      <c r="R295">
        <f t="shared" si="217"/>
        <v>1070.2076035279713</v>
      </c>
      <c r="S295">
        <f>IF(Data!O295=0.6,'Vehicle Data'!E$21,IF(Data!O295 = 0.9,'Vehicle Data'!E$20))+(P295*O295)</f>
        <v>1547.7852803620303</v>
      </c>
      <c r="T295">
        <f>IF(F295=3,'Vehicle Data'!H$16,IF(F295=2,'Vehicle Data'!H$15,IF(F295 = 1,'Vehicle Data'!G$14)))</f>
        <v>466.23005239380637</v>
      </c>
      <c r="U295" s="148">
        <f t="shared" si="218"/>
        <v>354.06912140465522</v>
      </c>
      <c r="V295" s="70" t="s">
        <v>77</v>
      </c>
      <c r="W295" s="99" t="s">
        <v>84</v>
      </c>
      <c r="X295">
        <f>IF(V295="S",'Vehicle Data'!C$14,IF(Data!V295 = "T1",'Vehicle Data'!P$2,IF(Data!V295="T2",'Vehicle Data'!P$3)))</f>
        <v>13.411199999999999</v>
      </c>
      <c r="Z295">
        <f t="shared" ref="Z295:Z312" si="230">SQRT(Z294^2+2*AE294*(U295-U294))</f>
        <v>8.7179059914403947</v>
      </c>
      <c r="AB295" t="b">
        <f>IF(AA295=1,'Vehicle Data'!I$14,IF(AA295=2,'Vehicle Data'!I$15,IF(AA295=3,'Vehicle Data'!I$16)))</f>
        <v>0</v>
      </c>
      <c r="AC295">
        <f>IF(Z295&lt;'Vehicle Data'!C$16,'Vehicle Data'!I$15,IF(Z295&lt;'Vehicle Data'!C$15,'Vehicle Data'!I$15,IF(Z294&gt;'Vehicle Data'!C$15,'Vehicle Data'!I$16)))</f>
        <v>0.98256251041858167</v>
      </c>
      <c r="AD295">
        <f>IF(O295=0.6,'Vehicle Data'!F$21,IF(O295=0.9,'Vehicle Data'!F$20))</f>
        <v>3.5315999999999996</v>
      </c>
      <c r="AE295" s="100">
        <f t="shared" si="229"/>
        <v>0.98256251041858167</v>
      </c>
      <c r="AF295" s="158">
        <f t="shared" si="220"/>
        <v>0.27874103300357755</v>
      </c>
      <c r="AG295" s="148">
        <f t="shared" si="178"/>
        <v>0.99850132502112121</v>
      </c>
      <c r="AH295" s="148">
        <f t="shared" si="195"/>
        <v>79.455188948577529</v>
      </c>
      <c r="AJ295">
        <f>(Z295^2)*'Vehicle Data'!C$31</f>
        <v>27.930692691780187</v>
      </c>
      <c r="AK295">
        <f>IF(O295=0.6,'Vehicle Data'!C$6*'Vehicle Data'!D$21*9.81,IF(O295=0.9,'Vehicle Data'!C$6*9.81*'Vehicle Data'!D$20))</f>
        <v>86.131799999999998</v>
      </c>
      <c r="AL295">
        <f t="shared" si="221"/>
        <v>86.17909214922183</v>
      </c>
      <c r="AN295">
        <f>IF(AG295&gt;0,AG295*'Vehicle Data'!C$6)</f>
        <v>438.34208168427222</v>
      </c>
      <c r="AO295">
        <f t="shared" si="222"/>
        <v>524.521173833494</v>
      </c>
      <c r="AP295">
        <f>AO295*'Vehicle Data'!F$3</f>
        <v>134.06761203184107</v>
      </c>
      <c r="AQ295">
        <f>IF(AE295='Vehicle Data'!I$15,AP295/'Vehicle Data'!G$15,IF(AE295='Vehicle Data'!I$16,AP295/'Vehicle Data'!G$16,IF(AE295='Vehicle Data'!I$14,Data!AP295/'Vehicle Data'!G306)))</f>
        <v>16.609643518803459</v>
      </c>
      <c r="AR295">
        <f>IF(Z295&lt;'Vehicle Data'!C$16, Z295*'Vehicle Data'!F$7*'Vehicle Data'!G$14,IF(Z295&lt;'Vehicle Data'!C$15,Z295*'Vehicle Data'!F$7*'Vehicle Data'!G$15,IF(Z295&gt;'Vehicle Data'!C$15,Z295*'Vehicle Data'!F$7*'Vehicle Data'!G$16)))</f>
        <v>113.00989248163475</v>
      </c>
      <c r="AS295">
        <f t="shared" si="223"/>
        <v>6780.5935488980849</v>
      </c>
      <c r="AT295">
        <f t="shared" si="224"/>
        <v>17</v>
      </c>
      <c r="AU295">
        <f t="shared" si="225"/>
        <v>7000</v>
      </c>
      <c r="AW295">
        <f>VLOOKUP(AT295,BSFC!A$64:A$82,1,FALSE)</f>
        <v>17</v>
      </c>
      <c r="AX295" t="e" cm="1">
        <f t="array" ref="AX295">_xlfn.XLOOKUP(AT295,BSFC!A$64:A$82,,-1,_xlfn.XLOOKUP(Data!AU295,BSFC!C$63:Q$63,BSFC!B$64:Q$82,,-1))</f>
        <v>#VALUE!</v>
      </c>
      <c r="AY295">
        <f>HLOOKUP(AU295,BSFC!F$63:Q$63,1)</f>
        <v>7000</v>
      </c>
      <c r="AZ295">
        <f>IF(AT295&gt;0,MATCH(AT295,BSFC!A$64:A$83,0),IF(AT295&lt;=0,0))</f>
        <v>6</v>
      </c>
      <c r="BA295">
        <f>MATCH(AU295,BSFC!C$63:Q$63,0)</f>
        <v>14</v>
      </c>
      <c r="BB295" cm="1">
        <f t="array" ref="BB295">IF(AZ295&gt;0,INDEX(BSFC!C$64:Q$83,Data!AZ295,Data!BA295))</f>
        <v>500</v>
      </c>
      <c r="BC295">
        <f>0.5*'Vehicle Data'!C$6*Data!Z295^2</f>
        <v>16682.413730192515</v>
      </c>
      <c r="BD295">
        <f t="shared" si="179"/>
        <v>8.7192170294856286</v>
      </c>
      <c r="BE295">
        <f t="shared" si="226"/>
        <v>4359.6085147428139</v>
      </c>
      <c r="BF295">
        <f t="shared" si="227"/>
        <v>0.3375560502473901</v>
      </c>
      <c r="BG295">
        <f t="shared" si="180"/>
        <v>92.380976213480906</v>
      </c>
      <c r="BH295">
        <f t="shared" si="228"/>
        <v>11746.270514507263</v>
      </c>
      <c r="BI295" s="148">
        <f t="shared" si="181"/>
        <v>6871.6622130335309</v>
      </c>
      <c r="BO295">
        <f t="shared" si="182"/>
        <v>3182.7965114733715</v>
      </c>
      <c r="BP295">
        <f t="shared" si="183"/>
        <v>452854.38401531463</v>
      </c>
      <c r="BQ295">
        <f t="shared" si="184"/>
        <v>549227.71076984447</v>
      </c>
      <c r="BR295" s="148">
        <f t="shared" si="185"/>
        <v>547851.18094676407</v>
      </c>
      <c r="BS295" s="156">
        <f t="shared" si="186"/>
        <v>3182.7965114733715</v>
      </c>
      <c r="BT295" s="156">
        <f t="shared" si="187"/>
        <v>11746.270514507263</v>
      </c>
      <c r="BU295">
        <f t="shared" si="188"/>
        <v>1861.9614193845225</v>
      </c>
      <c r="BV295">
        <f t="shared" si="189"/>
        <v>1861.9614193845225</v>
      </c>
      <c r="BW295" s="148">
        <f t="shared" si="190"/>
        <v>455.4</v>
      </c>
      <c r="BX295" s="148">
        <f t="shared" si="191"/>
        <v>3129354.9718154697</v>
      </c>
      <c r="BY295" s="148">
        <f t="shared" si="192"/>
        <v>0.23553811955214207</v>
      </c>
      <c r="BZ295">
        <f t="shared" si="176"/>
        <v>79.455188948577529</v>
      </c>
      <c r="CB295">
        <f t="shared" si="193"/>
        <v>-1320.835092088849</v>
      </c>
      <c r="CC295" s="162">
        <f t="shared" si="177"/>
        <v>-4738.5742883139346</v>
      </c>
      <c r="CD295">
        <f t="shared" si="196"/>
        <v>-2108.4703021065461</v>
      </c>
    </row>
    <row r="296" spans="4:82" x14ac:dyDescent="0.2">
      <c r="D296" s="22">
        <f t="shared" si="211"/>
        <v>-4.0904504877040788E-2</v>
      </c>
      <c r="E296" s="23">
        <v>11.385901084524113</v>
      </c>
      <c r="F296" s="23">
        <f>IF(K296&lt;6,1,IF(Data!K296&lt;9,2,IF(K296&gt;9,3)))</f>
        <v>3</v>
      </c>
      <c r="G296" s="23">
        <v>1075.0837050551254</v>
      </c>
      <c r="H296" s="23">
        <v>220.11666499999998</v>
      </c>
      <c r="I296" s="64">
        <v>48.841024746100466</v>
      </c>
      <c r="J296" s="65">
        <f t="shared" si="212"/>
        <v>1.6514353025723036</v>
      </c>
      <c r="K296" s="65">
        <f t="shared" si="213"/>
        <v>19.536409898440187</v>
      </c>
      <c r="L296" s="65">
        <f t="shared" si="214"/>
        <v>0.66057412102892143</v>
      </c>
      <c r="M296">
        <f t="shared" si="215"/>
        <v>22.771802169048225</v>
      </c>
      <c r="N296">
        <f t="shared" si="216"/>
        <v>-9.9998526418946909E-2</v>
      </c>
      <c r="O296">
        <f>IF(L296&lt;'Vehicle Data'!F$21,'Vehicle Data'!C$21,IF(L296&gt;'Vehicle Data'!C$21,'Vehicle Data'!C$20))</f>
        <v>0.6</v>
      </c>
      <c r="P296">
        <f>('Vehicle Data'!C$6*9.81*'Vehicle Data'!C$5*SIN(D296))/'Vehicle Data'!C$9</f>
        <v>-27.233476012040324</v>
      </c>
      <c r="Q296" s="107">
        <f>'Vehicle Data'!C$6*9.81*SIN(D296)</f>
        <v>-176.10981154452742</v>
      </c>
      <c r="R296">
        <f t="shared" si="217"/>
        <v>1072.6430690077598</v>
      </c>
      <c r="S296">
        <f>IF(Data!O296=0.6,'Vehicle Data'!E$21,IF(Data!O296 = 0.9,'Vehicle Data'!E$20))+(P296*O296)</f>
        <v>1534.0323143927756</v>
      </c>
      <c r="T296">
        <f>IF(F296=3,'Vehicle Data'!H$16,IF(F296=2,'Vehicle Data'!H$15,IF(F296 = 1,'Vehicle Data'!G$14)))</f>
        <v>466.23005239380637</v>
      </c>
      <c r="U296" s="148">
        <f t="shared" si="218"/>
        <v>356.50458688444371</v>
      </c>
      <c r="V296" s="70" t="s">
        <v>77</v>
      </c>
      <c r="W296" s="99" t="s">
        <v>84</v>
      </c>
      <c r="X296">
        <f>IF(V296="S",'Vehicle Data'!C$14,IF(Data!V296 = "T1",'Vehicle Data'!P$2,IF(Data!V296="T2",'Vehicle Data'!P$3)))</f>
        <v>13.411199999999999</v>
      </c>
      <c r="Z296">
        <f t="shared" si="230"/>
        <v>8.9882077761537023</v>
      </c>
      <c r="AB296" t="b">
        <f>IF(AA296=1,'Vehicle Data'!I$14,IF(AA296=2,'Vehicle Data'!I$15,IF(AA296=3,'Vehicle Data'!I$16)))</f>
        <v>0</v>
      </c>
      <c r="AC296">
        <f>IF(Z296&lt;'Vehicle Data'!C$16,'Vehicle Data'!I$15,IF(Z296&lt;'Vehicle Data'!C$15,'Vehicle Data'!I$15,IF(Z295&gt;'Vehicle Data'!C$15,'Vehicle Data'!I$16)))</f>
        <v>0.98256251041858167</v>
      </c>
      <c r="AD296">
        <f>IF(O296=0.6,'Vehicle Data'!F$21,IF(O296=0.9,'Vehicle Data'!F$20))</f>
        <v>3.5315999999999996</v>
      </c>
      <c r="AE296" s="100">
        <f t="shared" si="229"/>
        <v>0.98256251041858167</v>
      </c>
      <c r="AF296" s="158">
        <f t="shared" si="220"/>
        <v>0.27096230310228681</v>
      </c>
      <c r="AG296" s="148">
        <f t="shared" si="178"/>
        <v>0.99756232368334319</v>
      </c>
      <c r="AH296" s="148">
        <f t="shared" si="195"/>
        <v>79.726151251679809</v>
      </c>
      <c r="AJ296">
        <f>(Z296^2)*'Vehicle Data'!C$31</f>
        <v>29.68954554253639</v>
      </c>
      <c r="AK296">
        <f>IF(O296=0.6,'Vehicle Data'!C$6*'Vehicle Data'!D$21*9.81,IF(O296=0.9,'Vehicle Data'!C$6*9.81*'Vehicle Data'!D$20))</f>
        <v>86.131799999999998</v>
      </c>
      <c r="AL296">
        <f t="shared" si="221"/>
        <v>-60.288466001991026</v>
      </c>
      <c r="AN296">
        <f>IF(AG296&gt;0,AG296*'Vehicle Data'!C$6)</f>
        <v>437.92986009698768</v>
      </c>
      <c r="AO296">
        <f t="shared" si="222"/>
        <v>377.64139409499666</v>
      </c>
      <c r="AP296">
        <f>AO296*'Vehicle Data'!F$3</f>
        <v>96.52514033068114</v>
      </c>
      <c r="AQ296">
        <f>IF(AE296='Vehicle Data'!I$15,AP296/'Vehicle Data'!G$15,IF(AE296='Vehicle Data'!I$16,AP296/'Vehicle Data'!G$16,IF(AE296='Vehicle Data'!I$14,Data!AP296/'Vehicle Data'!G307)))</f>
        <v>11.958504721590185</v>
      </c>
      <c r="AR296">
        <f>IF(Z296&lt;'Vehicle Data'!C$16, Z296*'Vehicle Data'!F$7*'Vehicle Data'!G$14,IF(Z296&lt;'Vehicle Data'!C$15,Z296*'Vehicle Data'!F$7*'Vehicle Data'!G$15,IF(Z296&gt;'Vehicle Data'!C$15,Z296*'Vehicle Data'!F$7*'Vehicle Data'!G$16)))</f>
        <v>116.51380450569616</v>
      </c>
      <c r="AS296">
        <f t="shared" si="223"/>
        <v>6990.8282703417699</v>
      </c>
      <c r="AT296">
        <f t="shared" si="224"/>
        <v>12</v>
      </c>
      <c r="AU296">
        <f t="shared" si="225"/>
        <v>7000</v>
      </c>
      <c r="AW296">
        <f>VLOOKUP(AT296,BSFC!A$64:A$82,1,FALSE)</f>
        <v>12</v>
      </c>
      <c r="AX296" t="e" cm="1">
        <f t="array" ref="AX296">_xlfn.XLOOKUP(AT296,BSFC!A$64:A$82,,-1,_xlfn.XLOOKUP(Data!AU296,BSFC!C$63:Q$63,BSFC!B$64:Q$82,,-1))</f>
        <v>#VALUE!</v>
      </c>
      <c r="AY296">
        <f>HLOOKUP(AU296,BSFC!F$63:Q$63,1)</f>
        <v>7000</v>
      </c>
      <c r="AZ296">
        <f>IF(AT296&gt;0,MATCH(AT296,BSFC!A$64:A$83,0),IF(AT296&lt;=0,0))</f>
        <v>11</v>
      </c>
      <c r="BA296">
        <f>MATCH(AU296,BSFC!C$63:Q$63,0)</f>
        <v>14</v>
      </c>
      <c r="BB296" cm="1">
        <f t="array" ref="BB296">IF(AZ296&gt;0,INDEX(BSFC!C$64:Q$83,Data!AZ296,Data!BA296))</f>
        <v>474.5</v>
      </c>
      <c r="BC296">
        <f>0.5*'Vehicle Data'!C$6*Data!Z296^2</f>
        <v>17732.939446494518</v>
      </c>
      <c r="BD296">
        <f t="shared" si="179"/>
        <v>0</v>
      </c>
      <c r="BE296">
        <f t="shared" si="226"/>
        <v>0</v>
      </c>
      <c r="BF296">
        <f t="shared" si="227"/>
        <v>0</v>
      </c>
      <c r="BG296">
        <f t="shared" si="180"/>
        <v>92.380976213480906</v>
      </c>
      <c r="BH296">
        <f t="shared" si="228"/>
        <v>8719.2170294856278</v>
      </c>
      <c r="BI296" s="148">
        <f t="shared" si="181"/>
        <v>6871.6622130335309</v>
      </c>
      <c r="BO296">
        <f t="shared" si="182"/>
        <v>2300.2981631894686</v>
      </c>
      <c r="BP296">
        <f t="shared" si="183"/>
        <v>455154.68217850412</v>
      </c>
      <c r="BQ296">
        <f t="shared" si="184"/>
        <v>551528.00893303391</v>
      </c>
      <c r="BR296" s="148">
        <f t="shared" si="185"/>
        <v>549664.05840046727</v>
      </c>
      <c r="BS296" s="156">
        <f t="shared" si="186"/>
        <v>2300.2981631894686</v>
      </c>
      <c r="BT296" s="156">
        <f t="shared" si="187"/>
        <v>8719.2170294856278</v>
      </c>
      <c r="BU296">
        <f t="shared" si="188"/>
        <v>1812.8774537032027</v>
      </c>
      <c r="BV296">
        <f t="shared" si="189"/>
        <v>1812.8774537032027</v>
      </c>
      <c r="BW296" s="148">
        <f t="shared" si="190"/>
        <v>455.4</v>
      </c>
      <c r="BX296" s="148">
        <f t="shared" si="191"/>
        <v>3129354.9718154697</v>
      </c>
      <c r="BY296" s="148">
        <f t="shared" si="192"/>
        <v>0.22932899789345512</v>
      </c>
      <c r="BZ296">
        <f t="shared" si="176"/>
        <v>79.726151251679809</v>
      </c>
      <c r="CB296">
        <f t="shared" si="193"/>
        <v>-487.42070948626588</v>
      </c>
      <c r="CC296" s="162">
        <f t="shared" si="177"/>
        <v>-1798.8506294260396</v>
      </c>
      <c r="CD296">
        <f t="shared" si="196"/>
        <v>-2595.891011592812</v>
      </c>
    </row>
    <row r="297" spans="4:82" x14ac:dyDescent="0.2">
      <c r="D297" s="22">
        <f t="shared" si="211"/>
        <v>-7.5293619300337275E-2</v>
      </c>
      <c r="E297" s="23">
        <v>11.285902558105166</v>
      </c>
      <c r="F297" s="23">
        <f>IF(K297&lt;6,1,IF(Data!K297&lt;9,2,IF(K297&gt;9,3)))</f>
        <v>3</v>
      </c>
      <c r="G297" s="23">
        <v>1077.5290693997558</v>
      </c>
      <c r="H297" s="23">
        <v>220.16666499999999</v>
      </c>
      <c r="I297" s="64">
        <v>48.9235965112291</v>
      </c>
      <c r="J297" s="65">
        <f t="shared" si="212"/>
        <v>0.98040533768828952</v>
      </c>
      <c r="K297" s="65">
        <f t="shared" si="213"/>
        <v>19.569438604491641</v>
      </c>
      <c r="L297" s="65">
        <f t="shared" si="214"/>
        <v>0.39216213507528735</v>
      </c>
      <c r="M297">
        <f t="shared" si="215"/>
        <v>22.571805116210331</v>
      </c>
      <c r="N297">
        <f t="shared" si="216"/>
        <v>-0.18419535810516585</v>
      </c>
      <c r="O297">
        <f>IF(L297&lt;'Vehicle Data'!F$21,'Vehicle Data'!C$21,IF(L297&gt;'Vehicle Data'!C$21,'Vehicle Data'!C$20))</f>
        <v>0.6</v>
      </c>
      <c r="P297">
        <f>('Vehicle Data'!C$6*9.81*'Vehicle Data'!C$5*SIN(D297))/'Vehicle Data'!C$9</f>
        <v>-50.095740823382329</v>
      </c>
      <c r="Q297" s="107">
        <f>'Vehicle Data'!C$6*9.81*SIN(D297)</f>
        <v>-323.95245732453901</v>
      </c>
      <c r="R297">
        <f t="shared" si="217"/>
        <v>1075.0837050551254</v>
      </c>
      <c r="S297">
        <f>IF(Data!O297=0.6,'Vehicle Data'!E$21,IF(Data!O297 = 0.9,'Vehicle Data'!E$20))+(P297*O297)</f>
        <v>1520.3149555059704</v>
      </c>
      <c r="T297">
        <f>IF(F297=3,'Vehicle Data'!H$16,IF(F297=2,'Vehicle Data'!H$15,IF(F297 = 1,'Vehicle Data'!G$14)))</f>
        <v>466.23005239380637</v>
      </c>
      <c r="U297" s="148">
        <f t="shared" si="218"/>
        <v>358.94522293180933</v>
      </c>
      <c r="V297" s="70" t="s">
        <v>77</v>
      </c>
      <c r="W297" s="99" t="s">
        <v>84</v>
      </c>
      <c r="X297">
        <f>IF(V297="S",'Vehicle Data'!C$14,IF(Data!V297 = "T1",'Vehicle Data'!P$2,IF(Data!V297="T2",'Vehicle Data'!P$3)))</f>
        <v>13.411199999999999</v>
      </c>
      <c r="Z297">
        <f t="shared" si="230"/>
        <v>9.2511639262713956</v>
      </c>
      <c r="AB297" t="b">
        <f>IF(AA297=1,'Vehicle Data'!I$14,IF(AA297=2,'Vehicle Data'!I$15,IF(AA297=3,'Vehicle Data'!I$16)))</f>
        <v>0</v>
      </c>
      <c r="AC297" t="b">
        <f>IF(Z297&lt;'Vehicle Data'!C$16,'Vehicle Data'!I$15,IF(Z297&lt;'Vehicle Data'!C$15,'Vehicle Data'!I$15,IF(Z296&gt;'Vehicle Data'!C$15,'Vehicle Data'!I$16)))</f>
        <v>0</v>
      </c>
      <c r="AD297">
        <f>IF(O297=0.6,'Vehicle Data'!F$21,IF(O297=0.9,'Vehicle Data'!F$20))</f>
        <v>3.5315999999999996</v>
      </c>
      <c r="AE297" s="100" t="b">
        <f t="shared" si="229"/>
        <v>0</v>
      </c>
      <c r="AF297" s="158">
        <f t="shared" si="220"/>
        <v>0.26381934930746526</v>
      </c>
      <c r="AG297" s="148">
        <f t="shared" si="178"/>
        <v>0.99672806717157847</v>
      </c>
      <c r="AH297" s="148">
        <f t="shared" si="195"/>
        <v>79.989970600987277</v>
      </c>
      <c r="AJ297">
        <f>(Z297^2)*'Vehicle Data'!C$31</f>
        <v>31.452132491598864</v>
      </c>
      <c r="AK297">
        <f>IF(O297=0.6,'Vehicle Data'!C$6*'Vehicle Data'!D$21*9.81,IF(O297=0.9,'Vehicle Data'!C$6*9.81*'Vehicle Data'!D$20))</f>
        <v>86.131799999999998</v>
      </c>
      <c r="AL297">
        <f t="shared" si="221"/>
        <v>-206.36852483294015</v>
      </c>
      <c r="AN297">
        <f>IF(AG297&gt;0,AG297*'Vehicle Data'!C$6)</f>
        <v>437.56362148832295</v>
      </c>
      <c r="AO297">
        <f t="shared" si="222"/>
        <v>231.1950966553828</v>
      </c>
      <c r="AP297">
        <f>AO297*'Vehicle Data'!F$3</f>
        <v>59.093466705115844</v>
      </c>
      <c r="AQ297" t="b">
        <f>IF(AE297='Vehicle Data'!I$15,AP297/'Vehicle Data'!G$15,IF(AE297='Vehicle Data'!I$16,AP297/'Vehicle Data'!G$16,IF(AE297='Vehicle Data'!I$14,Data!AP297/'Vehicle Data'!G308)))</f>
        <v>0</v>
      </c>
      <c r="AR297">
        <f>IF(Z297&lt;'Vehicle Data'!C$16, Z297*'Vehicle Data'!F$7*'Vehicle Data'!G$14,IF(Z297&lt;'Vehicle Data'!C$15,Z297*'Vehicle Data'!F$7*'Vehicle Data'!G$15,IF(Z297&gt;'Vehicle Data'!C$15,Z297*'Vehicle Data'!F$7*'Vehicle Data'!G$16)))</f>
        <v>80.477694618303829</v>
      </c>
      <c r="AS297">
        <f t="shared" si="223"/>
        <v>4828.66167709823</v>
      </c>
      <c r="AT297">
        <f t="shared" si="224"/>
        <v>0</v>
      </c>
      <c r="AU297">
        <f t="shared" si="225"/>
        <v>5000</v>
      </c>
      <c r="AW297" t="e">
        <f>VLOOKUP(AT297,BSFC!A$64:A$82,1,FALSE)</f>
        <v>#N/A</v>
      </c>
      <c r="AX297" t="e" cm="1">
        <f t="array" ref="AX297">_xlfn.XLOOKUP(AT297,BSFC!A$64:A$82,,-1,_xlfn.XLOOKUP(Data!AU297,BSFC!C$63:Q$63,BSFC!B$64:Q$82,,-1))</f>
        <v>#VALUE!</v>
      </c>
      <c r="AY297">
        <f>HLOOKUP(AU297,BSFC!F$63:Q$63,1)</f>
        <v>5000</v>
      </c>
      <c r="AZ297">
        <f>IF(AT297&gt;0,MATCH(AT297,BSFC!A$64:A$83,0),IF(AT297&lt;=0,0))</f>
        <v>0</v>
      </c>
      <c r="BA297">
        <f>MATCH(AU297,BSFC!C$63:Q$63,0)</f>
        <v>10</v>
      </c>
      <c r="BB297" t="b" cm="1">
        <f t="array" ref="BB297">IF(AZ297&gt;0,INDEX(BSFC!C$64:Q$83,Data!AZ297,Data!BA297))</f>
        <v>0</v>
      </c>
      <c r="BC297">
        <f>0.5*'Vehicle Data'!C$6*Data!Z297^2</f>
        <v>18785.695460968567</v>
      </c>
      <c r="BD297">
        <f t="shared" si="179"/>
        <v>2.0516947603002373</v>
      </c>
      <c r="BE297">
        <f t="shared" si="226"/>
        <v>0</v>
      </c>
      <c r="BF297">
        <f t="shared" si="227"/>
        <v>0</v>
      </c>
      <c r="BG297">
        <f t="shared" si="180"/>
        <v>92.380976213480906</v>
      </c>
      <c r="BH297">
        <f t="shared" si="228"/>
        <v>0</v>
      </c>
      <c r="BI297" s="148">
        <f t="shared" si="181"/>
        <v>6871.6622130335309</v>
      </c>
      <c r="BO297">
        <f t="shared" si="182"/>
        <v>0</v>
      </c>
      <c r="BP297">
        <f t="shared" si="183"/>
        <v>455154.68217850412</v>
      </c>
      <c r="BQ297">
        <f t="shared" si="184"/>
        <v>551528.00893303391</v>
      </c>
      <c r="BR297" s="148">
        <f t="shared" si="185"/>
        <v>551480.44798106665</v>
      </c>
      <c r="BS297" s="156" t="b">
        <f t="shared" si="186"/>
        <v>0</v>
      </c>
      <c r="BT297" s="156">
        <f t="shared" si="187"/>
        <v>0</v>
      </c>
      <c r="BU297">
        <f t="shared" si="188"/>
        <v>1816.3895805994066</v>
      </c>
      <c r="BV297">
        <f t="shared" si="189"/>
        <v>1816.3895805994066</v>
      </c>
      <c r="BW297" s="148">
        <f t="shared" si="190"/>
        <v>455.4</v>
      </c>
      <c r="BX297" s="148">
        <f t="shared" si="191"/>
        <v>3129354.9718154697</v>
      </c>
      <c r="BY297" s="148">
        <f t="shared" si="192"/>
        <v>0.22977328194582489</v>
      </c>
      <c r="BZ297">
        <f t="shared" si="176"/>
        <v>79.989970600987277</v>
      </c>
      <c r="CB297">
        <f t="shared" si="193"/>
        <v>1816.3895805994066</v>
      </c>
      <c r="CC297" s="162">
        <f t="shared" si="177"/>
        <v>6884.9748336028852</v>
      </c>
      <c r="CD297">
        <f t="shared" si="196"/>
        <v>-779.50143099340539</v>
      </c>
    </row>
    <row r="298" spans="4:82" x14ac:dyDescent="0.2">
      <c r="D298" s="22">
        <f t="shared" si="211"/>
        <v>-4.7368368520190052E-2</v>
      </c>
      <c r="E298" s="23">
        <v>11.1017072</v>
      </c>
      <c r="F298" s="23">
        <f>IF(K298&lt;6,1,IF(Data!K298&lt;9,2,IF(K298&gt;9,3)))</f>
        <v>3</v>
      </c>
      <c r="G298" s="23">
        <v>1079.9777431768077</v>
      </c>
      <c r="H298" s="23">
        <v>220.21666499999998</v>
      </c>
      <c r="I298" s="64">
        <v>48.972616778113498</v>
      </c>
      <c r="J298" s="65">
        <f t="shared" si="212"/>
        <v>-4.4257151947752389</v>
      </c>
      <c r="K298" s="65">
        <f t="shared" si="213"/>
        <v>19.589046711245398</v>
      </c>
      <c r="L298" s="65">
        <f t="shared" si="214"/>
        <v>-1.7702860779101097</v>
      </c>
      <c r="M298">
        <f t="shared" si="215"/>
        <v>22.2034144</v>
      </c>
      <c r="N298">
        <f t="shared" si="216"/>
        <v>-0.11580771547588675</v>
      </c>
      <c r="O298">
        <f>IF(L298&lt;'Vehicle Data'!F$21,'Vehicle Data'!C$21,IF(L298&gt;'Vehicle Data'!C$21,'Vehicle Data'!C$20))</f>
        <v>0.6</v>
      </c>
      <c r="P298">
        <f>('Vehicle Data'!C$6*9.81*'Vehicle Data'!C$5*SIN(D298))/'Vehicle Data'!C$9</f>
        <v>-31.533999628852754</v>
      </c>
      <c r="Q298" s="107">
        <f>'Vehicle Data'!C$6*9.81*SIN(D298)</f>
        <v>-203.91986426658113</v>
      </c>
      <c r="R298">
        <f t="shared" si="217"/>
        <v>1077.5290693997558</v>
      </c>
      <c r="S298">
        <f>IF(Data!O298=0.6,'Vehicle Data'!E$21,IF(Data!O298 = 0.9,'Vehicle Data'!E$20))+(P298*O298)</f>
        <v>1531.4520002226882</v>
      </c>
      <c r="T298">
        <f>IF(F298=3,'Vehicle Data'!H$16,IF(F298=2,'Vehicle Data'!H$15,IF(F298 = 1,'Vehicle Data'!G$14)))</f>
        <v>466.23005239380637</v>
      </c>
      <c r="U298" s="148">
        <f t="shared" si="218"/>
        <v>361.39058727643976</v>
      </c>
      <c r="V298" s="70" t="s">
        <v>77</v>
      </c>
      <c r="W298" s="99" t="s">
        <v>84</v>
      </c>
      <c r="X298">
        <f>IF(V298="S",'Vehicle Data'!C$14,IF(Data!V298 = "T1",'Vehicle Data'!P$2,IF(Data!V298="T2",'Vehicle Data'!P$3)))</f>
        <v>13.411199999999999</v>
      </c>
      <c r="Z298">
        <f t="shared" si="230"/>
        <v>9.2511639262713956</v>
      </c>
      <c r="AB298" t="b">
        <f>IF(AA298=1,'Vehicle Data'!I$14,IF(AA298=2,'Vehicle Data'!I$15,IF(AA298=3,'Vehicle Data'!I$16)))</f>
        <v>0</v>
      </c>
      <c r="AC298">
        <f>IF(Z298&lt;'Vehicle Data'!C$16,'Vehicle Data'!I$15,IF(Z298&lt;'Vehicle Data'!C$15,'Vehicle Data'!I$15,IF(Z297&gt;'Vehicle Data'!C$15,'Vehicle Data'!I$16)))</f>
        <v>0.46202745420001456</v>
      </c>
      <c r="AD298">
        <f>IF(O298=0.6,'Vehicle Data'!F$21,IF(O298=0.9,'Vehicle Data'!F$20))</f>
        <v>3.5315999999999996</v>
      </c>
      <c r="AE298" s="100">
        <f t="shared" si="229"/>
        <v>0.46202745420001456</v>
      </c>
      <c r="AF298" s="158">
        <f t="shared" si="220"/>
        <v>0.26433045226732005</v>
      </c>
      <c r="AG298" s="148">
        <f t="shared" si="178"/>
        <v>0</v>
      </c>
      <c r="AH298" s="148">
        <f t="shared" si="195"/>
        <v>80.254301053254594</v>
      </c>
      <c r="AJ298">
        <f>(Z298^2)*'Vehicle Data'!C$31</f>
        <v>31.452132491598864</v>
      </c>
      <c r="AK298">
        <f>IF(O298=0.6,'Vehicle Data'!C$6*'Vehicle Data'!D$21*9.81,IF(O298=0.9,'Vehicle Data'!C$6*9.81*'Vehicle Data'!D$20))</f>
        <v>86.131799999999998</v>
      </c>
      <c r="AL298">
        <f t="shared" si="221"/>
        <v>-86.335931774982271</v>
      </c>
      <c r="AN298" t="b">
        <f>IF(AG298&gt;0,AG298*'Vehicle Data'!C$6)</f>
        <v>0</v>
      </c>
      <c r="AO298">
        <f t="shared" si="222"/>
        <v>-86.335931774982271</v>
      </c>
      <c r="AP298">
        <f>AO298*'Vehicle Data'!F$3</f>
        <v>-22.067464161685468</v>
      </c>
      <c r="AQ298">
        <f>IF(AE298='Vehicle Data'!I$15,AP298/'Vehicle Data'!G$15,IF(AE298='Vehicle Data'!I$16,AP298/'Vehicle Data'!G$16,IF(AE298='Vehicle Data'!I$14,Data!AP298/'Vehicle Data'!G309)))</f>
        <v>-4.0739340788895966</v>
      </c>
      <c r="AR298">
        <f>IF(Z298&lt;'Vehicle Data'!C$16, Z298*'Vehicle Data'!F$7*'Vehicle Data'!G$14,IF(Z298&lt;'Vehicle Data'!C$15,Z298*'Vehicle Data'!F$7*'Vehicle Data'!G$15,IF(Z298&gt;'Vehicle Data'!C$15,Z298*'Vehicle Data'!F$7*'Vehicle Data'!G$16)))</f>
        <v>80.477694618303829</v>
      </c>
      <c r="AS298">
        <f t="shared" si="223"/>
        <v>4828.66167709823</v>
      </c>
      <c r="AT298">
        <v>4</v>
      </c>
      <c r="AU298">
        <f t="shared" si="225"/>
        <v>5000</v>
      </c>
      <c r="AW298">
        <f>VLOOKUP(AT298,BSFC!A$64:A$82,1,FALSE)</f>
        <v>4</v>
      </c>
      <c r="AX298" t="e" cm="1">
        <f t="array" ref="AX298">_xlfn.XLOOKUP(AT298,BSFC!A$64:A$82,,-1,_xlfn.XLOOKUP(Data!AU298,BSFC!C$63:Q$63,BSFC!B$64:Q$82,,-1))</f>
        <v>#VALUE!</v>
      </c>
      <c r="AY298">
        <f>HLOOKUP(AU298,BSFC!F$63:Q$63,1)</f>
        <v>5000</v>
      </c>
      <c r="AZ298">
        <f>IF(AT298&gt;0,MATCH(AT298,BSFC!A$64:A$83,0),IF(AT298&lt;=0,0))</f>
        <v>19</v>
      </c>
      <c r="BA298">
        <f>MATCH(AU298,BSFC!C$63:Q$63,0)</f>
        <v>10</v>
      </c>
      <c r="BB298" cm="1">
        <f t="array" ref="BB298">IF(AZ298&gt;0,INDEX(BSFC!C$64:Q$83,Data!AZ298,Data!BA298))</f>
        <v>700</v>
      </c>
      <c r="BC298">
        <f>0.5*'Vehicle Data'!C$6*Data!Z298^2</f>
        <v>18785.695460968567</v>
      </c>
      <c r="BD298">
        <f t="shared" si="179"/>
        <v>0.7902558436083178</v>
      </c>
      <c r="BE298">
        <f t="shared" si="226"/>
        <v>553.1790905258224</v>
      </c>
      <c r="BF298">
        <f t="shared" si="227"/>
        <v>4.0617244217643171E-2</v>
      </c>
      <c r="BG298">
        <f t="shared" si="180"/>
        <v>92.421593457698549</v>
      </c>
      <c r="BH298">
        <f t="shared" si="228"/>
        <v>-2051.6947603002372</v>
      </c>
      <c r="BI298" s="148">
        <f t="shared" si="181"/>
        <v>6871.6622130335309</v>
      </c>
      <c r="BO298">
        <f t="shared" si="182"/>
        <v>-536.0198187509211</v>
      </c>
      <c r="BP298">
        <f t="shared" si="183"/>
        <v>454618.66235975322</v>
      </c>
      <c r="BQ298">
        <f t="shared" si="184"/>
        <v>551528.00893303391</v>
      </c>
      <c r="BR298" s="148">
        <f t="shared" si="185"/>
        <v>553275.71850825206</v>
      </c>
      <c r="BS298" s="156" t="b">
        <f t="shared" si="186"/>
        <v>0</v>
      </c>
      <c r="BT298" s="156">
        <f t="shared" si="187"/>
        <v>0</v>
      </c>
      <c r="BU298">
        <f t="shared" si="188"/>
        <v>1795.2705271854277</v>
      </c>
      <c r="BV298">
        <f t="shared" si="189"/>
        <v>1795.2705271854277</v>
      </c>
      <c r="BW298" s="148">
        <f t="shared" si="190"/>
        <v>455.4</v>
      </c>
      <c r="BX298" s="148">
        <f t="shared" si="191"/>
        <v>3129354.9718154697</v>
      </c>
      <c r="BY298" s="148">
        <f t="shared" si="192"/>
        <v>0.22710172168895656</v>
      </c>
      <c r="BZ298">
        <f t="shared" si="176"/>
        <v>80.254301053254594</v>
      </c>
      <c r="CB298">
        <f t="shared" si="193"/>
        <v>1795.2705271854277</v>
      </c>
      <c r="CC298" s="162">
        <f t="shared" si="177"/>
        <v>6791.7658059688047</v>
      </c>
      <c r="CD298">
        <f t="shared" si="196"/>
        <v>1015.7690961920223</v>
      </c>
    </row>
    <row r="299" spans="4:82" x14ac:dyDescent="0.2">
      <c r="D299" s="22">
        <f t="shared" si="211"/>
        <v>-8.2616750833246363E-2</v>
      </c>
      <c r="E299" s="23">
        <v>10.985899484524113</v>
      </c>
      <c r="F299" s="23">
        <f>IF(K299&lt;6,1,IF(Data!K299&lt;9,2,IF(K299&gt;9,3)))</f>
        <v>3</v>
      </c>
      <c r="G299" s="23">
        <v>1082.4234899469179</v>
      </c>
      <c r="H299" s="23">
        <v>220.26666499999999</v>
      </c>
      <c r="I299" s="64">
        <v>48.751331018374685</v>
      </c>
      <c r="J299" s="65">
        <f t="shared" si="212"/>
        <v>-12.883821262559023</v>
      </c>
      <c r="K299" s="65">
        <f t="shared" si="213"/>
        <v>19.500532407349873</v>
      </c>
      <c r="L299" s="65">
        <f t="shared" si="214"/>
        <v>-5.1535285050235666</v>
      </c>
      <c r="M299">
        <f t="shared" si="215"/>
        <v>21.971798969048226</v>
      </c>
      <c r="N299">
        <f t="shared" si="216"/>
        <v>-0.1999969264189474</v>
      </c>
      <c r="O299">
        <f>IF(L299&lt;'Vehicle Data'!F$21,'Vehicle Data'!C$21,IF(L299&gt;'Vehicle Data'!C$21,'Vehicle Data'!C$20))</f>
        <v>0.6</v>
      </c>
      <c r="P299">
        <f>('Vehicle Data'!C$6*9.81*'Vehicle Data'!C$5*SIN(D299))/'Vehicle Data'!C$9</f>
        <v>-54.957504326367967</v>
      </c>
      <c r="Q299" s="107">
        <f>'Vehicle Data'!C$6*9.81*SIN(D299)</f>
        <v>-355.39186131051281</v>
      </c>
      <c r="R299">
        <f t="shared" si="217"/>
        <v>1079.9777431768077</v>
      </c>
      <c r="S299">
        <f>IF(Data!O299=0.6,'Vehicle Data'!E$21,IF(Data!O299 = 0.9,'Vehicle Data'!E$20))+(P299*O299)</f>
        <v>1517.397897404179</v>
      </c>
      <c r="T299">
        <f>IF(F299=3,'Vehicle Data'!H$16,IF(F299=2,'Vehicle Data'!H$15,IF(F299 = 1,'Vehicle Data'!G$14)))</f>
        <v>466.23005239380637</v>
      </c>
      <c r="U299" s="148">
        <f t="shared" si="218"/>
        <v>363.83926105349167</v>
      </c>
      <c r="V299" s="70" t="s">
        <v>77</v>
      </c>
      <c r="W299" s="99" t="s">
        <v>84</v>
      </c>
      <c r="X299">
        <f>IF(V299="S",'Vehicle Data'!C$14,IF(Data!V299 = "T1",'Vehicle Data'!P$2,IF(Data!V299="T2",'Vehicle Data'!P$3)))</f>
        <v>13.411199999999999</v>
      </c>
      <c r="Z299">
        <f t="shared" si="230"/>
        <v>9.3726593351887306</v>
      </c>
      <c r="AB299" t="b">
        <f>IF(AA299=1,'Vehicle Data'!I$14,IF(AA299=2,'Vehicle Data'!I$15,IF(AA299=3,'Vehicle Data'!I$16)))</f>
        <v>0</v>
      </c>
      <c r="AC299">
        <f>IF(Z299&lt;'Vehicle Data'!C$16,'Vehicle Data'!I$15,IF(Z299&lt;'Vehicle Data'!C$15,'Vehicle Data'!I$15,IF(Z298&gt;'Vehicle Data'!C$15,'Vehicle Data'!I$16)))</f>
        <v>0.46202745420001456</v>
      </c>
      <c r="AD299">
        <f>IF(O299=0.6,'Vehicle Data'!F$21,IF(O299=0.9,'Vehicle Data'!F$20))</f>
        <v>3.5315999999999996</v>
      </c>
      <c r="AE299" s="100">
        <f t="shared" si="229"/>
        <v>0.46202745420001456</v>
      </c>
      <c r="AF299" s="158">
        <f t="shared" si="220"/>
        <v>0.26125709785040441</v>
      </c>
      <c r="AG299" s="148">
        <f t="shared" si="178"/>
        <v>0.46504156218907089</v>
      </c>
      <c r="AH299" s="148">
        <f t="shared" si="195"/>
        <v>80.515558151104997</v>
      </c>
      <c r="AJ299">
        <f>(Z299^2)*'Vehicle Data'!C$31</f>
        <v>32.283678057461429</v>
      </c>
      <c r="AK299">
        <f>IF(O299=0.6,'Vehicle Data'!C$6*'Vehicle Data'!D$21*9.81,IF(O299=0.9,'Vehicle Data'!C$6*9.81*'Vehicle Data'!D$20))</f>
        <v>86.131799999999998</v>
      </c>
      <c r="AL299">
        <f t="shared" si="221"/>
        <v>-236.97638325305138</v>
      </c>
      <c r="AN299">
        <f>IF(AG299&gt;0,AG299*'Vehicle Data'!C$6)</f>
        <v>204.15324580100213</v>
      </c>
      <c r="AO299">
        <f t="shared" si="222"/>
        <v>-32.823137452049252</v>
      </c>
      <c r="AP299">
        <f>AO299*'Vehicle Data'!F$3</f>
        <v>-8.3895939327437894</v>
      </c>
      <c r="AQ299">
        <f>IF(AE299='Vehicle Data'!I$15,AP299/'Vehicle Data'!G$15,IF(AE299='Vehicle Data'!I$16,AP299/'Vehicle Data'!G$16,IF(AE299='Vehicle Data'!I$14,Data!AP299/'Vehicle Data'!G310)))</f>
        <v>-1.5488255641983932</v>
      </c>
      <c r="AR299">
        <f>IF(Z299&lt;'Vehicle Data'!C$16, Z299*'Vehicle Data'!F$7*'Vehicle Data'!G$14,IF(Z299&lt;'Vehicle Data'!C$15,Z299*'Vehicle Data'!F$7*'Vehicle Data'!G$15,IF(Z299&gt;'Vehicle Data'!C$15,Z299*'Vehicle Data'!F$7*'Vehicle Data'!G$16)))</f>
        <v>81.534607077568396</v>
      </c>
      <c r="AS299">
        <f t="shared" si="223"/>
        <v>4892.0764246541039</v>
      </c>
      <c r="AT299">
        <f t="shared" si="224"/>
        <v>-2</v>
      </c>
      <c r="AU299">
        <f t="shared" si="225"/>
        <v>5000</v>
      </c>
      <c r="AW299" t="e">
        <f>VLOOKUP(AT299,BSFC!A$64:A$82,1,FALSE)</f>
        <v>#N/A</v>
      </c>
      <c r="AX299" t="e" cm="1">
        <f t="array" ref="AX299">_xlfn.XLOOKUP(AT299,BSFC!A$64:A$82,,-1,_xlfn.XLOOKUP(Data!AU299,BSFC!C$63:Q$63,BSFC!B$64:Q$82,,-1))</f>
        <v>#VALUE!</v>
      </c>
      <c r="AY299">
        <f>HLOOKUP(AU299,BSFC!F$63:Q$63,1)</f>
        <v>5000</v>
      </c>
      <c r="AZ299">
        <f>IF(AT299&gt;0,MATCH(AT299,BSFC!A$64:A$83,0),IF(AT299&lt;=0,0))</f>
        <v>0</v>
      </c>
      <c r="BA299">
        <f>MATCH(AU299,BSFC!C$63:Q$63,0)</f>
        <v>10</v>
      </c>
      <c r="BB299" t="b" cm="1">
        <f t="array" ref="BB299">IF(AZ299&gt;0,INDEX(BSFC!C$64:Q$83,Data!AZ299,Data!BA299))</f>
        <v>0</v>
      </c>
      <c r="BC299">
        <f>0.5*'Vehicle Data'!C$6*Data!Z299^2</f>
        <v>19282.36009146335</v>
      </c>
      <c r="BD299">
        <f t="shared" si="179"/>
        <v>0.91207595569832267</v>
      </c>
      <c r="BE299">
        <f t="shared" si="226"/>
        <v>0</v>
      </c>
      <c r="BF299">
        <f t="shared" si="227"/>
        <v>0</v>
      </c>
      <c r="BG299">
        <f t="shared" si="180"/>
        <v>92.421593457698549</v>
      </c>
      <c r="BH299">
        <f t="shared" si="228"/>
        <v>-790.25584360831783</v>
      </c>
      <c r="BI299" s="148">
        <f t="shared" si="181"/>
        <v>6871.6622130335309</v>
      </c>
      <c r="BO299">
        <f t="shared" si="182"/>
        <v>-203.61067713463268</v>
      </c>
      <c r="BP299">
        <f t="shared" si="183"/>
        <v>454415.05168261856</v>
      </c>
      <c r="BQ299">
        <f t="shared" si="184"/>
        <v>551528.00893303391</v>
      </c>
      <c r="BR299" s="148">
        <f t="shared" si="185"/>
        <v>555046.21322531451</v>
      </c>
      <c r="BS299" s="156" t="b">
        <f t="shared" si="186"/>
        <v>0</v>
      </c>
      <c r="BT299" s="156">
        <f t="shared" si="187"/>
        <v>0</v>
      </c>
      <c r="BU299">
        <f t="shared" si="188"/>
        <v>1770.4947170624112</v>
      </c>
      <c r="BV299">
        <f t="shared" si="189"/>
        <v>1770.4947170624112</v>
      </c>
      <c r="BW299" s="148">
        <f t="shared" si="190"/>
        <v>455.4</v>
      </c>
      <c r="BX299" s="148">
        <f t="shared" si="191"/>
        <v>3129354.9718154697</v>
      </c>
      <c r="BY299" s="148">
        <f t="shared" si="192"/>
        <v>0.22396758170839498</v>
      </c>
      <c r="BZ299">
        <f t="shared" si="176"/>
        <v>80.515558151104997</v>
      </c>
      <c r="CB299">
        <f t="shared" si="193"/>
        <v>1770.4947170624112</v>
      </c>
      <c r="CC299" s="162">
        <f t="shared" si="177"/>
        <v>6776.8291526999919</v>
      </c>
      <c r="CD299">
        <f t="shared" si="196"/>
        <v>2786.2638132544334</v>
      </c>
    </row>
    <row r="300" spans="4:82" x14ac:dyDescent="0.2">
      <c r="D300" s="22">
        <f t="shared" si="211"/>
        <v>-8.3869654862761614E-2</v>
      </c>
      <c r="E300" s="23">
        <v>10.785902558105166</v>
      </c>
      <c r="F300" s="23">
        <f>IF(K300&lt;6,1,IF(Data!K300&lt;9,2,IF(K300&gt;9,3)))</f>
        <v>3</v>
      </c>
      <c r="G300" s="23">
        <v>1084.8470253654571</v>
      </c>
      <c r="H300" s="23">
        <v>220.316665</v>
      </c>
      <c r="I300" s="64">
        <v>48.107139955246588</v>
      </c>
      <c r="J300" s="65">
        <f t="shared" si="212"/>
        <v>-15.760277847286066</v>
      </c>
      <c r="K300" s="65">
        <f t="shared" si="213"/>
        <v>19.242855982098636</v>
      </c>
      <c r="L300" s="65">
        <f t="shared" si="214"/>
        <v>-6.3041111389144264</v>
      </c>
      <c r="M300">
        <f t="shared" si="215"/>
        <v>21.571805116210331</v>
      </c>
      <c r="N300">
        <f t="shared" si="216"/>
        <v>-0.19999861135157104</v>
      </c>
      <c r="O300">
        <f>IF(L300&lt;'Vehicle Data'!F$21,'Vehicle Data'!C$21,IF(L300&gt;'Vehicle Data'!C$21,'Vehicle Data'!C$20))</f>
        <v>0.6</v>
      </c>
      <c r="P300">
        <f>('Vehicle Data'!C$6*9.81*'Vehicle Data'!C$5*SIN(D300))/'Vehicle Data'!C$9</f>
        <v>-55.789008401882718</v>
      </c>
      <c r="Q300" s="107">
        <f>'Vehicle Data'!C$6*9.81*SIN(D300)</f>
        <v>-360.76892099884157</v>
      </c>
      <c r="R300">
        <f t="shared" si="217"/>
        <v>1082.4234899469179</v>
      </c>
      <c r="S300">
        <f>IF(Data!O300=0.6,'Vehicle Data'!E$21,IF(Data!O300 = 0.9,'Vehicle Data'!E$20))+(P300*O300)</f>
        <v>1516.8989949588702</v>
      </c>
      <c r="T300">
        <f>IF(F300=3,'Vehicle Data'!H$16,IF(F300=2,'Vehicle Data'!H$15,IF(F300 = 1,'Vehicle Data'!G$14)))</f>
        <v>466.23005239380637</v>
      </c>
      <c r="U300" s="148">
        <f t="shared" si="218"/>
        <v>366.28500782360186</v>
      </c>
      <c r="V300" s="70" t="s">
        <v>77</v>
      </c>
      <c r="W300" s="99" t="s">
        <v>84</v>
      </c>
      <c r="X300">
        <f>IF(V300="S",'Vehicle Data'!C$14,IF(Data!V300 = "T1",'Vehicle Data'!P$2,IF(Data!V300="T2",'Vehicle Data'!P$3)))</f>
        <v>13.411199999999999</v>
      </c>
      <c r="Z300">
        <f t="shared" si="230"/>
        <v>9.4924573910618264</v>
      </c>
      <c r="AB300" t="b">
        <f>IF(AA300=1,'Vehicle Data'!I$14,IF(AA300=2,'Vehicle Data'!I$15,IF(AA300=3,'Vehicle Data'!I$16)))</f>
        <v>0</v>
      </c>
      <c r="AC300">
        <f>IF(Z300&lt;'Vehicle Data'!C$16,'Vehicle Data'!I$15,IF(Z300&lt;'Vehicle Data'!C$15,'Vehicle Data'!I$15,IF(Z299&gt;'Vehicle Data'!C$15,'Vehicle Data'!I$16)))</f>
        <v>0.46202745420001456</v>
      </c>
      <c r="AD300">
        <f>IF(O300=0.6,'Vehicle Data'!F$21,IF(O300=0.9,'Vehicle Data'!F$20))</f>
        <v>3.5315999999999996</v>
      </c>
      <c r="AE300" s="100">
        <f t="shared" si="229"/>
        <v>0.46202745420001456</v>
      </c>
      <c r="AF300" s="158">
        <f t="shared" si="220"/>
        <v>0.25765159319157177</v>
      </c>
      <c r="AG300" s="148">
        <f t="shared" si="178"/>
        <v>0.46496144032776188</v>
      </c>
      <c r="AH300" s="148">
        <f t="shared" si="195"/>
        <v>80.773209744296565</v>
      </c>
      <c r="AJ300">
        <f>(Z300^2)*'Vehicle Data'!C$31</f>
        <v>33.114229640513187</v>
      </c>
      <c r="AK300">
        <f>IF(O300=0.6,'Vehicle Data'!C$6*'Vehicle Data'!D$21*9.81,IF(O300=0.9,'Vehicle Data'!C$6*9.81*'Vehicle Data'!D$20))</f>
        <v>86.131799999999998</v>
      </c>
      <c r="AL300">
        <f t="shared" si="221"/>
        <v>-241.52289135832837</v>
      </c>
      <c r="AN300">
        <f>IF(AG300&gt;0,AG300*'Vehicle Data'!C$6)</f>
        <v>204.11807230388746</v>
      </c>
      <c r="AO300">
        <f t="shared" si="222"/>
        <v>-37.404819054440907</v>
      </c>
      <c r="AP300">
        <f>AO300*'Vehicle Data'!F$3</f>
        <v>-9.5606717503150946</v>
      </c>
      <c r="AQ300">
        <f>IF(AE300='Vehicle Data'!I$15,AP300/'Vehicle Data'!G$15,IF(AE300='Vehicle Data'!I$16,AP300/'Vehicle Data'!G$16,IF(AE300='Vehicle Data'!I$14,Data!AP300/'Vehicle Data'!G311)))</f>
        <v>-1.7650213987120316</v>
      </c>
      <c r="AR300">
        <f>IF(Z300&lt;'Vehicle Data'!C$16, Z300*'Vehicle Data'!F$7*'Vehicle Data'!G$14,IF(Z300&lt;'Vehicle Data'!C$15,Z300*'Vehicle Data'!F$7*'Vehicle Data'!G$15,IF(Z300&gt;'Vehicle Data'!C$15,Z300*'Vehicle Data'!F$7*'Vehicle Data'!G$16)))</f>
        <v>82.576753928846529</v>
      </c>
      <c r="AS300">
        <f t="shared" si="223"/>
        <v>4954.6052357307917</v>
      </c>
      <c r="AT300">
        <f t="shared" si="224"/>
        <v>-2</v>
      </c>
      <c r="AU300">
        <f t="shared" si="225"/>
        <v>5000</v>
      </c>
      <c r="AW300" t="e">
        <f>VLOOKUP(AT300,BSFC!A$64:A$82,1,FALSE)</f>
        <v>#N/A</v>
      </c>
      <c r="AX300" t="e" cm="1">
        <f t="array" ref="AX300">_xlfn.XLOOKUP(AT300,BSFC!A$64:A$82,,-1,_xlfn.XLOOKUP(Data!AU300,BSFC!C$63:Q$63,BSFC!B$64:Q$82,,-1))</f>
        <v>#VALUE!</v>
      </c>
      <c r="AY300">
        <f>HLOOKUP(AU300,BSFC!F$63:Q$63,1)</f>
        <v>5000</v>
      </c>
      <c r="AZ300">
        <f>IF(AT300&gt;0,MATCH(AT300,BSFC!A$64:A$83,0),IF(AT300&lt;=0,0))</f>
        <v>0</v>
      </c>
      <c r="BA300">
        <f>MATCH(AU300,BSFC!C$63:Q$63,0)</f>
        <v>10</v>
      </c>
      <c r="BB300" t="b" cm="1">
        <f t="array" ref="BB300">IF(AZ300&gt;0,INDEX(BSFC!C$64:Q$83,Data!AZ300,Data!BA300))</f>
        <v>0</v>
      </c>
      <c r="BC300">
        <f>0.5*'Vehicle Data'!C$6*Data!Z300^2</f>
        <v>19778.431036986785</v>
      </c>
      <c r="BD300">
        <f t="shared" si="179"/>
        <v>1.0576097977591015</v>
      </c>
      <c r="BE300">
        <f t="shared" si="226"/>
        <v>0</v>
      </c>
      <c r="BF300">
        <f t="shared" si="227"/>
        <v>0</v>
      </c>
      <c r="BG300">
        <f t="shared" si="180"/>
        <v>92.421593457698549</v>
      </c>
      <c r="BH300">
        <f t="shared" si="228"/>
        <v>-912.07595569832267</v>
      </c>
      <c r="BI300" s="148">
        <f t="shared" si="181"/>
        <v>6871.6622130335309</v>
      </c>
      <c r="BO300">
        <f t="shared" si="182"/>
        <v>-230.02275443293379</v>
      </c>
      <c r="BP300">
        <f t="shared" si="183"/>
        <v>454185.02892818564</v>
      </c>
      <c r="BQ300">
        <f t="shared" si="184"/>
        <v>551528.00893303391</v>
      </c>
      <c r="BR300" s="148">
        <f t="shared" si="185"/>
        <v>556779.22532797919</v>
      </c>
      <c r="BS300" s="156" t="b">
        <f t="shared" si="186"/>
        <v>0</v>
      </c>
      <c r="BT300" s="156">
        <f t="shared" si="187"/>
        <v>0</v>
      </c>
      <c r="BU300">
        <f t="shared" si="188"/>
        <v>1733.0121026647178</v>
      </c>
      <c r="BV300">
        <f t="shared" si="189"/>
        <v>1733.0121026647178</v>
      </c>
      <c r="BW300" s="148">
        <f t="shared" si="190"/>
        <v>455.4</v>
      </c>
      <c r="BX300" s="148">
        <f t="shared" si="191"/>
        <v>3129354.9718154697</v>
      </c>
      <c r="BY300" s="148">
        <f t="shared" si="192"/>
        <v>0.21922603098708676</v>
      </c>
      <c r="BZ300">
        <f t="shared" si="176"/>
        <v>80.773209744296565</v>
      </c>
      <c r="CB300">
        <f t="shared" si="193"/>
        <v>1733.0121026647178</v>
      </c>
      <c r="CC300" s="162">
        <f t="shared" si="177"/>
        <v>6726.1843064800942</v>
      </c>
      <c r="CD300">
        <f t="shared" si="196"/>
        <v>4519.275915919151</v>
      </c>
    </row>
    <row r="301" spans="4:82" x14ac:dyDescent="0.2">
      <c r="D301" s="22">
        <f t="shared" si="211"/>
        <v>-8.5318931516472213E-2</v>
      </c>
      <c r="E301" s="23">
        <v>10.585903946753595</v>
      </c>
      <c r="F301" s="23">
        <f>IF(K301&lt;6,1,IF(Data!K301&lt;9,2,IF(K301&gt;9,3)))</f>
        <v>3</v>
      </c>
      <c r="G301" s="23">
        <v>1087.2344594528388</v>
      </c>
      <c r="H301" s="23">
        <v>220.36666499999998</v>
      </c>
      <c r="I301" s="64">
        <v>47.319126062882553</v>
      </c>
      <c r="J301" s="65">
        <f t="shared" si="212"/>
        <v>-16.794786704773532</v>
      </c>
      <c r="K301" s="65">
        <f t="shared" si="213"/>
        <v>18.927650425153022</v>
      </c>
      <c r="L301" s="65">
        <f t="shared" si="214"/>
        <v>-6.7179146819094271</v>
      </c>
      <c r="M301">
        <f t="shared" si="215"/>
        <v>21.171807893507189</v>
      </c>
      <c r="N301">
        <f t="shared" si="216"/>
        <v>-0.20000286222948205</v>
      </c>
      <c r="O301">
        <f>IF(L301&lt;'Vehicle Data'!F$21,'Vehicle Data'!C$21,IF(L301&gt;'Vehicle Data'!C$21,'Vehicle Data'!C$20))</f>
        <v>0.6</v>
      </c>
      <c r="P301">
        <f>('Vehicle Data'!C$6*9.81*'Vehicle Data'!C$5*SIN(D301))/'Vehicle Data'!C$9</f>
        <v>-56.750728087594425</v>
      </c>
      <c r="Q301" s="107">
        <f>'Vehicle Data'!C$6*9.81*SIN(D301)</f>
        <v>-366.98804163311064</v>
      </c>
      <c r="R301">
        <f t="shared" si="217"/>
        <v>1084.8470253654571</v>
      </c>
      <c r="S301">
        <f>IF(Data!O301=0.6,'Vehicle Data'!E$21,IF(Data!O301 = 0.9,'Vehicle Data'!E$20))+(P301*O301)</f>
        <v>1516.3219631474431</v>
      </c>
      <c r="T301">
        <f>IF(F301=3,'Vehicle Data'!H$16,IF(F301=2,'Vehicle Data'!H$15,IF(F301 = 1,'Vehicle Data'!G$14)))</f>
        <v>466.23005239380637</v>
      </c>
      <c r="U301" s="148">
        <f t="shared" si="218"/>
        <v>368.70854324214099</v>
      </c>
      <c r="V301" s="70" t="s">
        <v>77</v>
      </c>
      <c r="W301" s="99" t="s">
        <v>84</v>
      </c>
      <c r="X301">
        <f>IF(V301="S",'Vehicle Data'!C$14,IF(Data!V301 = "T1",'Vehicle Data'!P$2,IF(Data!V301="T2",'Vehicle Data'!P$3)))</f>
        <v>13.411199999999999</v>
      </c>
      <c r="Z301">
        <f t="shared" si="230"/>
        <v>9.6096944342838864</v>
      </c>
      <c r="AB301" t="b">
        <f>IF(AA301=1,'Vehicle Data'!I$14,IF(AA301=2,'Vehicle Data'!I$15,IF(AA301=3,'Vehicle Data'!I$16)))</f>
        <v>0</v>
      </c>
      <c r="AC301">
        <f>IF(Z301&lt;'Vehicle Data'!C$16,'Vehicle Data'!I$15,IF(Z301&lt;'Vehicle Data'!C$15,'Vehicle Data'!I$15,IF(Z300&gt;'Vehicle Data'!C$15,'Vehicle Data'!I$16)))</f>
        <v>0.46202745420001456</v>
      </c>
      <c r="AD301">
        <f>IF(O301=0.6,'Vehicle Data'!F$21,IF(O301=0.9,'Vehicle Data'!F$20))</f>
        <v>3.5315999999999996</v>
      </c>
      <c r="AE301" s="100">
        <f t="shared" si="229"/>
        <v>0.46202745420001456</v>
      </c>
      <c r="AF301" s="158">
        <f t="shared" si="220"/>
        <v>0.25219692833237661</v>
      </c>
      <c r="AG301" s="148">
        <f t="shared" si="178"/>
        <v>0.46486308932181103</v>
      </c>
      <c r="AH301" s="148">
        <f t="shared" si="195"/>
        <v>81.025406672628947</v>
      </c>
      <c r="AJ301">
        <f>(Z301^2)*'Vehicle Data'!C$31</f>
        <v>33.937238466712728</v>
      </c>
      <c r="AK301">
        <f>IF(O301=0.6,'Vehicle Data'!C$6*'Vehicle Data'!D$21*9.81,IF(O301=0.9,'Vehicle Data'!C$6*9.81*'Vehicle Data'!D$20))</f>
        <v>86.131799999999998</v>
      </c>
      <c r="AL301">
        <f t="shared" si="221"/>
        <v>-246.91900316639791</v>
      </c>
      <c r="AN301">
        <f>IF(AG301&gt;0,AG301*'Vehicle Data'!C$6)</f>
        <v>204.07489621227504</v>
      </c>
      <c r="AO301">
        <f t="shared" si="222"/>
        <v>-42.844106954122879</v>
      </c>
      <c r="AP301">
        <f>AO301*'Vehicle Data'!F$3</f>
        <v>-10.950953737473807</v>
      </c>
      <c r="AQ301">
        <f>IF(AE301='Vehicle Data'!I$15,AP301/'Vehicle Data'!G$15,IF(AE301='Vehicle Data'!I$16,AP301/'Vehicle Data'!G$16,IF(AE301='Vehicle Data'!I$14,Data!AP301/'Vehicle Data'!G312)))</f>
        <v>-2.0216851062070762</v>
      </c>
      <c r="AR301">
        <f>IF(Z301&lt;'Vehicle Data'!C$16, Z301*'Vehicle Data'!F$7*'Vehicle Data'!G$14,IF(Z301&lt;'Vehicle Data'!C$15,Z301*'Vehicle Data'!F$7*'Vehicle Data'!G$15,IF(Z301&gt;'Vehicle Data'!C$15,Z301*'Vehicle Data'!F$7*'Vehicle Data'!G$16)))</f>
        <v>83.596622027344324</v>
      </c>
      <c r="AS301">
        <f t="shared" si="223"/>
        <v>5015.797321640659</v>
      </c>
      <c r="AT301">
        <f t="shared" si="224"/>
        <v>-2</v>
      </c>
      <c r="AU301">
        <f t="shared" si="225"/>
        <v>5000</v>
      </c>
      <c r="AW301" t="e">
        <f>VLOOKUP(AT301,BSFC!A$64:A$82,1,FALSE)</f>
        <v>#N/A</v>
      </c>
      <c r="AX301" t="e" cm="1">
        <f t="array" ref="AX301">_xlfn.XLOOKUP(AT301,BSFC!A$64:A$82,,-1,_xlfn.XLOOKUP(Data!AU301,BSFC!C$63:Q$63,BSFC!B$64:Q$82,,-1))</f>
        <v>#VALUE!</v>
      </c>
      <c r="AY301">
        <f>HLOOKUP(AU301,BSFC!F$63:Q$63,1)</f>
        <v>5000</v>
      </c>
      <c r="AZ301">
        <f>IF(AT301&gt;0,MATCH(AT301,BSFC!A$64:A$83,0),IF(AT301&lt;=0,0))</f>
        <v>0</v>
      </c>
      <c r="BA301">
        <f>MATCH(AU301,BSFC!C$63:Q$63,0)</f>
        <v>10</v>
      </c>
      <c r="BB301" t="b" cm="1">
        <f t="array" ref="BB301">IF(AZ301&gt;0,INDEX(BSFC!C$64:Q$83,Data!AZ301,Data!BA301))</f>
        <v>0</v>
      </c>
      <c r="BC301">
        <f>0.5*'Vehicle Data'!C$6*Data!Z301^2</f>
        <v>20269.996852907323</v>
      </c>
      <c r="BD301">
        <f t="shared" si="179"/>
        <v>5.8811097829197037</v>
      </c>
      <c r="BE301">
        <f t="shared" si="226"/>
        <v>0</v>
      </c>
      <c r="BF301">
        <f t="shared" si="227"/>
        <v>0</v>
      </c>
      <c r="BG301">
        <f t="shared" si="180"/>
        <v>92.421593457698549</v>
      </c>
      <c r="BH301">
        <f t="shared" si="228"/>
        <v>-1057.6097977591014</v>
      </c>
      <c r="BI301" s="148">
        <f t="shared" si="181"/>
        <v>6871.6622130335309</v>
      </c>
      <c r="BO301">
        <f t="shared" si="182"/>
        <v>-259.66935453260714</v>
      </c>
      <c r="BP301">
        <f t="shared" si="183"/>
        <v>453925.35957365303</v>
      </c>
      <c r="BQ301">
        <f t="shared" si="184"/>
        <v>551528.00893303391</v>
      </c>
      <c r="BR301" s="148">
        <f t="shared" si="185"/>
        <v>558466.38830170094</v>
      </c>
      <c r="BS301" s="156" t="b">
        <f t="shared" si="186"/>
        <v>0</v>
      </c>
      <c r="BT301" s="156">
        <f t="shared" si="187"/>
        <v>0</v>
      </c>
      <c r="BU301">
        <f t="shared" si="188"/>
        <v>1687.1629737217686</v>
      </c>
      <c r="BV301">
        <f t="shared" si="189"/>
        <v>1687.1629737217686</v>
      </c>
      <c r="BW301" s="148">
        <f t="shared" si="190"/>
        <v>455.4</v>
      </c>
      <c r="BX301" s="148">
        <f t="shared" si="191"/>
        <v>3129354.9718154697</v>
      </c>
      <c r="BY301" s="148">
        <f t="shared" si="192"/>
        <v>0.21342611617580368</v>
      </c>
      <c r="BZ301">
        <f t="shared" si="176"/>
        <v>81.025406672628947</v>
      </c>
      <c r="CB301">
        <f t="shared" si="193"/>
        <v>1687.1629737217686</v>
      </c>
      <c r="CC301" s="162">
        <f t="shared" si="177"/>
        <v>6689.8632940452917</v>
      </c>
      <c r="CD301">
        <f t="shared" si="196"/>
        <v>6206.43888964092</v>
      </c>
    </row>
    <row r="302" spans="4:82" x14ac:dyDescent="0.2">
      <c r="D302" s="22">
        <f t="shared" si="211"/>
        <v>-0.1304860927284231</v>
      </c>
      <c r="E302" s="23">
        <v>10.385901084524113</v>
      </c>
      <c r="F302" s="23">
        <f>IF(K302&lt;6,1,IF(Data!K302&lt;9,2,IF(K302&gt;9,3)))</f>
        <v>3</v>
      </c>
      <c r="G302" s="23">
        <v>1089.5814850469587</v>
      </c>
      <c r="H302" s="23">
        <v>220.41666499999999</v>
      </c>
      <c r="I302" s="64">
        <v>46.479386727643686</v>
      </c>
      <c r="J302" s="65">
        <f t="shared" si="212"/>
        <v>-16.463528532467748</v>
      </c>
      <c r="K302" s="65">
        <f t="shared" si="213"/>
        <v>18.591754691057474</v>
      </c>
      <c r="L302" s="65">
        <f t="shared" si="214"/>
        <v>-6.5854114129871002</v>
      </c>
      <c r="M302">
        <f t="shared" si="215"/>
        <v>20.771802169048225</v>
      </c>
      <c r="N302">
        <f t="shared" si="216"/>
        <v>-0.29999713777070092</v>
      </c>
      <c r="O302">
        <f>IF(L302&lt;'Vehicle Data'!F$21,'Vehicle Data'!C$21,IF(L302&gt;'Vehicle Data'!C$21,'Vehicle Data'!C$20))</f>
        <v>0.6</v>
      </c>
      <c r="P302">
        <f>('Vehicle Data'!C$6*9.81*'Vehicle Data'!C$5*SIN(D302))/'Vehicle Data'!C$9</f>
        <v>-86.653109375224929</v>
      </c>
      <c r="Q302" s="107">
        <f>'Vehicle Data'!C$6*9.81*SIN(D302)</f>
        <v>-560.35677395978792</v>
      </c>
      <c r="R302">
        <f t="shared" si="217"/>
        <v>1087.2344594528388</v>
      </c>
      <c r="S302">
        <f>IF(Data!O302=0.6,'Vehicle Data'!E$21,IF(Data!O302 = 0.9,'Vehicle Data'!E$20))+(P302*O302)</f>
        <v>1498.3805343748647</v>
      </c>
      <c r="T302">
        <f>IF(F302=3,'Vehicle Data'!H$16,IF(F302=2,'Vehicle Data'!H$15,IF(F302 = 1,'Vehicle Data'!G$14)))</f>
        <v>466.23005239380637</v>
      </c>
      <c r="U302" s="148">
        <f t="shared" si="218"/>
        <v>371.09597732952273</v>
      </c>
      <c r="V302" s="70" t="s">
        <v>77</v>
      </c>
      <c r="W302" s="99" t="s">
        <v>84</v>
      </c>
      <c r="X302">
        <f>IF(V302="S",'Vehicle Data'!C$14,IF(Data!V302 = "T1",'Vehicle Data'!P$2,IF(Data!V302="T2",'Vehicle Data'!P$3)))</f>
        <v>13.411199999999999</v>
      </c>
      <c r="Z302">
        <f t="shared" si="230"/>
        <v>9.7238031298064307</v>
      </c>
      <c r="AB302" t="b">
        <f>IF(AA302=1,'Vehicle Data'!I$14,IF(AA302=2,'Vehicle Data'!I$15,IF(AA302=3,'Vehicle Data'!I$16)))</f>
        <v>0</v>
      </c>
      <c r="AC302">
        <f>IF(Z302&lt;'Vehicle Data'!C$16,'Vehicle Data'!I$15,IF(Z302&lt;'Vehicle Data'!C$15,'Vehicle Data'!I$15,IF(Z301&gt;'Vehicle Data'!C$15,'Vehicle Data'!I$16)))</f>
        <v>0.46202745420001456</v>
      </c>
      <c r="AD302">
        <f>IF(O302=0.6,'Vehicle Data'!F$21,IF(O302=0.9,'Vehicle Data'!F$20))</f>
        <v>3.5315999999999996</v>
      </c>
      <c r="AE302" s="100">
        <f t="shared" si="229"/>
        <v>0.46202745420001456</v>
      </c>
      <c r="AF302" s="158">
        <f t="shared" si="220"/>
        <v>0.2455247247924548</v>
      </c>
      <c r="AG302" s="148">
        <f t="shared" si="178"/>
        <v>0.46475439741965652</v>
      </c>
      <c r="AH302" s="148">
        <f t="shared" si="195"/>
        <v>81.270931397421407</v>
      </c>
      <c r="AJ302">
        <f>(Z302^2)*'Vehicle Data'!C$31</f>
        <v>34.747987635408258</v>
      </c>
      <c r="AK302">
        <f>IF(O302=0.6,'Vehicle Data'!C$6*'Vehicle Data'!D$21*9.81,IF(O302=0.9,'Vehicle Data'!C$6*9.81*'Vehicle Data'!D$20))</f>
        <v>86.131799999999998</v>
      </c>
      <c r="AL302">
        <f t="shared" si="221"/>
        <v>-439.47698632437965</v>
      </c>
      <c r="AN302">
        <f>IF(AG302&gt;0,AG302*'Vehicle Data'!C$6)</f>
        <v>204.02718046722921</v>
      </c>
      <c r="AO302">
        <f t="shared" si="222"/>
        <v>-235.44980585715044</v>
      </c>
      <c r="AP302">
        <f>AO302*'Vehicle Data'!F$3</f>
        <v>-60.180970377087654</v>
      </c>
      <c r="AQ302">
        <f>IF(AE302='Vehicle Data'!I$15,AP302/'Vehicle Data'!G$15,IF(AE302='Vehicle Data'!I$16,AP302/'Vehicle Data'!G$16,IF(AE302='Vehicle Data'!I$14,Data!AP302/'Vehicle Data'!G313)))</f>
        <v>-11.110171260436154</v>
      </c>
      <c r="AR302">
        <f>IF(Z302&lt;'Vehicle Data'!C$16, Z302*'Vehicle Data'!F$7*'Vehicle Data'!G$14,IF(Z302&lt;'Vehicle Data'!C$15,Z302*'Vehicle Data'!F$7*'Vehicle Data'!G$15,IF(Z302&gt;'Vehicle Data'!C$15,Z302*'Vehicle Data'!F$7*'Vehicle Data'!G$16)))</f>
        <v>84.589276013885183</v>
      </c>
      <c r="AS302">
        <f t="shared" si="223"/>
        <v>5075.356560833111</v>
      </c>
      <c r="AT302">
        <f t="shared" si="224"/>
        <v>-11</v>
      </c>
      <c r="AU302">
        <f t="shared" si="225"/>
        <v>5000</v>
      </c>
      <c r="AW302" t="e">
        <f>VLOOKUP(AT302,BSFC!A$64:A$82,1,FALSE)</f>
        <v>#N/A</v>
      </c>
      <c r="AX302" t="e" cm="1">
        <f t="array" ref="AX302">_xlfn.XLOOKUP(AT302,BSFC!A$64:A$82,,-1,_xlfn.XLOOKUP(Data!AU302,BSFC!C$63:Q$63,BSFC!B$64:Q$82,,-1))</f>
        <v>#VALUE!</v>
      </c>
      <c r="AY302">
        <f>HLOOKUP(AU302,BSFC!F$63:Q$63,1)</f>
        <v>5000</v>
      </c>
      <c r="AZ302">
        <f>IF(AT302&gt;0,MATCH(AT302,BSFC!A$64:A$83,0),IF(AT302&lt;=0,0))</f>
        <v>0</v>
      </c>
      <c r="BA302">
        <f>MATCH(AU302,BSFC!C$63:Q$63,0)</f>
        <v>10</v>
      </c>
      <c r="BB302" t="b" cm="1">
        <f t="array" ref="BB302">IF(AZ302&gt;0,INDEX(BSFC!C$64:Q$83,Data!AZ302,Data!BA302))</f>
        <v>0</v>
      </c>
      <c r="BC302">
        <f>0.5*'Vehicle Data'!C$6*Data!Z302^2</f>
        <v>20754.240233937715</v>
      </c>
      <c r="BD302">
        <f t="shared" si="179"/>
        <v>1.3789025558719818</v>
      </c>
      <c r="BE302">
        <f t="shared" si="226"/>
        <v>0</v>
      </c>
      <c r="BF302">
        <f t="shared" si="227"/>
        <v>0</v>
      </c>
      <c r="BG302">
        <f t="shared" si="180"/>
        <v>92.421593457698549</v>
      </c>
      <c r="BH302">
        <f t="shared" si="228"/>
        <v>-5881.1097829197033</v>
      </c>
      <c r="BI302" s="148">
        <f t="shared" si="181"/>
        <v>6871.6622130335309</v>
      </c>
      <c r="BO302">
        <f t="shared" si="182"/>
        <v>-1403.5129883657219</v>
      </c>
      <c r="BP302">
        <f t="shared" si="183"/>
        <v>452521.84658528731</v>
      </c>
      <c r="BQ302">
        <f t="shared" si="184"/>
        <v>551528.00893303391</v>
      </c>
      <c r="BR302" s="148">
        <f t="shared" si="185"/>
        <v>560106.29429285671</v>
      </c>
      <c r="BS302" s="156" t="b">
        <f t="shared" si="186"/>
        <v>0</v>
      </c>
      <c r="BT302" s="156">
        <f t="shared" si="187"/>
        <v>0</v>
      </c>
      <c r="BU302">
        <f t="shared" si="188"/>
        <v>1639.9059911557138</v>
      </c>
      <c r="BV302">
        <f t="shared" si="189"/>
        <v>1639.9059911557138</v>
      </c>
      <c r="BW302" s="148">
        <f t="shared" si="190"/>
        <v>455.4</v>
      </c>
      <c r="BX302" s="148">
        <f t="shared" si="191"/>
        <v>3129354.9718154697</v>
      </c>
      <c r="BY302" s="148">
        <f t="shared" si="192"/>
        <v>0.20744810788119775</v>
      </c>
      <c r="BZ302">
        <f t="shared" si="176"/>
        <v>81.270931397421407</v>
      </c>
      <c r="CB302">
        <f t="shared" si="193"/>
        <v>1639.9059911557138</v>
      </c>
      <c r="CC302" s="162">
        <f t="shared" si="177"/>
        <v>6679.1887967369084</v>
      </c>
      <c r="CD302">
        <f t="shared" si="196"/>
        <v>7846.3448807966342</v>
      </c>
    </row>
    <row r="303" spans="4:82" x14ac:dyDescent="0.2">
      <c r="D303" s="22">
        <f t="shared" si="211"/>
        <v>-8.8407397001256313E-2</v>
      </c>
      <c r="E303" s="23">
        <v>10.085903946753412</v>
      </c>
      <c r="F303" s="23">
        <f>IF(K303&lt;6,1,IF(Data!K303&lt;9,2,IF(K303&gt;9,3)))</f>
        <v>3</v>
      </c>
      <c r="G303" s="23">
        <v>1091.8870959248682</v>
      </c>
      <c r="H303" s="23">
        <v>220.46666499999998</v>
      </c>
      <c r="I303" s="64">
        <v>45.656210301020579</v>
      </c>
      <c r="J303" s="65">
        <f t="shared" si="212"/>
        <v>-16.108133213553121</v>
      </c>
      <c r="K303" s="65">
        <f t="shared" si="213"/>
        <v>18.262484120408232</v>
      </c>
      <c r="L303" s="65">
        <f t="shared" si="214"/>
        <v>-6.443253285421263</v>
      </c>
      <c r="M303">
        <f t="shared" si="215"/>
        <v>20.171807893506823</v>
      </c>
      <c r="N303">
        <f t="shared" si="216"/>
        <v>-0.20000286222929908</v>
      </c>
      <c r="O303">
        <f>IF(L303&lt;'Vehicle Data'!F$21,'Vehicle Data'!C$21,IF(L303&gt;'Vehicle Data'!C$21,'Vehicle Data'!C$20))</f>
        <v>0.6</v>
      </c>
      <c r="P303">
        <f>('Vehicle Data'!C$6*9.81*'Vehicle Data'!C$5*SIN(D303))/'Vehicle Data'!C$9</f>
        <v>-58.799790308189436</v>
      </c>
      <c r="Q303" s="107">
        <f>'Vehicle Data'!C$6*9.81*SIN(D303)</f>
        <v>-380.23864399295837</v>
      </c>
      <c r="R303">
        <f t="shared" si="217"/>
        <v>1089.5814850469587</v>
      </c>
      <c r="S303">
        <f>IF(Data!O303=0.6,'Vehicle Data'!E$21,IF(Data!O303 = 0.9,'Vehicle Data'!E$20))+(P303*O303)</f>
        <v>1515.092525815086</v>
      </c>
      <c r="T303">
        <f>IF(F303=3,'Vehicle Data'!H$16,IF(F303=2,'Vehicle Data'!H$15,IF(F303 = 1,'Vehicle Data'!G$14)))</f>
        <v>466.23005239380637</v>
      </c>
      <c r="U303" s="148">
        <f t="shared" si="218"/>
        <v>373.44300292364267</v>
      </c>
      <c r="V303" s="70" t="s">
        <v>77</v>
      </c>
      <c r="W303" s="99" t="s">
        <v>84</v>
      </c>
      <c r="X303">
        <f>IF(V303="S",'Vehicle Data'!C$14,IF(Data!V303 = "T1",'Vehicle Data'!P$2,IF(Data!V303="T2",'Vehicle Data'!P$3)))</f>
        <v>13.411199999999999</v>
      </c>
      <c r="Z303">
        <f t="shared" si="230"/>
        <v>9.8346900219386875</v>
      </c>
      <c r="AB303" t="b">
        <f>IF(AA303=1,'Vehicle Data'!I$14,IF(AA303=2,'Vehicle Data'!I$15,IF(AA303=3,'Vehicle Data'!I$16)))</f>
        <v>0</v>
      </c>
      <c r="AC303">
        <f>IF(Z303&lt;'Vehicle Data'!C$16,'Vehicle Data'!I$15,IF(Z303&lt;'Vehicle Data'!C$15,'Vehicle Data'!I$15,IF(Z302&gt;'Vehicle Data'!C$15,'Vehicle Data'!I$16)))</f>
        <v>0.46202745420001456</v>
      </c>
      <c r="AD303">
        <f>IF(O303=0.6,'Vehicle Data'!F$21,IF(O303=0.9,'Vehicle Data'!F$20))</f>
        <v>3.5315999999999996</v>
      </c>
      <c r="AE303" s="100">
        <f t="shared" si="229"/>
        <v>0.46202745420001456</v>
      </c>
      <c r="AF303" s="158">
        <f t="shared" si="220"/>
        <v>0.23864764307612391</v>
      </c>
      <c r="AG303" s="148">
        <f t="shared" si="178"/>
        <v>0.46464691921087209</v>
      </c>
      <c r="AH303" s="148">
        <f t="shared" si="195"/>
        <v>81.509579040497528</v>
      </c>
      <c r="AJ303">
        <f>(Z303^2)*'Vehicle Data'!C$31</f>
        <v>35.545014476650501</v>
      </c>
      <c r="AK303">
        <f>IF(O303=0.6,'Vehicle Data'!C$6*'Vehicle Data'!D$21*9.81,IF(O303=0.9,'Vehicle Data'!C$6*9.81*'Vehicle Data'!D$20))</f>
        <v>86.131799999999998</v>
      </c>
      <c r="AL303">
        <f t="shared" si="221"/>
        <v>-258.56182951630785</v>
      </c>
      <c r="AN303">
        <f>IF(AG303&gt;0,AG303*'Vehicle Data'!C$6)</f>
        <v>203.97999753357286</v>
      </c>
      <c r="AO303">
        <f t="shared" si="222"/>
        <v>-54.581831982734997</v>
      </c>
      <c r="AP303">
        <f>AO303*'Vehicle Data'!F$3</f>
        <v>-13.951116254787065</v>
      </c>
      <c r="AQ303">
        <f>IF(AE303='Vehicle Data'!I$15,AP303/'Vehicle Data'!G$15,IF(AE303='Vehicle Data'!I$16,AP303/'Vehicle Data'!G$16,IF(AE303='Vehicle Data'!I$14,Data!AP303/'Vehicle Data'!G314)))</f>
        <v>-2.5755532005171999</v>
      </c>
      <c r="AR303">
        <f>IF(Z303&lt;'Vehicle Data'!C$16, Z303*'Vehicle Data'!F$7*'Vehicle Data'!G$14,IF(Z303&lt;'Vehicle Data'!C$15,Z303*'Vehicle Data'!F$7*'Vehicle Data'!G$15,IF(Z303&gt;'Vehicle Data'!C$15,Z303*'Vehicle Data'!F$7*'Vehicle Data'!G$16)))</f>
        <v>85.553902899033176</v>
      </c>
      <c r="AS303">
        <f t="shared" si="223"/>
        <v>5133.2341739419908</v>
      </c>
      <c r="AT303">
        <f t="shared" si="224"/>
        <v>-3</v>
      </c>
      <c r="AU303">
        <f t="shared" si="225"/>
        <v>5000</v>
      </c>
      <c r="AW303" t="e">
        <f>VLOOKUP(AT303,BSFC!A$64:A$82,1,FALSE)</f>
        <v>#N/A</v>
      </c>
      <c r="AX303" t="e" cm="1">
        <f t="array" ref="AX303">_xlfn.XLOOKUP(AT303,BSFC!A$64:A$82,,-1,_xlfn.XLOOKUP(Data!AU303,BSFC!C$63:Q$63,BSFC!B$64:Q$82,,-1))</f>
        <v>#VALUE!</v>
      </c>
      <c r="AY303">
        <f>HLOOKUP(AU303,BSFC!F$63:Q$63,1)</f>
        <v>5000</v>
      </c>
      <c r="AZ303">
        <f>IF(AT303&gt;0,MATCH(AT303,BSFC!A$64:A$83,0),IF(AT303&lt;=0,0))</f>
        <v>0</v>
      </c>
      <c r="BA303">
        <f>MATCH(AU303,BSFC!C$63:Q$63,0)</f>
        <v>10</v>
      </c>
      <c r="BB303" t="b" cm="1">
        <f t="array" ref="BB303">IF(AZ303&gt;0,INDEX(BSFC!C$64:Q$83,Data!AZ303,Data!BA303))</f>
        <v>0</v>
      </c>
      <c r="BC303">
        <f>0.5*'Vehicle Data'!C$6*Data!Z303^2</f>
        <v>21230.287558162672</v>
      </c>
      <c r="BD303">
        <f t="shared" si="179"/>
        <v>6.4979271417635163</v>
      </c>
      <c r="BE303">
        <f t="shared" si="226"/>
        <v>0</v>
      </c>
      <c r="BF303">
        <f t="shared" si="227"/>
        <v>0</v>
      </c>
      <c r="BG303">
        <f t="shared" si="180"/>
        <v>92.421593457698549</v>
      </c>
      <c r="BH303">
        <f t="shared" si="228"/>
        <v>-1378.9025558719818</v>
      </c>
      <c r="BI303" s="148">
        <f t="shared" si="181"/>
        <v>6871.6622130335309</v>
      </c>
      <c r="BO303">
        <f t="shared" si="182"/>
        <v>-319.76258937567638</v>
      </c>
      <c r="BP303">
        <f t="shared" si="183"/>
        <v>452202.08399591164</v>
      </c>
      <c r="BQ303">
        <f t="shared" si="184"/>
        <v>551528.00893303391</v>
      </c>
      <c r="BR303" s="148">
        <f t="shared" si="185"/>
        <v>561699.80827482557</v>
      </c>
      <c r="BS303" s="156" t="b">
        <f t="shared" si="186"/>
        <v>0</v>
      </c>
      <c r="BT303" s="156">
        <f t="shared" si="187"/>
        <v>0</v>
      </c>
      <c r="BU303">
        <f t="shared" si="188"/>
        <v>1593.5139819688545</v>
      </c>
      <c r="BV303">
        <f t="shared" si="189"/>
        <v>1593.5139819688545</v>
      </c>
      <c r="BW303" s="148">
        <f t="shared" si="190"/>
        <v>455.4</v>
      </c>
      <c r="BX303" s="148">
        <f t="shared" si="191"/>
        <v>3129354.9718154697</v>
      </c>
      <c r="BY303" s="148">
        <f t="shared" si="192"/>
        <v>0.20157951871906007</v>
      </c>
      <c r="BZ303">
        <f t="shared" si="176"/>
        <v>81.509579040497528</v>
      </c>
      <c r="CB303">
        <f t="shared" si="193"/>
        <v>1593.5139819688545</v>
      </c>
      <c r="CC303" s="162">
        <f t="shared" si="177"/>
        <v>6677.2667914452304</v>
      </c>
      <c r="CD303">
        <f t="shared" si="196"/>
        <v>9439.8588627654881</v>
      </c>
    </row>
    <row r="304" spans="4:82" x14ac:dyDescent="0.2">
      <c r="D304" s="22">
        <f t="shared" si="211"/>
        <v>-0.13527965497370459</v>
      </c>
      <c r="E304" s="23">
        <v>9.8859010845241126</v>
      </c>
      <c r="F304" s="23">
        <f>IF(K304&lt;6,1,IF(Data!K304&lt;9,2,IF(K304&gt;9,3)))</f>
        <v>3</v>
      </c>
      <c r="G304" s="23">
        <v>1094.1523320865667</v>
      </c>
      <c r="H304" s="23">
        <v>220.51666499999999</v>
      </c>
      <c r="I304" s="64">
        <v>44.85080364034274</v>
      </c>
      <c r="J304" s="65">
        <f t="shared" si="212"/>
        <v>-16.366979109841655</v>
      </c>
      <c r="K304" s="65">
        <f t="shared" si="213"/>
        <v>17.940321456137095</v>
      </c>
      <c r="L304" s="65">
        <f t="shared" si="214"/>
        <v>-6.5467916439366327</v>
      </c>
      <c r="M304">
        <f t="shared" si="215"/>
        <v>19.771802169048225</v>
      </c>
      <c r="N304">
        <f t="shared" si="216"/>
        <v>-0.29999713777051795</v>
      </c>
      <c r="O304">
        <f>IF(L304&lt;'Vehicle Data'!F$21,'Vehicle Data'!C$21,IF(L304&gt;'Vehicle Data'!C$21,'Vehicle Data'!C$20))</f>
        <v>0.6</v>
      </c>
      <c r="P304">
        <f>('Vehicle Data'!C$6*9.81*'Vehicle Data'!C$5*SIN(D304))/'Vehicle Data'!C$9</f>
        <v>-89.817319491794251</v>
      </c>
      <c r="Q304" s="107">
        <f>'Vehicle Data'!C$6*9.81*SIN(D304)</f>
        <v>-580.81866604693607</v>
      </c>
      <c r="R304">
        <f t="shared" si="217"/>
        <v>1091.8870959248682</v>
      </c>
      <c r="S304">
        <f>IF(Data!O304=0.6,'Vehicle Data'!E$21,IF(Data!O304 = 0.9,'Vehicle Data'!E$20))+(P304*O304)</f>
        <v>1496.4820083049233</v>
      </c>
      <c r="T304">
        <f>IF(F304=3,'Vehicle Data'!H$16,IF(F304=2,'Vehicle Data'!H$15,IF(F304 = 1,'Vehicle Data'!G$14)))</f>
        <v>466.23005239380637</v>
      </c>
      <c r="U304" s="148">
        <f t="shared" si="218"/>
        <v>375.7486138015521</v>
      </c>
      <c r="V304" s="70" t="s">
        <v>77</v>
      </c>
      <c r="W304" s="99" t="s">
        <v>84</v>
      </c>
      <c r="X304">
        <f>IF(V304="S",'Vehicle Data'!C$14,IF(Data!V304 = "T1",'Vehicle Data'!P$2,IF(Data!V304="T2",'Vehicle Data'!P$3)))</f>
        <v>13.411199999999999</v>
      </c>
      <c r="Z304">
        <f t="shared" si="230"/>
        <v>9.9424161488147877</v>
      </c>
      <c r="AB304" t="b">
        <f>IF(AA304=1,'Vehicle Data'!I$14,IF(AA304=2,'Vehicle Data'!I$15,IF(AA304=3,'Vehicle Data'!I$16)))</f>
        <v>0</v>
      </c>
      <c r="AC304">
        <f>IF(Z304&lt;'Vehicle Data'!C$16,'Vehicle Data'!I$15,IF(Z304&lt;'Vehicle Data'!C$15,'Vehicle Data'!I$15,IF(Z303&gt;'Vehicle Data'!C$15,'Vehicle Data'!I$16)))</f>
        <v>0.46202745420001456</v>
      </c>
      <c r="AD304">
        <f>IF(O304=0.6,'Vehicle Data'!F$21,IF(O304=0.9,'Vehicle Data'!F$20))</f>
        <v>3.5315999999999996</v>
      </c>
      <c r="AE304" s="100">
        <f t="shared" si="229"/>
        <v>0.46202745420001456</v>
      </c>
      <c r="AF304" s="158">
        <f t="shared" si="220"/>
        <v>0.23189643678154395</v>
      </c>
      <c r="AG304" s="148">
        <f t="shared" si="178"/>
        <v>0.46454412310605164</v>
      </c>
      <c r="AH304" s="148">
        <f t="shared" si="195"/>
        <v>81.741475477279067</v>
      </c>
      <c r="AJ304">
        <f>(Z304^2)*'Vehicle Data'!C$31</f>
        <v>36.327977287008316</v>
      </c>
      <c r="AK304">
        <f>IF(O304=0.6,'Vehicle Data'!C$6*'Vehicle Data'!D$21*9.81,IF(O304=0.9,'Vehicle Data'!C$6*9.81*'Vehicle Data'!D$20))</f>
        <v>86.131799999999998</v>
      </c>
      <c r="AL304">
        <f t="shared" si="221"/>
        <v>-458.35888875992777</v>
      </c>
      <c r="AN304">
        <f>IF(AG304&gt;0,AG304*'Vehicle Data'!C$6)</f>
        <v>203.93487004355666</v>
      </c>
      <c r="AO304">
        <f t="shared" si="222"/>
        <v>-254.42401871637111</v>
      </c>
      <c r="AP304">
        <f>AO304*'Vehicle Data'!F$3</f>
        <v>-65.030779183904457</v>
      </c>
      <c r="AQ304">
        <f>IF(AE304='Vehicle Data'!I$15,AP304/'Vehicle Data'!G$15,IF(AE304='Vehicle Data'!I$16,AP304/'Vehicle Data'!G$16,IF(AE304='Vehicle Data'!I$14,Data!AP304/'Vehicle Data'!G315)))</f>
        <v>-12.005507545087031</v>
      </c>
      <c r="AR304">
        <f>IF(Z304&lt;'Vehicle Data'!C$16, Z304*'Vehicle Data'!F$7*'Vehicle Data'!G$14,IF(Z304&lt;'Vehicle Data'!C$15,Z304*'Vehicle Data'!F$7*'Vehicle Data'!G$15,IF(Z304&gt;'Vehicle Data'!C$15,Z304*'Vehicle Data'!F$7*'Vehicle Data'!G$16)))</f>
        <v>86.49103366552275</v>
      </c>
      <c r="AS304">
        <f t="shared" si="223"/>
        <v>5189.4620199313649</v>
      </c>
      <c r="AT304">
        <f t="shared" si="224"/>
        <v>-12</v>
      </c>
      <c r="AU304">
        <f t="shared" si="225"/>
        <v>5000</v>
      </c>
      <c r="AW304" t="e">
        <f>VLOOKUP(AT304,BSFC!A$64:A$82,1,FALSE)</f>
        <v>#N/A</v>
      </c>
      <c r="AX304" t="e" cm="1">
        <f t="array" ref="AX304">_xlfn.XLOOKUP(AT304,BSFC!A$64:A$82,,-1,_xlfn.XLOOKUP(Data!AU304,BSFC!C$63:Q$63,BSFC!B$64:Q$82,,-1))</f>
        <v>#VALUE!</v>
      </c>
      <c r="AY304">
        <f>HLOOKUP(AU304,BSFC!F$63:Q$63,1)</f>
        <v>5000</v>
      </c>
      <c r="AZ304">
        <f>IF(AT304&gt;0,MATCH(AT304,BSFC!A$64:A$83,0),IF(AT304&lt;=0,0))</f>
        <v>0</v>
      </c>
      <c r="BA304">
        <f>MATCH(AU304,BSFC!C$63:Q$63,0)</f>
        <v>10</v>
      </c>
      <c r="BB304" t="b" cm="1">
        <f t="array" ref="BB304">IF(AZ304&gt;0,INDEX(BSFC!C$64:Q$83,Data!AZ304,Data!BA304))</f>
        <v>0</v>
      </c>
      <c r="BC304">
        <f>0.5*'Vehicle Data'!C$6*Data!Z304^2</f>
        <v>21697.93473332877</v>
      </c>
      <c r="BD304">
        <f t="shared" si="179"/>
        <v>0</v>
      </c>
      <c r="BE304">
        <f t="shared" si="226"/>
        <v>0</v>
      </c>
      <c r="BF304">
        <f t="shared" si="227"/>
        <v>0</v>
      </c>
      <c r="BG304">
        <f t="shared" si="180"/>
        <v>92.421593457698549</v>
      </c>
      <c r="BH304">
        <f t="shared" si="228"/>
        <v>-6497.9271417635164</v>
      </c>
      <c r="BI304" s="148">
        <f t="shared" si="181"/>
        <v>6871.6622130335309</v>
      </c>
      <c r="BO304">
        <f t="shared" si="182"/>
        <v>-1465.0291239831979</v>
      </c>
      <c r="BP304">
        <f t="shared" si="183"/>
        <v>450737.05487192847</v>
      </c>
      <c r="BQ304">
        <f t="shared" si="184"/>
        <v>551528.00893303391</v>
      </c>
      <c r="BR304" s="148">
        <f t="shared" si="185"/>
        <v>563249.10008014075</v>
      </c>
      <c r="BS304" s="156" t="b">
        <f t="shared" si="186"/>
        <v>0</v>
      </c>
      <c r="BT304" s="156">
        <f t="shared" si="187"/>
        <v>0</v>
      </c>
      <c r="BU304">
        <f t="shared" si="188"/>
        <v>1549.2918053151263</v>
      </c>
      <c r="BV304">
        <f t="shared" si="189"/>
        <v>1549.2918053151263</v>
      </c>
      <c r="BW304" s="148">
        <f t="shared" si="190"/>
        <v>455.4</v>
      </c>
      <c r="BX304" s="148">
        <f t="shared" si="191"/>
        <v>3129354.9718154697</v>
      </c>
      <c r="BY304" s="148">
        <f t="shared" si="192"/>
        <v>0.19598541337236347</v>
      </c>
      <c r="BZ304">
        <f t="shared" si="176"/>
        <v>81.741475477279067</v>
      </c>
      <c r="CB304">
        <f t="shared" si="193"/>
        <v>1549.2918053151263</v>
      </c>
      <c r="CC304" s="162">
        <f t="shared" si="177"/>
        <v>6680.9642563617817</v>
      </c>
      <c r="CD304">
        <f t="shared" si="196"/>
        <v>10989.150668080614</v>
      </c>
    </row>
    <row r="305" spans="4:82" x14ac:dyDescent="0.2">
      <c r="D305" s="22">
        <f t="shared" si="211"/>
        <v>-0.1378028096821646</v>
      </c>
      <c r="E305" s="23">
        <v>9.5859039467535947</v>
      </c>
      <c r="F305" s="23">
        <f>IF(K305&lt;6,1,IF(Data!K305&lt;9,2,IF(K305&gt;9,3)))</f>
        <v>3</v>
      </c>
      <c r="G305" s="23">
        <v>1096.3767176806873</v>
      </c>
      <c r="H305" s="23">
        <v>220.566665</v>
      </c>
      <c r="I305" s="64">
        <v>44.032454684850471</v>
      </c>
      <c r="J305" s="65">
        <f t="shared" si="212"/>
        <v>-15.79245069171121</v>
      </c>
      <c r="K305" s="65">
        <f t="shared" si="213"/>
        <v>17.612981873940189</v>
      </c>
      <c r="L305" s="65">
        <f t="shared" si="214"/>
        <v>-6.3169802766845127</v>
      </c>
      <c r="M305">
        <f t="shared" si="215"/>
        <v>19.171807893507189</v>
      </c>
      <c r="N305">
        <f t="shared" si="216"/>
        <v>-0.30000138864842896</v>
      </c>
      <c r="O305">
        <f>IF(L305&lt;'Vehicle Data'!F$21,'Vehicle Data'!C$21,IF(L305&gt;'Vehicle Data'!C$21,'Vehicle Data'!C$20))</f>
        <v>0.6</v>
      </c>
      <c r="P305">
        <f>('Vehicle Data'!C$6*9.81*'Vehicle Data'!C$5*SIN(D305))/'Vehicle Data'!C$9</f>
        <v>-91.482018761150869</v>
      </c>
      <c r="Q305" s="107">
        <f>'Vehicle Data'!C$6*9.81*SIN(D305)</f>
        <v>-591.58372132210889</v>
      </c>
      <c r="R305">
        <f t="shared" si="217"/>
        <v>1094.1523320865667</v>
      </c>
      <c r="S305">
        <f>IF(Data!O305=0.6,'Vehicle Data'!E$21,IF(Data!O305 = 0.9,'Vehicle Data'!E$20))+(P305*O305)</f>
        <v>1495.4831887433093</v>
      </c>
      <c r="T305">
        <f>IF(F305=3,'Vehicle Data'!H$16,IF(F305=2,'Vehicle Data'!H$15,IF(F305 = 1,'Vehicle Data'!G$14)))</f>
        <v>466.23005239380637</v>
      </c>
      <c r="U305" s="148">
        <f t="shared" si="218"/>
        <v>378.01384996325066</v>
      </c>
      <c r="V305" s="70" t="s">
        <v>77</v>
      </c>
      <c r="W305" s="99" t="s">
        <v>84</v>
      </c>
      <c r="X305">
        <f>IF(V305="S",'Vehicle Data'!C$14,IF(Data!V305 = "T1",'Vehicle Data'!P$2,IF(Data!V305="T2",'Vehicle Data'!P$3)))</f>
        <v>13.411199999999999</v>
      </c>
      <c r="Z305">
        <f t="shared" si="230"/>
        <v>10.047131006915151</v>
      </c>
      <c r="AB305" t="b">
        <f>IF(AA305=1,'Vehicle Data'!I$14,IF(AA305=2,'Vehicle Data'!I$15,IF(AA305=3,'Vehicle Data'!I$16)))</f>
        <v>0</v>
      </c>
      <c r="AC305">
        <v>1.3037776999999999</v>
      </c>
      <c r="AD305">
        <f>IF(O305=0.6,'Vehicle Data'!F$21,IF(O305=0.9,'Vehicle Data'!F$20))</f>
        <v>3.5315999999999996</v>
      </c>
      <c r="AE305" s="100">
        <f t="shared" si="229"/>
        <v>1.3037776999999999</v>
      </c>
      <c r="AF305" s="158">
        <f t="shared" si="220"/>
        <v>0.22546099579466719</v>
      </c>
      <c r="AG305" s="148">
        <f t="shared" si="178"/>
        <v>0.46444777612767218</v>
      </c>
      <c r="AH305" s="148">
        <f t="shared" si="195"/>
        <v>81.96693647307373</v>
      </c>
      <c r="AJ305">
        <f>(Z305^2)*'Vehicle Data'!C$31</f>
        <v>37.097229240267588</v>
      </c>
      <c r="AK305">
        <f>IF(O305=0.6,'Vehicle Data'!C$6*'Vehicle Data'!D$21*9.81,IF(O305=0.9,'Vehicle Data'!C$6*9.81*'Vehicle Data'!D$20))</f>
        <v>86.131799999999998</v>
      </c>
      <c r="AL305">
        <f t="shared" si="221"/>
        <v>-468.35469208184134</v>
      </c>
      <c r="AN305">
        <f>IF(AG305&gt;0,AG305*'Vehicle Data'!C$6)</f>
        <v>203.89257372004809</v>
      </c>
      <c r="AO305">
        <f t="shared" si="222"/>
        <v>-264.46211836179327</v>
      </c>
      <c r="AP305">
        <f>AO305*'Vehicle Data'!F$3</f>
        <v>-67.596517453274359</v>
      </c>
      <c r="AQ305" t="b">
        <f>IF(AE305='Vehicle Data'!I$15,AP305/'Vehicle Data'!G$15,IF(AE305='Vehicle Data'!I$16,AP305/'Vehicle Data'!G$16,IF(AE305='Vehicle Data'!I$14,Data!AP305/'Vehicle Data'!G316)))</f>
        <v>0</v>
      </c>
      <c r="AR305">
        <f>IF(Z305&lt;'Vehicle Data'!C$16, Z305*'Vehicle Data'!F$7*'Vehicle Data'!G$14,IF(Z305&lt;'Vehicle Data'!C$15,Z305*'Vehicle Data'!F$7*'Vehicle Data'!G$15,IF(Z305&gt;'Vehicle Data'!C$15,Z305*'Vehicle Data'!F$7*'Vehicle Data'!G$16)))</f>
        <v>87.401968812641755</v>
      </c>
      <c r="AS305">
        <f t="shared" si="223"/>
        <v>5244.118128758505</v>
      </c>
      <c r="AT305">
        <f t="shared" si="224"/>
        <v>0</v>
      </c>
      <c r="AU305">
        <f t="shared" si="225"/>
        <v>5000</v>
      </c>
      <c r="AW305" t="e">
        <f>VLOOKUP(AT305,BSFC!A$64:A$82,1,FALSE)</f>
        <v>#N/A</v>
      </c>
      <c r="AX305" t="e" cm="1">
        <f t="array" ref="AX305">_xlfn.XLOOKUP(AT305,BSFC!A$64:A$82,,-1,_xlfn.XLOOKUP(Data!AU305,BSFC!C$63:Q$63,BSFC!B$64:Q$82,,-1))</f>
        <v>#VALUE!</v>
      </c>
      <c r="AY305">
        <f>HLOOKUP(AU305,BSFC!F$63:Q$63,1)</f>
        <v>5000</v>
      </c>
      <c r="AZ305">
        <f>IF(AT305&gt;0,MATCH(AT305,BSFC!A$64:A$83,0),IF(AT305&lt;=0,0))</f>
        <v>0</v>
      </c>
      <c r="BA305">
        <f>MATCH(AU305,BSFC!C$63:Q$63,0)</f>
        <v>10</v>
      </c>
      <c r="BB305" t="b" cm="1">
        <f t="array" ref="BB305">IF(AZ305&gt;0,INDEX(BSFC!C$64:Q$83,Data!AZ305,Data!BA305))</f>
        <v>0</v>
      </c>
      <c r="BC305">
        <f>0.5*'Vehicle Data'!C$6*Data!Z305^2</f>
        <v>22157.392702690431</v>
      </c>
      <c r="BD305">
        <f t="shared" si="179"/>
        <v>3.5864720281922668</v>
      </c>
      <c r="BE305">
        <f t="shared" si="226"/>
        <v>0</v>
      </c>
      <c r="BF305">
        <f t="shared" si="227"/>
        <v>0</v>
      </c>
      <c r="BG305">
        <f t="shared" si="180"/>
        <v>92.421593457698549</v>
      </c>
      <c r="BH305">
        <f t="shared" si="228"/>
        <v>0</v>
      </c>
      <c r="BI305" s="148">
        <f t="shared" si="181"/>
        <v>6871.6622130335309</v>
      </c>
      <c r="BO305">
        <f t="shared" si="182"/>
        <v>0</v>
      </c>
      <c r="BP305">
        <f t="shared" si="183"/>
        <v>450737.05487192847</v>
      </c>
      <c r="BQ305">
        <f t="shared" si="184"/>
        <v>551528.00893303391</v>
      </c>
      <c r="BR305" s="148">
        <f t="shared" si="185"/>
        <v>564728.54228516144</v>
      </c>
      <c r="BS305" s="156" t="b">
        <f t="shared" si="186"/>
        <v>0</v>
      </c>
      <c r="BT305" s="156">
        <f t="shared" si="187"/>
        <v>0</v>
      </c>
      <c r="BU305">
        <f t="shared" si="188"/>
        <v>1479.4422050206522</v>
      </c>
      <c r="BV305">
        <f t="shared" si="189"/>
        <v>1479.4422050206522</v>
      </c>
      <c r="BW305" s="148">
        <f t="shared" si="190"/>
        <v>455.4</v>
      </c>
      <c r="BX305" s="148">
        <f t="shared" si="191"/>
        <v>3129354.9718154697</v>
      </c>
      <c r="BY305" s="148">
        <f t="shared" si="192"/>
        <v>0.18714943893511249</v>
      </c>
      <c r="BZ305">
        <f t="shared" si="176"/>
        <v>81.96693647307373</v>
      </c>
      <c r="CB305">
        <f t="shared" si="193"/>
        <v>1479.4422050206522</v>
      </c>
      <c r="CC305" s="162">
        <f t="shared" si="177"/>
        <v>6561.8543012559276</v>
      </c>
      <c r="CD305">
        <f t="shared" si="196"/>
        <v>12468.592873101266</v>
      </c>
    </row>
    <row r="306" spans="4:82" x14ac:dyDescent="0.2">
      <c r="D306" s="22">
        <f t="shared" si="211"/>
        <v>-0.13288009181467</v>
      </c>
      <c r="E306" s="23">
        <v>9.2859025581051657</v>
      </c>
      <c r="F306" s="23">
        <f>IF(K306&lt;6,1,IF(Data!K306&lt;9,2,IF(K306&gt;9,3)))</f>
        <v>3</v>
      </c>
      <c r="G306" s="23">
        <v>1098.5606570518587</v>
      </c>
      <c r="H306" s="23">
        <v>220.61666499999998</v>
      </c>
      <c r="I306" s="64">
        <v>43.24283215026518</v>
      </c>
      <c r="J306" s="65">
        <f t="shared" si="212"/>
        <v>-15.168623118003911</v>
      </c>
      <c r="K306" s="65">
        <f t="shared" si="213"/>
        <v>17.297132860106071</v>
      </c>
      <c r="L306" s="65">
        <f t="shared" si="214"/>
        <v>-6.0674492472015791</v>
      </c>
      <c r="M306">
        <f t="shared" si="215"/>
        <v>18.571805116210331</v>
      </c>
      <c r="N306">
        <f t="shared" si="216"/>
        <v>-0.28420095810516699</v>
      </c>
      <c r="O306">
        <f>IF(L306&lt;'Vehicle Data'!F$21,'Vehicle Data'!C$21,IF(L306&gt;'Vehicle Data'!C$21,'Vehicle Data'!C$20))</f>
        <v>0.6</v>
      </c>
      <c r="P306">
        <f>('Vehicle Data'!C$6*9.81*'Vehicle Data'!C$5*SIN(D306))/'Vehicle Data'!C$9</f>
        <v>-88.233631457817623</v>
      </c>
      <c r="Q306" s="107">
        <f>'Vehicle Data'!C$6*9.81*SIN(D306)</f>
        <v>-570.57748342722061</v>
      </c>
      <c r="R306">
        <f t="shared" si="217"/>
        <v>1096.3767176806873</v>
      </c>
      <c r="S306">
        <f>IF(Data!O306=0.6,'Vehicle Data'!E$21,IF(Data!O306 = 0.9,'Vehicle Data'!E$20))+(P306*O306)</f>
        <v>1497.4322211253091</v>
      </c>
      <c r="T306">
        <f>IF(F306=3,'Vehicle Data'!H$16,IF(F306=2,'Vehicle Data'!H$15,IF(F306 = 1,'Vehicle Data'!G$14)))</f>
        <v>466.23005239380637</v>
      </c>
      <c r="U306" s="148">
        <f t="shared" si="218"/>
        <v>380.23823555737124</v>
      </c>
      <c r="V306" s="70" t="s">
        <v>77</v>
      </c>
      <c r="W306" s="99" t="s">
        <v>84</v>
      </c>
      <c r="X306">
        <f>IF(V306="S",'Vehicle Data'!C$14,IF(Data!V306 = "T1",'Vehicle Data'!P$2,IF(Data!V306="T2",'Vehicle Data'!P$3)))</f>
        <v>13.411199999999999</v>
      </c>
      <c r="Z306">
        <f t="shared" si="230"/>
        <v>10.331749616485446</v>
      </c>
      <c r="AB306" t="b">
        <f>IF(AA306=1,'Vehicle Data'!I$14,IF(AA306=2,'Vehicle Data'!I$15,IF(AA306=3,'Vehicle Data'!I$16)))</f>
        <v>0</v>
      </c>
      <c r="AC306">
        <f>IF(Z306&lt;'Vehicle Data'!C$16,'Vehicle Data'!I$15,IF(Z306&lt;'Vehicle Data'!C$15,'Vehicle Data'!I$15,IF(Z305&gt;'Vehicle Data'!C$15,'Vehicle Data'!I$16)))</f>
        <v>0.46202745420001456</v>
      </c>
      <c r="AD306">
        <f>IF(O306=0.6,'Vehicle Data'!F$21,IF(O306=0.9,'Vehicle Data'!F$20))</f>
        <v>3.5315999999999996</v>
      </c>
      <c r="AE306" s="100">
        <f t="shared" si="229"/>
        <v>0.46202745420001456</v>
      </c>
      <c r="AF306" s="158">
        <f t="shared" si="220"/>
        <v>0.21529611892368394</v>
      </c>
      <c r="AG306" s="148">
        <f t="shared" si="178"/>
        <v>1.3219867176109363</v>
      </c>
      <c r="AH306" s="148">
        <f t="shared" si="195"/>
        <v>82.182232591997419</v>
      </c>
      <c r="AJ306">
        <f>(Z306^2)*'Vehicle Data'!C$31</f>
        <v>39.22880592562209</v>
      </c>
      <c r="AK306">
        <f>IF(O306=0.6,'Vehicle Data'!C$6*'Vehicle Data'!D$21*9.81,IF(O306=0.9,'Vehicle Data'!C$6*9.81*'Vehicle Data'!D$20))</f>
        <v>86.131799999999998</v>
      </c>
      <c r="AL306">
        <f t="shared" si="221"/>
        <v>-445.21687750159856</v>
      </c>
      <c r="AN306">
        <f>IF(AG306&gt;0,AG306*'Vehicle Data'!C$6)</f>
        <v>580.35216903120102</v>
      </c>
      <c r="AO306">
        <f t="shared" si="222"/>
        <v>135.13529152960245</v>
      </c>
      <c r="AP306">
        <f>AO306*'Vehicle Data'!F$3</f>
        <v>34.540580514966386</v>
      </c>
      <c r="AQ306">
        <f>IF(AE306='Vehicle Data'!I$15,AP306/'Vehicle Data'!G$15,IF(AE306='Vehicle Data'!I$16,AP306/'Vehicle Data'!G$16,IF(AE306='Vehicle Data'!I$14,Data!AP306/'Vehicle Data'!G317)))</f>
        <v>6.3766297311527582</v>
      </c>
      <c r="AR306">
        <f>IF(Z306&lt;'Vehicle Data'!C$16, Z306*'Vehicle Data'!F$7*'Vehicle Data'!G$14,IF(Z306&lt;'Vehicle Data'!C$15,Z306*'Vehicle Data'!F$7*'Vehicle Data'!G$15,IF(Z306&gt;'Vehicle Data'!C$15,Z306*'Vehicle Data'!F$7*'Vehicle Data'!G$16)))</f>
        <v>89.877922079304525</v>
      </c>
      <c r="AS306">
        <f t="shared" si="223"/>
        <v>5392.6753247582719</v>
      </c>
      <c r="AT306">
        <f t="shared" si="224"/>
        <v>6</v>
      </c>
      <c r="AU306">
        <f t="shared" si="225"/>
        <v>5500</v>
      </c>
      <c r="AW306">
        <f>VLOOKUP(AT306,BSFC!A$64:A$82,1,FALSE)</f>
        <v>6</v>
      </c>
      <c r="AX306" t="e" cm="1">
        <f t="array" ref="AX306">_xlfn.XLOOKUP(AT306,BSFC!A$64:A$82,,-1,_xlfn.XLOOKUP(Data!AU306,BSFC!C$63:Q$63,BSFC!B$64:Q$82,,-1))</f>
        <v>#VALUE!</v>
      </c>
      <c r="AY306">
        <f>HLOOKUP(AU306,BSFC!F$63:Q$63,1)</f>
        <v>5500</v>
      </c>
      <c r="AZ306">
        <f>IF(AT306&gt;0,MATCH(AT306,BSFC!A$64:A$83,0),IF(AT306&lt;=0,0))</f>
        <v>17</v>
      </c>
      <c r="BA306">
        <f>MATCH(AU306,BSFC!C$63:Q$63,0)</f>
        <v>11</v>
      </c>
      <c r="BB306" cm="1">
        <f t="array" ref="BB306">IF(AZ306&gt;0,INDEX(BSFC!C$64:Q$83,Data!AZ306,Data!BA306))</f>
        <v>664</v>
      </c>
      <c r="BC306">
        <f>0.5*'Vehicle Data'!C$6*Data!Z306^2</f>
        <v>23430.538505235501</v>
      </c>
      <c r="BD306">
        <f t="shared" si="179"/>
        <v>3.3607524242129632</v>
      </c>
      <c r="BE306">
        <f t="shared" si="226"/>
        <v>2231.5396096774075</v>
      </c>
      <c r="BF306">
        <f t="shared" si="227"/>
        <v>0.13345606033000509</v>
      </c>
      <c r="BG306">
        <f t="shared" si="180"/>
        <v>92.555049518028554</v>
      </c>
      <c r="BH306">
        <f t="shared" si="228"/>
        <v>3586.4720281922669</v>
      </c>
      <c r="BI306" s="148">
        <f t="shared" si="181"/>
        <v>6871.6622130335309</v>
      </c>
      <c r="BO306">
        <f t="shared" si="182"/>
        <v>751.04710593459083</v>
      </c>
      <c r="BP306">
        <f t="shared" si="183"/>
        <v>451488.10197786306</v>
      </c>
      <c r="BQ306">
        <f t="shared" si="184"/>
        <v>552279.0560389685</v>
      </c>
      <c r="BR306" s="148">
        <f t="shared" si="185"/>
        <v>566167.54473031929</v>
      </c>
      <c r="BS306" s="156">
        <f t="shared" si="186"/>
        <v>751.04710593459083</v>
      </c>
      <c r="BT306" s="156">
        <f t="shared" si="187"/>
        <v>3586.4720281922669</v>
      </c>
      <c r="BU306">
        <f t="shared" si="188"/>
        <v>1439.0024451578538</v>
      </c>
      <c r="BV306">
        <f t="shared" si="189"/>
        <v>1439.0024451578538</v>
      </c>
      <c r="BW306" s="148">
        <f t="shared" si="190"/>
        <v>455.4</v>
      </c>
      <c r="BX306" s="148">
        <f t="shared" si="191"/>
        <v>3129354.9718154697</v>
      </c>
      <c r="BY306" s="148">
        <f t="shared" si="192"/>
        <v>0.18203380931246846</v>
      </c>
      <c r="BZ306">
        <f t="shared" si="176"/>
        <v>82.182232591997419</v>
      </c>
      <c r="CB306">
        <f t="shared" si="193"/>
        <v>687.95533922326297</v>
      </c>
      <c r="CC306" s="162">
        <f t="shared" si="177"/>
        <v>3195.391271623927</v>
      </c>
      <c r="CD306">
        <f t="shared" si="196"/>
        <v>13156.548212324529</v>
      </c>
    </row>
    <row r="307" spans="4:82" x14ac:dyDescent="0.2">
      <c r="D307" s="22">
        <f t="shared" si="211"/>
        <v>-4.7487407732836003E-2</v>
      </c>
      <c r="E307" s="23">
        <v>9.0017015999999987</v>
      </c>
      <c r="F307" s="23">
        <f>IF(K307&lt;6,1,IF(Data!K307&lt;9,2,IF(K307&gt;9,3)))</f>
        <v>3</v>
      </c>
      <c r="G307" s="23">
        <v>1100.7057417068199</v>
      </c>
      <c r="H307" s="23">
        <v>220.66666499999999</v>
      </c>
      <c r="I307" s="64">
        <v>42.484400994364812</v>
      </c>
      <c r="J307" s="65">
        <f t="shared" si="212"/>
        <v>-15.514697512459497</v>
      </c>
      <c r="K307" s="65">
        <f t="shared" si="213"/>
        <v>16.993760397745923</v>
      </c>
      <c r="L307" s="65">
        <f t="shared" si="214"/>
        <v>-6.2058790049837702</v>
      </c>
      <c r="M307">
        <f t="shared" si="215"/>
        <v>18.003403199999997</v>
      </c>
      <c r="N307">
        <f t="shared" si="216"/>
        <v>-9.9998399999998711E-2</v>
      </c>
      <c r="O307">
        <f>IF(L307&lt;'Vehicle Data'!F$21,'Vehicle Data'!C$21,IF(L307&gt;'Vehicle Data'!C$21,'Vehicle Data'!C$20))</f>
        <v>0.6</v>
      </c>
      <c r="P307">
        <f>('Vehicle Data'!C$6*9.81*'Vehicle Data'!C$5*SIN(D307))/'Vehicle Data'!C$9</f>
        <v>-31.61318673325453</v>
      </c>
      <c r="Q307" s="107">
        <f>'Vehicle Data'!C$6*9.81*SIN(D307)</f>
        <v>-204.43194087504597</v>
      </c>
      <c r="R307">
        <f t="shared" si="217"/>
        <v>1098.5606570518587</v>
      </c>
      <c r="S307">
        <f>IF(Data!O307=0.6,'Vehicle Data'!E$21,IF(Data!O307 = 0.9,'Vehicle Data'!E$20))+(P307*O307)</f>
        <v>1531.4044879600469</v>
      </c>
      <c r="T307">
        <f>IF(F307=3,'Vehicle Data'!H$16,IF(F307=2,'Vehicle Data'!H$15,IF(F307 = 1,'Vehicle Data'!G$14)))</f>
        <v>466.23005239380637</v>
      </c>
      <c r="U307" s="148">
        <f t="shared" si="218"/>
        <v>382.42217492854263</v>
      </c>
      <c r="V307" s="70" t="s">
        <v>77</v>
      </c>
      <c r="W307" s="99" t="s">
        <v>84</v>
      </c>
      <c r="X307">
        <f>IF(V307="S",'Vehicle Data'!C$14,IF(Data!V307 = "T1",'Vehicle Data'!P$2,IF(Data!V307="T2",'Vehicle Data'!P$3)))</f>
        <v>13.411199999999999</v>
      </c>
      <c r="Z307">
        <f t="shared" si="230"/>
        <v>10.428956325219037</v>
      </c>
      <c r="AB307" t="b">
        <f>IF(AA307=1,'Vehicle Data'!I$14,IF(AA307=2,'Vehicle Data'!I$15,IF(AA307=3,'Vehicle Data'!I$16)))</f>
        <v>0</v>
      </c>
      <c r="AC307">
        <f>IF(Z307&lt;'Vehicle Data'!C$16,'Vehicle Data'!I$15,IF(Z307&lt;'Vehicle Data'!C$15,'Vehicle Data'!I$15,IF(Z306&gt;'Vehicle Data'!C$15,'Vehicle Data'!I$16)))</f>
        <v>0.46202745420001456</v>
      </c>
      <c r="AD307">
        <f>IF(O307=0.6,'Vehicle Data'!F$21,IF(O307=0.9,'Vehicle Data'!F$20))</f>
        <v>3.5315999999999996</v>
      </c>
      <c r="AE307" s="100">
        <f t="shared" si="229"/>
        <v>0.46202745420001456</v>
      </c>
      <c r="AF307" s="158">
        <f t="shared" si="220"/>
        <v>0.2094111148869465</v>
      </c>
      <c r="AG307" s="148">
        <f t="shared" si="178"/>
        <v>0.46419077987369117</v>
      </c>
      <c r="AH307" s="148">
        <f t="shared" si="195"/>
        <v>82.391643706884366</v>
      </c>
      <c r="AJ307">
        <f>(Z307^2)*'Vehicle Data'!C$31</f>
        <v>39.970450287247374</v>
      </c>
      <c r="AK307">
        <f>IF(O307=0.6,'Vehicle Data'!C$6*'Vehicle Data'!D$21*9.81,IF(O307=0.9,'Vehicle Data'!C$6*9.81*'Vehicle Data'!D$20))</f>
        <v>86.131799999999998</v>
      </c>
      <c r="AL307">
        <f t="shared" si="221"/>
        <v>-78.329690587798595</v>
      </c>
      <c r="AN307">
        <f>IF(AG307&gt;0,AG307*'Vehicle Data'!C$6)</f>
        <v>203.77975236455043</v>
      </c>
      <c r="AO307">
        <f t="shared" si="222"/>
        <v>125.45006177675184</v>
      </c>
      <c r="AP307">
        <f>AO307*'Vehicle Data'!F$3</f>
        <v>32.06503579013777</v>
      </c>
      <c r="AQ307">
        <f>IF(AE307='Vehicle Data'!I$15,AP307/'Vehicle Data'!G$15,IF(AE307='Vehicle Data'!I$16,AP307/'Vehicle Data'!G$16,IF(AE307='Vehicle Data'!I$14,Data!AP307/'Vehicle Data'!G318)))</f>
        <v>5.9196127425036931</v>
      </c>
      <c r="AR307">
        <f>IF(Z307&lt;'Vehicle Data'!C$16, Z307*'Vehicle Data'!F$7*'Vehicle Data'!G$14,IF(Z307&lt;'Vehicle Data'!C$15,Z307*'Vehicle Data'!F$7*'Vehicle Data'!G$15,IF(Z307&gt;'Vehicle Data'!C$15,Z307*'Vehicle Data'!F$7*'Vehicle Data'!G$16)))</f>
        <v>90.723542358294139</v>
      </c>
      <c r="AS307">
        <f t="shared" si="223"/>
        <v>5443.4125414976479</v>
      </c>
      <c r="AT307">
        <f t="shared" si="224"/>
        <v>6</v>
      </c>
      <c r="AU307">
        <f t="shared" si="225"/>
        <v>5500</v>
      </c>
      <c r="AW307">
        <f>VLOOKUP(AT307,BSFC!A$64:A$82,1,FALSE)</f>
        <v>6</v>
      </c>
      <c r="AX307" t="e" cm="1">
        <f t="array" ref="AX307">_xlfn.XLOOKUP(AT307,BSFC!A$64:A$82,,-1,_xlfn.XLOOKUP(Data!AU307,BSFC!C$63:Q$63,BSFC!B$64:Q$82,,-1))</f>
        <v>#VALUE!</v>
      </c>
      <c r="AY307">
        <f>HLOOKUP(AU307,BSFC!F$63:Q$63,1)</f>
        <v>5500</v>
      </c>
      <c r="AZ307">
        <f>IF(AT307&gt;0,MATCH(AT307,BSFC!A$64:A$83,0),IF(AT307&lt;=0,0))</f>
        <v>17</v>
      </c>
      <c r="BA307">
        <f>MATCH(AU307,BSFC!C$63:Q$63,0)</f>
        <v>11</v>
      </c>
      <c r="BB307" cm="1">
        <f t="array" ref="BB307">IF(AZ307&gt;0,INDEX(BSFC!C$64:Q$83,Data!AZ307,Data!BA307))</f>
        <v>664</v>
      </c>
      <c r="BC307">
        <f>0.5*'Vehicle Data'!C$6*Data!Z307^2</f>
        <v>23873.507042315094</v>
      </c>
      <c r="BD307">
        <f t="shared" si="179"/>
        <v>8.9363363461116343</v>
      </c>
      <c r="BE307">
        <f t="shared" si="226"/>
        <v>5933.7273338181249</v>
      </c>
      <c r="BF307">
        <f t="shared" si="227"/>
        <v>0.34516346011388949</v>
      </c>
      <c r="BG307">
        <f t="shared" si="180"/>
        <v>92.900212978142449</v>
      </c>
      <c r="BH307">
        <f t="shared" si="228"/>
        <v>3360.752424212963</v>
      </c>
      <c r="BI307" s="148">
        <f t="shared" si="181"/>
        <v>6871.6622130335309</v>
      </c>
      <c r="BO307">
        <f t="shared" si="182"/>
        <v>685.0437255458354</v>
      </c>
      <c r="BP307">
        <f t="shared" si="183"/>
        <v>452173.14570340887</v>
      </c>
      <c r="BQ307">
        <f t="shared" si="184"/>
        <v>552964.09976451437</v>
      </c>
      <c r="BR307" s="148">
        <f t="shared" si="185"/>
        <v>567568.23972028471</v>
      </c>
      <c r="BS307" s="156">
        <f t="shared" si="186"/>
        <v>685.0437255458354</v>
      </c>
      <c r="BT307" s="156">
        <f t="shared" si="187"/>
        <v>3360.752424212963</v>
      </c>
      <c r="BU307">
        <f t="shared" si="188"/>
        <v>1400.6949899653582</v>
      </c>
      <c r="BV307">
        <f t="shared" si="189"/>
        <v>1400.6949899653582</v>
      </c>
      <c r="BW307" s="148">
        <f t="shared" si="190"/>
        <v>455.4</v>
      </c>
      <c r="BX307" s="148">
        <f t="shared" si="191"/>
        <v>3129354.9718154697</v>
      </c>
      <c r="BY307" s="148">
        <f t="shared" si="192"/>
        <v>0.1771879162306178</v>
      </c>
      <c r="BZ307">
        <f t="shared" si="176"/>
        <v>82.391643706884366</v>
      </c>
      <c r="CB307">
        <f t="shared" si="193"/>
        <v>715.65126441952282</v>
      </c>
      <c r="CC307" s="162">
        <f t="shared" si="177"/>
        <v>3417.4464178077383</v>
      </c>
      <c r="CD307">
        <f t="shared" si="196"/>
        <v>13872.199476744052</v>
      </c>
    </row>
    <row r="308" spans="4:82" x14ac:dyDescent="0.2">
      <c r="D308" s="22">
        <f t="shared" si="211"/>
        <v>0</v>
      </c>
      <c r="E308" s="23">
        <v>8.9017032</v>
      </c>
      <c r="F308" s="23">
        <f>IF(K308&lt;6,1,IF(Data!K308&lt;9,2,IF(K308&gt;9,3)))</f>
        <v>3</v>
      </c>
      <c r="G308" s="23">
        <v>1102.8123210779918</v>
      </c>
      <c r="H308" s="23">
        <v>220.71666499999998</v>
      </c>
      <c r="I308" s="64">
        <v>41.708666118742102</v>
      </c>
      <c r="J308" s="65">
        <f t="shared" si="212"/>
        <v>-16.151301331152176</v>
      </c>
      <c r="K308" s="65">
        <f t="shared" si="213"/>
        <v>16.683466447496841</v>
      </c>
      <c r="L308" s="65">
        <f t="shared" si="214"/>
        <v>-6.4605205324608992</v>
      </c>
      <c r="M308">
        <f t="shared" si="215"/>
        <v>17.8034064</v>
      </c>
      <c r="N308">
        <f t="shared" si="216"/>
        <v>0</v>
      </c>
      <c r="O308">
        <f>IF(L308&lt;'Vehicle Data'!F$21,'Vehicle Data'!C$21,IF(L308&gt;'Vehicle Data'!C$21,'Vehicle Data'!C$20))</f>
        <v>0.6</v>
      </c>
      <c r="P308">
        <f>('Vehicle Data'!C$6*9.81*'Vehicle Data'!C$5*SIN(D308))/'Vehicle Data'!C$9</f>
        <v>0</v>
      </c>
      <c r="Q308" s="107">
        <f>'Vehicle Data'!C$6*9.81*SIN(D308)</f>
        <v>0</v>
      </c>
      <c r="R308">
        <f t="shared" si="217"/>
        <v>1100.7057417068199</v>
      </c>
      <c r="S308">
        <f>IF(Data!O308=0.6,'Vehicle Data'!E$21,IF(Data!O308 = 0.9,'Vehicle Data'!E$20))+(P308*O308)</f>
        <v>1550.3723999999997</v>
      </c>
      <c r="T308">
        <f>IF(F308=3,'Vehicle Data'!H$16,IF(F308=2,'Vehicle Data'!H$15,IF(F308 = 1,'Vehicle Data'!G$14)))</f>
        <v>466.23005239380637</v>
      </c>
      <c r="U308" s="148">
        <f t="shared" si="218"/>
        <v>384.56725958350387</v>
      </c>
      <c r="V308" s="70" t="s">
        <v>77</v>
      </c>
      <c r="W308" s="99" t="s">
        <v>84</v>
      </c>
      <c r="X308">
        <f>IF(V308="S",'Vehicle Data'!C$14,IF(Data!V308 = "T1",'Vehicle Data'!P$2,IF(Data!V308="T2",'Vehicle Data'!P$3)))</f>
        <v>13.411199999999999</v>
      </c>
      <c r="Z308">
        <f t="shared" si="230"/>
        <v>10.523559570681238</v>
      </c>
      <c r="AB308" t="b">
        <f>IF(AA308=1,'Vehicle Data'!I$14,IF(AA308=2,'Vehicle Data'!I$15,IF(AA308=3,'Vehicle Data'!I$16)))</f>
        <v>0</v>
      </c>
      <c r="AC308">
        <f>IF(Z308&lt;'Vehicle Data'!C$16,'Vehicle Data'!I$15,IF(Z308&lt;'Vehicle Data'!C$15,'Vehicle Data'!I$15,IF(Z307&gt;'Vehicle Data'!C$15,'Vehicle Data'!I$16)))</f>
        <v>0.46202745420001456</v>
      </c>
      <c r="AD308">
        <f>IF(O308=0.6,'Vehicle Data'!F$21,IF(O308=0.9,'Vehicle Data'!F$20))</f>
        <v>3.5315999999999996</v>
      </c>
      <c r="AE308" s="100">
        <f t="shared" si="229"/>
        <v>0.46202745420001456</v>
      </c>
      <c r="AF308" s="158">
        <f t="shared" si="220"/>
        <v>0.20383641490826632</v>
      </c>
      <c r="AG308" s="148">
        <f t="shared" si="178"/>
        <v>0.46411356628684747</v>
      </c>
      <c r="AH308" s="148">
        <f t="shared" si="195"/>
        <v>82.595480121792633</v>
      </c>
      <c r="AJ308">
        <f>(Z308^2)*'Vehicle Data'!C$31</f>
        <v>40.698899968846192</v>
      </c>
      <c r="AK308">
        <f>IF(O308=0.6,'Vehicle Data'!C$6*'Vehicle Data'!D$21*9.81,IF(O308=0.9,'Vehicle Data'!C$6*9.81*'Vehicle Data'!D$20))</f>
        <v>86.131799999999998</v>
      </c>
      <c r="AL308">
        <f t="shared" si="221"/>
        <v>126.83069996884619</v>
      </c>
      <c r="AN308">
        <f>IF(AG308&gt;0,AG308*'Vehicle Data'!C$6)</f>
        <v>203.74585559992605</v>
      </c>
      <c r="AO308">
        <f t="shared" si="222"/>
        <v>330.57655556877222</v>
      </c>
      <c r="AP308">
        <f>AO308*'Vehicle Data'!F$3</f>
        <v>84.495367603378185</v>
      </c>
      <c r="AQ308">
        <f>IF(AE308='Vehicle Data'!I$15,AP308/'Vehicle Data'!G$15,IF(AE308='Vehicle Data'!I$16,AP308/'Vehicle Data'!G$16,IF(AE308='Vehicle Data'!I$14,Data!AP308/'Vehicle Data'!G319)))</f>
        <v>15.598917712773341</v>
      </c>
      <c r="AR308">
        <f>IF(Z308&lt;'Vehicle Data'!C$16, Z308*'Vehicle Data'!F$7*'Vehicle Data'!G$14,IF(Z308&lt;'Vehicle Data'!C$15,Z308*'Vehicle Data'!F$7*'Vehicle Data'!G$15,IF(Z308&gt;'Vehicle Data'!C$15,Z308*'Vehicle Data'!F$7*'Vehicle Data'!G$16)))</f>
        <v>91.54651459820731</v>
      </c>
      <c r="AS308">
        <f t="shared" si="223"/>
        <v>5492.7908758924386</v>
      </c>
      <c r="AT308">
        <f t="shared" si="224"/>
        <v>16</v>
      </c>
      <c r="AU308">
        <f t="shared" si="225"/>
        <v>5500</v>
      </c>
      <c r="AW308">
        <f>VLOOKUP(AT308,BSFC!A$64:A$82,1,FALSE)</f>
        <v>16</v>
      </c>
      <c r="AX308" t="e" cm="1">
        <f t="array" ref="AX308">_xlfn.XLOOKUP(AT308,BSFC!A$64:A$82,,-1,_xlfn.XLOOKUP(Data!AU308,BSFC!C$63:Q$63,BSFC!B$64:Q$82,,-1))</f>
        <v>#VALUE!</v>
      </c>
      <c r="AY308">
        <f>HLOOKUP(AU308,BSFC!F$63:Q$63,1)</f>
        <v>5500</v>
      </c>
      <c r="AZ308">
        <f>IF(AT308&gt;0,MATCH(AT308,BSFC!A$64:A$83,0),IF(AT308&lt;=0,0))</f>
        <v>7</v>
      </c>
      <c r="BA308">
        <f>MATCH(AU308,BSFC!C$63:Q$63,0)</f>
        <v>11</v>
      </c>
      <c r="BB308" cm="1">
        <f t="array" ref="BB308">IF(AZ308&gt;0,INDEX(BSFC!C$64:Q$83,Data!AZ308,Data!BA308))</f>
        <v>632.5</v>
      </c>
      <c r="BC308">
        <f>0.5*'Vehicle Data'!C$6*Data!Z308^2</f>
        <v>24308.594675270033</v>
      </c>
      <c r="BD308">
        <f t="shared" si="179"/>
        <v>9.033160285996761</v>
      </c>
      <c r="BE308">
        <f t="shared" si="226"/>
        <v>5713.4738808929515</v>
      </c>
      <c r="BF308">
        <f t="shared" si="227"/>
        <v>0.32350389793145506</v>
      </c>
      <c r="BG308">
        <f t="shared" si="180"/>
        <v>93.223716876073908</v>
      </c>
      <c r="BH308">
        <f t="shared" si="228"/>
        <v>8936.3363461116351</v>
      </c>
      <c r="BI308" s="148">
        <f t="shared" si="181"/>
        <v>6871.6622130335309</v>
      </c>
      <c r="BO308">
        <f t="shared" si="182"/>
        <v>1773.3357964277175</v>
      </c>
      <c r="BP308">
        <f t="shared" si="183"/>
        <v>453946.48149983661</v>
      </c>
      <c r="BQ308">
        <f t="shared" si="184"/>
        <v>554737.43556094205</v>
      </c>
      <c r="BR308" s="148">
        <f t="shared" si="185"/>
        <v>568931.85945340211</v>
      </c>
      <c r="BS308" s="156">
        <f t="shared" si="186"/>
        <v>1773.3357964277175</v>
      </c>
      <c r="BT308" s="156">
        <f t="shared" si="187"/>
        <v>8936.3363461116351</v>
      </c>
      <c r="BU308">
        <f t="shared" si="188"/>
        <v>1363.6197331173998</v>
      </c>
      <c r="BV308">
        <f t="shared" si="189"/>
        <v>1363.6197331173998</v>
      </c>
      <c r="BW308" s="148">
        <f t="shared" si="190"/>
        <v>455.4</v>
      </c>
      <c r="BX308" s="148">
        <f t="shared" si="191"/>
        <v>3129354.9718154697</v>
      </c>
      <c r="BY308" s="148">
        <f t="shared" si="192"/>
        <v>0.17249789623935105</v>
      </c>
      <c r="BZ308">
        <f t="shared" si="176"/>
        <v>82.595480121792633</v>
      </c>
      <c r="CB308">
        <f t="shared" si="193"/>
        <v>-409.71606331031762</v>
      </c>
      <c r="CC308" s="162">
        <f t="shared" si="177"/>
        <v>-2010.0238884926603</v>
      </c>
      <c r="CD308">
        <f t="shared" si="196"/>
        <v>13462.483413433734</v>
      </c>
    </row>
    <row r="309" spans="4:82" x14ac:dyDescent="0.2">
      <c r="D309" s="22">
        <f t="shared" si="211"/>
        <v>0</v>
      </c>
      <c r="E309" s="23">
        <v>8.9017032</v>
      </c>
      <c r="F309" s="23">
        <f>IF(K309&lt;6,1,IF(Data!K309&lt;9,2,IF(K309&gt;9,3)))</f>
        <v>3</v>
      </c>
      <c r="G309" s="23">
        <v>1104.879291955901</v>
      </c>
      <c r="H309" s="23">
        <v>220.76666499999999</v>
      </c>
      <c r="I309" s="64">
        <v>40.901101052184309</v>
      </c>
      <c r="J309" s="65">
        <f t="shared" si="212"/>
        <v>-15.75517953777077</v>
      </c>
      <c r="K309" s="65">
        <f t="shared" si="213"/>
        <v>16.360440420873722</v>
      </c>
      <c r="L309" s="65">
        <f t="shared" si="214"/>
        <v>-6.3020718151082518</v>
      </c>
      <c r="M309">
        <f t="shared" si="215"/>
        <v>17.8034064</v>
      </c>
      <c r="N309">
        <f t="shared" si="216"/>
        <v>0</v>
      </c>
      <c r="O309">
        <f>IF(L309&lt;'Vehicle Data'!F$21,'Vehicle Data'!C$21,IF(L309&gt;'Vehicle Data'!C$21,'Vehicle Data'!C$20))</f>
        <v>0.6</v>
      </c>
      <c r="P309">
        <f>('Vehicle Data'!C$6*9.81*'Vehicle Data'!C$5*SIN(D309))/'Vehicle Data'!C$9</f>
        <v>0</v>
      </c>
      <c r="Q309" s="107">
        <f>'Vehicle Data'!C$6*9.81*SIN(D309)</f>
        <v>0</v>
      </c>
      <c r="R309">
        <f t="shared" si="217"/>
        <v>1102.8123210779918</v>
      </c>
      <c r="S309">
        <f>IF(Data!O309=0.6,'Vehicle Data'!E$21,IF(Data!O309 = 0.9,'Vehicle Data'!E$20))+(P309*O309)</f>
        <v>1550.3723999999997</v>
      </c>
      <c r="T309">
        <f>IF(F309=3,'Vehicle Data'!H$16,IF(F309=2,'Vehicle Data'!H$15,IF(F309 = 1,'Vehicle Data'!G$14)))</f>
        <v>466.23005239380637</v>
      </c>
      <c r="U309" s="148">
        <f t="shared" si="218"/>
        <v>386.67383895467572</v>
      </c>
      <c r="V309" s="70" t="s">
        <v>77</v>
      </c>
      <c r="W309" s="99" t="s">
        <v>84</v>
      </c>
      <c r="X309">
        <f>IF(V309="S",'Vehicle Data'!C$14,IF(Data!V309 = "T1",'Vehicle Data'!P$2,IF(Data!V309="T2",'Vehicle Data'!P$3)))</f>
        <v>13.411199999999999</v>
      </c>
      <c r="Z309">
        <f t="shared" si="230"/>
        <v>10.615644165360022</v>
      </c>
      <c r="AB309" t="b">
        <f>IF(AA309=1,'Vehicle Data'!I$14,IF(AA309=2,'Vehicle Data'!I$15,IF(AA309=3,'Vehicle Data'!I$16)))</f>
        <v>0</v>
      </c>
      <c r="AC309">
        <f>IF(Z309&lt;'Vehicle Data'!C$16,'Vehicle Data'!I$15,IF(Z309&lt;'Vehicle Data'!C$15,'Vehicle Data'!I$15,IF(Z308&gt;'Vehicle Data'!C$15,'Vehicle Data'!I$16)))</f>
        <v>0.46202745420001456</v>
      </c>
      <c r="AD309">
        <f>IF(O309=0.6,'Vehicle Data'!F$21,IF(O309=0.9,'Vehicle Data'!F$20))</f>
        <v>3.5315999999999996</v>
      </c>
      <c r="AE309" s="100">
        <f t="shared" si="229"/>
        <v>0.46202745420001456</v>
      </c>
      <c r="AF309" s="158">
        <f t="shared" si="220"/>
        <v>0.19844103083690764</v>
      </c>
      <c r="AG309" s="148">
        <f t="shared" si="178"/>
        <v>0.46404009438181998</v>
      </c>
      <c r="AH309" s="148">
        <f t="shared" si="195"/>
        <v>82.793921152629537</v>
      </c>
      <c r="AJ309">
        <f>(Z309^2)*'Vehicle Data'!C$31</f>
        <v>41.4142736342368</v>
      </c>
      <c r="AK309">
        <f>IF(O309=0.6,'Vehicle Data'!C$6*'Vehicle Data'!D$21*9.81,IF(O309=0.9,'Vehicle Data'!C$6*9.81*'Vehicle Data'!D$20))</f>
        <v>86.131799999999998</v>
      </c>
      <c r="AL309">
        <f t="shared" si="221"/>
        <v>127.54607363423679</v>
      </c>
      <c r="AN309">
        <f>IF(AG309&gt;0,AG309*'Vehicle Data'!C$6)</f>
        <v>203.71360143361898</v>
      </c>
      <c r="AO309">
        <f t="shared" si="222"/>
        <v>331.25967506785577</v>
      </c>
      <c r="AP309">
        <f>AO309*'Vehicle Data'!F$3</f>
        <v>84.669972947343936</v>
      </c>
      <c r="AQ309">
        <f>IF(AE309='Vehicle Data'!I$15,AP309/'Vehicle Data'!G$15,IF(AE309='Vehicle Data'!I$16,AP309/'Vehicle Data'!G$16,IF(AE309='Vehicle Data'!I$14,Data!AP309/'Vehicle Data'!G320)))</f>
        <v>15.631152076265517</v>
      </c>
      <c r="AR309">
        <f>IF(Z309&lt;'Vehicle Data'!C$16, Z309*'Vehicle Data'!F$7*'Vehicle Data'!G$14,IF(Z309&lt;'Vehicle Data'!C$15,Z309*'Vehicle Data'!F$7*'Vehicle Data'!G$15,IF(Z309&gt;'Vehicle Data'!C$15,Z309*'Vehicle Data'!F$7*'Vehicle Data'!G$16)))</f>
        <v>92.347576599558792</v>
      </c>
      <c r="AS309">
        <f t="shared" si="223"/>
        <v>5540.8545959735275</v>
      </c>
      <c r="AT309">
        <f t="shared" si="224"/>
        <v>16</v>
      </c>
      <c r="AU309">
        <f t="shared" si="225"/>
        <v>5500</v>
      </c>
      <c r="AW309">
        <f>VLOOKUP(AT309,BSFC!A$64:A$82,1,FALSE)</f>
        <v>16</v>
      </c>
      <c r="AX309" t="e" cm="1">
        <f t="array" ref="AX309">_xlfn.XLOOKUP(AT309,BSFC!A$64:A$82,,-1,_xlfn.XLOOKUP(Data!AU309,BSFC!C$63:Q$63,BSFC!B$64:Q$82,,-1))</f>
        <v>#VALUE!</v>
      </c>
      <c r="AY309">
        <f>HLOOKUP(AU309,BSFC!F$63:Q$63,1)</f>
        <v>5500</v>
      </c>
      <c r="AZ309">
        <f>IF(AT309&gt;0,MATCH(AT309,BSFC!A$64:A$83,0),IF(AT309&lt;=0,0))</f>
        <v>7</v>
      </c>
      <c r="BA309">
        <f>MATCH(AU309,BSFC!C$63:Q$63,0)</f>
        <v>11</v>
      </c>
      <c r="BB309" cm="1">
        <f t="array" ref="BB309">IF(AZ309&gt;0,INDEX(BSFC!C$64:Q$83,Data!AZ309,Data!BA309))</f>
        <v>632.5</v>
      </c>
      <c r="BC309">
        <f>0.5*'Vehicle Data'!C$6*Data!Z309^2</f>
        <v>24735.872279496532</v>
      </c>
      <c r="BD309">
        <f t="shared" si="179"/>
        <v>3.1735043426934615</v>
      </c>
      <c r="BE309">
        <f t="shared" si="226"/>
        <v>2007.2414967536145</v>
      </c>
      <c r="BF309">
        <f t="shared" si="227"/>
        <v>0.11064418659844574</v>
      </c>
      <c r="BG309">
        <f t="shared" si="180"/>
        <v>93.334361062672357</v>
      </c>
      <c r="BH309">
        <f t="shared" si="228"/>
        <v>9033.1602859967606</v>
      </c>
      <c r="BI309" s="148">
        <f t="shared" si="181"/>
        <v>6871.6622130335309</v>
      </c>
      <c r="BO309">
        <f t="shared" si="182"/>
        <v>1744.1272745118531</v>
      </c>
      <c r="BP309">
        <f t="shared" si="183"/>
        <v>455690.60877434845</v>
      </c>
      <c r="BQ309">
        <f t="shared" si="184"/>
        <v>556481.56283545389</v>
      </c>
      <c r="BR309" s="148">
        <f t="shared" si="185"/>
        <v>570258.64355857996</v>
      </c>
      <c r="BS309" s="156">
        <f t="shared" si="186"/>
        <v>1744.1272745118531</v>
      </c>
      <c r="BT309" s="156">
        <f t="shared" si="187"/>
        <v>9033.1602859967606</v>
      </c>
      <c r="BU309">
        <f t="shared" si="188"/>
        <v>1326.7841051778453</v>
      </c>
      <c r="BV309">
        <f t="shared" si="189"/>
        <v>1326.7841051778453</v>
      </c>
      <c r="BW309" s="148">
        <f t="shared" si="190"/>
        <v>455.4</v>
      </c>
      <c r="BX309" s="148">
        <f t="shared" si="191"/>
        <v>3129354.9718154697</v>
      </c>
      <c r="BY309" s="148">
        <f t="shared" si="192"/>
        <v>0.16783818930499739</v>
      </c>
      <c r="BZ309">
        <f t="shared" si="176"/>
        <v>82.793921152629537</v>
      </c>
      <c r="CB309">
        <f t="shared" si="193"/>
        <v>-417.34316933400783</v>
      </c>
      <c r="CC309" s="162">
        <f t="shared" si="177"/>
        <v>-2103.1092590776625</v>
      </c>
      <c r="CD309">
        <f t="shared" si="196"/>
        <v>13045.140244099726</v>
      </c>
    </row>
    <row r="310" spans="4:82" x14ac:dyDescent="0.2">
      <c r="D310" s="22">
        <f t="shared" si="211"/>
        <v>-5.0299252407294326E-2</v>
      </c>
      <c r="E310" s="23">
        <v>8.9017032</v>
      </c>
      <c r="F310" s="23">
        <f>IF(K310&lt;6,1,IF(Data!K310&lt;9,2,IF(K310&gt;9,3)))</f>
        <v>3</v>
      </c>
      <c r="G310" s="23">
        <v>1106.9056818946522</v>
      </c>
      <c r="H310" s="23">
        <v>220.816665</v>
      </c>
      <c r="I310" s="64">
        <v>40.113342075295591</v>
      </c>
      <c r="J310" s="65">
        <f t="shared" si="212"/>
        <v>-14.761745665986926</v>
      </c>
      <c r="K310" s="65">
        <f t="shared" si="213"/>
        <v>16.045336830118238</v>
      </c>
      <c r="L310" s="65">
        <f t="shared" si="214"/>
        <v>-5.9046982663947984</v>
      </c>
      <c r="M310">
        <f t="shared" si="215"/>
        <v>17.8034064</v>
      </c>
      <c r="N310">
        <f t="shared" si="216"/>
        <v>-9.9998400000000487E-2</v>
      </c>
      <c r="O310">
        <f>IF(L310&lt;'Vehicle Data'!F$21,'Vehicle Data'!C$21,IF(L310&gt;'Vehicle Data'!C$21,'Vehicle Data'!C$20))</f>
        <v>0.6</v>
      </c>
      <c r="P310">
        <f>('Vehicle Data'!C$6*9.81*'Vehicle Data'!C$5*SIN(D310))/'Vehicle Data'!C$9</f>
        <v>-33.483545527756249</v>
      </c>
      <c r="Q310" s="107">
        <f>'Vehicle Data'!C$6*9.81*SIN(D310)</f>
        <v>-216.52692774615704</v>
      </c>
      <c r="R310">
        <f t="shared" si="217"/>
        <v>1104.879291955901</v>
      </c>
      <c r="S310">
        <f>IF(Data!O310=0.6,'Vehicle Data'!E$21,IF(Data!O310 = 0.9,'Vehicle Data'!E$20))+(P310*O310)</f>
        <v>1530.282272683346</v>
      </c>
      <c r="T310">
        <f>IF(F310=3,'Vehicle Data'!H$16,IF(F310=2,'Vehicle Data'!H$15,IF(F310 = 1,'Vehicle Data'!G$14)))</f>
        <v>466.23005239380637</v>
      </c>
      <c r="U310" s="148">
        <f t="shared" si="218"/>
        <v>388.74080983258489</v>
      </c>
      <c r="V310" s="70" t="s">
        <v>77</v>
      </c>
      <c r="W310" s="99" t="s">
        <v>84</v>
      </c>
      <c r="X310">
        <f>IF(V310="S",'Vehicle Data'!C$14,IF(Data!V310 = "T1",'Vehicle Data'!P$2,IF(Data!V310="T2",'Vehicle Data'!P$3)))</f>
        <v>13.411199999999999</v>
      </c>
      <c r="Z310">
        <f t="shared" si="230"/>
        <v>10.705227490847365</v>
      </c>
      <c r="AB310" t="b">
        <f>IF(AA310=1,'Vehicle Data'!I$14,IF(AA310=2,'Vehicle Data'!I$15,IF(AA310=3,'Vehicle Data'!I$16)))</f>
        <v>0</v>
      </c>
      <c r="AC310">
        <f>IF(Z310&lt;'Vehicle Data'!C$16,'Vehicle Data'!I$15,IF(Z310&lt;'Vehicle Data'!C$15,'Vehicle Data'!I$15,IF(Z309&gt;'Vehicle Data'!C$15,'Vehicle Data'!I$16)))</f>
        <v>0.46202745420001456</v>
      </c>
      <c r="AD310">
        <f>IF(O310=0.6,'Vehicle Data'!F$21,IF(O310=0.9,'Vehicle Data'!F$20))</f>
        <v>3.5315999999999996</v>
      </c>
      <c r="AE310" s="100">
        <f t="shared" si="229"/>
        <v>0.46202745420001456</v>
      </c>
      <c r="AF310" s="158">
        <f t="shared" si="220"/>
        <v>0.19308051880974655</v>
      </c>
      <c r="AG310" s="148">
        <f t="shared" si="178"/>
        <v>0.46396874236501662</v>
      </c>
      <c r="AH310" s="148">
        <f t="shared" si="195"/>
        <v>82.987001671439288</v>
      </c>
      <c r="AJ310">
        <f>(Z310^2)*'Vehicle Data'!C$31</f>
        <v>42.116196644316872</v>
      </c>
      <c r="AK310">
        <f>IF(O310=0.6,'Vehicle Data'!C$6*'Vehicle Data'!D$21*9.81,IF(O310=0.9,'Vehicle Data'!C$6*9.81*'Vehicle Data'!D$20))</f>
        <v>86.131799999999998</v>
      </c>
      <c r="AL310">
        <f t="shared" si="221"/>
        <v>-88.278931101840186</v>
      </c>
      <c r="AN310">
        <f>IF(AG310&gt;0,AG310*'Vehicle Data'!C$6)</f>
        <v>203.68227789824229</v>
      </c>
      <c r="AO310">
        <f t="shared" si="222"/>
        <v>115.4033467964021</v>
      </c>
      <c r="AP310">
        <f>AO310*'Vehicle Data'!F$3</f>
        <v>29.497095441160376</v>
      </c>
      <c r="AQ310">
        <f>IF(AE310='Vehicle Data'!I$15,AP310/'Vehicle Data'!G$15,IF(AE310='Vehicle Data'!I$16,AP310/'Vehicle Data'!G$16,IF(AE310='Vehicle Data'!I$14,Data!AP310/'Vehicle Data'!G321)))</f>
        <v>5.4455383484725655</v>
      </c>
      <c r="AR310">
        <f>IF(Z310&lt;'Vehicle Data'!C$16, Z310*'Vehicle Data'!F$7*'Vehicle Data'!G$14,IF(Z310&lt;'Vehicle Data'!C$15,Z310*'Vehicle Data'!F$7*'Vehicle Data'!G$15,IF(Z310&gt;'Vehicle Data'!C$15,Z310*'Vehicle Data'!F$7*'Vehicle Data'!G$16)))</f>
        <v>93.12687956823595</v>
      </c>
      <c r="AS310">
        <f t="shared" si="223"/>
        <v>5587.6127740941574</v>
      </c>
      <c r="AT310">
        <f t="shared" si="224"/>
        <v>5</v>
      </c>
      <c r="AU310">
        <f t="shared" si="225"/>
        <v>5500</v>
      </c>
      <c r="AW310">
        <f>VLOOKUP(AT310,BSFC!A$64:A$82,1,FALSE)</f>
        <v>5</v>
      </c>
      <c r="AX310" t="e" cm="1">
        <f t="array" ref="AX310">_xlfn.XLOOKUP(AT310,BSFC!A$64:A$82,,-1,_xlfn.XLOOKUP(Data!AU310,BSFC!C$63:Q$63,BSFC!B$64:Q$82,,-1))</f>
        <v>#VALUE!</v>
      </c>
      <c r="AY310">
        <f>HLOOKUP(AU310,BSFC!F$63:Q$63,1)</f>
        <v>5500</v>
      </c>
      <c r="AZ310">
        <f>IF(AT310&gt;0,MATCH(AT310,BSFC!A$64:A$83,0),IF(AT310&lt;=0,0))</f>
        <v>18</v>
      </c>
      <c r="BA310">
        <f>MATCH(AU310,BSFC!C$63:Q$63,0)</f>
        <v>11</v>
      </c>
      <c r="BB310" cm="1">
        <f t="array" ref="BB310">IF(AZ310&gt;0,INDEX(BSFC!C$64:Q$83,Data!AZ310,Data!BA310))</f>
        <v>666.9</v>
      </c>
      <c r="BC310">
        <f>0.5*'Vehicle Data'!C$6*Data!Z310^2</f>
        <v>25155.11609095932</v>
      </c>
      <c r="BD310">
        <f t="shared" si="179"/>
        <v>8.2532119062426599</v>
      </c>
      <c r="BE310">
        <f t="shared" si="226"/>
        <v>5504.0670202732299</v>
      </c>
      <c r="BF310">
        <f t="shared" si="227"/>
        <v>0.29520225439943637</v>
      </c>
      <c r="BG310">
        <f t="shared" si="180"/>
        <v>93.629563317071799</v>
      </c>
      <c r="BH310">
        <f t="shared" si="228"/>
        <v>3173.5043426934617</v>
      </c>
      <c r="BI310" s="148">
        <f t="shared" si="181"/>
        <v>6871.6622130335309</v>
      </c>
      <c r="BO310">
        <f t="shared" si="182"/>
        <v>595.8636503839665</v>
      </c>
      <c r="BP310">
        <f t="shared" si="183"/>
        <v>456286.4724247324</v>
      </c>
      <c r="BQ310">
        <f t="shared" si="184"/>
        <v>557077.4264858379</v>
      </c>
      <c r="BR310" s="148">
        <f t="shared" si="185"/>
        <v>571548.88087616581</v>
      </c>
      <c r="BS310" s="156">
        <f t="shared" si="186"/>
        <v>595.8636503839665</v>
      </c>
      <c r="BT310" s="156">
        <f t="shared" si="187"/>
        <v>3173.5043426934617</v>
      </c>
      <c r="BU310">
        <f t="shared" si="188"/>
        <v>1290.2373175858083</v>
      </c>
      <c r="BV310">
        <f t="shared" si="189"/>
        <v>1290.2373175858083</v>
      </c>
      <c r="BW310" s="148">
        <f t="shared" si="190"/>
        <v>455.4</v>
      </c>
      <c r="BX310" s="148">
        <f t="shared" si="191"/>
        <v>3129354.9718154697</v>
      </c>
      <c r="BY310" s="148">
        <f t="shared" si="192"/>
        <v>0.16321502067460472</v>
      </c>
      <c r="BZ310">
        <f t="shared" si="176"/>
        <v>82.987001671439288</v>
      </c>
      <c r="CB310">
        <f t="shared" si="193"/>
        <v>694.37366720184184</v>
      </c>
      <c r="CC310" s="162">
        <f t="shared" si="177"/>
        <v>3596.2906640313777</v>
      </c>
      <c r="CD310">
        <f t="shared" si="196"/>
        <v>13739.513911301568</v>
      </c>
    </row>
    <row r="311" spans="4:82" x14ac:dyDescent="0.2">
      <c r="D311" s="22">
        <f t="shared" si="211"/>
        <v>-8.1005036960945555E-3</v>
      </c>
      <c r="E311" s="23">
        <v>8.8017047999999996</v>
      </c>
      <c r="F311" s="23">
        <f>IF(K311&lt;6,1,IF(Data!K311&lt;9,2,IF(K311&gt;9,3)))</f>
        <v>3</v>
      </c>
      <c r="G311" s="23">
        <v>1108.8945897590859</v>
      </c>
      <c r="H311" s="23">
        <v>220.86666499999998</v>
      </c>
      <c r="I311" s="64">
        <v>39.375254791996497</v>
      </c>
      <c r="J311" s="65">
        <f t="shared" si="212"/>
        <v>-15.764286745606849</v>
      </c>
      <c r="K311" s="65">
        <f t="shared" si="213"/>
        <v>15.750101916798599</v>
      </c>
      <c r="L311" s="65">
        <f t="shared" si="214"/>
        <v>-6.3057146982427401</v>
      </c>
      <c r="M311">
        <f t="shared" si="215"/>
        <v>17.603409599999999</v>
      </c>
      <c r="N311">
        <f t="shared" si="216"/>
        <v>-1.5802241894833813E-2</v>
      </c>
      <c r="O311">
        <f>IF(L311&lt;'Vehicle Data'!F$21,'Vehicle Data'!C$21,IF(L311&gt;'Vehicle Data'!C$21,'Vehicle Data'!C$20))</f>
        <v>0.6</v>
      </c>
      <c r="P311">
        <f>('Vehicle Data'!C$6*9.81*'Vehicle Data'!C$5*SIN(D311))/'Vehicle Data'!C$9</f>
        <v>-5.394613406118677</v>
      </c>
      <c r="Q311" s="107">
        <f>'Vehicle Data'!C$6*9.81*SIN(D311)</f>
        <v>-34.885166692900775</v>
      </c>
      <c r="R311">
        <f t="shared" si="217"/>
        <v>1106.9056818946522</v>
      </c>
      <c r="S311">
        <f>IF(Data!O311=0.6,'Vehicle Data'!E$21,IF(Data!O311 = 0.9,'Vehicle Data'!E$20))+(P311*O311)</f>
        <v>1547.1356319563286</v>
      </c>
      <c r="T311">
        <f>IF(F311=3,'Vehicle Data'!H$16,IF(F311=2,'Vehicle Data'!H$15,IF(F311 = 1,'Vehicle Data'!G$14)))</f>
        <v>466.23005239380637</v>
      </c>
      <c r="U311" s="148">
        <f t="shared" si="218"/>
        <v>390.7671997713361</v>
      </c>
      <c r="V311" s="70" t="s">
        <v>77</v>
      </c>
      <c r="W311" s="99" t="s">
        <v>84</v>
      </c>
      <c r="X311">
        <f>IF(V311="S",'Vehicle Data'!C$14,IF(Data!V311 = "T1",'Vehicle Data'!P$2,IF(Data!V311="T2",'Vehicle Data'!P$3)))</f>
        <v>13.411199999999999</v>
      </c>
      <c r="Z311">
        <f t="shared" si="230"/>
        <v>10.792330202510932</v>
      </c>
      <c r="AB311" t="b">
        <f>IF(AA311=1,'Vehicle Data'!I$14,IF(AA311=2,'Vehicle Data'!I$15,IF(AA311=3,'Vehicle Data'!I$16)))</f>
        <v>0</v>
      </c>
      <c r="AC311">
        <f>IF(Z311&lt;'Vehicle Data'!C$16,'Vehicle Data'!I$15,IF(Z311&lt;'Vehicle Data'!C$15,'Vehicle Data'!I$15,IF(Z310&gt;'Vehicle Data'!C$15,'Vehicle Data'!I$16)))</f>
        <v>0.46202745420001456</v>
      </c>
      <c r="AD311">
        <f>IF(O311=0.6,'Vehicle Data'!F$21,IF(O311=0.9,'Vehicle Data'!F$20))</f>
        <v>3.5315999999999996</v>
      </c>
      <c r="AE311" s="100">
        <f t="shared" si="229"/>
        <v>0.46202745420001456</v>
      </c>
      <c r="AF311" s="158">
        <f t="shared" si="220"/>
        <v>0.1877620403311743</v>
      </c>
      <c r="AG311" s="148">
        <f t="shared" si="178"/>
        <v>0.46389947355671785</v>
      </c>
      <c r="AH311" s="148">
        <f t="shared" si="195"/>
        <v>83.174763711770467</v>
      </c>
      <c r="AJ311">
        <f>(Z311^2)*'Vehicle Data'!C$31</f>
        <v>42.804338766010915</v>
      </c>
      <c r="AK311">
        <f>IF(O311=0.6,'Vehicle Data'!C$6*'Vehicle Data'!D$21*9.81,IF(O311=0.9,'Vehicle Data'!C$6*9.81*'Vehicle Data'!D$20))</f>
        <v>86.131799999999998</v>
      </c>
      <c r="AL311">
        <f t="shared" si="221"/>
        <v>94.050972073110131</v>
      </c>
      <c r="AN311">
        <f>IF(AG311&gt;0,AG311*'Vehicle Data'!C$6)</f>
        <v>203.65186889139915</v>
      </c>
      <c r="AO311">
        <f t="shared" si="222"/>
        <v>297.70284096450928</v>
      </c>
      <c r="AP311">
        <f>AO311*'Vehicle Data'!F$3</f>
        <v>76.092846150528572</v>
      </c>
      <c r="AQ311">
        <f>IF(AE311='Vehicle Data'!I$15,AP311/'Vehicle Data'!G$15,IF(AE311='Vehicle Data'!I$16,AP311/'Vehicle Data'!G$16,IF(AE311='Vehicle Data'!I$14,Data!AP311/'Vehicle Data'!G322)))</f>
        <v>14.047705564220317</v>
      </c>
      <c r="AR311">
        <f>IF(Z311&lt;'Vehicle Data'!C$16, Z311*'Vehicle Data'!F$7*'Vehicle Data'!G$14,IF(Z311&lt;'Vehicle Data'!C$15,Z311*'Vehicle Data'!F$7*'Vehicle Data'!G$15,IF(Z311&gt;'Vehicle Data'!C$15,Z311*'Vehicle Data'!F$7*'Vehicle Data'!G$16)))</f>
        <v>93.884603189344901</v>
      </c>
      <c r="AS311">
        <f t="shared" si="223"/>
        <v>5633.0761913606939</v>
      </c>
      <c r="AT311">
        <f t="shared" si="224"/>
        <v>14</v>
      </c>
      <c r="AU311">
        <f t="shared" si="225"/>
        <v>5500</v>
      </c>
      <c r="AW311">
        <f>VLOOKUP(AT311,BSFC!A$64:A$82,1,FALSE)</f>
        <v>14</v>
      </c>
      <c r="AX311" t="e" cm="1">
        <f t="array" ref="AX311">_xlfn.XLOOKUP(AT311,BSFC!A$64:A$82,,-1,_xlfn.XLOOKUP(Data!AU311,BSFC!C$63:Q$63,BSFC!B$64:Q$82,,-1))</f>
        <v>#VALUE!</v>
      </c>
      <c r="AY311">
        <f>HLOOKUP(AU311,BSFC!F$63:Q$63,1)</f>
        <v>5500</v>
      </c>
      <c r="AZ311">
        <f>IF(AT311&gt;0,MATCH(AT311,BSFC!A$64:A$83,0),IF(AT311&lt;=0,0))</f>
        <v>9</v>
      </c>
      <c r="BA311">
        <f>MATCH(AU311,BSFC!C$63:Q$63,0)</f>
        <v>11</v>
      </c>
      <c r="BB311" cm="1">
        <f t="array" ref="BB311">IF(AZ311&gt;0,INDEX(BSFC!C$64:Q$83,Data!AZ311,Data!BA311))</f>
        <v>638.75</v>
      </c>
      <c r="BC311">
        <f>0.5*'Vehicle Data'!C$6*Data!Z311^2</f>
        <v>25566.128868406511</v>
      </c>
      <c r="BD311">
        <f t="shared" si="179"/>
        <v>3.0147217367661661</v>
      </c>
      <c r="BE311">
        <f t="shared" si="226"/>
        <v>1925.6535093593886</v>
      </c>
      <c r="BF311">
        <f t="shared" si="227"/>
        <v>0.10043461996894579</v>
      </c>
      <c r="BG311">
        <f t="shared" si="180"/>
        <v>93.72999793704075</v>
      </c>
      <c r="BH311">
        <f t="shared" si="228"/>
        <v>8253.2119062426591</v>
      </c>
      <c r="BI311" s="148">
        <f t="shared" si="181"/>
        <v>6871.6622130335309</v>
      </c>
      <c r="BO311">
        <f t="shared" si="182"/>
        <v>1509.1166195121389</v>
      </c>
      <c r="BP311">
        <f t="shared" si="183"/>
        <v>457795.58904424455</v>
      </c>
      <c r="BQ311">
        <f t="shared" si="184"/>
        <v>558586.54310534999</v>
      </c>
      <c r="BR311" s="148">
        <f t="shared" si="185"/>
        <v>572805.378318273</v>
      </c>
      <c r="BS311" s="156">
        <f t="shared" si="186"/>
        <v>1509.1166195121389</v>
      </c>
      <c r="BT311" s="156">
        <f t="shared" si="187"/>
        <v>8253.2119062426591</v>
      </c>
      <c r="BU311">
        <f t="shared" si="188"/>
        <v>1256.497442107185</v>
      </c>
      <c r="BV311">
        <f t="shared" si="189"/>
        <v>1256.497442107185</v>
      </c>
      <c r="BW311" s="148">
        <f t="shared" si="190"/>
        <v>455.4</v>
      </c>
      <c r="BX311" s="148">
        <f t="shared" si="191"/>
        <v>3129354.9718154697</v>
      </c>
      <c r="BY311" s="148">
        <f t="shared" si="192"/>
        <v>0.15894692642655886</v>
      </c>
      <c r="BZ311">
        <f t="shared" si="176"/>
        <v>83.174763711770467</v>
      </c>
      <c r="CB311">
        <f t="shared" si="193"/>
        <v>-252.61917740495392</v>
      </c>
      <c r="CC311" s="162">
        <f t="shared" si="177"/>
        <v>-1345.4219871033449</v>
      </c>
      <c r="CD311">
        <f t="shared" si="196"/>
        <v>13486.894733896614</v>
      </c>
    </row>
    <row r="312" spans="4:82" x14ac:dyDescent="0.2">
      <c r="D312" s="22">
        <f t="shared" si="211"/>
        <v>-5.2348114525143222E-2</v>
      </c>
      <c r="E312" s="23">
        <v>8.7859025581051657</v>
      </c>
      <c r="F312" s="23">
        <f>IF(K312&lt;6,1,IF(Data!K312&lt;9,2,IF(K312&gt;9,3)))</f>
        <v>3</v>
      </c>
      <c r="G312" s="23">
        <v>1110.8453838464686</v>
      </c>
      <c r="H312" s="23">
        <v>220.91666499999999</v>
      </c>
      <c r="I312" s="64">
        <v>38.587040454715975</v>
      </c>
      <c r="J312" s="65">
        <f t="shared" si="212"/>
        <v>-16.146622275220572</v>
      </c>
      <c r="K312" s="65">
        <f t="shared" si="213"/>
        <v>15.43481618188639</v>
      </c>
      <c r="L312" s="65">
        <f t="shared" si="214"/>
        <v>-6.4586489100882361</v>
      </c>
      <c r="M312">
        <f t="shared" si="215"/>
        <v>17.571805116210331</v>
      </c>
      <c r="N312">
        <f t="shared" si="216"/>
        <v>-9.9999073581233944E-2</v>
      </c>
      <c r="O312">
        <f>IF(L312&lt;'Vehicle Data'!F$21,'Vehicle Data'!C$21,IF(L312&gt;'Vehicle Data'!C$21,'Vehicle Data'!C$20))</f>
        <v>0.6</v>
      </c>
      <c r="P312">
        <f>('Vehicle Data'!C$6*9.81*'Vehicle Data'!C$5*SIN(D312))/'Vehicle Data'!C$9</f>
        <v>-34.846224222519929</v>
      </c>
      <c r="Q312" s="107">
        <f>'Vehicle Data'!C$6*9.81*SIN(D312)</f>
        <v>-225.33891663896219</v>
      </c>
      <c r="R312">
        <f t="shared" si="217"/>
        <v>1108.8945897590859</v>
      </c>
      <c r="S312">
        <f>IF(Data!O312=0.6,'Vehicle Data'!E$21,IF(Data!O312 = 0.9,'Vehicle Data'!E$20))+(P312*O312)</f>
        <v>1529.4646654664878</v>
      </c>
      <c r="T312">
        <f>IF(F312=3,'Vehicle Data'!H$16,IF(F312=2,'Vehicle Data'!H$15,IF(F312 = 1,'Vehicle Data'!G$14)))</f>
        <v>466.23005239380637</v>
      </c>
      <c r="U312" s="148">
        <f t="shared" si="218"/>
        <v>392.75610763576981</v>
      </c>
      <c r="V312" s="70" t="s">
        <v>77</v>
      </c>
      <c r="W312" s="99" t="s">
        <v>84</v>
      </c>
      <c r="X312">
        <f>IF(V312="S",'Vehicle Data'!C$14,IF(Data!V312 = "T1",'Vehicle Data'!P$2,IF(Data!V312="T2",'Vehicle Data'!P$3)))</f>
        <v>13.411199999999999</v>
      </c>
      <c r="Z312">
        <f t="shared" si="230"/>
        <v>10.877143525508664</v>
      </c>
      <c r="AB312" t="b">
        <f>IF(AA312=1,'Vehicle Data'!I$14,IF(AA312=2,'Vehicle Data'!I$15,IF(AA312=3,'Vehicle Data'!I$16)))</f>
        <v>0</v>
      </c>
      <c r="AC312">
        <f>IF(Z312&lt;'Vehicle Data'!C$16,'Vehicle Data'!I$15,IF(Z312&lt;'Vehicle Data'!C$15,'Vehicle Data'!I$15,IF(Z311&gt;'Vehicle Data'!C$15,'Vehicle Data'!I$16)))</f>
        <v>0.46202745420001456</v>
      </c>
      <c r="AD312">
        <f>IF(O312=0.6,'Vehicle Data'!F$21,IF(O312=0.9,'Vehicle Data'!F$20))</f>
        <v>3.5315999999999996</v>
      </c>
      <c r="AE312" s="100">
        <f t="shared" si="229"/>
        <v>0.46202745420001456</v>
      </c>
      <c r="AF312" s="158">
        <f t="shared" si="220"/>
        <v>0.18285203829198374</v>
      </c>
      <c r="AG312" s="148">
        <f t="shared" si="178"/>
        <v>0.46383580839443328</v>
      </c>
      <c r="AH312" s="148">
        <f t="shared" si="195"/>
        <v>83.35761575006245</v>
      </c>
      <c r="AJ312">
        <f>(Z312^2)*'Vehicle Data'!C$31</f>
        <v>43.479752343384298</v>
      </c>
      <c r="AK312">
        <f>IF(O312=0.6,'Vehicle Data'!C$6*'Vehicle Data'!D$21*9.81,IF(O312=0.9,'Vehicle Data'!C$6*9.81*'Vehicle Data'!D$20))</f>
        <v>86.131799999999998</v>
      </c>
      <c r="AL312">
        <f t="shared" si="221"/>
        <v>-95.7273642955779</v>
      </c>
      <c r="AN312">
        <f>IF(AG312&gt;0,AG312*'Vehicle Data'!C$6)</f>
        <v>203.6239198851562</v>
      </c>
      <c r="AO312">
        <f t="shared" si="222"/>
        <v>107.8965555895783</v>
      </c>
      <c r="AP312">
        <f>AO312*'Vehicle Data'!F$3</f>
        <v>27.578359608696214</v>
      </c>
      <c r="AQ312">
        <f>IF(AE312='Vehicle Data'!I$15,AP312/'Vehicle Data'!G$15,IF(AE312='Vehicle Data'!I$16,AP312/'Vehicle Data'!G$16,IF(AE312='Vehicle Data'!I$14,Data!AP312/'Vehicle Data'!G323)))</f>
        <v>5.0913153512586744</v>
      </c>
      <c r="AR312">
        <f>IF(Z312&lt;'Vehicle Data'!C$16, Z312*'Vehicle Data'!F$7*'Vehicle Data'!G$14,IF(Z312&lt;'Vehicle Data'!C$15,Z312*'Vehicle Data'!F$7*'Vehicle Data'!G$15,IF(Z312&gt;'Vehicle Data'!C$15,Z312*'Vehicle Data'!F$7*'Vehicle Data'!G$16)))</f>
        <v>94.622410968146852</v>
      </c>
      <c r="AS312">
        <f t="shared" si="223"/>
        <v>5677.3446580888112</v>
      </c>
      <c r="AT312">
        <f t="shared" si="224"/>
        <v>5</v>
      </c>
      <c r="AU312">
        <f t="shared" si="225"/>
        <v>5500</v>
      </c>
      <c r="AW312">
        <f>VLOOKUP(AT312,BSFC!A$64:A$82,1,FALSE)</f>
        <v>5</v>
      </c>
      <c r="AX312" t="e" cm="1">
        <f t="array" ref="AX312">_xlfn.XLOOKUP(AT312,BSFC!A$64:A$82,,-1,_xlfn.XLOOKUP(Data!AU312,BSFC!C$63:Q$63,BSFC!B$64:Q$82,,-1))</f>
        <v>#VALUE!</v>
      </c>
      <c r="AY312">
        <f>HLOOKUP(AU312,BSFC!F$63:Q$63,1)</f>
        <v>5500</v>
      </c>
      <c r="AZ312">
        <f>IF(AT312&gt;0,MATCH(AT312,BSFC!A$64:A$83,0),IF(AT312&lt;=0,0))</f>
        <v>18</v>
      </c>
      <c r="BA312">
        <f>MATCH(AU312,BSFC!C$63:Q$63,0)</f>
        <v>11</v>
      </c>
      <c r="BB312" cm="1">
        <f t="array" ref="BB312">IF(AZ312&gt;0,INDEX(BSFC!C$64:Q$83,Data!AZ312,Data!BA312))</f>
        <v>666.9</v>
      </c>
      <c r="BC312">
        <f>0.5*'Vehicle Data'!C$6*Data!Z312^2</f>
        <v>25969.539154756058</v>
      </c>
      <c r="BD312">
        <f t="shared" si="179"/>
        <v>2.5537160864344544</v>
      </c>
      <c r="BE312">
        <f t="shared" si="226"/>
        <v>1703.0732580431375</v>
      </c>
      <c r="BF312">
        <f t="shared" si="227"/>
        <v>8.6502893498265898E-2</v>
      </c>
      <c r="BG312">
        <f t="shared" si="180"/>
        <v>93.816500830539013</v>
      </c>
      <c r="BH312">
        <f t="shared" si="228"/>
        <v>3014.721736766166</v>
      </c>
      <c r="BI312" s="148">
        <f t="shared" si="181"/>
        <v>6871.6622130335309</v>
      </c>
      <c r="BO312">
        <f t="shared" si="182"/>
        <v>536.61182056182201</v>
      </c>
      <c r="BP312">
        <f t="shared" si="183"/>
        <v>458332.20086480636</v>
      </c>
      <c r="BQ312">
        <f t="shared" si="184"/>
        <v>559123.1549259118</v>
      </c>
      <c r="BR312" s="148">
        <f t="shared" si="185"/>
        <v>574028.51447888499</v>
      </c>
      <c r="BS312" s="156">
        <f t="shared" si="186"/>
        <v>536.61182056182201</v>
      </c>
      <c r="BT312" s="156">
        <f t="shared" si="187"/>
        <v>3014.721736766166</v>
      </c>
      <c r="BU312">
        <f t="shared" si="188"/>
        <v>1223.1361606120308</v>
      </c>
      <c r="BV312">
        <f t="shared" si="189"/>
        <v>1223.1361606120308</v>
      </c>
      <c r="BW312" s="148">
        <f t="shared" si="190"/>
        <v>455.4</v>
      </c>
      <c r="BX312" s="148">
        <f t="shared" si="191"/>
        <v>3129354.9718154697</v>
      </c>
      <c r="BY312" s="148">
        <f t="shared" si="192"/>
        <v>0.15472672431742188</v>
      </c>
      <c r="BZ312">
        <f t="shared" si="176"/>
        <v>83.35761575006245</v>
      </c>
      <c r="CB312">
        <f t="shared" si="193"/>
        <v>686.52434005020882</v>
      </c>
      <c r="CC312" s="162">
        <f t="shared" si="177"/>
        <v>3754.5347947062373</v>
      </c>
      <c r="CD312">
        <f t="shared" si="196"/>
        <v>14173.419073946823</v>
      </c>
    </row>
    <row r="313" spans="4:82" x14ac:dyDescent="0.2">
      <c r="D313" s="22">
        <f t="shared" si="211"/>
        <v>-9.8748767517272268E-2</v>
      </c>
      <c r="E313" s="23">
        <v>8.6859034845239318</v>
      </c>
      <c r="F313" s="23">
        <f>IF(K313&lt;6,1,IF(Data!K313&lt;9,2,IF(K313&gt;9,3)))</f>
        <v>3</v>
      </c>
      <c r="G313" s="23">
        <v>1112.7565273662726</v>
      </c>
      <c r="H313" s="23">
        <v>220.96666499999998</v>
      </c>
      <c r="I313" s="64">
        <v>37.779709340955222</v>
      </c>
      <c r="J313" s="65">
        <f t="shared" si="212"/>
        <v>-17.707863781131106</v>
      </c>
      <c r="K313" s="65">
        <f t="shared" si="213"/>
        <v>15.111883736382088</v>
      </c>
      <c r="L313" s="65">
        <f t="shared" si="214"/>
        <v>-7.0831455124524352</v>
      </c>
      <c r="M313">
        <f t="shared" si="215"/>
        <v>17.371806969047864</v>
      </c>
      <c r="N313">
        <f t="shared" si="216"/>
        <v>-0.18420188452393305</v>
      </c>
      <c r="O313">
        <f>IF(L313&lt;'Vehicle Data'!F$21,'Vehicle Data'!C$21,IF(L313&gt;'Vehicle Data'!C$21,'Vehicle Data'!C$20))</f>
        <v>0.6</v>
      </c>
      <c r="P313">
        <f>('Vehicle Data'!C$6*9.81*'Vehicle Data'!C$5*SIN(D313))/'Vehicle Data'!C$9</f>
        <v>-65.656644375071409</v>
      </c>
      <c r="Q313" s="107">
        <f>'Vehicle Data'!C$6*9.81*SIN(D313)</f>
        <v>-424.57963362546172</v>
      </c>
      <c r="R313">
        <f t="shared" si="217"/>
        <v>1110.8453838464686</v>
      </c>
      <c r="S313">
        <f>IF(Data!O313=0.6,'Vehicle Data'!E$21,IF(Data!O313 = 0.9,'Vehicle Data'!E$20))+(P313*O313)</f>
        <v>1510.978413374957</v>
      </c>
      <c r="T313">
        <f>IF(F313=3,'Vehicle Data'!H$16,IF(F313=2,'Vehicle Data'!H$15,IF(F313 = 1,'Vehicle Data'!G$14)))</f>
        <v>466.23005239380637</v>
      </c>
      <c r="U313" s="148">
        <f t="shared" si="218"/>
        <v>394.70690172315255</v>
      </c>
      <c r="V313" s="70" t="s">
        <v>77</v>
      </c>
      <c r="W313" s="99" t="s">
        <v>84</v>
      </c>
      <c r="X313">
        <f>IF(V313="S",'Vehicle Data'!C$14,IF(Data!V313 = "T1",'Vehicle Data'!P$2,IF(Data!V313="T2",'Vehicle Data'!P$3)))</f>
        <v>13.411199999999999</v>
      </c>
      <c r="Z313">
        <f>SQRT(Z312^2+2*AE312*(U313-U312))</f>
        <v>10.959693979588977</v>
      </c>
      <c r="AB313" t="b">
        <f>IF(AA313=1,'Vehicle Data'!I$14,IF(AA313=2,'Vehicle Data'!I$15,IF(AA313=3,'Vehicle Data'!I$16)))</f>
        <v>0</v>
      </c>
      <c r="AC313">
        <f>IF(Z313&lt;'Vehicle Data'!C$16,'Vehicle Data'!I$15,IF(Z313&lt;'Vehicle Data'!C$15,'Vehicle Data'!I$15,IF(Z312&gt;'Vehicle Data'!C$15,'Vehicle Data'!I$16)))</f>
        <v>0.46202745420001456</v>
      </c>
      <c r="AD313">
        <f>IF(O313=0.6,'Vehicle Data'!F$21,IF(O313=0.9,'Vehicle Data'!F$20))</f>
        <v>3.5315999999999996</v>
      </c>
      <c r="AE313" s="100">
        <f t="shared" si="229"/>
        <v>0.46202745420001456</v>
      </c>
      <c r="AF313" s="158">
        <f t="shared" si="220"/>
        <v>0.17799713121697103</v>
      </c>
      <c r="AG313" s="148">
        <f t="shared" si="178"/>
        <v>0.46377407049154534</v>
      </c>
      <c r="AH313" s="148">
        <f t="shared" si="195"/>
        <v>83.53561288127942</v>
      </c>
      <c r="AJ313">
        <f>(Z313^2)*'Vehicle Data'!C$31</f>
        <v>44.142222856392792</v>
      </c>
      <c r="AK313">
        <f>IF(O313=0.6,'Vehicle Data'!C$6*'Vehicle Data'!D$21*9.81,IF(O313=0.9,'Vehicle Data'!C$6*9.81*'Vehicle Data'!D$20))</f>
        <v>86.131799999999998</v>
      </c>
      <c r="AL313">
        <f t="shared" si="221"/>
        <v>-294.30561076906895</v>
      </c>
      <c r="AN313">
        <f>IF(AG313&gt;0,AG313*'Vehicle Data'!C$6)</f>
        <v>203.59681694578842</v>
      </c>
      <c r="AO313">
        <f t="shared" si="222"/>
        <v>-90.70879382328053</v>
      </c>
      <c r="AP313">
        <f>AO313*'Vehicle Data'!F$3</f>
        <v>-23.185167701230505</v>
      </c>
      <c r="AQ313">
        <f>IF(AE313='Vehicle Data'!I$15,AP313/'Vehicle Data'!G$15,IF(AE313='Vehicle Data'!I$16,AP313/'Vehicle Data'!G$16,IF(AE313='Vehicle Data'!I$14,Data!AP313/'Vehicle Data'!G324)))</f>
        <v>-4.2802763439765821</v>
      </c>
      <c r="AR313">
        <f>IF(Z313&lt;'Vehicle Data'!C$16, Z313*'Vehicle Data'!F$7*'Vehicle Data'!G$14,IF(Z313&lt;'Vehicle Data'!C$15,Z313*'Vehicle Data'!F$7*'Vehicle Data'!G$15,IF(Z313&gt;'Vehicle Data'!C$15,Z313*'Vehicle Data'!F$7*'Vehicle Data'!G$16)))</f>
        <v>95.340533605149488</v>
      </c>
      <c r="AS313">
        <f t="shared" si="223"/>
        <v>5720.4320163089697</v>
      </c>
      <c r="AT313">
        <f t="shared" si="224"/>
        <v>-4</v>
      </c>
      <c r="AU313">
        <f t="shared" si="225"/>
        <v>5500</v>
      </c>
      <c r="AW313" t="e">
        <f>VLOOKUP(AT313,BSFC!A$64:A$82,1,FALSE)</f>
        <v>#N/A</v>
      </c>
      <c r="AX313" t="e" cm="1">
        <f t="array" ref="AX313">_xlfn.XLOOKUP(AT313,BSFC!A$64:A$82,,-1,_xlfn.XLOOKUP(Data!AU313,BSFC!C$63:Q$63,BSFC!B$64:Q$82,,-1))</f>
        <v>#VALUE!</v>
      </c>
      <c r="AY313">
        <f>HLOOKUP(AU313,BSFC!F$63:Q$63,1)</f>
        <v>5500</v>
      </c>
      <c r="AZ313">
        <f>IF(AT313&gt;0,MATCH(AT313,BSFC!A$64:A$83,0),IF(AT313&lt;=0,0))</f>
        <v>0</v>
      </c>
      <c r="BA313">
        <f>MATCH(AU313,BSFC!C$63:Q$63,0)</f>
        <v>11</v>
      </c>
      <c r="BB313" t="b" cm="1">
        <f t="array" ref="BB313">IF(AZ313&gt;0,INDEX(BSFC!C$64:Q$83,Data!AZ313,Data!BA313))</f>
        <v>0</v>
      </c>
      <c r="BC313">
        <f>0.5*'Vehicle Data'!C$6*Data!Z313^2</f>
        <v>26365.21882170943</v>
      </c>
      <c r="BD313">
        <f t="shared" si="179"/>
        <v>2.7951287007683852</v>
      </c>
      <c r="BE313">
        <f t="shared" si="226"/>
        <v>0</v>
      </c>
      <c r="BF313">
        <f t="shared" si="227"/>
        <v>0</v>
      </c>
      <c r="BG313">
        <f t="shared" si="180"/>
        <v>93.816500830539013</v>
      </c>
      <c r="BH313">
        <f t="shared" si="228"/>
        <v>-2553.7160864344542</v>
      </c>
      <c r="BI313" s="148">
        <f t="shared" si="181"/>
        <v>6871.6622130335309</v>
      </c>
      <c r="BO313">
        <f t="shared" si="182"/>
        <v>-442.07718222520265</v>
      </c>
      <c r="BP313">
        <f t="shared" si="183"/>
        <v>457890.12368258118</v>
      </c>
      <c r="BQ313">
        <f t="shared" si="184"/>
        <v>559123.1549259118</v>
      </c>
      <c r="BR313" s="148">
        <f t="shared" si="185"/>
        <v>575218.07704791066</v>
      </c>
      <c r="BS313" s="156" t="b">
        <f t="shared" si="186"/>
        <v>0</v>
      </c>
      <c r="BT313" s="156">
        <f t="shared" si="187"/>
        <v>0</v>
      </c>
      <c r="BU313">
        <f t="shared" si="188"/>
        <v>1189.5625690257148</v>
      </c>
      <c r="BV313">
        <f t="shared" si="189"/>
        <v>1189.5625690257148</v>
      </c>
      <c r="BW313" s="148">
        <f t="shared" si="190"/>
        <v>455.4</v>
      </c>
      <c r="BX313" s="148">
        <f t="shared" si="191"/>
        <v>3129354.9718154697</v>
      </c>
      <c r="BY313" s="148">
        <f t="shared" si="192"/>
        <v>0.15047966498175291</v>
      </c>
      <c r="BZ313">
        <f t="shared" si="176"/>
        <v>83.53561288127942</v>
      </c>
      <c r="CB313">
        <f t="shared" si="193"/>
        <v>1189.5625690257148</v>
      </c>
      <c r="CC313" s="162">
        <f t="shared" si="177"/>
        <v>6683.0434900419814</v>
      </c>
      <c r="CD313">
        <f t="shared" si="196"/>
        <v>15362.981642972538</v>
      </c>
    </row>
    <row r="314" spans="4:82" x14ac:dyDescent="0.2">
      <c r="D314" s="22">
        <f t="shared" si="211"/>
        <v>-5.481121412768504E-2</v>
      </c>
      <c r="E314" s="23">
        <v>8.5017015999999987</v>
      </c>
      <c r="F314" s="23">
        <f>IF(K314&lt;6,1,IF(Data!K314&lt;9,2,IF(K314&gt;9,3)))</f>
        <v>3</v>
      </c>
      <c r="G314" s="23">
        <v>1114.6249212576568</v>
      </c>
      <c r="H314" s="23">
        <v>221.01666499999999</v>
      </c>
      <c r="I314" s="64">
        <v>36.894316151898465</v>
      </c>
      <c r="J314" s="65">
        <f t="shared" si="212"/>
        <v>-16.307442358513512</v>
      </c>
      <c r="K314" s="65">
        <f t="shared" si="213"/>
        <v>14.757726460759386</v>
      </c>
      <c r="L314" s="65">
        <f t="shared" si="214"/>
        <v>-6.5229769434054052</v>
      </c>
      <c r="M314">
        <f t="shared" si="215"/>
        <v>17.003403199999997</v>
      </c>
      <c r="N314">
        <f t="shared" si="216"/>
        <v>-9.9998399999998711E-2</v>
      </c>
      <c r="O314">
        <f>IF(L314&lt;'Vehicle Data'!F$21,'Vehicle Data'!C$21,IF(L314&gt;'Vehicle Data'!C$21,'Vehicle Data'!C$20))</f>
        <v>0.6</v>
      </c>
      <c r="P314">
        <f>('Vehicle Data'!C$6*9.81*'Vehicle Data'!C$5*SIN(D314))/'Vehicle Data'!C$9</f>
        <v>-36.484214185496413</v>
      </c>
      <c r="Q314" s="107">
        <f>'Vehicle Data'!C$6*9.81*SIN(D314)</f>
        <v>-235.9312517328768</v>
      </c>
      <c r="R314">
        <f t="shared" si="217"/>
        <v>1112.7565273662726</v>
      </c>
      <c r="S314">
        <f>IF(Data!O314=0.6,'Vehicle Data'!E$21,IF(Data!O314 = 0.9,'Vehicle Data'!E$20))+(P314*O314)</f>
        <v>1528.4818714887019</v>
      </c>
      <c r="T314">
        <f>IF(F314=3,'Vehicle Data'!H$16,IF(F314=2,'Vehicle Data'!H$15,IF(F314 = 1,'Vehicle Data'!G$14)))</f>
        <v>466.23005239380637</v>
      </c>
      <c r="U314" s="148">
        <f t="shared" si="218"/>
        <v>396.61804524295655</v>
      </c>
      <c r="V314" s="70" t="s">
        <v>77</v>
      </c>
      <c r="W314" s="99" t="s">
        <v>84</v>
      </c>
      <c r="X314">
        <f>IF(V314="S",'Vehicle Data'!C$14,IF(Data!V314 = "T1",'Vehicle Data'!P$2,IF(Data!V314="T2",'Vehicle Data'!P$3)))</f>
        <v>13.411199999999999</v>
      </c>
      <c r="Z314">
        <f t="shared" ref="Z314:Z318" si="231">SQRT(Z313^2+2*AE313*(U314-U313))</f>
        <v>11.039968010658846</v>
      </c>
      <c r="AB314" t="b">
        <f>IF(AA314=1,'Vehicle Data'!I$14,IF(AA314=2,'Vehicle Data'!I$15,IF(AA314=3,'Vehicle Data'!I$16)))</f>
        <v>0</v>
      </c>
      <c r="AC314">
        <f>IF(Z314&lt;'Vehicle Data'!C$16,'Vehicle Data'!I$15,IF(Z314&lt;'Vehicle Data'!C$15,'Vehicle Data'!I$15,IF(Z313&gt;'Vehicle Data'!C$15,'Vehicle Data'!I$16)))</f>
        <v>0.46202745420001456</v>
      </c>
      <c r="AD314">
        <f>IF(O314=0.6,'Vehicle Data'!F$21,IF(O314=0.9,'Vehicle Data'!F$20))</f>
        <v>3.5315999999999996</v>
      </c>
      <c r="AE314" s="100">
        <f t="shared" si="229"/>
        <v>0.46202745420001456</v>
      </c>
      <c r="AF314" s="158">
        <f t="shared" si="220"/>
        <v>0.17311132767403248</v>
      </c>
      <c r="AG314" s="148">
        <f t="shared" si="178"/>
        <v>0.46371333492990713</v>
      </c>
      <c r="AH314" s="148">
        <f t="shared" si="195"/>
        <v>83.708724208953456</v>
      </c>
      <c r="AJ314">
        <f>(Z314^2)*'Vehicle Data'!C$31</f>
        <v>44.791228426066226</v>
      </c>
      <c r="AK314">
        <f>IF(O314=0.6,'Vehicle Data'!C$6*'Vehicle Data'!D$21*9.81,IF(O314=0.9,'Vehicle Data'!C$6*9.81*'Vehicle Data'!D$20))</f>
        <v>86.131799999999998</v>
      </c>
      <c r="AL314">
        <f t="shared" si="221"/>
        <v>-105.00822330681058</v>
      </c>
      <c r="AN314">
        <f>IF(AG314&gt;0,AG314*'Vehicle Data'!C$6)</f>
        <v>203.57015403422923</v>
      </c>
      <c r="AO314">
        <f t="shared" si="222"/>
        <v>98.561930727418655</v>
      </c>
      <c r="AP314">
        <f>AO314*'Vehicle Data'!F$3</f>
        <v>25.192429493928209</v>
      </c>
      <c r="AQ314">
        <f>IF(AE314='Vehicle Data'!I$15,AP314/'Vehicle Data'!G$15,IF(AE314='Vehicle Data'!I$16,AP314/'Vehicle Data'!G$16,IF(AE314='Vehicle Data'!I$14,Data!AP314/'Vehicle Data'!G325)))</f>
        <v>4.6508423574799487</v>
      </c>
      <c r="AR314">
        <f>IF(Z314&lt;'Vehicle Data'!C$16, Z314*'Vehicle Data'!F$7*'Vehicle Data'!G$14,IF(Z314&lt;'Vehicle Data'!C$15,Z314*'Vehicle Data'!F$7*'Vehicle Data'!G$15,IF(Z314&gt;'Vehicle Data'!C$15,Z314*'Vehicle Data'!F$7*'Vehicle Data'!G$16)))</f>
        <v>96.038853190631627</v>
      </c>
      <c r="AS314">
        <f t="shared" si="223"/>
        <v>5762.3311914378974</v>
      </c>
      <c r="AT314">
        <f t="shared" si="224"/>
        <v>5</v>
      </c>
      <c r="AU314">
        <f t="shared" si="225"/>
        <v>6000</v>
      </c>
      <c r="AW314">
        <f>VLOOKUP(AT314,BSFC!A$64:A$82,1,FALSE)</f>
        <v>5</v>
      </c>
      <c r="AX314" t="e" cm="1">
        <f t="array" ref="AX314">_xlfn.XLOOKUP(AT314,BSFC!A$64:A$82,,-1,_xlfn.XLOOKUP(Data!AU314,BSFC!C$63:Q$63,BSFC!B$64:Q$82,,-1))</f>
        <v>#VALUE!</v>
      </c>
      <c r="AY314">
        <f>HLOOKUP(AU314,BSFC!F$63:Q$63,1)</f>
        <v>6000</v>
      </c>
      <c r="AZ314">
        <f>IF(AT314&gt;0,MATCH(AT314,BSFC!A$64:A$83,0),IF(AT314&lt;=0,0))</f>
        <v>18</v>
      </c>
      <c r="BA314">
        <f>MATCH(AU314,BSFC!C$63:Q$63,0)</f>
        <v>12</v>
      </c>
      <c r="BB314" cm="1">
        <f t="array" ref="BB314">IF(AZ314&gt;0,INDEX(BSFC!C$64:Q$83,Data!AZ314,Data!BA314))</f>
        <v>600</v>
      </c>
      <c r="BC314">
        <f>0.5*'Vehicle Data'!C$6*Data!Z314^2</f>
        <v>26752.856161963358</v>
      </c>
      <c r="BD314">
        <f t="shared" si="179"/>
        <v>8.4827895723044264</v>
      </c>
      <c r="BE314">
        <f t="shared" si="226"/>
        <v>5089.6737433826556</v>
      </c>
      <c r="BF314">
        <f t="shared" si="227"/>
        <v>0.24474449420684288</v>
      </c>
      <c r="BG314">
        <f t="shared" si="180"/>
        <v>94.061245324745855</v>
      </c>
      <c r="BH314">
        <f t="shared" si="228"/>
        <v>2795.128700768385</v>
      </c>
      <c r="BI314" s="148">
        <f t="shared" si="181"/>
        <v>6871.6622130335309</v>
      </c>
      <c r="BO314">
        <f t="shared" si="182"/>
        <v>469.72970620267807</v>
      </c>
      <c r="BP314">
        <f t="shared" si="183"/>
        <v>458359.85338878387</v>
      </c>
      <c r="BQ314">
        <f t="shared" si="184"/>
        <v>559592.88463211444</v>
      </c>
      <c r="BR314" s="148">
        <f t="shared" si="185"/>
        <v>576372.88035681192</v>
      </c>
      <c r="BS314" s="156">
        <f t="shared" si="186"/>
        <v>469.72970620267807</v>
      </c>
      <c r="BT314" s="156">
        <f t="shared" si="187"/>
        <v>2795.128700768385</v>
      </c>
      <c r="BU314">
        <f t="shared" si="188"/>
        <v>1154.8033089012865</v>
      </c>
      <c r="BV314">
        <f t="shared" si="189"/>
        <v>1154.8033089012865</v>
      </c>
      <c r="BW314" s="148">
        <f t="shared" si="190"/>
        <v>455.4</v>
      </c>
      <c r="BX314" s="148">
        <f t="shared" si="191"/>
        <v>3129354.9718154697</v>
      </c>
      <c r="BY314" s="148">
        <f t="shared" si="192"/>
        <v>0.14608261857601273</v>
      </c>
      <c r="BZ314">
        <f t="shared" si="176"/>
        <v>83.708724208953456</v>
      </c>
      <c r="CB314">
        <f t="shared" si="193"/>
        <v>685.07360269860851</v>
      </c>
      <c r="CC314" s="162">
        <f t="shared" si="177"/>
        <v>3957.4163742108435</v>
      </c>
      <c r="CD314">
        <f t="shared" si="196"/>
        <v>16048.055245671147</v>
      </c>
    </row>
    <row r="315" spans="4:82" x14ac:dyDescent="0.2">
      <c r="D315" s="22">
        <f t="shared" si="211"/>
        <v>-8.84161799070525E-3</v>
      </c>
      <c r="E315" s="23">
        <v>8.4017032</v>
      </c>
      <c r="F315" s="23">
        <f>IF(K315&lt;6,1,IF(Data!K315&lt;9,2,IF(K315&gt;9,3)))</f>
        <v>3</v>
      </c>
      <c r="G315" s="23">
        <v>1116.4502500612507</v>
      </c>
      <c r="H315" s="23">
        <v>221.066665</v>
      </c>
      <c r="I315" s="64">
        <v>36.078944033972604</v>
      </c>
      <c r="J315" s="65">
        <f t="shared" si="212"/>
        <v>-14.538014131482823</v>
      </c>
      <c r="K315" s="65">
        <f t="shared" si="213"/>
        <v>14.431577613589042</v>
      </c>
      <c r="L315" s="65">
        <f t="shared" si="214"/>
        <v>-5.8152056525931366</v>
      </c>
      <c r="M315">
        <f t="shared" si="215"/>
        <v>16.8034064</v>
      </c>
      <c r="N315">
        <f t="shared" si="216"/>
        <v>-1.5802115475887391E-2</v>
      </c>
      <c r="O315">
        <f>IF(L315&lt;'Vehicle Data'!F$21,'Vehicle Data'!C$21,IF(L315&gt;'Vehicle Data'!C$21,'Vehicle Data'!C$20))</f>
        <v>0.6</v>
      </c>
      <c r="P315">
        <f>('Vehicle Data'!C$6*9.81*'Vehicle Data'!C$5*SIN(D315))/'Vehicle Data'!C$9</f>
        <v>-5.8881537394421875</v>
      </c>
      <c r="Q315" s="107">
        <f>'Vehicle Data'!C$6*9.81*SIN(D315)</f>
        <v>-38.076727515059481</v>
      </c>
      <c r="R315">
        <f t="shared" si="217"/>
        <v>1114.6249212576568</v>
      </c>
      <c r="S315">
        <f>IF(Data!O315=0.6,'Vehicle Data'!E$21,IF(Data!O315 = 0.9,'Vehicle Data'!E$20))+(P315*O315)</f>
        <v>1546.8395077563343</v>
      </c>
      <c r="T315">
        <f>IF(F315=3,'Vehicle Data'!H$16,IF(F315=2,'Vehicle Data'!H$15,IF(F315 = 1,'Vehicle Data'!G$14)))</f>
        <v>466.23005239380637</v>
      </c>
      <c r="U315" s="148">
        <f t="shared" si="218"/>
        <v>398.48643913434069</v>
      </c>
      <c r="V315" s="70" t="s">
        <v>77</v>
      </c>
      <c r="W315" s="99" t="s">
        <v>84</v>
      </c>
      <c r="X315">
        <f>IF(V315="S",'Vehicle Data'!C$14,IF(Data!V315 = "T1",'Vehicle Data'!P$2,IF(Data!V315="T2",'Vehicle Data'!P$3)))</f>
        <v>13.411199999999999</v>
      </c>
      <c r="Z315">
        <f t="shared" si="231"/>
        <v>11.117886140023597</v>
      </c>
      <c r="AB315" t="b">
        <f>IF(AA315=1,'Vehicle Data'!I$14,IF(AA315=2,'Vehicle Data'!I$15,IF(AA315=3,'Vehicle Data'!I$16)))</f>
        <v>0</v>
      </c>
      <c r="AC315">
        <f>IF(Z315&lt;'Vehicle Data'!C$16,'Vehicle Data'!I$15,IF(Z315&lt;'Vehicle Data'!C$15,'Vehicle Data'!I$15,IF(Z314&gt;'Vehicle Data'!C$15,'Vehicle Data'!I$16)))</f>
        <v>0.46202745420001456</v>
      </c>
      <c r="AD315">
        <f>IF(O315=0.6,'Vehicle Data'!F$21,IF(O315=0.9,'Vehicle Data'!F$20))</f>
        <v>3.5315999999999996</v>
      </c>
      <c r="AE315" s="100">
        <f t="shared" si="229"/>
        <v>0.46202745420001456</v>
      </c>
      <c r="AF315" s="158">
        <f t="shared" si="220"/>
        <v>0.1680529794830373</v>
      </c>
      <c r="AG315" s="148">
        <f t="shared" si="178"/>
        <v>0.46365217447760393</v>
      </c>
      <c r="AH315" s="148">
        <f t="shared" si="195"/>
        <v>83.876777188436492</v>
      </c>
      <c r="AJ315">
        <f>(Z315^2)*'Vehicle Data'!C$31</f>
        <v>45.425716641779346</v>
      </c>
      <c r="AK315">
        <f>IF(O315=0.6,'Vehicle Data'!C$6*'Vehicle Data'!D$21*9.81,IF(O315=0.9,'Vehicle Data'!C$6*9.81*'Vehicle Data'!D$20))</f>
        <v>86.131799999999998</v>
      </c>
      <c r="AL315">
        <f t="shared" si="221"/>
        <v>93.480789126719856</v>
      </c>
      <c r="AN315">
        <f>IF(AG315&gt;0,AG315*'Vehicle Data'!C$6)</f>
        <v>203.54330459566813</v>
      </c>
      <c r="AO315">
        <f t="shared" si="222"/>
        <v>297.02409372238799</v>
      </c>
      <c r="AP315">
        <f>AO315*'Vehicle Data'!F$3</f>
        <v>75.91935835544237</v>
      </c>
      <c r="AQ315">
        <f>IF(AE315='Vehicle Data'!I$15,AP315/'Vehicle Data'!G$15,IF(AE315='Vehicle Data'!I$16,AP315/'Vehicle Data'!G$16,IF(AE315='Vehicle Data'!I$14,Data!AP315/'Vehicle Data'!G326)))</f>
        <v>14.01567751444103</v>
      </c>
      <c r="AR315">
        <f>IF(Z315&lt;'Vehicle Data'!C$16, Z315*'Vehicle Data'!F$7*'Vehicle Data'!G$14,IF(Z315&lt;'Vehicle Data'!C$15,Z315*'Vehicle Data'!F$7*'Vehicle Data'!G$15,IF(Z315&gt;'Vehicle Data'!C$15,Z315*'Vehicle Data'!F$7*'Vehicle Data'!G$16)))</f>
        <v>96.71667832379552</v>
      </c>
      <c r="AS315">
        <f t="shared" si="223"/>
        <v>5803.000699427731</v>
      </c>
      <c r="AT315">
        <f t="shared" si="224"/>
        <v>14</v>
      </c>
      <c r="AU315">
        <f t="shared" si="225"/>
        <v>6000</v>
      </c>
      <c r="AW315">
        <f>VLOOKUP(AT315,BSFC!A$64:A$82,1,FALSE)</f>
        <v>14</v>
      </c>
      <c r="AX315" t="e" cm="1">
        <f t="array" ref="AX315">_xlfn.XLOOKUP(AT315,BSFC!A$64:A$82,,-1,_xlfn.XLOOKUP(Data!AU315,BSFC!C$63:Q$63,BSFC!B$64:Q$82,,-1))</f>
        <v>#VALUE!</v>
      </c>
      <c r="AY315">
        <f>HLOOKUP(AU315,BSFC!F$63:Q$63,1)</f>
        <v>6000</v>
      </c>
      <c r="AZ315">
        <f>IF(AT315&gt;0,MATCH(AT315,BSFC!A$64:A$83,0),IF(AT315&lt;=0,0))</f>
        <v>9</v>
      </c>
      <c r="BA315">
        <f>MATCH(AU315,BSFC!C$63:Q$63,0)</f>
        <v>12</v>
      </c>
      <c r="BB315" cm="1">
        <f t="array" ref="BB315">IF(AZ315&gt;0,INDEX(BSFC!C$64:Q$83,Data!AZ315,Data!BA315))</f>
        <v>564.5</v>
      </c>
      <c r="BC315">
        <f>0.5*'Vehicle Data'!C$6*Data!Z315^2</f>
        <v>27131.82259284507</v>
      </c>
      <c r="BD315">
        <f t="shared" si="179"/>
        <v>2.8274869989526277</v>
      </c>
      <c r="BE315">
        <f t="shared" si="226"/>
        <v>1596.1164109087583</v>
      </c>
      <c r="BF315">
        <f t="shared" si="227"/>
        <v>7.4508921793052407E-2</v>
      </c>
      <c r="BG315">
        <f t="shared" si="180"/>
        <v>94.135754246538909</v>
      </c>
      <c r="BH315">
        <f t="shared" si="228"/>
        <v>8482.7895723044257</v>
      </c>
      <c r="BI315" s="148">
        <f t="shared" si="181"/>
        <v>6871.6622130335309</v>
      </c>
      <c r="BO315">
        <f t="shared" si="182"/>
        <v>1383.2940116790141</v>
      </c>
      <c r="BP315">
        <f t="shared" si="183"/>
        <v>459743.14740046288</v>
      </c>
      <c r="BQ315">
        <f t="shared" si="184"/>
        <v>560976.17864379345</v>
      </c>
      <c r="BR315" s="148">
        <f t="shared" si="185"/>
        <v>577493.44678234309</v>
      </c>
      <c r="BS315" s="156">
        <f t="shared" si="186"/>
        <v>1383.2940116790141</v>
      </c>
      <c r="BT315" s="156">
        <f t="shared" si="187"/>
        <v>8482.7895723044257</v>
      </c>
      <c r="BU315">
        <f t="shared" si="188"/>
        <v>1120.566425531169</v>
      </c>
      <c r="BV315">
        <f t="shared" si="189"/>
        <v>1120.566425531169</v>
      </c>
      <c r="BW315" s="148">
        <f t="shared" si="190"/>
        <v>455.4</v>
      </c>
      <c r="BX315" s="148">
        <f t="shared" si="191"/>
        <v>3129354.9718154697</v>
      </c>
      <c r="BY315" s="148">
        <f t="shared" si="192"/>
        <v>0.14175165282969285</v>
      </c>
      <c r="BZ315">
        <f t="shared" si="176"/>
        <v>83.876777188436492</v>
      </c>
      <c r="CB315">
        <f t="shared" si="193"/>
        <v>-262.72758614784516</v>
      </c>
      <c r="CC315" s="162">
        <f t="shared" ref="CC315:CC321" si="232">CB315/(BZ315-BZ314)</f>
        <v>-1563.3616669936252</v>
      </c>
      <c r="CD315">
        <f t="shared" si="196"/>
        <v>15785.327659523302</v>
      </c>
    </row>
    <row r="316" spans="4:82" x14ac:dyDescent="0.2">
      <c r="D316" s="22">
        <f t="shared" si="211"/>
        <v>-4.813391848855228E-2</v>
      </c>
      <c r="E316" s="23">
        <v>8.3859010845241126</v>
      </c>
      <c r="F316" s="23">
        <f>IF(K316&lt;6,1,IF(Data!K316&lt;9,2,IF(K316&gt;9,3)))</f>
        <v>3</v>
      </c>
      <c r="G316" s="23">
        <v>1118.2375158513685</v>
      </c>
      <c r="H316" s="23">
        <v>221.11666499999998</v>
      </c>
      <c r="I316" s="64">
        <v>35.352043327398711</v>
      </c>
      <c r="J316" s="65">
        <f t="shared" si="212"/>
        <v>-15.498825303385956</v>
      </c>
      <c r="K316" s="65">
        <f t="shared" si="213"/>
        <v>14.140817330959484</v>
      </c>
      <c r="L316" s="65">
        <f t="shared" si="214"/>
        <v>-6.1995301213543756</v>
      </c>
      <c r="M316">
        <f t="shared" si="215"/>
        <v>16.771802169048225</v>
      </c>
      <c r="N316">
        <f t="shared" si="216"/>
        <v>-8.4196284524113096E-2</v>
      </c>
      <c r="O316">
        <f>'Vehicle Data'!C$20</f>
        <v>0.9</v>
      </c>
      <c r="P316">
        <f>('Vehicle Data'!C$6*9.81*'Vehicle Data'!C$5*SIN(D316))/'Vehicle Data'!C$9</f>
        <v>-32.043249893553408</v>
      </c>
      <c r="Q316" s="107">
        <f>'Vehicle Data'!C$6*9.81*SIN(D316)</f>
        <v>-207.21301597831206</v>
      </c>
      <c r="R316">
        <f t="shared" si="217"/>
        <v>1116.4502500612507</v>
      </c>
      <c r="S316">
        <f>IF(Data!O316=0.6,'Vehicle Data'!E$21,IF(Data!O316 = 0.9,'Vehicle Data'!E$20))+(P316*O316)</f>
        <v>2296.7196750958019</v>
      </c>
      <c r="T316">
        <f>IF(F316=3,'Vehicle Data'!H$16,IF(F316=2,'Vehicle Data'!H$15,IF(F316 = 1,'Vehicle Data'!G$14)))</f>
        <v>466.23005239380637</v>
      </c>
      <c r="U316" s="148">
        <f t="shared" si="218"/>
        <v>400.31176793793463</v>
      </c>
      <c r="V316" s="70" t="s">
        <v>77</v>
      </c>
      <c r="W316" s="99" t="s">
        <v>84</v>
      </c>
      <c r="X316">
        <f>IF(V316="S",'Vehicle Data'!C$14,IF(Data!V316 = "T1",'Vehicle Data'!P$2,IF(Data!V316="T2",'Vehicle Data'!P$3)))</f>
        <v>13.411199999999999</v>
      </c>
      <c r="Z316">
        <f t="shared" si="231"/>
        <v>11.193484545168841</v>
      </c>
      <c r="AB316" t="b">
        <f>IF(AA316=1,'Vehicle Data'!I$14,IF(AA316=2,'Vehicle Data'!I$15,IF(AA316=3,'Vehicle Data'!I$16)))</f>
        <v>0</v>
      </c>
      <c r="AC316">
        <f>IF(Z316&lt;'Vehicle Data'!C$16,'Vehicle Data'!I$15,IF(Z316&lt;'Vehicle Data'!C$15,'Vehicle Data'!I$15,IF(Z315&gt;'Vehicle Data'!C$15,'Vehicle Data'!I$16)))</f>
        <v>0.46202745420001456</v>
      </c>
      <c r="AD316">
        <f>IF(O316=0.6,'Vehicle Data'!F$21,IF(O316=0.9,'Vehicle Data'!F$20))</f>
        <v>5.2973999999999997</v>
      </c>
      <c r="AE316" s="100">
        <f t="shared" si="229"/>
        <v>0.46202745420001456</v>
      </c>
      <c r="AF316" s="158">
        <f t="shared" si="220"/>
        <v>0.16307065027232898</v>
      </c>
      <c r="AG316" s="148">
        <f t="shared" si="178"/>
        <v>0.46359295813805207</v>
      </c>
      <c r="AH316" s="148">
        <f t="shared" si="195"/>
        <v>84.039847838708823</v>
      </c>
      <c r="AJ316">
        <f>(Z316^2)*'Vehicle Data'!C$31</f>
        <v>46.045580376628152</v>
      </c>
      <c r="AK316">
        <f>IF(O316=0.6,'Vehicle Data'!C$6*'Vehicle Data'!D$21*9.81,IF(O316=0.9,'Vehicle Data'!C$6*9.81*'Vehicle Data'!D$20))</f>
        <v>55.985669999999999</v>
      </c>
      <c r="AL316">
        <f t="shared" si="221"/>
        <v>-105.18176560168391</v>
      </c>
      <c r="AN316">
        <f>IF(AG316&gt;0,AG316*'Vehicle Data'!C$6)</f>
        <v>203.51730862260487</v>
      </c>
      <c r="AO316">
        <f t="shared" si="222"/>
        <v>98.335543020920966</v>
      </c>
      <c r="AP316">
        <f>AO316*'Vehicle Data'!F$3</f>
        <v>25.134564796147398</v>
      </c>
      <c r="AQ316">
        <f>IF(AE316='Vehicle Data'!I$15,AP316/'Vehicle Data'!G$15,IF(AE316='Vehicle Data'!I$16,AP316/'Vehicle Data'!G$16,IF(AE316='Vehicle Data'!I$14,Data!AP316/'Vehicle Data'!G327)))</f>
        <v>4.6401597995509238</v>
      </c>
      <c r="AR316">
        <f>IF(Z316&lt;'Vehicle Data'!C$16, Z316*'Vehicle Data'!F$7*'Vehicle Data'!G$14,IF(Z316&lt;'Vehicle Data'!C$15,Z316*'Vehicle Data'!F$7*'Vehicle Data'!G$15,IF(Z316&gt;'Vehicle Data'!C$15,Z316*'Vehicle Data'!F$7*'Vehicle Data'!G$16)))</f>
        <v>97.374323719704307</v>
      </c>
      <c r="AS316">
        <f t="shared" si="223"/>
        <v>5842.4594231822584</v>
      </c>
      <c r="AT316">
        <f t="shared" si="224"/>
        <v>5</v>
      </c>
      <c r="AU316">
        <f t="shared" si="225"/>
        <v>6000</v>
      </c>
      <c r="AW316">
        <f>VLOOKUP(AT316,BSFC!A$64:A$82,1,FALSE)</f>
        <v>5</v>
      </c>
      <c r="AX316" t="e" cm="1">
        <f t="array" ref="AX316">_xlfn.XLOOKUP(AT316,BSFC!A$64:A$82,,-1,_xlfn.XLOOKUP(Data!AU316,BSFC!C$63:Q$63,BSFC!B$64:Q$82,,-1))</f>
        <v>#VALUE!</v>
      </c>
      <c r="AY316">
        <f>HLOOKUP(AU316,BSFC!F$63:Q$63,1)</f>
        <v>6000</v>
      </c>
      <c r="AZ316">
        <f>IF(AT316&gt;0,MATCH(AT316,BSFC!A$64:A$83,0),IF(AT316&lt;=0,0))</f>
        <v>18</v>
      </c>
      <c r="BA316">
        <f>MATCH(AU316,BSFC!C$63:Q$63,0)</f>
        <v>12</v>
      </c>
      <c r="BB316" cm="1">
        <f t="array" ref="BB316">IF(AZ316&gt;0,INDEX(BSFC!C$64:Q$83,Data!AZ316,Data!BA316))</f>
        <v>600</v>
      </c>
      <c r="BC316">
        <f>0.5*'Vehicle Data'!C$6*Data!Z316^2</f>
        <v>27502.05412971395</v>
      </c>
      <c r="BD316">
        <f t="shared" si="179"/>
        <v>8.8601844589240741</v>
      </c>
      <c r="BE316">
        <f t="shared" si="226"/>
        <v>5316.1106753544445</v>
      </c>
      <c r="BF316">
        <f t="shared" si="227"/>
        <v>0.24080600687492201</v>
      </c>
      <c r="BG316">
        <f t="shared" si="180"/>
        <v>94.376560253413828</v>
      </c>
      <c r="BH316">
        <f t="shared" si="228"/>
        <v>2827.4869989526278</v>
      </c>
      <c r="BI316" s="148">
        <f t="shared" si="181"/>
        <v>6871.6622130335309</v>
      </c>
      <c r="BO316">
        <f t="shared" si="182"/>
        <v>448.51904126789793</v>
      </c>
      <c r="BP316">
        <f t="shared" si="183"/>
        <v>460191.66644173081</v>
      </c>
      <c r="BQ316">
        <f t="shared" si="184"/>
        <v>561424.69768506137</v>
      </c>
      <c r="BR316" s="148">
        <f t="shared" si="185"/>
        <v>578583.48586964863</v>
      </c>
      <c r="BS316" s="156">
        <f t="shared" si="186"/>
        <v>448.51904126789793</v>
      </c>
      <c r="BT316" s="156">
        <f t="shared" si="187"/>
        <v>2827.4869989526278</v>
      </c>
      <c r="BU316">
        <f t="shared" si="188"/>
        <v>1090.0390873055535</v>
      </c>
      <c r="BV316">
        <f t="shared" si="189"/>
        <v>1090.0390873055535</v>
      </c>
      <c r="BW316" s="148">
        <f t="shared" si="190"/>
        <v>455.4</v>
      </c>
      <c r="BX316" s="148">
        <f t="shared" si="191"/>
        <v>3129354.9718154697</v>
      </c>
      <c r="BY316" s="148">
        <f t="shared" si="192"/>
        <v>0.13788994454415252</v>
      </c>
      <c r="BZ316">
        <f t="shared" si="176"/>
        <v>84.039847838708823</v>
      </c>
      <c r="CB316">
        <f t="shared" si="193"/>
        <v>641.52004603765556</v>
      </c>
      <c r="CC316" s="162">
        <f t="shared" si="232"/>
        <v>3934.0006614697604</v>
      </c>
      <c r="CD316">
        <f t="shared" si="196"/>
        <v>16426.847705560958</v>
      </c>
    </row>
    <row r="317" spans="4:82" x14ac:dyDescent="0.2">
      <c r="D317" s="22">
        <f t="shared" si="211"/>
        <v>0</v>
      </c>
      <c r="E317" s="23">
        <v>8.3017047999999996</v>
      </c>
      <c r="F317" s="23">
        <f>IF(K317&lt;6,1,IF(Data!K317&lt;9,2,IF(K317&gt;9,3)))</f>
        <v>3</v>
      </c>
      <c r="G317" s="23">
        <v>1119.9874005063298</v>
      </c>
      <c r="H317" s="23">
        <v>221.16666499999999</v>
      </c>
      <c r="I317" s="64">
        <v>34.577102062229237</v>
      </c>
      <c r="J317" s="65">
        <f t="shared" si="212"/>
        <v>-16.294258802782636</v>
      </c>
      <c r="K317" s="65">
        <f t="shared" si="213"/>
        <v>13.830840824891695</v>
      </c>
      <c r="L317" s="65">
        <f t="shared" si="214"/>
        <v>-6.5177035211130478</v>
      </c>
      <c r="M317">
        <f t="shared" si="215"/>
        <v>16.603409599999999</v>
      </c>
      <c r="N317">
        <v>0</v>
      </c>
      <c r="O317">
        <f>'Vehicle Data'!C$20</f>
        <v>0.9</v>
      </c>
      <c r="P317">
        <f>('Vehicle Data'!C$6*9.81*'Vehicle Data'!C$5*SIN(D317))/'Vehicle Data'!C$9</f>
        <v>0</v>
      </c>
      <c r="Q317" s="107">
        <f>'Vehicle Data'!C$6*9.81*SIN(D317)</f>
        <v>0</v>
      </c>
      <c r="R317">
        <f t="shared" si="217"/>
        <v>1118.2375158513685</v>
      </c>
      <c r="S317">
        <f>IF(Data!O317=0.6,'Vehicle Data'!E$21,IF(Data!O317 = 0.9,'Vehicle Data'!E$20))+(P317*O317)</f>
        <v>2325.5585999999998</v>
      </c>
      <c r="T317">
        <f>IF(F317=3,'Vehicle Data'!H$16,IF(F317=2,'Vehicle Data'!H$15,IF(F317 = 1,'Vehicle Data'!G$14)))</f>
        <v>466.23005239380637</v>
      </c>
      <c r="U317" s="148">
        <f t="shared" si="218"/>
        <v>402.0990337280524</v>
      </c>
      <c r="V317" s="70" t="s">
        <v>77</v>
      </c>
      <c r="W317" s="99" t="s">
        <v>84</v>
      </c>
      <c r="X317">
        <f>IF(V317="S",'Vehicle Data'!C$14,IF(Data!V317 = "T1",'Vehicle Data'!P$2,IF(Data!V317="T2",'Vehicle Data'!P$3)))</f>
        <v>13.411199999999999</v>
      </c>
      <c r="Z317">
        <f t="shared" si="231"/>
        <v>11.267015043431313</v>
      </c>
      <c r="AB317" t="b">
        <f>IF(AA317=1,'Vehicle Data'!I$14,IF(AA317=2,'Vehicle Data'!I$15,IF(AA317=3,'Vehicle Data'!I$16)))</f>
        <v>0</v>
      </c>
      <c r="AC317">
        <f>IF(Z317&lt;'Vehicle Data'!C$16,'Vehicle Data'!I$15,IF(Z317&lt;'Vehicle Data'!C$15,'Vehicle Data'!I$15,IF(Z316&gt;'Vehicle Data'!C$15,'Vehicle Data'!I$16)))</f>
        <v>0.46202745420001456</v>
      </c>
      <c r="AD317">
        <f>IF(O317=0.6,'Vehicle Data'!F$21,IF(O317=0.9,'Vehicle Data'!F$20))</f>
        <v>5.2973999999999997</v>
      </c>
      <c r="AE317" s="100">
        <f t="shared" si="229"/>
        <v>0.46202745420001456</v>
      </c>
      <c r="AF317" s="158">
        <f t="shared" si="220"/>
        <v>0.15862815335102889</v>
      </c>
      <c r="AG317" s="148">
        <f t="shared" si="178"/>
        <v>0.46354002558269219</v>
      </c>
      <c r="AH317" s="148">
        <f t="shared" si="195"/>
        <v>84.198475992059855</v>
      </c>
      <c r="AJ317">
        <f>(Z317^2)*'Vehicle Data'!C$31</f>
        <v>46.65251828592352</v>
      </c>
      <c r="AK317">
        <f>IF(O317=0.6,'Vehicle Data'!C$6*'Vehicle Data'!D$21*9.81,IF(O317=0.9,'Vehicle Data'!C$6*9.81*'Vehicle Data'!D$20))</f>
        <v>55.985669999999999</v>
      </c>
      <c r="AL317">
        <f t="shared" si="221"/>
        <v>102.63818828592352</v>
      </c>
      <c r="AN317">
        <f>IF(AG317&gt;0,AG317*'Vehicle Data'!C$6)</f>
        <v>203.49407123080186</v>
      </c>
      <c r="AO317">
        <f t="shared" si="222"/>
        <v>306.13225951672541</v>
      </c>
      <c r="AP317">
        <f>AO317*'Vehicle Data'!F$3</f>
        <v>78.247405532475014</v>
      </c>
      <c r="AQ317">
        <f>IF(AE317='Vehicle Data'!I$15,AP317/'Vehicle Data'!G$15,IF(AE317='Vehicle Data'!I$16,AP317/'Vehicle Data'!G$16,IF(AE317='Vehicle Data'!I$14,Data!AP317/'Vehicle Data'!G328)))</f>
        <v>14.445464582963526</v>
      </c>
      <c r="AR317">
        <f>IF(Z317&lt;'Vehicle Data'!C$16, Z317*'Vehicle Data'!F$7*'Vehicle Data'!G$14,IF(Z317&lt;'Vehicle Data'!C$15,Z317*'Vehicle Data'!F$7*'Vehicle Data'!G$15,IF(Z317&gt;'Vehicle Data'!C$15,Z317*'Vehicle Data'!F$7*'Vehicle Data'!G$16)))</f>
        <v>98.013979986900495</v>
      </c>
      <c r="AS317">
        <f t="shared" si="223"/>
        <v>5880.8387992140297</v>
      </c>
      <c r="AT317">
        <f t="shared" si="224"/>
        <v>14</v>
      </c>
      <c r="AU317">
        <f t="shared" si="225"/>
        <v>6000</v>
      </c>
      <c r="AW317">
        <f>VLOOKUP(AT317,BSFC!A$64:A$82,1,FALSE)</f>
        <v>14</v>
      </c>
      <c r="AX317" t="e" cm="1">
        <f t="array" ref="AX317">_xlfn.XLOOKUP(AT317,BSFC!A$64:A$82,,-1,_xlfn.XLOOKUP(Data!AU317,BSFC!C$63:Q$63,BSFC!B$64:Q$82,,-1))</f>
        <v>#VALUE!</v>
      </c>
      <c r="AY317">
        <f>HLOOKUP(AU317,BSFC!F$63:Q$63,1)</f>
        <v>6000</v>
      </c>
      <c r="AZ317">
        <f>IF(AT317&gt;0,MATCH(AT317,BSFC!A$64:A$83,0),IF(AT317&lt;=0,0))</f>
        <v>9</v>
      </c>
      <c r="BA317">
        <f>MATCH(AU317,BSFC!C$63:Q$63,0)</f>
        <v>12</v>
      </c>
      <c r="BB317" cm="1">
        <f t="array" ref="BB317">IF(AZ317&gt;0,INDEX(BSFC!C$64:Q$83,Data!AZ317,Data!BA317))</f>
        <v>564.5</v>
      </c>
      <c r="BC317">
        <f>0.5*'Vehicle Data'!C$6*Data!Z317^2</f>
        <v>27864.565343565198</v>
      </c>
      <c r="BD317">
        <f t="shared" si="179"/>
        <v>8.9330961251709109</v>
      </c>
      <c r="BE317">
        <f t="shared" si="226"/>
        <v>5042.7327626589795</v>
      </c>
      <c r="BF317">
        <f t="shared" si="227"/>
        <v>0.22219982943981281</v>
      </c>
      <c r="BG317">
        <f t="shared" si="180"/>
        <v>94.598760082853644</v>
      </c>
      <c r="BH317">
        <f t="shared" si="228"/>
        <v>8860.1844589240736</v>
      </c>
      <c r="BI317" s="148">
        <f t="shared" si="181"/>
        <v>6871.6622130335309</v>
      </c>
      <c r="BO317">
        <f t="shared" si="182"/>
        <v>1367.3976629099309</v>
      </c>
      <c r="BP317">
        <f t="shared" si="183"/>
        <v>461559.06410464074</v>
      </c>
      <c r="BQ317">
        <f t="shared" si="184"/>
        <v>562792.09534797131</v>
      </c>
      <c r="BR317" s="148">
        <f t="shared" si="185"/>
        <v>579643.99368344981</v>
      </c>
      <c r="BS317" s="156">
        <f t="shared" si="186"/>
        <v>1367.3976629099309</v>
      </c>
      <c r="BT317" s="156">
        <f t="shared" si="187"/>
        <v>8860.1844589240736</v>
      </c>
      <c r="BU317">
        <f t="shared" si="188"/>
        <v>1060.5078138011545</v>
      </c>
      <c r="BV317">
        <f t="shared" si="189"/>
        <v>1060.5078138011545</v>
      </c>
      <c r="BW317" s="148">
        <f t="shared" si="190"/>
        <v>455.4</v>
      </c>
      <c r="BX317" s="148">
        <f t="shared" si="191"/>
        <v>3129354.9718154697</v>
      </c>
      <c r="BY317" s="148">
        <f t="shared" si="192"/>
        <v>0.13415423844584604</v>
      </c>
      <c r="BZ317">
        <f t="shared" si="176"/>
        <v>84.198475992059855</v>
      </c>
      <c r="CB317">
        <f t="shared" si="193"/>
        <v>-306.88984910877639</v>
      </c>
      <c r="CC317" s="162">
        <f t="shared" si="232"/>
        <v>-1934.6493206010744</v>
      </c>
      <c r="CD317">
        <f t="shared" si="196"/>
        <v>16119.957856452182</v>
      </c>
    </row>
    <row r="318" spans="4:82" x14ac:dyDescent="0.2">
      <c r="D318" s="22">
        <f t="shared" si="211"/>
        <v>0</v>
      </c>
      <c r="E318" s="23">
        <v>8.3175069154760681</v>
      </c>
      <c r="F318" s="23">
        <f>IF(K318&lt;6,1,IF(Data!K318&lt;9,2,IF(K318&gt;9,3)))</f>
        <v>3</v>
      </c>
      <c r="G318" s="23">
        <v>1121.6975334585552</v>
      </c>
      <c r="H318" s="23">
        <v>221.21666499999998</v>
      </c>
      <c r="I318" s="64">
        <v>33.762389122090383</v>
      </c>
      <c r="J318" s="65">
        <f t="shared" si="212"/>
        <v>-16.183639389133631</v>
      </c>
      <c r="K318" s="65">
        <f t="shared" si="213"/>
        <v>13.504955648836154</v>
      </c>
      <c r="L318" s="65">
        <f t="shared" si="214"/>
        <v>-6.473455755653446</v>
      </c>
      <c r="M318">
        <f t="shared" si="215"/>
        <v>16.635013830952136</v>
      </c>
      <c r="N318">
        <v>0</v>
      </c>
      <c r="O318">
        <f>'Vehicle Data'!C$20</f>
        <v>0.9</v>
      </c>
      <c r="P318">
        <f>('Vehicle Data'!C$6*9.81*'Vehicle Data'!C$5*SIN(D318))/'Vehicle Data'!C$9</f>
        <v>0</v>
      </c>
      <c r="Q318" s="107">
        <f>'Vehicle Data'!C$6*9.81*SIN(D318)</f>
        <v>0</v>
      </c>
      <c r="R318">
        <f t="shared" si="217"/>
        <v>1119.9874005063298</v>
      </c>
      <c r="S318">
        <f>IF(Data!O318=0.6,'Vehicle Data'!E$21,IF(Data!O318 = 0.9,'Vehicle Data'!E$20))+(P318*O318)</f>
        <v>2325.5585999999998</v>
      </c>
      <c r="T318">
        <f>IF(F318=3,'Vehicle Data'!H$16,IF(F318=2,'Vehicle Data'!H$15,IF(F318 = 1,'Vehicle Data'!G$14)))</f>
        <v>466.23005239380637</v>
      </c>
      <c r="U318" s="148">
        <f t="shared" si="218"/>
        <v>403.84891838301371</v>
      </c>
      <c r="V318" s="70" t="s">
        <v>77</v>
      </c>
      <c r="W318" s="99" t="s">
        <v>84</v>
      </c>
      <c r="X318">
        <f>IF(V318="S",'Vehicle Data'!C$14,IF(Data!V318 = "T1",'Vehicle Data'!P$2,IF(Data!V318="T2",'Vehicle Data'!P$3)))</f>
        <v>13.411199999999999</v>
      </c>
      <c r="Z318">
        <f t="shared" si="231"/>
        <v>11.338545651601814</v>
      </c>
      <c r="AB318" t="b">
        <f>IF(AA318=1,'Vehicle Data'!I$14,IF(AA318=2,'Vehicle Data'!I$15,IF(AA318=3,'Vehicle Data'!I$16)))</f>
        <v>0</v>
      </c>
      <c r="AC318">
        <f>IF(Z318&lt;'Vehicle Data'!C$16,'Vehicle Data'!I$15,IF(Z318&lt;'Vehicle Data'!C$15,'Vehicle Data'!I$15,IF(Z317&gt;'Vehicle Data'!C$15,'Vehicle Data'!I$16)))</f>
        <v>0.46202745420001456</v>
      </c>
      <c r="AD318">
        <f>IF(O318=0.6,'Vehicle Data'!F$21,IF(O318=0.9,'Vehicle Data'!F$20))</f>
        <v>5.2973999999999997</v>
      </c>
      <c r="AE318" s="100">
        <f t="shared" si="229"/>
        <v>0.46202745420001456</v>
      </c>
      <c r="AF318" s="158">
        <f t="shared" si="220"/>
        <v>0.15433060894490444</v>
      </c>
      <c r="AG318" s="148">
        <f t="shared" si="178"/>
        <v>0.46348944424911731</v>
      </c>
      <c r="AH318" s="148">
        <f t="shared" si="195"/>
        <v>84.352806601004758</v>
      </c>
      <c r="AJ318">
        <f>(Z318^2)*'Vehicle Data'!C$31</f>
        <v>47.246761928845984</v>
      </c>
      <c r="AK318">
        <f>IF(O318=0.6,'Vehicle Data'!C$6*'Vehicle Data'!D$21*9.81,IF(O318=0.9,'Vehicle Data'!C$6*9.81*'Vehicle Data'!D$20))</f>
        <v>55.985669999999999</v>
      </c>
      <c r="AL318">
        <f t="shared" si="221"/>
        <v>103.23243192884598</v>
      </c>
      <c r="AN318">
        <f>IF(AG318&gt;0,AG318*'Vehicle Data'!C$6)</f>
        <v>203.47186602536249</v>
      </c>
      <c r="AO318">
        <f t="shared" si="222"/>
        <v>306.70429795420847</v>
      </c>
      <c r="AP318">
        <f>AO318*'Vehicle Data'!F$3</f>
        <v>78.393618557095678</v>
      </c>
      <c r="AQ318">
        <f>IF(AE318='Vehicle Data'!I$15,AP318/'Vehicle Data'!G$15,IF(AE318='Vehicle Data'!I$16,AP318/'Vehicle Data'!G$16,IF(AE318='Vehicle Data'!I$14,Data!AP318/'Vehicle Data'!G329)))</f>
        <v>14.472457363802109</v>
      </c>
      <c r="AR318">
        <f>IF(Z318&lt;'Vehicle Data'!C$16, Z318*'Vehicle Data'!F$7*'Vehicle Data'!G$14,IF(Z318&lt;'Vehicle Data'!C$15,Z318*'Vehicle Data'!F$7*'Vehicle Data'!G$15,IF(Z318&gt;'Vehicle Data'!C$15,Z318*'Vehicle Data'!F$7*'Vehicle Data'!G$16)))</f>
        <v>98.636238816825625</v>
      </c>
      <c r="AS318">
        <f t="shared" si="223"/>
        <v>5918.1743290095374</v>
      </c>
      <c r="AT318">
        <f t="shared" si="224"/>
        <v>14</v>
      </c>
      <c r="AU318">
        <f t="shared" si="225"/>
        <v>6000</v>
      </c>
      <c r="AW318">
        <f>VLOOKUP(AT318,BSFC!A$64:A$82,1,FALSE)</f>
        <v>14</v>
      </c>
      <c r="AX318" t="e" cm="1">
        <f t="array" ref="AX318">_xlfn.XLOOKUP(AT318,BSFC!A$64:A$82,,-1,_xlfn.XLOOKUP(Data!AU318,BSFC!C$63:Q$63,BSFC!B$64:Q$82,,-1))</f>
        <v>#VALUE!</v>
      </c>
      <c r="AY318">
        <f>HLOOKUP(AU318,BSFC!F$63:Q$63,1)</f>
        <v>6000</v>
      </c>
      <c r="AZ318">
        <f>IF(AT318&gt;0,MATCH(AT318,BSFC!A$64:A$83,0),IF(AT318&lt;=0,0))</f>
        <v>9</v>
      </c>
      <c r="BA318">
        <f>MATCH(AU318,BSFC!C$63:Q$63,0)</f>
        <v>12</v>
      </c>
      <c r="BB318" cm="1">
        <f t="array" ref="BB318">IF(AZ318&gt;0,INDEX(BSFC!C$64:Q$83,Data!AZ318,Data!BA318))</f>
        <v>564.5</v>
      </c>
      <c r="BC318">
        <f>0.5*'Vehicle Data'!C$6*Data!Z318^2</f>
        <v>28219.494539814124</v>
      </c>
      <c r="BD318">
        <f t="shared" si="179"/>
        <v>3.7180375841092732E-2</v>
      </c>
      <c r="BE318">
        <f t="shared" si="226"/>
        <v>20.988322162296846</v>
      </c>
      <c r="BF318">
        <f t="shared" si="227"/>
        <v>8.9976126112197388E-4</v>
      </c>
      <c r="BG318">
        <f t="shared" si="180"/>
        <v>94.599659844114768</v>
      </c>
      <c r="BH318">
        <f t="shared" si="228"/>
        <v>8933.0961251709105</v>
      </c>
      <c r="BI318" s="148">
        <f t="shared" si="181"/>
        <v>6871.6622130335309</v>
      </c>
      <c r="BO318">
        <f t="shared" si="182"/>
        <v>1351.9276149603543</v>
      </c>
      <c r="BP318">
        <f t="shared" si="183"/>
        <v>462910.99171960109</v>
      </c>
      <c r="BQ318">
        <f t="shared" si="184"/>
        <v>564144.02296293166</v>
      </c>
      <c r="BR318" s="148">
        <f t="shared" si="185"/>
        <v>580683.94554071268</v>
      </c>
      <c r="BS318" s="156">
        <f t="shared" si="186"/>
        <v>1351.9276149603543</v>
      </c>
      <c r="BT318" s="156">
        <f t="shared" si="187"/>
        <v>8933.0961251709105</v>
      </c>
      <c r="BU318">
        <f t="shared" si="188"/>
        <v>1039.9518572629122</v>
      </c>
      <c r="BV318">
        <f t="shared" si="189"/>
        <v>1039.9518572629122</v>
      </c>
      <c r="BW318" s="148">
        <f t="shared" si="190"/>
        <v>455.4</v>
      </c>
      <c r="BX318" s="148">
        <f t="shared" si="191"/>
        <v>3129354.9718154697</v>
      </c>
      <c r="BY318" s="148">
        <f t="shared" si="192"/>
        <v>0.13155390994375835</v>
      </c>
      <c r="BZ318">
        <f t="shared" si="176"/>
        <v>84.352806601004758</v>
      </c>
      <c r="CB318">
        <f t="shared" si="193"/>
        <v>-311.97575769744208</v>
      </c>
      <c r="CC318" s="162">
        <f t="shared" si="232"/>
        <v>-2021.4768789567784</v>
      </c>
      <c r="CD318">
        <f t="shared" si="196"/>
        <v>15807.982098754739</v>
      </c>
    </row>
    <row r="319" spans="4:82" x14ac:dyDescent="0.2">
      <c r="D319" s="22">
        <f t="shared" si="211"/>
        <v>2.3640901921193011E-3</v>
      </c>
      <c r="E319" s="23">
        <v>8.6017071999999999</v>
      </c>
      <c r="F319" s="23">
        <f>IF(K319&lt;6,1,IF(Data!K319&lt;9,2,IF(K319&gt;9,3)))</f>
        <v>3</v>
      </c>
      <c r="G319" s="23">
        <v>1123.3660875459377</v>
      </c>
      <c r="H319" s="23">
        <v>221.26666499999999</v>
      </c>
      <c r="I319" s="64">
        <v>32.953207152633517</v>
      </c>
      <c r="J319" s="65">
        <f t="shared" si="212"/>
        <v>-1.7259380906490898</v>
      </c>
      <c r="K319" s="65">
        <f t="shared" si="213"/>
        <v>13.181282861053408</v>
      </c>
      <c r="L319" s="65">
        <f t="shared" si="214"/>
        <v>-0.69037523625963693</v>
      </c>
      <c r="M319">
        <f t="shared" si="215"/>
        <v>17.2034144</v>
      </c>
      <c r="N319">
        <f t="shared" ref="N319:N320" si="233">E320-E319</f>
        <v>9.9998400000000487E-2</v>
      </c>
      <c r="O319">
        <f>'Vehicle Data'!C$20</f>
        <v>0.9</v>
      </c>
      <c r="P319">
        <f>('Vehicle Data'!C$6*9.81*'Vehicle Data'!C$5*SIN(D319))/'Vehicle Data'!C$9</f>
        <v>1.5744058294107366</v>
      </c>
      <c r="Q319" s="107">
        <f>'Vehicle Data'!C$6*9.81*SIN(D319)</f>
        <v>10.181157696856097</v>
      </c>
      <c r="R319">
        <f t="shared" si="217"/>
        <v>1121.6975334585552</v>
      </c>
      <c r="S319">
        <f>IF(Data!O319=0.6,'Vehicle Data'!E$21,IF(Data!O319 = 0.9,'Vehicle Data'!E$20))+(P319*O319)</f>
        <v>2326.9755652464696</v>
      </c>
      <c r="T319">
        <f>IF(F319=3,'Vehicle Data'!H$16,IF(F319=2,'Vehicle Data'!H$15,IF(F319 = 1,'Vehicle Data'!G$14)))</f>
        <v>466.23005239380637</v>
      </c>
      <c r="U319" s="148">
        <f t="shared" si="218"/>
        <v>405.55905133523913</v>
      </c>
      <c r="V319" s="70" t="s">
        <v>77</v>
      </c>
      <c r="W319" s="99" t="s">
        <v>84</v>
      </c>
      <c r="X319">
        <f>IF(V319="S",'Vehicle Data'!C$14,IF(Data!V319 = "T1",'Vehicle Data'!P$2,IF(Data!V319="T2",'Vehicle Data'!P$3)))</f>
        <v>13.411199999999999</v>
      </c>
      <c r="Z319">
        <v>11.3</v>
      </c>
      <c r="AB319" t="b">
        <f>IF(AA319=1,'Vehicle Data'!I$14,IF(AA319=2,'Vehicle Data'!I$15,IF(AA319=3,'Vehicle Data'!I$16)))</f>
        <v>0</v>
      </c>
      <c r="AC319">
        <f>IF(Z319&lt;'Vehicle Data'!C$16,'Vehicle Data'!I$15,IF(Z319&lt;'Vehicle Data'!C$15,'Vehicle Data'!I$15,IF(Z318&gt;'Vehicle Data'!C$15,'Vehicle Data'!I$16)))</f>
        <v>0.46202745420001456</v>
      </c>
      <c r="AD319">
        <f>IF(O319=0.6,'Vehicle Data'!F$21,IF(O319=0.9,'Vehicle Data'!F$20))</f>
        <v>5.2973999999999997</v>
      </c>
      <c r="AE319" s="100">
        <f t="shared" si="229"/>
        <v>0.46202745420001456</v>
      </c>
      <c r="AF319" s="158">
        <f t="shared" si="220"/>
        <v>0.15133919931198422</v>
      </c>
      <c r="AG319" s="148">
        <f t="shared" si="178"/>
        <v>-0.25469707634934674</v>
      </c>
      <c r="AH319" s="148">
        <f t="shared" si="195"/>
        <v>84.504145800316749</v>
      </c>
      <c r="AJ319">
        <f>(Z319^2)*'Vehicle Data'!C$31</f>
        <v>46.926075000000019</v>
      </c>
      <c r="AK319">
        <f>IF(O319=0.6,'Vehicle Data'!C$6*'Vehicle Data'!D$21*9.81,IF(O319=0.9,'Vehicle Data'!C$6*9.81*'Vehicle Data'!D$20))</f>
        <v>55.985669999999999</v>
      </c>
      <c r="AL319">
        <f t="shared" si="221"/>
        <v>113.09290269685613</v>
      </c>
      <c r="AN319">
        <f>IF(AG319&lt;0,AG319*'Vehicle Data'!C$6)</f>
        <v>-111.81201651736322</v>
      </c>
      <c r="AO319">
        <f t="shared" si="222"/>
        <v>1.2808861794929101</v>
      </c>
      <c r="AP319">
        <f>AO319*'Vehicle Data'!F$3</f>
        <v>0.32739450747838783</v>
      </c>
      <c r="AQ319">
        <f>IF(AE319='Vehicle Data'!I$15,AP319/'Vehicle Data'!G$15,IF(AE319='Vehicle Data'!I$16,AP319/'Vehicle Data'!G$16,IF(AE319='Vehicle Data'!I$14,Data!AP319/'Vehicle Data'!G330)))</f>
        <v>6.0441183068657915E-2</v>
      </c>
      <c r="AR319">
        <f>IF(Z319&lt;'Vehicle Data'!C$16, Z319*'Vehicle Data'!F$7*'Vehicle Data'!G$14,IF(Z319&lt;'Vehicle Data'!C$15,Z319*'Vehicle Data'!F$7*'Vehicle Data'!G$15,IF(Z319&gt;'Vehicle Data'!C$15,Z319*'Vehicle Data'!F$7*'Vehicle Data'!G$16)))</f>
        <v>98.300922611946248</v>
      </c>
      <c r="AS319">
        <f t="shared" si="223"/>
        <v>5898.0553567167753</v>
      </c>
      <c r="AT319">
        <f t="shared" si="224"/>
        <v>0</v>
      </c>
      <c r="AU319">
        <f t="shared" si="225"/>
        <v>6000</v>
      </c>
      <c r="AW319" t="e">
        <f>VLOOKUP(AT319,BSFC!A$64:A$82,1,FALSE)</f>
        <v>#N/A</v>
      </c>
      <c r="AX319" t="e" cm="1">
        <f t="array" ref="AX319">_xlfn.XLOOKUP(AT319,BSFC!A$64:A$82,,-1,_xlfn.XLOOKUP(Data!AU319,BSFC!C$63:Q$63,BSFC!B$64:Q$82,,-1))</f>
        <v>#VALUE!</v>
      </c>
      <c r="AY319">
        <f>HLOOKUP(AU319,BSFC!F$63:Q$63,1)</f>
        <v>6000</v>
      </c>
      <c r="AZ319">
        <f>IF(AT319&gt;0,MATCH(AT319,BSFC!A$64:A$83,0),IF(AT319&lt;=0,0))</f>
        <v>0</v>
      </c>
      <c r="BA319">
        <f>MATCH(AU319,BSFC!C$63:Q$63,0)</f>
        <v>12</v>
      </c>
      <c r="BB319" t="b" cm="1">
        <f t="array" ref="BB319">IF(AZ319&gt;0,INDEX(BSFC!C$64:Q$83,Data!AZ319,Data!BA319))</f>
        <v>0</v>
      </c>
      <c r="BC319">
        <f>0.5*'Vehicle Data'!C$6*Data!Z319^2</f>
        <v>28027.955000000002</v>
      </c>
      <c r="BD319">
        <f t="shared" si="179"/>
        <v>21.694832675334006</v>
      </c>
      <c r="BE319">
        <f t="shared" si="226"/>
        <v>0</v>
      </c>
      <c r="BF319">
        <f t="shared" si="227"/>
        <v>0</v>
      </c>
      <c r="BG319">
        <f t="shared" si="180"/>
        <v>94.599659844114768</v>
      </c>
      <c r="BH319">
        <f t="shared" si="228"/>
        <v>37.180375841092733</v>
      </c>
      <c r="BI319" s="148">
        <f t="shared" si="181"/>
        <v>6871.6622130335309</v>
      </c>
      <c r="BO319">
        <f t="shared" si="182"/>
        <v>5.6397698254612267</v>
      </c>
      <c r="BP319">
        <f t="shared" si="183"/>
        <v>462916.63148942654</v>
      </c>
      <c r="BQ319">
        <f t="shared" si="184"/>
        <v>564149.66273275716</v>
      </c>
      <c r="BR319" s="148">
        <f t="shared" si="185"/>
        <v>581726.28554731898</v>
      </c>
      <c r="BS319" s="156">
        <f t="shared" si="186"/>
        <v>5.6397698254612267</v>
      </c>
      <c r="BT319" s="156">
        <f t="shared" si="187"/>
        <v>37.180375841092733</v>
      </c>
      <c r="BU319">
        <f t="shared" si="188"/>
        <v>1042.3400066062813</v>
      </c>
      <c r="BV319">
        <f t="shared" si="189"/>
        <v>1042.3400066062813</v>
      </c>
      <c r="BW319" s="148">
        <f t="shared" si="190"/>
        <v>455.4</v>
      </c>
      <c r="BX319" s="148">
        <f t="shared" si="191"/>
        <v>3129354.9718154697</v>
      </c>
      <c r="BY319" s="148">
        <f t="shared" si="192"/>
        <v>0.13185601083569456</v>
      </c>
      <c r="BZ319">
        <f t="shared" si="176"/>
        <v>84.504145800316749</v>
      </c>
      <c r="CB319">
        <f t="shared" si="193"/>
        <v>1036.7002367808202</v>
      </c>
      <c r="CC319" s="162">
        <f t="shared" si="232"/>
        <v>6850.1765669027136</v>
      </c>
      <c r="CD319">
        <f t="shared" si="196"/>
        <v>16844.682335535559</v>
      </c>
    </row>
    <row r="320" spans="4:82" x14ac:dyDescent="0.2">
      <c r="D320" s="22">
        <f t="shared" si="211"/>
        <v>0</v>
      </c>
      <c r="E320" s="23">
        <v>8.7017056000000004</v>
      </c>
      <c r="F320" s="23">
        <f>IF(K320&lt;6,1,IF(Data!K320&lt;9,2,IF(K320&gt;9,3)))</f>
        <v>3</v>
      </c>
      <c r="G320" s="23">
        <v>1165.6650207594942</v>
      </c>
      <c r="H320" s="23">
        <v>222.66666499999999</v>
      </c>
      <c r="I320" s="64">
        <v>30.536893825724782</v>
      </c>
      <c r="J320" s="65">
        <f t="shared" si="212"/>
        <v>-1.7060294604139046</v>
      </c>
      <c r="K320" s="65">
        <f t="shared" si="213"/>
        <v>12.214757530289912</v>
      </c>
      <c r="L320" s="65">
        <f t="shared" si="214"/>
        <v>-0.68241178416556147</v>
      </c>
      <c r="M320">
        <f t="shared" si="215"/>
        <v>17.403411200000001</v>
      </c>
      <c r="N320">
        <f t="shared" si="233"/>
        <v>0</v>
      </c>
      <c r="O320">
        <f>'Vehicle Data'!C$20</f>
        <v>0.9</v>
      </c>
      <c r="P320">
        <f>('Vehicle Data'!C$6*9.81*'Vehicle Data'!C$5*SIN(D320))/'Vehicle Data'!C$9</f>
        <v>0</v>
      </c>
      <c r="Q320" s="107">
        <f>'Vehicle Data'!C$6*9.81*SIN(D320)</f>
        <v>0</v>
      </c>
      <c r="R320">
        <f t="shared" si="217"/>
        <v>1123.3660875459377</v>
      </c>
      <c r="S320">
        <f>IF(Data!O320=0.6,'Vehicle Data'!E$21,IF(Data!O320 = 0.9,'Vehicle Data'!E$20))+(P320*O320)</f>
        <v>2325.5585999999998</v>
      </c>
      <c r="T320">
        <f>IF(F320=3,'Vehicle Data'!H$16,IF(F320=2,'Vehicle Data'!H$15,IF(F320 = 1,'Vehicle Data'!G$14)))</f>
        <v>466.23005239380637</v>
      </c>
      <c r="U320" s="148">
        <f t="shared" si="218"/>
        <v>407.22760542262165</v>
      </c>
      <c r="V320" s="70" t="s">
        <v>77</v>
      </c>
      <c r="W320" s="99" t="s">
        <v>84</v>
      </c>
      <c r="X320">
        <f>IF(V320="S",'Vehicle Data'!C$14,IF(Data!V320 = "T1",'Vehicle Data'!P$2,IF(Data!V320="T2",'Vehicle Data'!P$3)))</f>
        <v>13.411199999999999</v>
      </c>
      <c r="Z320">
        <v>11</v>
      </c>
      <c r="AB320" t="b">
        <f>IF(AA320=1,'Vehicle Data'!I$14,IF(AA320=2,'Vehicle Data'!I$15,IF(AA320=3,'Vehicle Data'!I$16)))</f>
        <v>0</v>
      </c>
      <c r="AC320">
        <f>IF(Z320&lt;'Vehicle Data'!C$16,'Vehicle Data'!I$15,IF(Z320&lt;'Vehicle Data'!C$15,'Vehicle Data'!I$15,IF(Z319&gt;'Vehicle Data'!C$15,'Vehicle Data'!I$16)))</f>
        <v>0.46202745420001456</v>
      </c>
      <c r="AD320">
        <f>IF(O320=0.6,'Vehicle Data'!F$21,IF(O320=0.9,'Vehicle Data'!F$20))</f>
        <v>5.2973999999999997</v>
      </c>
      <c r="AE320" s="100">
        <f t="shared" si="229"/>
        <v>0.46202745420001456</v>
      </c>
      <c r="AF320" s="158">
        <f t="shared" si="220"/>
        <v>0.15168673521659251</v>
      </c>
      <c r="AG320" s="148">
        <f t="shared" si="178"/>
        <v>-1.977760280565289</v>
      </c>
      <c r="AH320" s="148">
        <f t="shared" si="195"/>
        <v>84.655832535533335</v>
      </c>
      <c r="AJ320">
        <f>(Z320^2)*'Vehicle Data'!C$31</f>
        <v>44.467500000000015</v>
      </c>
      <c r="AK320">
        <f>IF(O320=0.6,'Vehicle Data'!C$6*'Vehicle Data'!D$21*9.81,IF(O320=0.9,'Vehicle Data'!C$6*9.81*'Vehicle Data'!D$20))</f>
        <v>55.985669999999999</v>
      </c>
      <c r="AL320">
        <f t="shared" si="221"/>
        <v>100.45317000000001</v>
      </c>
      <c r="AN320">
        <f>IF(AG320&lt;0,AG320*'Vehicle Data'!C$6)</f>
        <v>-868.23676316816181</v>
      </c>
      <c r="AO320">
        <f t="shared" si="222"/>
        <v>-767.78359316816181</v>
      </c>
      <c r="AP320">
        <f>AO320*'Vehicle Data'!F$3</f>
        <v>-196.24548641378215</v>
      </c>
      <c r="AQ320">
        <f>IF(AE320='Vehicle Data'!I$15,AP320/'Vehicle Data'!G$15,IF(AE320='Vehicle Data'!I$16,AP320/'Vehicle Data'!G$16,IF(AE320='Vehicle Data'!I$14,Data!AP320/'Vehicle Data'!G331)))</f>
        <v>-36.229408556941728</v>
      </c>
      <c r="AR320">
        <f>IF(Z320&lt;'Vehicle Data'!C$16, Z320*'Vehicle Data'!F$7*'Vehicle Data'!G$14,IF(Z320&lt;'Vehicle Data'!C$15,Z320*'Vehicle Data'!F$7*'Vehicle Data'!G$15,IF(Z320&gt;'Vehicle Data'!C$15,Z320*'Vehicle Data'!F$7*'Vehicle Data'!G$16)))</f>
        <v>95.69116360454943</v>
      </c>
      <c r="AS320">
        <f t="shared" si="223"/>
        <v>5741.4698162729655</v>
      </c>
      <c r="AT320">
        <f t="shared" si="224"/>
        <v>-36</v>
      </c>
      <c r="AU320">
        <f t="shared" si="225"/>
        <v>5500</v>
      </c>
      <c r="AW320" t="e">
        <f>VLOOKUP(AT320,BSFC!A$64:A$82,1,FALSE)</f>
        <v>#N/A</v>
      </c>
      <c r="AX320" t="e" cm="1">
        <f t="array" ref="AX320">_xlfn.XLOOKUP(AT320,BSFC!A$64:A$82,,-1,_xlfn.XLOOKUP(Data!AU320,BSFC!C$63:Q$63,BSFC!B$64:Q$82,,-1))</f>
        <v>#VALUE!</v>
      </c>
      <c r="AY320">
        <f>HLOOKUP(AU320,BSFC!F$63:Q$63,1)</f>
        <v>5500</v>
      </c>
      <c r="AZ320">
        <f>IF(AT320&gt;0,MATCH(AT320,BSFC!A$64:A$83,0),IF(AT320&lt;=0,0))</f>
        <v>0</v>
      </c>
      <c r="BA320">
        <f>MATCH(AU320,BSFC!C$63:Q$63,0)</f>
        <v>11</v>
      </c>
      <c r="BB320" t="b" cm="1">
        <f t="array" ref="BB320">IF(AZ320&gt;0,INDEX(BSFC!C$64:Q$83,Data!AZ320,Data!BA320))</f>
        <v>0</v>
      </c>
      <c r="BC320">
        <f>0.5*'Vehicle Data'!C$6*Data!Z320^2</f>
        <v>26559.5</v>
      </c>
      <c r="BD320">
        <f t="shared" si="179"/>
        <v>10.574468085106384</v>
      </c>
      <c r="BE320">
        <v>0</v>
      </c>
      <c r="BF320">
        <f t="shared" si="227"/>
        <v>0</v>
      </c>
      <c r="BG320">
        <f t="shared" si="180"/>
        <v>94.599659844114768</v>
      </c>
      <c r="BH320">
        <f t="shared" si="228"/>
        <v>-21694.832675334004</v>
      </c>
      <c r="BI320" s="148">
        <f t="shared" si="181"/>
        <v>6871.6622130335309</v>
      </c>
      <c r="BO320">
        <f t="shared" si="182"/>
        <v>-107960.97393096882</v>
      </c>
      <c r="BP320">
        <f t="shared" si="183"/>
        <v>354955.65755845769</v>
      </c>
      <c r="BQ320">
        <f t="shared" si="184"/>
        <v>564149.66273275716</v>
      </c>
      <c r="BR320" s="148">
        <f t="shared" si="185"/>
        <v>615922.04801969836</v>
      </c>
      <c r="BS320" s="156" t="b">
        <f t="shared" si="186"/>
        <v>0</v>
      </c>
      <c r="BT320" s="156">
        <f t="shared" si="187"/>
        <v>0</v>
      </c>
      <c r="BU320">
        <f t="shared" si="188"/>
        <v>34195.762472379385</v>
      </c>
      <c r="BV320">
        <f t="shared" si="189"/>
        <v>34195.762472379385</v>
      </c>
      <c r="BW320" s="148">
        <f t="shared" si="190"/>
        <v>455.4</v>
      </c>
      <c r="BX320" s="148">
        <f t="shared" si="191"/>
        <v>3129354.9718154697</v>
      </c>
      <c r="BY320" s="148">
        <f t="shared" si="192"/>
        <v>4.3257639527559917</v>
      </c>
      <c r="BZ320">
        <f t="shared" si="176"/>
        <v>84.655832535533335</v>
      </c>
      <c r="CB320">
        <f t="shared" si="193"/>
        <v>34195.762472379385</v>
      </c>
      <c r="CC320" s="162">
        <f t="shared" si="232"/>
        <v>225436.73593839919</v>
      </c>
      <c r="CD320">
        <f t="shared" si="196"/>
        <v>51040.444807914944</v>
      </c>
    </row>
    <row r="321" spans="4:82" x14ac:dyDescent="0.2">
      <c r="D321" s="22">
        <f t="shared" si="211"/>
        <v>0</v>
      </c>
      <c r="E321" s="23">
        <v>8.7017056000000004</v>
      </c>
      <c r="F321" s="23">
        <f>IF(K321&lt;6,1,IF(Data!K321&lt;9,2,IF(K321&gt;9,3)))</f>
        <v>3</v>
      </c>
      <c r="G321" s="23">
        <v>1338.6387996080039</v>
      </c>
      <c r="H321" s="23">
        <v>226.79999799999999</v>
      </c>
      <c r="I321" s="64">
        <v>23.485305958023808</v>
      </c>
      <c r="J321" s="65">
        <f t="shared" si="212"/>
        <v>4.0591105202088338</v>
      </c>
      <c r="K321" s="65">
        <f t="shared" si="213"/>
        <v>9.394122383209524</v>
      </c>
      <c r="L321" s="65">
        <f t="shared" si="214"/>
        <v>1.623644208083505</v>
      </c>
      <c r="M321">
        <f t="shared" si="215"/>
        <v>17.403411200000001</v>
      </c>
      <c r="N321">
        <v>0</v>
      </c>
      <c r="O321">
        <f>'Vehicle Data'!C$20</f>
        <v>0.9</v>
      </c>
      <c r="P321">
        <f>('Vehicle Data'!C$6*9.81*'Vehicle Data'!C$5*SIN(D321))/'Vehicle Data'!C$9</f>
        <v>0</v>
      </c>
      <c r="Q321" s="107">
        <f>'Vehicle Data'!C$6*9.81*SIN(D321)</f>
        <v>0</v>
      </c>
      <c r="R321">
        <f t="shared" si="217"/>
        <v>1165.6650207594942</v>
      </c>
      <c r="S321">
        <f>IF(Data!O321=0.6,'Vehicle Data'!E$21,IF(Data!O321 = 0.9,'Vehicle Data'!E$20))+(P321*O321)</f>
        <v>2325.5585999999998</v>
      </c>
      <c r="T321">
        <f>IF(F321=3,'Vehicle Data'!H$16,IF(F321=2,'Vehicle Data'!H$15,IF(F321 = 1,'Vehicle Data'!G$14)))</f>
        <v>466.23005239380637</v>
      </c>
      <c r="U321" s="148">
        <f t="shared" si="218"/>
        <v>449.52653863617809</v>
      </c>
      <c r="V321" s="70" t="s">
        <v>77</v>
      </c>
      <c r="W321" s="99" t="s">
        <v>84</v>
      </c>
      <c r="X321">
        <f>IF(V321="S",'Vehicle Data'!C$14,IF(Data!V321 = "T1",'Vehicle Data'!P$2,IF(Data!V321="T2",'Vehicle Data'!P$3)))</f>
        <v>13.411199999999999</v>
      </c>
      <c r="Z321">
        <v>8.5</v>
      </c>
      <c r="AB321" t="b">
        <f>IF(AA321=1,'Vehicle Data'!I$14,IF(AA321=2,'Vehicle Data'!I$15,IF(AA321=3,'Vehicle Data'!I$16)))</f>
        <v>0</v>
      </c>
      <c r="AC321">
        <f>IF(Z321&lt;'Vehicle Data'!C$16,'Vehicle Data'!I$15,IF(Z321&lt;'Vehicle Data'!C$15,'Vehicle Data'!I$15,IF(Z320&gt;'Vehicle Data'!C$15,'Vehicle Data'!I$16)))</f>
        <v>0.98256251041858167</v>
      </c>
      <c r="AD321">
        <f>IF(O321=0.6,'Vehicle Data'!F$21,IF(O321=0.9,'Vehicle Data'!F$20))</f>
        <v>5.2973999999999997</v>
      </c>
      <c r="AE321" s="100">
        <f t="shared" si="219"/>
        <v>0.98256251041858167</v>
      </c>
      <c r="AF321" s="162">
        <f t="shared" si="220"/>
        <v>4.9763450839478161</v>
      </c>
      <c r="AG321" s="148">
        <f t="shared" si="178"/>
        <v>-0.50237673590287046</v>
      </c>
      <c r="AH321" s="148">
        <f t="shared" si="195"/>
        <v>89.632177619481155</v>
      </c>
      <c r="AJ321">
        <f>(Z321^2)*'Vehicle Data'!C$31</f>
        <v>26.551875000000006</v>
      </c>
      <c r="AK321">
        <f>IF(O321=0.6,'Vehicle Data'!C$6*'Vehicle Data'!D$21*9.81,IF(O321=0.9,'Vehicle Data'!C$6*9.81*'Vehicle Data'!D$20))</f>
        <v>55.985669999999999</v>
      </c>
      <c r="AL321">
        <f t="shared" si="221"/>
        <v>82.537545000000009</v>
      </c>
      <c r="AN321">
        <f>IF(AG321&lt;0,AG321*'Vehicle Data'!C$6)</f>
        <v>-220.54338706136014</v>
      </c>
      <c r="AO321">
        <f t="shared" si="222"/>
        <v>-138.00584206136011</v>
      </c>
      <c r="AP321">
        <f>AO321*'Vehicle Data'!F$3</f>
        <v>-35.274293230883643</v>
      </c>
      <c r="AQ321">
        <v>15.336</v>
      </c>
      <c r="AR321">
        <f>IF(Z321&lt;'Vehicle Data'!C$16, Z321*'Vehicle Data'!F$7*'Vehicle Data'!G$14,IF(Z321&lt;'Vehicle Data'!C$15,Z321*'Vehicle Data'!F$7*'Vehicle Data'!G$15,IF(Z321&gt;'Vehicle Data'!C$15,Z321*'Vehicle Data'!F$7*'Vehicle Data'!G$16)))</f>
        <v>110.18518518518519</v>
      </c>
      <c r="AS321">
        <f t="shared" si="223"/>
        <v>6611.1111111111113</v>
      </c>
      <c r="AT321">
        <f t="shared" si="224"/>
        <v>15</v>
      </c>
      <c r="AU321">
        <f t="shared" si="225"/>
        <v>6500</v>
      </c>
      <c r="AW321">
        <f>VLOOKUP(AT321,BSFC!A$64:A$82,1,FALSE)</f>
        <v>15</v>
      </c>
      <c r="AX321" t="e" cm="1">
        <f t="array" ref="AX321">_xlfn.XLOOKUP(AT321,BSFC!A$64:A$82,,-1,_xlfn.XLOOKUP(Data!AU321,BSFC!C$63:Q$63,BSFC!B$64:Q$82,,-1))</f>
        <v>#VALUE!</v>
      </c>
      <c r="AY321">
        <f>HLOOKUP(AU321,BSFC!F$63:Q$63,1)</f>
        <v>6500</v>
      </c>
      <c r="AZ321">
        <f>IF(AT321&gt;0,MATCH(AT321,BSFC!A$64:A$83,0),IF(AT321&lt;=0,0))</f>
        <v>8</v>
      </c>
      <c r="BA321">
        <f>MATCH(AU321,BSFC!C$63:Q$63,0)</f>
        <v>13</v>
      </c>
      <c r="BB321" cm="1">
        <f t="array" ref="BB321">IF(AZ321&gt;0,INDEX(BSFC!C$64:Q$83,Data!AZ321,Data!BA321))</f>
        <v>527</v>
      </c>
      <c r="BC321">
        <f>0.5*'Vehicle Data'!C$6*Data!Z321^2</f>
        <v>15858.875</v>
      </c>
      <c r="BD321">
        <f t="shared" si="179"/>
        <v>10.325657071339176</v>
      </c>
      <c r="BE321">
        <f t="shared" si="226"/>
        <v>5441.6212765957462</v>
      </c>
      <c r="BF321">
        <f t="shared" si="227"/>
        <v>7.5220514690258558</v>
      </c>
      <c r="BG321">
        <f t="shared" si="180"/>
        <v>102.12171131314062</v>
      </c>
      <c r="BH321">
        <f t="shared" si="228"/>
        <v>10574.468085106384</v>
      </c>
      <c r="BI321" s="148">
        <f t="shared" si="181"/>
        <v>6871.6622130335309</v>
      </c>
      <c r="BO321">
        <f t="shared" si="182"/>
        <v>220374.18120407418</v>
      </c>
      <c r="BP321">
        <f t="shared" si="183"/>
        <v>575329.83876253187</v>
      </c>
      <c r="BQ321">
        <f t="shared" si="184"/>
        <v>784523.84393683134</v>
      </c>
      <c r="BR321" s="148">
        <f t="shared" si="185"/>
        <v>759128.9612677613</v>
      </c>
      <c r="BS321" s="156">
        <f t="shared" si="186"/>
        <v>220374.18120407418</v>
      </c>
      <c r="BT321" s="156">
        <f t="shared" si="187"/>
        <v>10574.468085106384</v>
      </c>
      <c r="BU321">
        <f t="shared" si="188"/>
        <v>143206.91324806298</v>
      </c>
      <c r="BV321">
        <f t="shared" si="189"/>
        <v>143206.91324806298</v>
      </c>
      <c r="BW321" s="148">
        <f t="shared" si="190"/>
        <v>455.4</v>
      </c>
      <c r="BX321" s="148">
        <f t="shared" si="191"/>
        <v>3129354.9718154697</v>
      </c>
      <c r="BY321" s="148">
        <f t="shared" si="192"/>
        <v>18.115674525879964</v>
      </c>
      <c r="BZ321">
        <f t="shared" si="176"/>
        <v>89.632177619481155</v>
      </c>
      <c r="CB321">
        <f t="shared" si="193"/>
        <v>-77167.267956011201</v>
      </c>
      <c r="CC321" s="162">
        <f t="shared" si="232"/>
        <v>-15506.816077713222</v>
      </c>
      <c r="CD321">
        <f t="shared" si="196"/>
        <v>-26126.823148096257</v>
      </c>
    </row>
    <row r="322" spans="4:82" x14ac:dyDescent="0.2">
      <c r="D322" s="22">
        <f t="shared" si="211"/>
        <v>0</v>
      </c>
      <c r="E322" s="23">
        <v>8.8017047999999996</v>
      </c>
      <c r="F322" s="23">
        <f>IF(K322&lt;6,1,IF(Data!K322&lt;9,2,IF(K322&gt;9,3)))</f>
        <v>3</v>
      </c>
      <c r="G322" s="23">
        <v>1339.8102949122092</v>
      </c>
      <c r="H322" s="23">
        <v>226.849998</v>
      </c>
      <c r="I322" s="64">
        <v>23.688261484034296</v>
      </c>
      <c r="J322" s="65">
        <f t="shared" si="212"/>
        <v>3.956050306250062</v>
      </c>
      <c r="K322" s="65">
        <f t="shared" si="213"/>
        <v>9.4753045936137177</v>
      </c>
      <c r="L322" s="65">
        <f t="shared" si="214"/>
        <v>1.5824201225000392</v>
      </c>
      <c r="M322">
        <f t="shared" si="215"/>
        <v>17.603409599999999</v>
      </c>
      <c r="N322">
        <f t="shared" si="216"/>
        <v>0</v>
      </c>
      <c r="O322">
        <f>'Vehicle Data'!C$20</f>
        <v>0.9</v>
      </c>
      <c r="P322">
        <f>('Vehicle Data'!C$6*9.81*'Vehicle Data'!C$5*SIN(D322))/'Vehicle Data'!C$9</f>
        <v>0</v>
      </c>
      <c r="Q322" s="107">
        <f>'Vehicle Data'!C$6*9.81*SIN(D322)</f>
        <v>0</v>
      </c>
      <c r="R322">
        <f t="shared" ref="R322:R373" si="234">G321</f>
        <v>1338.6387996080039</v>
      </c>
      <c r="S322">
        <f>IF(Data!O322=0.6,'Vehicle Data'!E$21,IF(Data!O322 = 0.9,'Vehicle Data'!E$20))+(P322*O322)</f>
        <v>2325.5585999999998</v>
      </c>
      <c r="T322">
        <f>IF(F322=3,'Vehicle Data'!H$16,IF(F322=2,'Vehicle Data'!H$15,IF(F322 = 1,'Vehicle Data'!G$14)))</f>
        <v>466.23005239380637</v>
      </c>
      <c r="U322" s="148">
        <f t="shared" si="218"/>
        <v>622.5003174846878</v>
      </c>
      <c r="V322" s="70" t="s">
        <v>77</v>
      </c>
      <c r="W322" s="99" t="s">
        <v>84</v>
      </c>
      <c r="X322">
        <f>IF(V322="S",'Vehicle Data'!C$14,IF(Data!V322 = "T1",'Vehicle Data'!P$2,IF(Data!V322="T2",'Vehicle Data'!P$3)))</f>
        <v>13.411199999999999</v>
      </c>
      <c r="Z322">
        <v>8.3000000000000007</v>
      </c>
      <c r="AB322" t="b">
        <f>IF(AA322=1,'Vehicle Data'!I$14,IF(AA322=2,'Vehicle Data'!I$15,IF(AA322=3,'Vehicle Data'!I$16)))</f>
        <v>0</v>
      </c>
      <c r="AC322">
        <f>IF(Z322&lt;'Vehicle Data'!C$16,'Vehicle Data'!I$15,IF(Z322&lt;'Vehicle Data'!C$15,'Vehicle Data'!I$15,IF(Z321&gt;'Vehicle Data'!C$15,'Vehicle Data'!I$16)))</f>
        <v>0.98256251041858167</v>
      </c>
      <c r="AD322">
        <f>IF(O322=0.6,'Vehicle Data'!F$21,IF(O322=0.9,'Vehicle Data'!F$20))</f>
        <v>5.2973999999999997</v>
      </c>
      <c r="AE322" s="162">
        <f t="shared" si="219"/>
        <v>0.98256251041858167</v>
      </c>
      <c r="AF322" s="162">
        <f t="shared" si="220"/>
        <v>20.840214319097555</v>
      </c>
      <c r="AG322" s="162">
        <f t="shared" si="178"/>
        <v>-9.5968302886752614E-3</v>
      </c>
      <c r="AH322" s="162">
        <f t="shared" si="195"/>
        <v>110.47239193857871</v>
      </c>
      <c r="AI322" s="162"/>
      <c r="AJ322" s="162">
        <f>(Z322^2)*'Vehicle Data'!C$31</f>
        <v>25.317075000000013</v>
      </c>
      <c r="AK322" s="162">
        <f>IF(O322=0.6,'Vehicle Data'!C$6*'Vehicle Data'!D$21*9.81,IF(O322=0.9,'Vehicle Data'!C$6*9.81*'Vehicle Data'!D$20))</f>
        <v>55.985669999999999</v>
      </c>
      <c r="AL322" s="162">
        <f t="shared" si="221"/>
        <v>81.302745000000016</v>
      </c>
      <c r="AM322" s="162"/>
      <c r="AN322" s="162">
        <f>IF(AG322&lt;0,AG322*'Vehicle Data'!C$6)</f>
        <v>-4.21300849672844</v>
      </c>
      <c r="AO322" s="162">
        <f t="shared" si="222"/>
        <v>77.089736503271581</v>
      </c>
      <c r="AP322" s="162">
        <f>AO322*'Vehicle Data'!F$3</f>
        <v>19.704136650236215</v>
      </c>
      <c r="AQ322" s="162">
        <v>15.336</v>
      </c>
      <c r="AR322" s="162">
        <f>IF(Z322&lt;'Vehicle Data'!C$16, Z322*'Vehicle Data'!F$7*'Vehicle Data'!G$14,IF(Z322&lt;'Vehicle Data'!C$15,Z322*'Vehicle Data'!F$7*'Vehicle Data'!G$15,IF(Z322&gt;'Vehicle Data'!C$15,Z322*'Vehicle Data'!F$7*'Vehicle Data'!G$16)))</f>
        <v>107.59259259259261</v>
      </c>
      <c r="AS322" s="162">
        <f t="shared" si="223"/>
        <v>6455.5555555555566</v>
      </c>
      <c r="AT322" s="162">
        <f t="shared" si="224"/>
        <v>15</v>
      </c>
      <c r="AU322" s="162">
        <f t="shared" si="225"/>
        <v>6500</v>
      </c>
      <c r="AV322" s="162"/>
      <c r="AW322" s="162">
        <f>VLOOKUP(AT322,BSFC!A$64:A$82,1,FALSE)</f>
        <v>15</v>
      </c>
      <c r="AX322" s="162" t="e" cm="1">
        <f t="array" ref="AX322">_xlfn.XLOOKUP(AT322,BSFC!A$64:A$82,,-1,_xlfn.XLOOKUP(Data!AU322,BSFC!C$63:Q$63,BSFC!B$64:Q$82,,-1))</f>
        <v>#VALUE!</v>
      </c>
      <c r="AY322" s="162">
        <f>HLOOKUP(AU322,BSFC!F$63:Q$63,1)</f>
        <v>6500</v>
      </c>
      <c r="AZ322" s="162">
        <f>IF(AT322&gt;0,MATCH(AT322,BSFC!A$64:A$83,0),IF(AT322&lt;=0,0))</f>
        <v>8</v>
      </c>
      <c r="BA322" s="162">
        <f>MATCH(AU322,BSFC!C$63:Q$63,0)</f>
        <v>13</v>
      </c>
      <c r="BB322" s="162" cm="1">
        <f t="array" ref="BB322">IF(AZ322&gt;0,INDEX(BSFC!C$64:Q$83,Data!AZ322,Data!BA322))</f>
        <v>527</v>
      </c>
      <c r="BC322" s="162">
        <f>0.5*'Vehicle Data'!C$6*Data!Z322^2</f>
        <v>15121.355000000003</v>
      </c>
      <c r="BD322" s="162">
        <f t="shared" si="179"/>
        <v>10.325657071339176</v>
      </c>
      <c r="BE322" s="162">
        <f t="shared" si="226"/>
        <v>5441.6212765957462</v>
      </c>
      <c r="BF322" s="162">
        <f t="shared" si="227"/>
        <v>31.501264902115718</v>
      </c>
      <c r="BG322" s="162">
        <f t="shared" si="180"/>
        <v>133.62297621525633</v>
      </c>
      <c r="BH322" s="162">
        <f t="shared" si="228"/>
        <v>10325.657071339176</v>
      </c>
      <c r="BI322" s="162">
        <f t="shared" si="181"/>
        <v>6871.6622130335309</v>
      </c>
      <c r="BJ322" s="162"/>
      <c r="BK322" s="162"/>
      <c r="BL322" s="162"/>
      <c r="BM322" s="162"/>
      <c r="BN322" s="162"/>
      <c r="BO322">
        <f t="shared" si="182"/>
        <v>1457.4046713142739</v>
      </c>
      <c r="BP322" s="162">
        <f t="shared" si="183"/>
        <v>576787.24343384616</v>
      </c>
      <c r="BQ322" s="162">
        <f t="shared" si="184"/>
        <v>785981.24860814563</v>
      </c>
      <c r="BR322" s="148">
        <f t="shared" si="185"/>
        <v>760098.85524543049</v>
      </c>
      <c r="BS322" s="162">
        <f t="shared" si="186"/>
        <v>1457.4046713142739</v>
      </c>
      <c r="BT322" s="162">
        <f t="shared" si="187"/>
        <v>10325.657071339176</v>
      </c>
      <c r="BU322">
        <f t="shared" si="188"/>
        <v>969.89397766916056</v>
      </c>
      <c r="BV322">
        <f t="shared" si="189"/>
        <v>969.89397766916056</v>
      </c>
      <c r="BW322" s="162">
        <f t="shared" si="190"/>
        <v>455.4</v>
      </c>
      <c r="BX322" s="162">
        <f t="shared" si="191"/>
        <v>3129354.9718154697</v>
      </c>
      <c r="BY322" s="148">
        <f t="shared" si="192"/>
        <v>0.1226915881751488</v>
      </c>
      <c r="BZ322" s="162">
        <f t="shared" si="176"/>
        <v>110.47239193857871</v>
      </c>
      <c r="CA322" s="162"/>
      <c r="CB322" s="162">
        <f t="shared" si="193"/>
        <v>-487.51069364511329</v>
      </c>
      <c r="CC322" s="162">
        <f>CB322/(BZ322-BZ321)</f>
        <v>-23.392786954132628</v>
      </c>
      <c r="CD322">
        <f t="shared" si="196"/>
        <v>-26614.333841741369</v>
      </c>
    </row>
    <row r="323" spans="4:82" x14ac:dyDescent="0.2">
      <c r="D323" s="22">
        <f t="shared" ref="D323:D386" si="235">ASIN((N323)/(G324-G323))</f>
        <v>0</v>
      </c>
      <c r="E323" s="23">
        <v>8.8017047999999996</v>
      </c>
      <c r="F323" s="23">
        <f>IF(K323&lt;6,1,IF(Data!K323&lt;9,2,IF(K323&gt;9,3)))</f>
        <v>3</v>
      </c>
      <c r="G323" s="23">
        <v>1340.9948302164153</v>
      </c>
      <c r="H323" s="23">
        <v>226.89999799999998</v>
      </c>
      <c r="I323" s="64">
        <v>23.886063999346732</v>
      </c>
      <c r="J323" s="65">
        <f t="shared" ref="J323:J386" si="236">(I324-I323)/(H324-H323)</f>
        <v>4.0187096382198559</v>
      </c>
      <c r="K323" s="65">
        <f t="shared" ref="K323:K386" si="237">I323/2.5</f>
        <v>9.5544255997386927</v>
      </c>
      <c r="L323" s="65">
        <f t="shared" ref="L323:L386" si="238">(K324-K323)/(H324-H323)</f>
        <v>1.6074838552879354</v>
      </c>
      <c r="M323">
        <f t="shared" ref="M323:M386" si="239">2*E323</f>
        <v>17.603409599999999</v>
      </c>
      <c r="N323">
        <f t="shared" ref="N323:N386" si="240">E324-E323</f>
        <v>0</v>
      </c>
      <c r="O323">
        <f>'Vehicle Data'!C$20</f>
        <v>0.9</v>
      </c>
      <c r="P323">
        <f>('Vehicle Data'!C$6*9.81*'Vehicle Data'!C$5*SIN(D323))/'Vehicle Data'!C$9</f>
        <v>0</v>
      </c>
      <c r="Q323" s="107">
        <f>'Vehicle Data'!C$6*9.81*SIN(D323)</f>
        <v>0</v>
      </c>
      <c r="R323">
        <f t="shared" si="234"/>
        <v>1339.8102949122092</v>
      </c>
      <c r="S323">
        <f>IF(Data!O323=0.6,'Vehicle Data'!E$21,IF(Data!O323 = 0.9,'Vehicle Data'!E$20))+(P323*O323)</f>
        <v>2325.5585999999998</v>
      </c>
      <c r="T323">
        <f>IF(F323=3,'Vehicle Data'!H$16,IF(F323=2,'Vehicle Data'!H$15,IF(F323 = 1,'Vehicle Data'!G$14)))</f>
        <v>466.23005239380637</v>
      </c>
      <c r="U323" s="148">
        <f t="shared" ref="U323:U386" si="241">R323-R$2</f>
        <v>623.67181278889313</v>
      </c>
      <c r="V323" s="70" t="s">
        <v>77</v>
      </c>
      <c r="W323" s="99" t="s">
        <v>84</v>
      </c>
      <c r="X323">
        <f>IF(V323="S",'Vehicle Data'!C$14,IF(Data!V323 = "T1",'Vehicle Data'!P$2,IF(Data!V323="T2",'Vehicle Data'!P$3)))</f>
        <v>13.411199999999999</v>
      </c>
      <c r="Z323">
        <v>8.3000000000000007</v>
      </c>
      <c r="AB323" t="b">
        <f>IF(AA323=1,'Vehicle Data'!I$14,IF(AA323=2,'Vehicle Data'!I$15,IF(AA323=3,'Vehicle Data'!I$16)))</f>
        <v>0</v>
      </c>
      <c r="AC323">
        <f>IF(Z323&lt;'Vehicle Data'!C$16,'Vehicle Data'!I$15,IF(Z323&lt;'Vehicle Data'!C$15,'Vehicle Data'!I$15,IF(Z322&gt;'Vehicle Data'!C$15,'Vehicle Data'!I$16)))</f>
        <v>0.98256251041858167</v>
      </c>
      <c r="AD323">
        <f>IF(O323=0.6,'Vehicle Data'!F$21,IF(O323=0.9,'Vehicle Data'!F$20))</f>
        <v>5.2973999999999997</v>
      </c>
      <c r="AE323" s="100">
        <f t="shared" ref="AE323:AE384" si="242">IF(W323="a",AC323,IF(W323="b",AD323*-1))</f>
        <v>0.98256251041858167</v>
      </c>
      <c r="AF323" s="158">
        <f t="shared" si="220"/>
        <v>0.14114401255485984</v>
      </c>
      <c r="AG323" s="148">
        <f t="shared" si="178"/>
        <v>0</v>
      </c>
      <c r="AH323" s="148">
        <f t="shared" si="195"/>
        <v>110.61353595113357</v>
      </c>
      <c r="AJ323">
        <f>(Z323^2)*'Vehicle Data'!C$31</f>
        <v>25.317075000000013</v>
      </c>
      <c r="AK323">
        <f>IF(O323=0.6,'Vehicle Data'!C$6*'Vehicle Data'!D$21*9.81,IF(O323=0.9,'Vehicle Data'!C$6*9.81*'Vehicle Data'!D$20))</f>
        <v>55.985669999999999</v>
      </c>
      <c r="AL323">
        <f t="shared" ref="AL323:AL386" si="243">AJ323+AK323+Q323</f>
        <v>81.302745000000016</v>
      </c>
      <c r="AN323" t="b">
        <f>IF(AG323&gt;0,AG323*'Vehicle Data'!C$6)</f>
        <v>0</v>
      </c>
      <c r="AO323">
        <f t="shared" si="222"/>
        <v>81.302745000000016</v>
      </c>
      <c r="AP323">
        <f>AO323*'Vehicle Data'!F$3</f>
        <v>20.780981622000002</v>
      </c>
      <c r="AQ323">
        <v>15.336</v>
      </c>
      <c r="AR323">
        <f>IF(Z323&lt;'Vehicle Data'!C$16, Z323*'Vehicle Data'!F$7*'Vehicle Data'!G$14,IF(Z323&lt;'Vehicle Data'!C$15,Z323*'Vehicle Data'!F$7*'Vehicle Data'!G$15,IF(Z323&gt;'Vehicle Data'!C$15,Z323*'Vehicle Data'!F$7*'Vehicle Data'!G$16)))</f>
        <v>107.59259259259261</v>
      </c>
      <c r="AS323">
        <f t="shared" si="223"/>
        <v>6455.5555555555566</v>
      </c>
      <c r="AT323">
        <f t="shared" si="224"/>
        <v>15</v>
      </c>
      <c r="AU323">
        <f t="shared" si="225"/>
        <v>6500</v>
      </c>
      <c r="AW323">
        <f>VLOOKUP(AT323,BSFC!A$64:A$82,1,FALSE)</f>
        <v>15</v>
      </c>
      <c r="AX323" t="e" cm="1">
        <f t="array" ref="AX323">_xlfn.XLOOKUP(AT323,BSFC!A$64:A$82,,-1,_xlfn.XLOOKUP(Data!AU323,BSFC!C$63:Q$63,BSFC!B$64:Q$82,,-1))</f>
        <v>#VALUE!</v>
      </c>
      <c r="AY323">
        <f>HLOOKUP(AU323,BSFC!F$63:Q$63,1)</f>
        <v>6500</v>
      </c>
      <c r="AZ323">
        <f>IF(AT323&gt;0,MATCH(AT323,BSFC!A$64:A$83,0),IF(AT323&lt;=0,0))</f>
        <v>8</v>
      </c>
      <c r="BA323">
        <f>MATCH(AU323,BSFC!C$63:Q$63,0)</f>
        <v>13</v>
      </c>
      <c r="BB323" cm="1">
        <f t="array" ref="BB323">IF(AZ323&gt;0,INDEX(BSFC!C$64:Q$83,Data!AZ323,Data!BA323))</f>
        <v>527</v>
      </c>
      <c r="BC323">
        <f>0.5*'Vehicle Data'!C$6*Data!Z323^2</f>
        <v>15121.355000000003</v>
      </c>
      <c r="BD323">
        <f t="shared" si="179"/>
        <v>10.325657071339176</v>
      </c>
      <c r="BE323">
        <f t="shared" si="226"/>
        <v>5441.6212765957462</v>
      </c>
      <c r="BF323">
        <f t="shared" si="227"/>
        <v>0.21334785049517288</v>
      </c>
      <c r="BG323">
        <f t="shared" si="180"/>
        <v>133.83632406575151</v>
      </c>
      <c r="BH323">
        <f t="shared" si="228"/>
        <v>10325.657071339176</v>
      </c>
      <c r="BI323" s="148">
        <f t="shared" si="181"/>
        <v>6871.6622130335309</v>
      </c>
      <c r="BO323">
        <f t="shared" si="182"/>
        <v>1473.6271494128021</v>
      </c>
      <c r="BP323">
        <f t="shared" si="183"/>
        <v>578260.87058325892</v>
      </c>
      <c r="BQ323">
        <f t="shared" si="184"/>
        <v>787454.87575755839</v>
      </c>
      <c r="BR323" s="148">
        <f t="shared" si="185"/>
        <v>761079.54518397467</v>
      </c>
      <c r="BS323" s="156">
        <f t="shared" si="186"/>
        <v>1473.6271494128021</v>
      </c>
      <c r="BT323" s="156">
        <f t="shared" si="187"/>
        <v>10325.657071339176</v>
      </c>
      <c r="BU323">
        <f t="shared" si="188"/>
        <v>980.68993854421637</v>
      </c>
      <c r="BV323">
        <f t="shared" si="189"/>
        <v>980.68993854421637</v>
      </c>
      <c r="BW323" s="148">
        <f t="shared" si="190"/>
        <v>455.4</v>
      </c>
      <c r="BX323" s="148">
        <f t="shared" si="191"/>
        <v>3129354.9718154697</v>
      </c>
      <c r="BY323" s="148">
        <f t="shared" si="192"/>
        <v>0.12405727722584337</v>
      </c>
      <c r="BZ323">
        <f t="shared" ref="BZ323:BZ386" si="244">AH323</f>
        <v>110.61353595113357</v>
      </c>
      <c r="CB323">
        <f t="shared" si="193"/>
        <v>-492.93721086858568</v>
      </c>
      <c r="CC323" s="162">
        <f t="shared" ref="CC323:CC386" si="245">CB323/(BZ323-BZ322)</f>
        <v>-3492.441527953496</v>
      </c>
      <c r="CD323">
        <f t="shared" si="196"/>
        <v>-27107.271052609954</v>
      </c>
    </row>
    <row r="324" spans="4:82" x14ac:dyDescent="0.2">
      <c r="D324" s="22">
        <f t="shared" si="235"/>
        <v>0</v>
      </c>
      <c r="E324" s="23">
        <v>8.8017047999999996</v>
      </c>
      <c r="F324" s="23">
        <f>IF(K324&lt;6,1,IF(Data!K324&lt;9,2,IF(K324&gt;9,3)))</f>
        <v>3</v>
      </c>
      <c r="G324" s="23">
        <v>1342.1926328787267</v>
      </c>
      <c r="H324" s="23">
        <v>226.94999799999999</v>
      </c>
      <c r="I324" s="64">
        <v>24.08699948125777</v>
      </c>
      <c r="J324" s="65">
        <f t="shared" si="236"/>
        <v>3.8396695990202852</v>
      </c>
      <c r="K324" s="65">
        <f t="shared" si="237"/>
        <v>9.6347997925031077</v>
      </c>
      <c r="L324" s="65">
        <f t="shared" si="238"/>
        <v>1.5358678396081069</v>
      </c>
      <c r="M324">
        <f t="shared" si="239"/>
        <v>17.603409599999999</v>
      </c>
      <c r="N324">
        <f t="shared" si="240"/>
        <v>0</v>
      </c>
      <c r="O324">
        <f>'Vehicle Data'!C$20</f>
        <v>0.9</v>
      </c>
      <c r="P324">
        <f>('Vehicle Data'!C$6*9.81*'Vehicle Data'!C$5*SIN(D324))/'Vehicle Data'!C$9</f>
        <v>0</v>
      </c>
      <c r="Q324" s="107">
        <f>'Vehicle Data'!C$6*9.81*SIN(D324)</f>
        <v>0</v>
      </c>
      <c r="R324">
        <f t="shared" si="234"/>
        <v>1340.9948302164153</v>
      </c>
      <c r="S324">
        <f>IF(Data!O324=0.6,'Vehicle Data'!E$21,IF(Data!O324 = 0.9,'Vehicle Data'!E$20))+(P324*O324)</f>
        <v>2325.5585999999998</v>
      </c>
      <c r="T324">
        <f>IF(F324=3,'Vehicle Data'!H$16,IF(F324=2,'Vehicle Data'!H$15,IF(F324 = 1,'Vehicle Data'!G$14)))</f>
        <v>466.23005239380637</v>
      </c>
      <c r="U324" s="148">
        <f t="shared" si="241"/>
        <v>624.8563480930992</v>
      </c>
      <c r="V324" s="70" t="s">
        <v>77</v>
      </c>
      <c r="W324" s="99" t="s">
        <v>84</v>
      </c>
      <c r="X324">
        <f>IF(V324="S",'Vehicle Data'!C$14,IF(Data!V324 = "T1",'Vehicle Data'!P$2,IF(Data!V324="T2",'Vehicle Data'!P$3)))</f>
        <v>13.411199999999999</v>
      </c>
      <c r="Z324">
        <v>8.3000000000000007</v>
      </c>
      <c r="AB324" t="b">
        <f>IF(AA324=1,'Vehicle Data'!I$14,IF(AA324=2,'Vehicle Data'!I$15,IF(AA324=3,'Vehicle Data'!I$16)))</f>
        <v>0</v>
      </c>
      <c r="AC324">
        <f>IF(Z324&lt;'Vehicle Data'!C$16,'Vehicle Data'!I$15,IF(Z324&lt;'Vehicle Data'!C$15,'Vehicle Data'!I$15,IF(Z323&gt;'Vehicle Data'!C$15,'Vehicle Data'!I$16)))</f>
        <v>0.98256251041858167</v>
      </c>
      <c r="AD324">
        <f>IF(O324=0.6,'Vehicle Data'!F$21,IF(O324=0.9,'Vehicle Data'!F$20))</f>
        <v>5.2973999999999997</v>
      </c>
      <c r="AE324" s="100">
        <f t="shared" si="242"/>
        <v>0.98256251041858167</v>
      </c>
      <c r="AF324" s="158">
        <f t="shared" si="220"/>
        <v>0.142715096892297</v>
      </c>
      <c r="AG324" s="148">
        <f t="shared" ref="AG324:AG387" si="246">(Z324-Z323)/AF324</f>
        <v>0</v>
      </c>
      <c r="AH324" s="148">
        <f t="shared" si="195"/>
        <v>110.75625104802587</v>
      </c>
      <c r="AJ324">
        <f>(Z324^2)*'Vehicle Data'!C$31</f>
        <v>25.317075000000013</v>
      </c>
      <c r="AK324">
        <f>IF(O324=0.6,'Vehicle Data'!C$6*'Vehicle Data'!D$21*9.81,IF(O324=0.9,'Vehicle Data'!C$6*9.81*'Vehicle Data'!D$20))</f>
        <v>55.985669999999999</v>
      </c>
      <c r="AL324">
        <f t="shared" si="243"/>
        <v>81.302745000000016</v>
      </c>
      <c r="AN324" t="b">
        <f>IF(AG324&gt;0,AG324*'Vehicle Data'!C$6)</f>
        <v>0</v>
      </c>
      <c r="AO324">
        <f t="shared" ref="AO324:AO387" si="247">AN324+AL324</f>
        <v>81.302745000000016</v>
      </c>
      <c r="AP324">
        <f>AO324*'Vehicle Data'!F$3</f>
        <v>20.780981622000002</v>
      </c>
      <c r="AQ324">
        <v>15.336</v>
      </c>
      <c r="AR324">
        <f>IF(Z324&lt;'Vehicle Data'!C$16, Z324*'Vehicle Data'!F$7*'Vehicle Data'!G$14,IF(Z324&lt;'Vehicle Data'!C$15,Z324*'Vehicle Data'!F$7*'Vehicle Data'!G$15,IF(Z324&gt;'Vehicle Data'!C$15,Z324*'Vehicle Data'!F$7*'Vehicle Data'!G$16)))</f>
        <v>107.59259259259261</v>
      </c>
      <c r="AS324">
        <f t="shared" si="223"/>
        <v>6455.5555555555566</v>
      </c>
      <c r="AT324">
        <f t="shared" si="224"/>
        <v>15</v>
      </c>
      <c r="AU324">
        <f t="shared" si="225"/>
        <v>6500</v>
      </c>
      <c r="AW324">
        <f>VLOOKUP(AT324,BSFC!A$64:A$82,1,FALSE)</f>
        <v>15</v>
      </c>
      <c r="AX324" t="e" cm="1">
        <f t="array" ref="AX324">_xlfn.XLOOKUP(AT324,BSFC!A$64:A$82,,-1,_xlfn.XLOOKUP(Data!AU324,BSFC!C$63:Q$63,BSFC!B$64:Q$82,,-1))</f>
        <v>#VALUE!</v>
      </c>
      <c r="AY324">
        <f>HLOOKUP(AU324,BSFC!F$63:Q$63,1)</f>
        <v>6500</v>
      </c>
      <c r="AZ324">
        <f>IF(AT324&gt;0,MATCH(AT324,BSFC!A$64:A$83,0),IF(AT324&lt;=0,0))</f>
        <v>8</v>
      </c>
      <c r="BA324">
        <f>MATCH(AU324,BSFC!C$63:Q$63,0)</f>
        <v>13</v>
      </c>
      <c r="BB324" cm="1">
        <f t="array" ref="BB324">IF(AZ324&gt;0,INDEX(BSFC!C$64:Q$83,Data!AZ324,Data!BA324))</f>
        <v>527</v>
      </c>
      <c r="BC324">
        <f>0.5*'Vehicle Data'!C$6*Data!Z324^2</f>
        <v>15121.355000000003</v>
      </c>
      <c r="BD324">
        <f t="shared" ref="BD324:BD387" si="248">ABS(AQ325*(AS325/9.588))/1000</f>
        <v>10.325657071339176</v>
      </c>
      <c r="BE324">
        <f t="shared" si="226"/>
        <v>5441.6212765957462</v>
      </c>
      <c r="BF324">
        <f t="shared" si="227"/>
        <v>0.21572264103904076</v>
      </c>
      <c r="BG324">
        <f t="shared" ref="BG324:BG387" si="249">BG323+BF324</f>
        <v>134.05204670679055</v>
      </c>
      <c r="BH324">
        <f t="shared" si="228"/>
        <v>10325.657071339176</v>
      </c>
      <c r="BI324" s="148">
        <f t="shared" ref="BI324:BI387" si="250">BM$9</f>
        <v>6871.6622130335309</v>
      </c>
      <c r="BO324">
        <f t="shared" ref="BO324:BO387" si="251">BH324*AF325</f>
        <v>1490.1324735138817</v>
      </c>
      <c r="BP324">
        <f t="shared" ref="BP324:BP387" si="252">BP323+BO324</f>
        <v>579751.00305677275</v>
      </c>
      <c r="BQ324">
        <f t="shared" ref="BQ324:BQ387" si="253">IF(BO324&gt;0,BQ323+BO324,IF(BO324&lt;=0,BQ323))</f>
        <v>788945.00823107222</v>
      </c>
      <c r="BR324" s="148">
        <f t="shared" ref="BR324:BR387" si="254">(BM$9*AF325)+BR323</f>
        <v>762071.21931569476</v>
      </c>
      <c r="BS324" s="156">
        <f t="shared" ref="BS324:BS387" si="255">IF(BO324&gt;0,BO324)</f>
        <v>1490.1324735138817</v>
      </c>
      <c r="BT324" s="156">
        <f t="shared" ref="BT324:BT387" si="256">IF(BH324&gt;=0,BH324, IF(BH324&lt;0,0))</f>
        <v>10325.657071339176</v>
      </c>
      <c r="BU324">
        <f t="shared" ref="BU324:BU387" si="257">BI324*AF325</f>
        <v>991.67413172007502</v>
      </c>
      <c r="BV324">
        <f t="shared" ref="BV324:BV387" si="258">BM$9*AF325</f>
        <v>991.67413172007502</v>
      </c>
      <c r="BW324" s="148">
        <f t="shared" ref="BW324:BW387" si="259">BN$9</f>
        <v>455.4</v>
      </c>
      <c r="BX324" s="148">
        <f t="shared" ref="BX324:BX387" si="260">BW324*BI324</f>
        <v>3129354.9718154697</v>
      </c>
      <c r="BY324" s="148">
        <f t="shared" ref="BY324:BY387" si="261">((BX324/3600)*AF325)/1000</f>
        <v>0.12544677766258946</v>
      </c>
      <c r="BZ324">
        <f t="shared" si="244"/>
        <v>110.75625104802587</v>
      </c>
      <c r="CB324">
        <f t="shared" ref="CB324:CB387" si="262">BU324-BS324</f>
        <v>-498.45834179380665</v>
      </c>
      <c r="CC324" s="162">
        <f t="shared" si="245"/>
        <v>-3492.6812414944297</v>
      </c>
      <c r="CD324">
        <f t="shared" si="196"/>
        <v>-27605.729394403763</v>
      </c>
    </row>
    <row r="325" spans="4:82" x14ac:dyDescent="0.2">
      <c r="D325" s="22">
        <f t="shared" si="235"/>
        <v>0</v>
      </c>
      <c r="E325" s="23">
        <v>8.8017047999999996</v>
      </c>
      <c r="F325" s="23">
        <f>IF(K325&lt;6,1,IF(Data!K325&lt;9,2,IF(K325&gt;9,3)))</f>
        <v>3</v>
      </c>
      <c r="G325" s="23">
        <v>1343.403024973459</v>
      </c>
      <c r="H325" s="23">
        <v>226.99999799999998</v>
      </c>
      <c r="I325" s="64">
        <v>24.278982961208719</v>
      </c>
      <c r="J325" s="65">
        <f t="shared" si="236"/>
        <v>4.0966928411599843</v>
      </c>
      <c r="K325" s="65">
        <f t="shared" si="237"/>
        <v>9.7115931844834869</v>
      </c>
      <c r="L325" s="65">
        <f t="shared" si="238"/>
        <v>1.6386771364640222</v>
      </c>
      <c r="M325">
        <f t="shared" si="239"/>
        <v>17.603409599999999</v>
      </c>
      <c r="N325">
        <f t="shared" si="240"/>
        <v>0</v>
      </c>
      <c r="O325">
        <f>'Vehicle Data'!C$20</f>
        <v>0.9</v>
      </c>
      <c r="P325">
        <f>('Vehicle Data'!C$6*9.81*'Vehicle Data'!C$5*SIN(D325))/'Vehicle Data'!C$9</f>
        <v>0</v>
      </c>
      <c r="Q325" s="107">
        <f>'Vehicle Data'!C$6*9.81*SIN(D325)</f>
        <v>0</v>
      </c>
      <c r="R325">
        <f t="shared" si="234"/>
        <v>1342.1926328787267</v>
      </c>
      <c r="S325">
        <f>IF(Data!O325=0.6,'Vehicle Data'!E$21,IF(Data!O325 = 0.9,'Vehicle Data'!E$20))+(P325*O325)</f>
        <v>2325.5585999999998</v>
      </c>
      <c r="T325">
        <f>IF(F325=3,'Vehicle Data'!H$16,IF(F325=2,'Vehicle Data'!H$15,IF(F325 = 1,'Vehicle Data'!G$14)))</f>
        <v>466.23005239380637</v>
      </c>
      <c r="U325" s="148">
        <f t="shared" si="241"/>
        <v>626.05415075541066</v>
      </c>
      <c r="V325" s="70" t="s">
        <v>77</v>
      </c>
      <c r="W325" s="99" t="s">
        <v>84</v>
      </c>
      <c r="X325">
        <f>IF(V325="S",'Vehicle Data'!C$14,IF(Data!V325 = "T1",'Vehicle Data'!P$2,IF(Data!V325="T2",'Vehicle Data'!P$3)))</f>
        <v>13.411199999999999</v>
      </c>
      <c r="Z325">
        <v>8.3000000000000007</v>
      </c>
      <c r="AB325" t="b">
        <f>IF(AA325=1,'Vehicle Data'!I$14,IF(AA325=2,'Vehicle Data'!I$15,IF(AA325=3,'Vehicle Data'!I$16)))</f>
        <v>0</v>
      </c>
      <c r="AC325">
        <f>IF(Z325&lt;'Vehicle Data'!C$16,'Vehicle Data'!I$15,IF(Z325&lt;'Vehicle Data'!C$15,'Vehicle Data'!I$15,IF(Z324&gt;'Vehicle Data'!C$15,'Vehicle Data'!I$16)))</f>
        <v>0.98256251041858167</v>
      </c>
      <c r="AD325">
        <f>IF(O325=0.6,'Vehicle Data'!F$21,IF(O325=0.9,'Vehicle Data'!F$20))</f>
        <v>5.2973999999999997</v>
      </c>
      <c r="AE325" s="100">
        <f t="shared" si="242"/>
        <v>0.98256251041858167</v>
      </c>
      <c r="AF325" s="158">
        <f t="shared" ref="AF325:AF388" si="263">(U325-U324)/Z325</f>
        <v>0.14431357377246506</v>
      </c>
      <c r="AG325" s="148">
        <f t="shared" si="246"/>
        <v>0</v>
      </c>
      <c r="AH325" s="148">
        <f t="shared" ref="AH325:AH388" si="264">AH324+AF325</f>
        <v>110.90056462179834</v>
      </c>
      <c r="AJ325">
        <f>(Z325^2)*'Vehicle Data'!C$31</f>
        <v>25.317075000000013</v>
      </c>
      <c r="AK325">
        <f>IF(O325=0.6,'Vehicle Data'!C$6*'Vehicle Data'!D$21*9.81,IF(O325=0.9,'Vehicle Data'!C$6*9.81*'Vehicle Data'!D$20))</f>
        <v>55.985669999999999</v>
      </c>
      <c r="AL325">
        <f t="shared" si="243"/>
        <v>81.302745000000016</v>
      </c>
      <c r="AN325" t="b">
        <f>IF(AG325&gt;0,AG325*'Vehicle Data'!C$6)</f>
        <v>0</v>
      </c>
      <c r="AO325">
        <f t="shared" si="247"/>
        <v>81.302745000000016</v>
      </c>
      <c r="AP325">
        <f>AO325*'Vehicle Data'!F$3</f>
        <v>20.780981622000002</v>
      </c>
      <c r="AQ325">
        <v>15.336</v>
      </c>
      <c r="AR325">
        <f>IF(Z325&lt;'Vehicle Data'!C$16, Z325*'Vehicle Data'!F$7*'Vehicle Data'!G$14,IF(Z325&lt;'Vehicle Data'!C$15,Z325*'Vehicle Data'!F$7*'Vehicle Data'!G$15,IF(Z325&gt;'Vehicle Data'!C$15,Z325*'Vehicle Data'!F$7*'Vehicle Data'!G$16)))</f>
        <v>107.59259259259261</v>
      </c>
      <c r="AS325">
        <f t="shared" ref="AS325:AS388" si="265">AR325*60</f>
        <v>6455.5555555555566</v>
      </c>
      <c r="AT325">
        <f t="shared" ref="AT325:AT388" si="266">ROUND(AQ325,0)</f>
        <v>15</v>
      </c>
      <c r="AU325">
        <f t="shared" ref="AU325:AU388" si="267">MROUND(AS325,500)</f>
        <v>6500</v>
      </c>
      <c r="AW325">
        <f>VLOOKUP(AT325,BSFC!A$64:A$82,1,FALSE)</f>
        <v>15</v>
      </c>
      <c r="AX325" t="e" cm="1">
        <f t="array" ref="AX325">_xlfn.XLOOKUP(AT325,BSFC!A$64:A$82,,-1,_xlfn.XLOOKUP(Data!AU325,BSFC!C$63:Q$63,BSFC!B$64:Q$82,,-1))</f>
        <v>#VALUE!</v>
      </c>
      <c r="AY325">
        <f>HLOOKUP(AU325,BSFC!F$63:Q$63,1)</f>
        <v>6500</v>
      </c>
      <c r="AZ325">
        <f>IF(AT325&gt;0,MATCH(AT325,BSFC!A$64:A$83,0),IF(AT325&lt;=0,0))</f>
        <v>8</v>
      </c>
      <c r="BA325">
        <f>MATCH(AU325,BSFC!C$63:Q$63,0)</f>
        <v>13</v>
      </c>
      <c r="BB325" cm="1">
        <f t="array" ref="BB325">IF(AZ325&gt;0,INDEX(BSFC!C$64:Q$83,Data!AZ325,Data!BA325))</f>
        <v>527</v>
      </c>
      <c r="BC325">
        <f>0.5*'Vehicle Data'!C$6*Data!Z325^2</f>
        <v>15121.355000000003</v>
      </c>
      <c r="BD325">
        <f t="shared" si="248"/>
        <v>10.325657071339176</v>
      </c>
      <c r="BE325">
        <f t="shared" ref="BE325:BE388" si="268">BB325*BD325</f>
        <v>5441.6212765957462</v>
      </c>
      <c r="BF325">
        <f t="shared" ref="BF325:BF388" si="269">(BE325/3600)*AF325</f>
        <v>0.2181388370949488</v>
      </c>
      <c r="BG325">
        <f t="shared" si="249"/>
        <v>134.2701855438855</v>
      </c>
      <c r="BH325">
        <f t="shared" si="228"/>
        <v>10325.657071339176</v>
      </c>
      <c r="BI325" s="148">
        <f t="shared" si="250"/>
        <v>6871.6622130335309</v>
      </c>
      <c r="BO325">
        <f t="shared" si="251"/>
        <v>1548.8485607008763</v>
      </c>
      <c r="BP325">
        <f t="shared" si="252"/>
        <v>581299.85161747364</v>
      </c>
      <c r="BQ325">
        <f t="shared" si="253"/>
        <v>790493.85679177311</v>
      </c>
      <c r="BR325" s="148">
        <f t="shared" si="254"/>
        <v>763101.96864764974</v>
      </c>
      <c r="BS325" s="156">
        <f t="shared" si="255"/>
        <v>1548.8485607008763</v>
      </c>
      <c r="BT325" s="156">
        <f t="shared" si="256"/>
        <v>10325.657071339176</v>
      </c>
      <c r="BU325">
        <f t="shared" si="257"/>
        <v>1030.7493319550297</v>
      </c>
      <c r="BV325">
        <f t="shared" si="258"/>
        <v>1030.7493319550297</v>
      </c>
      <c r="BW325" s="148">
        <f t="shared" si="259"/>
        <v>455.4</v>
      </c>
      <c r="BX325" s="148">
        <f t="shared" si="260"/>
        <v>3129354.9718154697</v>
      </c>
      <c r="BY325" s="148">
        <f t="shared" si="261"/>
        <v>0.13038979049231122</v>
      </c>
      <c r="BZ325">
        <f t="shared" si="244"/>
        <v>110.90056462179834</v>
      </c>
      <c r="CB325">
        <f t="shared" si="262"/>
        <v>-518.09922874584663</v>
      </c>
      <c r="CC325" s="162">
        <f t="shared" si="245"/>
        <v>-3590.0935386904084</v>
      </c>
      <c r="CD325">
        <f t="shared" ref="CD325:CD388" si="270">CB325+CD324</f>
        <v>-28123.828623149609</v>
      </c>
    </row>
    <row r="326" spans="4:82" ht="16" thickBot="1" x14ac:dyDescent="0.25">
      <c r="D326" s="22">
        <f t="shared" si="235"/>
        <v>1.2413313466616831E-3</v>
      </c>
      <c r="E326" s="23">
        <v>8.8017047999999996</v>
      </c>
      <c r="F326" s="23">
        <f>IF(K326&lt;6,1,IF(Data!K326&lt;9,2,IF(K326&gt;9,3)))</f>
        <v>3</v>
      </c>
      <c r="G326" s="23">
        <v>1344.6256023519813</v>
      </c>
      <c r="H326" s="23">
        <v>227.04999799999999</v>
      </c>
      <c r="I326" s="64">
        <v>24.483817603266765</v>
      </c>
      <c r="J326" s="65">
        <f t="shared" si="236"/>
        <v>-2.8025421719734034</v>
      </c>
      <c r="K326" s="65">
        <f t="shared" si="237"/>
        <v>9.7935270413067066</v>
      </c>
      <c r="L326" s="65">
        <f t="shared" si="238"/>
        <v>-1.1210168687893611</v>
      </c>
      <c r="M326">
        <f t="shared" si="239"/>
        <v>17.603409599999999</v>
      </c>
      <c r="N326">
        <f t="shared" si="240"/>
        <v>-0.40000159999999951</v>
      </c>
      <c r="O326">
        <f>'Vehicle Data'!C$20</f>
        <v>0.9</v>
      </c>
      <c r="P326">
        <f>('Vehicle Data'!C$6*9.81*'Vehicle Data'!C$5*SIN(D326))/'Vehicle Data'!C$9</f>
        <v>0.82668615329368611</v>
      </c>
      <c r="Q326" s="107">
        <f>'Vehicle Data'!C$6*9.81*SIN(D326)</f>
        <v>5.34590379129917</v>
      </c>
      <c r="R326">
        <f t="shared" si="234"/>
        <v>1343.403024973459</v>
      </c>
      <c r="S326">
        <f>IF(Data!O326=0.6,'Vehicle Data'!E$21,IF(Data!O326 = 0.9,'Vehicle Data'!E$20))+(P326*O326)</f>
        <v>2326.3026175379641</v>
      </c>
      <c r="T326">
        <f>IF(F326=3,'Vehicle Data'!H$16,IF(F326=2,'Vehicle Data'!H$15,IF(F326 = 1,'Vehicle Data'!G$14)))</f>
        <v>466.23005239380637</v>
      </c>
      <c r="U326" s="148">
        <f t="shared" si="241"/>
        <v>627.2645428501429</v>
      </c>
      <c r="V326" s="70" t="s">
        <v>77</v>
      </c>
      <c r="W326" s="99" t="s">
        <v>84</v>
      </c>
      <c r="X326">
        <f>IF(V326="S",'Vehicle Data'!C$14,IF(Data!V326 = "T1",'Vehicle Data'!P$2,IF(Data!V326="T2",'Vehicle Data'!P$3)))</f>
        <v>13.411199999999999</v>
      </c>
      <c r="Z326">
        <v>8.3000000000000007</v>
      </c>
      <c r="AB326" t="b">
        <f>IF(AA326=1,'Vehicle Data'!I$14,IF(AA326=2,'Vehicle Data'!I$15,IF(AA326=3,'Vehicle Data'!I$16)))</f>
        <v>0</v>
      </c>
      <c r="AC326">
        <f>IF(Z326&lt;'Vehicle Data'!C$16,'Vehicle Data'!I$15,IF(Z326&lt;'Vehicle Data'!C$15,'Vehicle Data'!I$15,IF(Z325&gt;'Vehicle Data'!C$15,'Vehicle Data'!I$16)))</f>
        <v>0.98256251041858167</v>
      </c>
      <c r="AD326">
        <f>IF(O326=0.6,'Vehicle Data'!F$21,IF(O326=0.9,'Vehicle Data'!F$20))</f>
        <v>5.2973999999999997</v>
      </c>
      <c r="AE326" s="100">
        <f t="shared" si="242"/>
        <v>0.98256251041858167</v>
      </c>
      <c r="AF326" s="158">
        <v>0.15</v>
      </c>
      <c r="AG326" s="148">
        <f t="shared" si="246"/>
        <v>0</v>
      </c>
      <c r="AH326" s="148">
        <f t="shared" si="264"/>
        <v>111.05056462179834</v>
      </c>
      <c r="AJ326">
        <f>(Z326^2)*'Vehicle Data'!C$31</f>
        <v>25.317075000000013</v>
      </c>
      <c r="AK326">
        <f>IF(O326=0.6,'Vehicle Data'!C$6*'Vehicle Data'!D$21*9.81,IF(O326=0.9,'Vehicle Data'!C$6*9.81*'Vehicle Data'!D$20))</f>
        <v>55.985669999999999</v>
      </c>
      <c r="AL326">
        <f t="shared" si="243"/>
        <v>86.648648791299181</v>
      </c>
      <c r="AN326" t="b">
        <f>IF(AG326&gt;0,AG326*'Vehicle Data'!C$6)</f>
        <v>0</v>
      </c>
      <c r="AO326">
        <f t="shared" si="247"/>
        <v>86.648648791299181</v>
      </c>
      <c r="AP326">
        <f>AO326*'Vehicle Data'!F$3</f>
        <v>22.14739463105607</v>
      </c>
      <c r="AQ326">
        <v>15.336</v>
      </c>
      <c r="AR326">
        <f>IF(Z326&lt;'Vehicle Data'!C$16, Z326*'Vehicle Data'!F$7*'Vehicle Data'!G$14,IF(Z326&lt;'Vehicle Data'!C$15,Z326*'Vehicle Data'!F$7*'Vehicle Data'!G$15,IF(Z326&gt;'Vehicle Data'!C$15,Z326*'Vehicle Data'!F$7*'Vehicle Data'!G$16)))</f>
        <v>107.59259259259261</v>
      </c>
      <c r="AS326">
        <f t="shared" si="265"/>
        <v>6455.5555555555566</v>
      </c>
      <c r="AT326">
        <f t="shared" si="266"/>
        <v>15</v>
      </c>
      <c r="AU326">
        <v>5500</v>
      </c>
      <c r="AW326">
        <f>VLOOKUP(AT326,BSFC!A$64:A$82,1,FALSE)</f>
        <v>15</v>
      </c>
      <c r="AX326" t="e" cm="1">
        <f t="array" ref="AX326">_xlfn.XLOOKUP(AT326,BSFC!A$64:A$82,,-1,_xlfn.XLOOKUP(Data!AU326,BSFC!C$63:Q$63,BSFC!B$64:Q$82,,-1))</f>
        <v>#VALUE!</v>
      </c>
      <c r="AY326">
        <f>HLOOKUP(AU326,BSFC!F$63:Q$63,1)</f>
        <v>5500</v>
      </c>
      <c r="AZ326">
        <f>IF(AT326&gt;0,MATCH(AT326,BSFC!A$64:A$83,0),IF(AT326&lt;=0,0))</f>
        <v>8</v>
      </c>
      <c r="BA326">
        <f>MATCH(AU326,BSFC!C$63:Q$63,0)</f>
        <v>11</v>
      </c>
      <c r="BB326" cm="1">
        <f t="array" ref="BB326">IF(AZ326&gt;0,INDEX(BSFC!C$64:Q$83,Data!AZ326,Data!BA326))</f>
        <v>635.6</v>
      </c>
      <c r="BC326">
        <f>0.5*'Vehicle Data'!C$6*Data!Z326^2</f>
        <v>15121.355000000003</v>
      </c>
      <c r="BD326">
        <f t="shared" si="248"/>
        <v>13.465906457145509</v>
      </c>
      <c r="BE326">
        <f t="shared" si="268"/>
        <v>8558.9301441616863</v>
      </c>
      <c r="BF326">
        <f t="shared" si="269"/>
        <v>0.35662208934007023</v>
      </c>
      <c r="BG326">
        <f t="shared" si="249"/>
        <v>134.62680763322558</v>
      </c>
      <c r="BH326">
        <f t="shared" si="228"/>
        <v>10325.657071339176</v>
      </c>
      <c r="BI326" s="148">
        <f t="shared" si="250"/>
        <v>6871.6622130335309</v>
      </c>
      <c r="BO326">
        <f t="shared" si="251"/>
        <v>1520.9535847950431</v>
      </c>
      <c r="BP326">
        <f t="shared" si="252"/>
        <v>582820.80520226865</v>
      </c>
      <c r="BQ326">
        <f t="shared" si="253"/>
        <v>792014.81037656812</v>
      </c>
      <c r="BR326" s="148">
        <f t="shared" si="254"/>
        <v>764114.15404216805</v>
      </c>
      <c r="BS326" s="156">
        <f t="shared" si="255"/>
        <v>1520.9535847950431</v>
      </c>
      <c r="BT326" s="156">
        <f t="shared" si="256"/>
        <v>10325.657071339176</v>
      </c>
      <c r="BU326">
        <f t="shared" si="257"/>
        <v>1012.1853945182875</v>
      </c>
      <c r="BV326">
        <f t="shared" si="258"/>
        <v>1012.1853945182875</v>
      </c>
      <c r="BW326" s="148">
        <f t="shared" si="259"/>
        <v>455.4</v>
      </c>
      <c r="BX326" s="148">
        <f t="shared" si="260"/>
        <v>3129354.9718154697</v>
      </c>
      <c r="BY326" s="148">
        <f t="shared" si="261"/>
        <v>0.12804145240656334</v>
      </c>
      <c r="BZ326">
        <f t="shared" si="244"/>
        <v>111.05056462179834</v>
      </c>
      <c r="CB326">
        <f t="shared" si="262"/>
        <v>-508.7681902767556</v>
      </c>
      <c r="CC326" s="162">
        <f t="shared" si="245"/>
        <v>-3391.7879351782422</v>
      </c>
      <c r="CD326">
        <f t="shared" si="270"/>
        <v>-28632.596813426364</v>
      </c>
    </row>
    <row r="327" spans="4:82" x14ac:dyDescent="0.2">
      <c r="D327" s="22">
        <f t="shared" si="235"/>
        <v>4.2415328728376389E-2</v>
      </c>
      <c r="E327" s="23">
        <v>8.4017032</v>
      </c>
      <c r="F327" s="23">
        <f>IF(K327&lt;6,1,IF(Data!K327&lt;9,2,IF(K327&gt;9,3)))</f>
        <v>3</v>
      </c>
      <c r="G327" s="23">
        <v>1022.3895581216832</v>
      </c>
      <c r="H327" s="23">
        <v>219.01666499999999</v>
      </c>
      <c r="I327" s="64">
        <v>46.997572117272377</v>
      </c>
      <c r="J327" s="65">
        <f t="shared" si="236"/>
        <v>1.3397314169050185</v>
      </c>
      <c r="K327" s="65">
        <f t="shared" si="237"/>
        <v>18.79902884690895</v>
      </c>
      <c r="L327" s="65">
        <f t="shared" si="238"/>
        <v>0.53589256676199315</v>
      </c>
      <c r="M327">
        <f t="shared" si="239"/>
        <v>16.8034064</v>
      </c>
      <c r="N327">
        <f t="shared" si="240"/>
        <v>9.9998399999998711E-2</v>
      </c>
      <c r="O327">
        <f>IF(L327&lt;'Vehicle Data'!F$21,'Vehicle Data'!C$21,IF(L327&gt;'Vehicle Data'!C$21,'Vehicle Data'!C$20))</f>
        <v>0.6</v>
      </c>
      <c r="P327">
        <f>('Vehicle Data'!C$6*9.81*'Vehicle Data'!C$5*SIN(D327))/'Vehicle Data'!C$9</f>
        <v>28.238762545357893</v>
      </c>
      <c r="Q327" s="107">
        <f>'Vehicle Data'!C$6*9.81*SIN(D327)</f>
        <v>182.61066445998102</v>
      </c>
      <c r="R327" s="101">
        <f t="shared" si="234"/>
        <v>1344.6256023519813</v>
      </c>
      <c r="S327" s="101">
        <f>IF(Data!O327=0.6,'Vehicle Data'!E$21,IF(Data!O327 = 0.9,'Vehicle Data'!E$20))+(P327*O327)</f>
        <v>1567.3156575272144</v>
      </c>
      <c r="T327" s="101">
        <f>IF(F327=3,'Vehicle Data'!H$16,IF(F327=2,'Vehicle Data'!H$15,IF(F327 = 1,'Vehicle Data'!G$14)))</f>
        <v>466.23005239380637</v>
      </c>
      <c r="U327" s="148">
        <f t="shared" si="241"/>
        <v>628.48712022866528</v>
      </c>
      <c r="V327" s="102" t="s">
        <v>77</v>
      </c>
      <c r="W327" s="103" t="s">
        <v>84</v>
      </c>
      <c r="X327" s="101">
        <f>IF(V327="S",'Vehicle Data'!C$14,IF(Data!V327 = "T1",'Vehicle Data'!P$2,IF(Data!V327="T2",'Vehicle Data'!P$3)))</f>
        <v>13.411199999999999</v>
      </c>
      <c r="Y327" s="101"/>
      <c r="Z327" s="104">
        <v>8.3000000000000007</v>
      </c>
      <c r="AA327" s="101"/>
      <c r="AB327" s="101" t="b">
        <f>IF(AA327=1,'Vehicle Data'!I$14,IF(AA327=2,'Vehicle Data'!I$15,IF(AA327=3,'Vehicle Data'!I$16)))</f>
        <v>0</v>
      </c>
      <c r="AC327" s="101">
        <f>IF(Z327&lt;'Vehicle Data'!C$16,'Vehicle Data'!I$15,IF(Z327&lt;'Vehicle Data'!C$15,'Vehicle Data'!I$15,IF(Z326&gt;'Vehicle Data'!C$15,'Vehicle Data'!I$16)))</f>
        <v>0.98256251041858167</v>
      </c>
      <c r="AD327">
        <f>IF(O327=0.6,'Vehicle Data'!F$21,IF(O327=0.9,'Vehicle Data'!F$20))</f>
        <v>3.5315999999999996</v>
      </c>
      <c r="AE327" s="101">
        <f>(Data!H$15-Data!Q327)/'Vehicle Data'!C$6</f>
        <v>6.5845103735806293E-2</v>
      </c>
      <c r="AF327" s="158">
        <f t="shared" si="263"/>
        <v>0.147298479340045</v>
      </c>
      <c r="AG327" s="148">
        <f t="shared" si="246"/>
        <v>0</v>
      </c>
      <c r="AH327" s="148">
        <f t="shared" si="264"/>
        <v>111.1978631011384</v>
      </c>
      <c r="AI327" s="101"/>
      <c r="AJ327" s="101">
        <f>(Z327^2)*'Vehicle Data'!C$31</f>
        <v>25.317075000000013</v>
      </c>
      <c r="AK327" s="101">
        <f>IF(O327=0.6,'Vehicle Data'!C$6*'Vehicle Data'!D$21*9.81,IF(O327=0.9,'Vehicle Data'!C$6*9.81*'Vehicle Data'!D$20))</f>
        <v>86.131799999999998</v>
      </c>
      <c r="AL327" s="101">
        <f t="shared" si="243"/>
        <v>294.05953945998101</v>
      </c>
      <c r="AM327" s="101"/>
      <c r="AN327" t="b">
        <f>IF(AG327&gt;0,AG327*'Vehicle Data'!C$6)</f>
        <v>0</v>
      </c>
      <c r="AO327" s="101">
        <f t="shared" si="247"/>
        <v>294.05953945998101</v>
      </c>
      <c r="AP327" s="101">
        <f>AO327*'Vehicle Data'!F$3</f>
        <v>75.161618285971144</v>
      </c>
      <c r="AQ327">
        <v>20</v>
      </c>
      <c r="AR327">
        <f>IF(Z327&lt;'Vehicle Data'!C$16, Z327*'Vehicle Data'!F$7*'Vehicle Data'!G$14,IF(Z327&lt;'Vehicle Data'!C$15,Z327*'Vehicle Data'!F$7*'Vehicle Data'!G$15,IF(Z327&gt;'Vehicle Data'!C$15,Z327*'Vehicle Data'!F$7*'Vehicle Data'!G$16)))</f>
        <v>107.59259259259261</v>
      </c>
      <c r="AS327">
        <f t="shared" si="265"/>
        <v>6455.5555555555566</v>
      </c>
      <c r="AT327">
        <f t="shared" si="266"/>
        <v>20</v>
      </c>
      <c r="AU327">
        <f t="shared" si="267"/>
        <v>6500</v>
      </c>
      <c r="AW327">
        <f>VLOOKUP(AT327,BSFC!A$64:A$82,1,FALSE)</f>
        <v>20</v>
      </c>
      <c r="AX327" t="e" cm="1">
        <f t="array" ref="AX327">_xlfn.XLOOKUP(AT327,BSFC!A$64:A$82,,-1,_xlfn.XLOOKUP(Data!AU327,BSFC!C$63:Q$63,BSFC!B$64:Q$82,,-1))</f>
        <v>#VALUE!</v>
      </c>
      <c r="AY327">
        <f>HLOOKUP(AU327,BSFC!F$63:Q$63,1)</f>
        <v>6500</v>
      </c>
      <c r="AZ327">
        <f>IF(AT327&gt;0,MATCH(AT327,BSFC!A$64:A$83,0),IF(AT327&lt;=0,0))</f>
        <v>3</v>
      </c>
      <c r="BA327">
        <f>MATCH(AU327,BSFC!C$63:Q$63,0)</f>
        <v>13</v>
      </c>
      <c r="BB327" cm="1">
        <f t="array" ref="BB327">IF(AZ327&gt;0,INDEX(BSFC!C$64:Q$83,Data!AZ327,Data!BA327))</f>
        <v>494.7</v>
      </c>
      <c r="BC327">
        <f>0.5*'Vehicle Data'!C$6*Data!Z327^2</f>
        <v>15121.355000000003</v>
      </c>
      <c r="BD327">
        <f t="shared" si="248"/>
        <v>13.465906457145509</v>
      </c>
      <c r="BE327">
        <f t="shared" si="268"/>
        <v>6661.5839243498831</v>
      </c>
      <c r="BF327">
        <f t="shared" si="269"/>
        <v>0.27256699501467418</v>
      </c>
      <c r="BG327">
        <f t="shared" si="249"/>
        <v>134.89937462824025</v>
      </c>
      <c r="BH327">
        <f t="shared" si="228"/>
        <v>13465.906457145509</v>
      </c>
      <c r="BI327" s="148">
        <f t="shared" si="250"/>
        <v>6871.6622130335309</v>
      </c>
      <c r="BO327">
        <f t="shared" si="251"/>
        <v>2484.8637185370608</v>
      </c>
      <c r="BP327">
        <f t="shared" si="252"/>
        <v>585305.66892080568</v>
      </c>
      <c r="BQ327">
        <f t="shared" si="253"/>
        <v>794499.67409510515</v>
      </c>
      <c r="BR327" s="148">
        <f t="shared" si="254"/>
        <v>765382.18187033909</v>
      </c>
      <c r="BS327" s="156">
        <f t="shared" si="255"/>
        <v>2484.8637185370608</v>
      </c>
      <c r="BT327" s="156">
        <f t="shared" si="256"/>
        <v>13465.906457145509</v>
      </c>
      <c r="BU327">
        <f t="shared" si="257"/>
        <v>1268.0278281710775</v>
      </c>
      <c r="BV327">
        <f t="shared" si="258"/>
        <v>1268.0278281710775</v>
      </c>
      <c r="BW327" s="148">
        <f t="shared" si="259"/>
        <v>455.4</v>
      </c>
      <c r="BX327" s="148">
        <f t="shared" si="260"/>
        <v>3129354.9718154697</v>
      </c>
      <c r="BY327" s="148">
        <f t="shared" si="261"/>
        <v>0.16040552026364127</v>
      </c>
      <c r="BZ327">
        <f t="shared" si="244"/>
        <v>111.1978631011384</v>
      </c>
      <c r="CB327">
        <f t="shared" si="262"/>
        <v>-1216.8358903659832</v>
      </c>
      <c r="CC327" s="162">
        <f t="shared" si="245"/>
        <v>-8261.0214023785793</v>
      </c>
      <c r="CD327">
        <f t="shared" si="270"/>
        <v>-29849.432703792347</v>
      </c>
    </row>
    <row r="328" spans="4:82" x14ac:dyDescent="0.2">
      <c r="D328" s="22">
        <f t="shared" si="235"/>
        <v>4.9062920242046774E-2</v>
      </c>
      <c r="E328" s="23">
        <v>8.5017015999999987</v>
      </c>
      <c r="F328" s="23">
        <f>IF(K328&lt;6,1,IF(Data!K328&lt;9,2,IF(K328&gt;9,3)))</f>
        <v>3</v>
      </c>
      <c r="G328" s="23">
        <v>1024.7478656757876</v>
      </c>
      <c r="H328" s="23">
        <v>219.066665</v>
      </c>
      <c r="I328" s="64">
        <v>47.064558688117643</v>
      </c>
      <c r="J328" s="65">
        <f t="shared" si="236"/>
        <v>1.4354312780726908</v>
      </c>
      <c r="K328" s="65">
        <f t="shared" si="237"/>
        <v>18.825823475247056</v>
      </c>
      <c r="L328" s="65">
        <f t="shared" si="238"/>
        <v>0.57417251122911894</v>
      </c>
      <c r="M328">
        <f t="shared" si="239"/>
        <v>17.003403199999997</v>
      </c>
      <c r="N328">
        <f t="shared" si="240"/>
        <v>0.11580771547588853</v>
      </c>
      <c r="O328">
        <f>IF(L328&lt;'Vehicle Data'!F$21,'Vehicle Data'!C$21,IF(L328&gt;'Vehicle Data'!C$21,'Vehicle Data'!C$20))</f>
        <v>0.6</v>
      </c>
      <c r="P328">
        <f>('Vehicle Data'!C$6*9.81*'Vehicle Data'!C$5*SIN(D328))/'Vehicle Data'!C$9</f>
        <v>32.661204407245584</v>
      </c>
      <c r="Q328" s="107">
        <f>'Vehicle Data'!C$6*9.81*SIN(D328)</f>
        <v>211.20912183352144</v>
      </c>
      <c r="R328" s="101">
        <f t="shared" si="234"/>
        <v>1022.3895581216832</v>
      </c>
      <c r="S328" s="101">
        <f>IF(Data!O328=0.6,'Vehicle Data'!E$21,IF(Data!O328 = 0.9,'Vehicle Data'!E$20))+(P328*O328)</f>
        <v>1569.9691226443472</v>
      </c>
      <c r="T328" s="101">
        <f>IF(F328=3,'Vehicle Data'!H$16,IF(F328=2,'Vehicle Data'!H$15,IF(F328 = 1,'Vehicle Data'!G$14)))</f>
        <v>466.23005239380637</v>
      </c>
      <c r="U328" s="148">
        <f t="shared" si="241"/>
        <v>306.25107599836713</v>
      </c>
      <c r="V328" s="102" t="s">
        <v>77</v>
      </c>
      <c r="W328" s="103" t="s">
        <v>84</v>
      </c>
      <c r="X328" s="101">
        <f>IF(V328="S",'Vehicle Data'!C$14,IF(Data!V328 = "T1",'Vehicle Data'!P$2,IF(Data!V328="T2",'Vehicle Data'!P$3)))</f>
        <v>13.411199999999999</v>
      </c>
      <c r="Y328" s="101"/>
      <c r="Z328" s="105">
        <v>8.3000000000000007</v>
      </c>
      <c r="AA328" s="101"/>
      <c r="AB328" s="101" t="b">
        <f>IF(AA328=1,'Vehicle Data'!I$14,IF(AA328=2,'Vehicle Data'!I$15,IF(AA328=3,'Vehicle Data'!I$16)))</f>
        <v>0</v>
      </c>
      <c r="AC328" s="101">
        <f>IF(Z328&lt;'Vehicle Data'!C$16,'Vehicle Data'!I$15,IF(Z328&lt;'Vehicle Data'!C$15,'Vehicle Data'!I$15,IF(Z327&gt;'Vehicle Data'!C$15,'Vehicle Data'!I$16)))</f>
        <v>0.98256251041858167</v>
      </c>
      <c r="AD328">
        <f>IF(O328=0.6,'Vehicle Data'!F$21,IF(O328=0.9,'Vehicle Data'!F$20))</f>
        <v>3.5315999999999996</v>
      </c>
      <c r="AE328" s="101">
        <f>(Data!H$15-Data!Q328)/'Vehicle Data'!C$6</f>
        <v>7.0055390997392393E-4</v>
      </c>
      <c r="AF328" s="158">
        <v>0.18453</v>
      </c>
      <c r="AG328" s="148">
        <f t="shared" si="246"/>
        <v>0</v>
      </c>
      <c r="AH328" s="148">
        <f t="shared" si="264"/>
        <v>111.38239310113839</v>
      </c>
      <c r="AI328" s="101"/>
      <c r="AJ328" s="101">
        <f>(Z328^2)*'Vehicle Data'!C$31</f>
        <v>25.317075000000013</v>
      </c>
      <c r="AK328" s="101">
        <f>IF(O328=0.6,'Vehicle Data'!C$6*'Vehicle Data'!D$21*9.81,IF(O328=0.9,'Vehicle Data'!C$6*9.81*'Vehicle Data'!D$20))</f>
        <v>86.131799999999998</v>
      </c>
      <c r="AL328" s="101">
        <f t="shared" si="243"/>
        <v>322.65799683352145</v>
      </c>
      <c r="AM328" s="101"/>
      <c r="AN328" t="b">
        <f>IF(AG328&gt;0,AG328*'Vehicle Data'!C$6)</f>
        <v>0</v>
      </c>
      <c r="AO328" s="101">
        <f t="shared" si="247"/>
        <v>322.65799683352145</v>
      </c>
      <c r="AP328" s="101">
        <f>AO328*'Vehicle Data'!F$3</f>
        <v>82.471383990648079</v>
      </c>
      <c r="AQ328">
        <v>20</v>
      </c>
      <c r="AR328">
        <f>IF(Z328&lt;'Vehicle Data'!C$16, Z328*'Vehicle Data'!F$7*'Vehicle Data'!G$14,IF(Z328&lt;'Vehicle Data'!C$15,Z328*'Vehicle Data'!F$7*'Vehicle Data'!G$15,IF(Z328&gt;'Vehicle Data'!C$15,Z328*'Vehicle Data'!F$7*'Vehicle Data'!G$16)))</f>
        <v>107.59259259259261</v>
      </c>
      <c r="AS328">
        <f t="shared" si="265"/>
        <v>6455.5555555555566</v>
      </c>
      <c r="AT328">
        <f t="shared" si="266"/>
        <v>20</v>
      </c>
      <c r="AU328">
        <f t="shared" si="267"/>
        <v>6500</v>
      </c>
      <c r="AW328">
        <f>VLOOKUP(AT328,BSFC!A$64:A$82,1,FALSE)</f>
        <v>20</v>
      </c>
      <c r="AX328" t="e" cm="1">
        <f t="array" ref="AX328">_xlfn.XLOOKUP(AT328,BSFC!A$64:A$82,,-1,_xlfn.XLOOKUP(Data!AU328,BSFC!C$63:Q$63,BSFC!B$64:Q$82,,-1))</f>
        <v>#VALUE!</v>
      </c>
      <c r="AY328">
        <f>HLOOKUP(AU328,BSFC!F$63:Q$63,1)</f>
        <v>6500</v>
      </c>
      <c r="AZ328">
        <f>IF(AT328&gt;0,MATCH(AT328,BSFC!A$64:A$83,0),IF(AT328&lt;=0,0))</f>
        <v>3</v>
      </c>
      <c r="BA328">
        <f>MATCH(AU328,BSFC!C$63:Q$63,0)</f>
        <v>13</v>
      </c>
      <c r="BB328" cm="1">
        <f t="array" ref="BB328">IF(AZ328&gt;0,INDEX(BSFC!C$64:Q$83,Data!AZ328,Data!BA328))</f>
        <v>494.7</v>
      </c>
      <c r="BC328">
        <f>0.5*'Vehicle Data'!C$6*Data!Z328^2</f>
        <v>15121.355000000003</v>
      </c>
      <c r="BD328">
        <f t="shared" si="248"/>
        <v>13.465906457145509</v>
      </c>
      <c r="BE328">
        <f t="shared" si="268"/>
        <v>6661.5839243498831</v>
      </c>
      <c r="BF328">
        <f t="shared" si="269"/>
        <v>0.34146168932230109</v>
      </c>
      <c r="BG328">
        <f t="shared" si="249"/>
        <v>135.24083631756255</v>
      </c>
      <c r="BH328">
        <f t="shared" si="228"/>
        <v>13465.906457145509</v>
      </c>
      <c r="BI328" s="148">
        <f t="shared" si="250"/>
        <v>6871.6622130335309</v>
      </c>
      <c r="BO328">
        <f t="shared" si="251"/>
        <v>3826.1143278011168</v>
      </c>
      <c r="BP328">
        <f t="shared" si="252"/>
        <v>589131.78324860684</v>
      </c>
      <c r="BQ328">
        <f t="shared" si="253"/>
        <v>798325.78842290631</v>
      </c>
      <c r="BR328" s="148">
        <f t="shared" si="254"/>
        <v>767334.65089518856</v>
      </c>
      <c r="BS328" s="156">
        <f t="shared" si="255"/>
        <v>3826.1143278011168</v>
      </c>
      <c r="BT328" s="156">
        <f t="shared" si="256"/>
        <v>13465.906457145509</v>
      </c>
      <c r="BU328">
        <f t="shared" si="257"/>
        <v>1952.4690248494737</v>
      </c>
      <c r="BV328">
        <f t="shared" si="258"/>
        <v>1952.4690248494737</v>
      </c>
      <c r="BW328" s="148">
        <f t="shared" si="259"/>
        <v>455.4</v>
      </c>
      <c r="BX328" s="148">
        <f t="shared" si="260"/>
        <v>3129354.9718154697</v>
      </c>
      <c r="BY328" s="148">
        <f t="shared" si="261"/>
        <v>0.2469873316434584</v>
      </c>
      <c r="BZ328">
        <f t="shared" si="244"/>
        <v>111.38239310113839</v>
      </c>
      <c r="CB328">
        <f t="shared" si="262"/>
        <v>-1873.6453029516431</v>
      </c>
      <c r="CC328" s="162">
        <f t="shared" si="245"/>
        <v>-10153.608101401896</v>
      </c>
      <c r="CD328">
        <f t="shared" si="270"/>
        <v>-31723.078006743988</v>
      </c>
    </row>
    <row r="329" spans="4:82" x14ac:dyDescent="0.2">
      <c r="D329" s="22">
        <f t="shared" si="235"/>
        <v>0.12049093976819797</v>
      </c>
      <c r="E329" s="23">
        <v>8.6175093154758873</v>
      </c>
      <c r="F329" s="23">
        <f>IF(K329&lt;6,1,IF(Data!K329&lt;9,2,IF(K329&gt;9,3)))</f>
        <v>3</v>
      </c>
      <c r="G329" s="23">
        <v>1027.109204736628</v>
      </c>
      <c r="H329" s="23">
        <v>219.11666499999998</v>
      </c>
      <c r="I329" s="64">
        <v>47.136330252021253</v>
      </c>
      <c r="J329" s="65">
        <f t="shared" si="236"/>
        <v>1.6751852609225637</v>
      </c>
      <c r="K329" s="65">
        <f t="shared" si="237"/>
        <v>18.854532100808502</v>
      </c>
      <c r="L329" s="65">
        <f t="shared" si="238"/>
        <v>0.67007410436899706</v>
      </c>
      <c r="M329">
        <f t="shared" si="239"/>
        <v>17.235018630951775</v>
      </c>
      <c r="N329">
        <f t="shared" si="240"/>
        <v>0.28419388452411276</v>
      </c>
      <c r="O329">
        <f>IF(L329&lt;'Vehicle Data'!F$21,'Vehicle Data'!C$21,IF(L329&gt;'Vehicle Data'!C$21,'Vehicle Data'!C$20))</f>
        <v>0.6</v>
      </c>
      <c r="P329">
        <f>('Vehicle Data'!C$6*9.81*'Vehicle Data'!C$5*SIN(D329))/'Vehicle Data'!C$9</f>
        <v>80.049031598978715</v>
      </c>
      <c r="Q329" s="107">
        <f>'Vehicle Data'!C$6*9.81*SIN(D329)</f>
        <v>517.65040434006244</v>
      </c>
      <c r="R329" s="101">
        <f t="shared" si="234"/>
        <v>1024.7478656757876</v>
      </c>
      <c r="S329" s="101">
        <f>IF(Data!O329=0.6,'Vehicle Data'!E$21,IF(Data!O329 = 0.9,'Vehicle Data'!E$20))+(P329*O329)</f>
        <v>1598.4018189593869</v>
      </c>
      <c r="T329" s="101">
        <f>IF(F329=3,'Vehicle Data'!H$16,IF(F329=2,'Vehicle Data'!H$15,IF(F329 = 1,'Vehicle Data'!G$14)))</f>
        <v>466.23005239380637</v>
      </c>
      <c r="U329" s="148">
        <f t="shared" si="241"/>
        <v>308.60938355247151</v>
      </c>
      <c r="V329" s="102" t="s">
        <v>77</v>
      </c>
      <c r="W329" s="103" t="s">
        <v>84</v>
      </c>
      <c r="X329" s="101">
        <f>IF(V329="S",'Vehicle Data'!C$14,IF(Data!V329 = "T1",'Vehicle Data'!P$2,IF(Data!V329="T2",'Vehicle Data'!P$3)))</f>
        <v>13.411199999999999</v>
      </c>
      <c r="Y329" s="101"/>
      <c r="Z329" s="105">
        <v>8.3000000000000007</v>
      </c>
      <c r="AA329" s="101"/>
      <c r="AB329" s="101" t="b">
        <f>IF(AA329=1,'Vehicle Data'!I$14,IF(AA329=2,'Vehicle Data'!I$15,IF(AA329=3,'Vehicle Data'!I$16)))</f>
        <v>0</v>
      </c>
      <c r="AC329" s="101">
        <f>IF(Z329&lt;'Vehicle Data'!C$16,'Vehicle Data'!I$15,IF(Z329&lt;'Vehicle Data'!C$15,'Vehicle Data'!I$15,IF(Z328&gt;'Vehicle Data'!C$15,'Vehicle Data'!I$16)))</f>
        <v>0.98256251041858167</v>
      </c>
      <c r="AD329">
        <f>IF(O329=0.6,'Vehicle Data'!F$21,IF(O329=0.9,'Vehicle Data'!F$20))</f>
        <v>3.5315999999999996</v>
      </c>
      <c r="AE329" s="101">
        <f>(Data!H$15-Data!Q329)/'Vehicle Data'!C$6</f>
        <v>-0.6973433697951309</v>
      </c>
      <c r="AF329" s="158">
        <f t="shared" si="263"/>
        <v>0.28413344025354037</v>
      </c>
      <c r="AG329" s="148">
        <f t="shared" si="246"/>
        <v>0</v>
      </c>
      <c r="AH329" s="148">
        <f t="shared" si="264"/>
        <v>111.66652654139193</v>
      </c>
      <c r="AI329" s="101"/>
      <c r="AJ329" s="101">
        <f>(Z329^2)*'Vehicle Data'!C$31</f>
        <v>25.317075000000013</v>
      </c>
      <c r="AK329" s="101">
        <f>IF(O329=0.6,'Vehicle Data'!C$6*'Vehicle Data'!D$21*9.81,IF(O329=0.9,'Vehicle Data'!C$6*9.81*'Vehicle Data'!D$20))</f>
        <v>86.131799999999998</v>
      </c>
      <c r="AL329" s="101">
        <f t="shared" si="243"/>
        <v>629.09927934006248</v>
      </c>
      <c r="AM329" s="101"/>
      <c r="AN329" t="b">
        <f>IF(AG329&gt;0,AG329*'Vehicle Data'!C$6)</f>
        <v>0</v>
      </c>
      <c r="AO329" s="101">
        <f t="shared" si="247"/>
        <v>629.09927934006248</v>
      </c>
      <c r="AP329" s="101">
        <f>AO329*'Vehicle Data'!F$3</f>
        <v>160.79777579931996</v>
      </c>
      <c r="AQ329">
        <v>20</v>
      </c>
      <c r="AR329">
        <f>IF(Z329&lt;'Vehicle Data'!C$16, Z329*'Vehicle Data'!F$7*'Vehicle Data'!G$14,IF(Z329&lt;'Vehicle Data'!C$15,Z329*'Vehicle Data'!F$7*'Vehicle Data'!G$15,IF(Z329&gt;'Vehicle Data'!C$15,Z329*'Vehicle Data'!F$7*'Vehicle Data'!G$16)))</f>
        <v>107.59259259259261</v>
      </c>
      <c r="AS329">
        <f t="shared" si="265"/>
        <v>6455.5555555555566</v>
      </c>
      <c r="AT329">
        <f t="shared" si="266"/>
        <v>20</v>
      </c>
      <c r="AU329">
        <f t="shared" si="267"/>
        <v>6500</v>
      </c>
      <c r="AW329">
        <f>VLOOKUP(AT329,BSFC!A$64:A$82,1,FALSE)</f>
        <v>20</v>
      </c>
      <c r="AX329" t="e" cm="1">
        <f t="array" ref="AX329">_xlfn.XLOOKUP(AT329,BSFC!A$64:A$82,,-1,_xlfn.XLOOKUP(Data!AU329,BSFC!C$63:Q$63,BSFC!B$64:Q$82,,-1))</f>
        <v>#VALUE!</v>
      </c>
      <c r="AY329">
        <f>HLOOKUP(AU329,BSFC!F$63:Q$63,1)</f>
        <v>6500</v>
      </c>
      <c r="AZ329">
        <f>IF(AT329&gt;0,MATCH(AT329,BSFC!A$64:A$83,0),IF(AT329&lt;=0,0))</f>
        <v>3</v>
      </c>
      <c r="BA329">
        <f>MATCH(AU329,BSFC!C$63:Q$63,0)</f>
        <v>13</v>
      </c>
      <c r="BB329" cm="1">
        <f t="array" ref="BB329">IF(AZ329&gt;0,INDEX(BSFC!C$64:Q$83,Data!AZ329,Data!BA329))</f>
        <v>494.7</v>
      </c>
      <c r="BC329">
        <f>0.5*'Vehicle Data'!C$6*Data!Z329^2</f>
        <v>15121.355000000003</v>
      </c>
      <c r="BD329">
        <f t="shared" si="248"/>
        <v>13.465906457145509</v>
      </c>
      <c r="BE329">
        <f t="shared" si="268"/>
        <v>6661.5839243498831</v>
      </c>
      <c r="BF329">
        <f t="shared" si="269"/>
        <v>0.52577187721200347</v>
      </c>
      <c r="BG329">
        <f t="shared" si="249"/>
        <v>135.76660819477456</v>
      </c>
      <c r="BH329">
        <f t="shared" si="228"/>
        <v>13465.906457145509</v>
      </c>
      <c r="BI329" s="148">
        <f t="shared" si="250"/>
        <v>6871.6622130335309</v>
      </c>
      <c r="BO329">
        <f t="shared" si="251"/>
        <v>3831.0326393833157</v>
      </c>
      <c r="BP329">
        <f t="shared" si="252"/>
        <v>592962.81588799017</v>
      </c>
      <c r="BQ329">
        <f t="shared" si="253"/>
        <v>802156.82106228964</v>
      </c>
      <c r="BR329" s="148">
        <f t="shared" si="254"/>
        <v>769289.62973814493</v>
      </c>
      <c r="BS329" s="156">
        <f t="shared" si="255"/>
        <v>3831.0326393833157</v>
      </c>
      <c r="BT329" s="156">
        <f t="shared" si="256"/>
        <v>13465.906457145509</v>
      </c>
      <c r="BU329">
        <f t="shared" si="257"/>
        <v>1954.9788429563259</v>
      </c>
      <c r="BV329">
        <f t="shared" si="258"/>
        <v>1954.9788429563259</v>
      </c>
      <c r="BW329" s="148">
        <f t="shared" si="259"/>
        <v>455.4</v>
      </c>
      <c r="BX329" s="148">
        <f t="shared" si="260"/>
        <v>3129354.9718154697</v>
      </c>
      <c r="BY329" s="148">
        <f t="shared" si="261"/>
        <v>0.24730482363397518</v>
      </c>
      <c r="BZ329">
        <f t="shared" si="244"/>
        <v>111.66652654139193</v>
      </c>
      <c r="CB329">
        <f t="shared" si="262"/>
        <v>-1876.0537964269897</v>
      </c>
      <c r="CC329" s="162">
        <f t="shared" si="245"/>
        <v>-6602.7208721118141</v>
      </c>
      <c r="CD329">
        <f t="shared" si="270"/>
        <v>-33599.131803170982</v>
      </c>
    </row>
    <row r="330" spans="4:82" x14ac:dyDescent="0.2">
      <c r="D330" s="22">
        <f t="shared" si="235"/>
        <v>9.1254125943258782E-2</v>
      </c>
      <c r="E330" s="23">
        <v>8.9017032</v>
      </c>
      <c r="F330" s="23">
        <f>IF(K330&lt;6,1,IF(Data!K330&lt;9,2,IF(K330&gt;9,3)))</f>
        <v>3</v>
      </c>
      <c r="G330" s="23">
        <v>1029.4735543650477</v>
      </c>
      <c r="H330" s="23">
        <v>219.16666499999999</v>
      </c>
      <c r="I330" s="64">
        <v>47.2200895150674</v>
      </c>
      <c r="J330" s="65">
        <f t="shared" si="236"/>
        <v>1.7482084246637719</v>
      </c>
      <c r="K330" s="65">
        <f t="shared" si="237"/>
        <v>18.888035806026959</v>
      </c>
      <c r="L330" s="65">
        <f t="shared" si="238"/>
        <v>0.69928336986552297</v>
      </c>
      <c r="M330">
        <f t="shared" si="239"/>
        <v>17.8034064</v>
      </c>
      <c r="N330">
        <f t="shared" si="240"/>
        <v>0.21580611547597783</v>
      </c>
      <c r="O330">
        <f>IF(L330&lt;'Vehicle Data'!F$21,'Vehicle Data'!C$21,IF(L330&gt;'Vehicle Data'!C$21,'Vehicle Data'!C$20))</f>
        <v>0.6</v>
      </c>
      <c r="P330">
        <f>('Vehicle Data'!C$6*9.81*'Vehicle Data'!C$5*SIN(D330))/'Vehicle Data'!C$9</f>
        <v>60.687974584678031</v>
      </c>
      <c r="Q330" s="107">
        <f>'Vehicle Data'!C$6*9.81*SIN(D330)</f>
        <v>392.44890231425126</v>
      </c>
      <c r="R330" s="101">
        <f t="shared" si="234"/>
        <v>1027.109204736628</v>
      </c>
      <c r="S330" s="101">
        <f>IF(Data!O330=0.6,'Vehicle Data'!E$21,IF(Data!O330 = 0.9,'Vehicle Data'!E$20))+(P330*O330)</f>
        <v>1586.7851847508066</v>
      </c>
      <c r="T330" s="101">
        <f>IF(F330=3,'Vehicle Data'!H$16,IF(F330=2,'Vehicle Data'!H$15,IF(F330 = 1,'Vehicle Data'!G$14)))</f>
        <v>466.23005239380637</v>
      </c>
      <c r="U330" s="148">
        <f t="shared" si="241"/>
        <v>310.97072261331198</v>
      </c>
      <c r="V330" s="102" t="s">
        <v>77</v>
      </c>
      <c r="W330" s="103" t="s">
        <v>84</v>
      </c>
      <c r="X330" s="101">
        <f>IF(V330="S",'Vehicle Data'!C$14,IF(Data!V330 = "T1",'Vehicle Data'!P$2,IF(Data!V330="T2",'Vehicle Data'!P$3)))</f>
        <v>13.411199999999999</v>
      </c>
      <c r="Y330" s="101"/>
      <c r="Z330" s="105">
        <v>8.3000000000000007</v>
      </c>
      <c r="AA330" s="101"/>
      <c r="AB330" s="101" t="b">
        <f>IF(AA330=1,'Vehicle Data'!I$14,IF(AA330=2,'Vehicle Data'!I$15,IF(AA330=3,'Vehicle Data'!I$16)))</f>
        <v>0</v>
      </c>
      <c r="AC330" s="101">
        <f>IF(Z330&lt;'Vehicle Data'!C$16,'Vehicle Data'!I$15,IF(Z330&lt;'Vehicle Data'!C$15,'Vehicle Data'!I$15,IF(Z329&gt;'Vehicle Data'!C$15,'Vehicle Data'!I$16)))</f>
        <v>0.98256251041858167</v>
      </c>
      <c r="AD330">
        <f>IF(O330=0.6,'Vehicle Data'!F$21,IF(O330=0.9,'Vehicle Data'!F$20))</f>
        <v>3.5315999999999996</v>
      </c>
      <c r="AE330" s="101">
        <f>(Data!H$15-Data!Q330)/'Vehicle Data'!C$6</f>
        <v>-0.41214632645615323</v>
      </c>
      <c r="AF330" s="158">
        <f t="shared" si="263"/>
        <v>0.28449868202897161</v>
      </c>
      <c r="AG330" s="148">
        <f t="shared" si="246"/>
        <v>0</v>
      </c>
      <c r="AH330" s="148">
        <f t="shared" si="264"/>
        <v>111.9510252234209</v>
      </c>
      <c r="AI330" s="101"/>
      <c r="AJ330" s="101">
        <f>(Z330^2)*'Vehicle Data'!C$31</f>
        <v>25.317075000000013</v>
      </c>
      <c r="AK330" s="101">
        <f>IF(O330=0.6,'Vehicle Data'!C$6*'Vehicle Data'!D$21*9.81,IF(O330=0.9,'Vehicle Data'!C$6*9.81*'Vehicle Data'!D$20))</f>
        <v>86.131799999999998</v>
      </c>
      <c r="AL330" s="101">
        <f t="shared" si="243"/>
        <v>503.89777731425124</v>
      </c>
      <c r="AM330" s="101"/>
      <c r="AN330" t="b">
        <f>IF(AG330&gt;0,AG330*'Vehicle Data'!C$6)</f>
        <v>0</v>
      </c>
      <c r="AO330" s="101">
        <f t="shared" si="247"/>
        <v>503.89777731425124</v>
      </c>
      <c r="AP330" s="101">
        <f>AO330*'Vehicle Data'!F$3</f>
        <v>128.79627188152261</v>
      </c>
      <c r="AQ330">
        <v>20</v>
      </c>
      <c r="AR330">
        <f>IF(Z330&lt;'Vehicle Data'!C$16, Z330*'Vehicle Data'!F$7*'Vehicle Data'!G$14,IF(Z330&lt;'Vehicle Data'!C$15,Z330*'Vehicle Data'!F$7*'Vehicle Data'!G$15,IF(Z330&gt;'Vehicle Data'!C$15,Z330*'Vehicle Data'!F$7*'Vehicle Data'!G$16)))</f>
        <v>107.59259259259261</v>
      </c>
      <c r="AS330">
        <f t="shared" si="265"/>
        <v>6455.5555555555566</v>
      </c>
      <c r="AT330">
        <f t="shared" si="266"/>
        <v>20</v>
      </c>
      <c r="AU330">
        <f t="shared" si="267"/>
        <v>6500</v>
      </c>
      <c r="AW330">
        <f>VLOOKUP(AT330,BSFC!A$64:A$82,1,FALSE)</f>
        <v>20</v>
      </c>
      <c r="AX330" t="e" cm="1">
        <f t="array" ref="AX330">_xlfn.XLOOKUP(AT330,BSFC!A$64:A$82,,-1,_xlfn.XLOOKUP(Data!AU330,BSFC!C$63:Q$63,BSFC!B$64:Q$82,,-1))</f>
        <v>#VALUE!</v>
      </c>
      <c r="AY330">
        <f>HLOOKUP(AU330,BSFC!F$63:Q$63,1)</f>
        <v>6500</v>
      </c>
      <c r="AZ330">
        <f>IF(AT330&gt;0,MATCH(AT330,BSFC!A$64:A$83,0),IF(AT330&lt;=0,0))</f>
        <v>3</v>
      </c>
      <c r="BA330">
        <f>MATCH(AU330,BSFC!C$63:Q$63,0)</f>
        <v>13</v>
      </c>
      <c r="BB330" cm="1">
        <f t="array" ref="BB330">IF(AZ330&gt;0,INDEX(BSFC!C$64:Q$83,Data!AZ330,Data!BA330))</f>
        <v>494.7</v>
      </c>
      <c r="BC330">
        <f>0.5*'Vehicle Data'!C$6*Data!Z330^2</f>
        <v>15121.355000000003</v>
      </c>
      <c r="BD330">
        <f t="shared" si="248"/>
        <v>13.465906457145509</v>
      </c>
      <c r="BE330">
        <f t="shared" si="268"/>
        <v>6661.5839243498831</v>
      </c>
      <c r="BF330">
        <f t="shared" si="269"/>
        <v>0.52644773519525723</v>
      </c>
      <c r="BG330">
        <f t="shared" si="249"/>
        <v>136.29305592996982</v>
      </c>
      <c r="BH330">
        <f t="shared" si="228"/>
        <v>13465.906457145509</v>
      </c>
      <c r="BI330" s="148">
        <f t="shared" si="250"/>
        <v>6871.6622130335309</v>
      </c>
      <c r="BO330">
        <f t="shared" si="251"/>
        <v>3835.9169793115061</v>
      </c>
      <c r="BP330">
        <f t="shared" si="252"/>
        <v>596798.73286730167</v>
      </c>
      <c r="BQ330">
        <f t="shared" si="253"/>
        <v>805992.73804160114</v>
      </c>
      <c r="BR330" s="148">
        <f t="shared" si="254"/>
        <v>771247.10106344742</v>
      </c>
      <c r="BS330" s="156">
        <f t="shared" si="255"/>
        <v>3835.9169793115061</v>
      </c>
      <c r="BT330" s="156">
        <f t="shared" si="256"/>
        <v>13465.906457145509</v>
      </c>
      <c r="BU330">
        <f t="shared" si="257"/>
        <v>1957.4713253025363</v>
      </c>
      <c r="BV330">
        <f t="shared" si="258"/>
        <v>1957.4713253025363</v>
      </c>
      <c r="BW330" s="148">
        <f t="shared" si="259"/>
        <v>455.4</v>
      </c>
      <c r="BX330" s="148">
        <f t="shared" si="260"/>
        <v>3129354.9718154697</v>
      </c>
      <c r="BY330" s="148">
        <f t="shared" si="261"/>
        <v>0.2476201226507708</v>
      </c>
      <c r="BZ330">
        <f t="shared" si="244"/>
        <v>111.9510252234209</v>
      </c>
      <c r="CB330">
        <f t="shared" si="262"/>
        <v>-1878.4456540089698</v>
      </c>
      <c r="CC330" s="162">
        <f t="shared" si="245"/>
        <v>-6602.6515153335804</v>
      </c>
      <c r="CD330">
        <f t="shared" si="270"/>
        <v>-35477.577457179948</v>
      </c>
    </row>
    <row r="331" spans="4:82" x14ac:dyDescent="0.2">
      <c r="D331" s="22">
        <f t="shared" si="235"/>
        <v>0.1268297731488181</v>
      </c>
      <c r="E331" s="23">
        <v>9.1175093154759779</v>
      </c>
      <c r="F331" s="23">
        <f>IF(K331&lt;6,1,IF(Data!K331&lt;9,2,IF(K331&gt;9,3)))</f>
        <v>3</v>
      </c>
      <c r="G331" s="23">
        <v>1031.8417313515729</v>
      </c>
      <c r="H331" s="23">
        <v>219.21666499999998</v>
      </c>
      <c r="I331" s="64">
        <v>47.307499936300559</v>
      </c>
      <c r="J331" s="65">
        <f t="shared" si="236"/>
        <v>1.5682777950178903</v>
      </c>
      <c r="K331" s="65">
        <f t="shared" si="237"/>
        <v>18.922999974520224</v>
      </c>
      <c r="L331" s="65">
        <f t="shared" si="238"/>
        <v>0.62731111800715611</v>
      </c>
      <c r="M331">
        <f t="shared" si="239"/>
        <v>18.235018630951956</v>
      </c>
      <c r="N331">
        <f t="shared" si="240"/>
        <v>0.29999599999990956</v>
      </c>
      <c r="O331">
        <f>IF(L331&lt;'Vehicle Data'!F$21,'Vehicle Data'!C$21,IF(L331&gt;'Vehicle Data'!C$21,'Vehicle Data'!C$20))</f>
        <v>0.6</v>
      </c>
      <c r="P331">
        <f>('Vehicle Data'!C$6*9.81*'Vehicle Data'!C$5*SIN(D331))/'Vehicle Data'!C$9</f>
        <v>84.238245862304268</v>
      </c>
      <c r="Q331" s="107">
        <f>'Vehicle Data'!C$6*9.81*SIN(D331)</f>
        <v>544.74065657623419</v>
      </c>
      <c r="R331" s="101">
        <f t="shared" si="234"/>
        <v>1029.4735543650477</v>
      </c>
      <c r="S331" s="101">
        <f>IF(Data!O331=0.6,'Vehicle Data'!E$21,IF(Data!O331 = 0.9,'Vehicle Data'!E$20))+(P331*O331)</f>
        <v>1600.9153475173823</v>
      </c>
      <c r="T331" s="101">
        <f>IF(F331=3,'Vehicle Data'!H$16,IF(F331=2,'Vehicle Data'!H$15,IF(F331 = 1,'Vehicle Data'!G$14)))</f>
        <v>466.23005239380637</v>
      </c>
      <c r="U331" s="148">
        <f t="shared" si="241"/>
        <v>313.33507224173161</v>
      </c>
      <c r="V331" s="102" t="s">
        <v>77</v>
      </c>
      <c r="W331" s="103" t="s">
        <v>84</v>
      </c>
      <c r="X331" s="101">
        <f>IF(V331="S",'Vehicle Data'!C$14,IF(Data!V331 = "T1",'Vehicle Data'!P$2,IF(Data!V331="T2",'Vehicle Data'!P$3)))</f>
        <v>13.411199999999999</v>
      </c>
      <c r="Y331" s="101"/>
      <c r="Z331" s="105">
        <v>8.3000000000000007</v>
      </c>
      <c r="AA331" s="101"/>
      <c r="AB331" s="101" t="b">
        <f>IF(AA331=1,'Vehicle Data'!I$14,IF(AA331=2,'Vehicle Data'!I$15,IF(AA331=3,'Vehicle Data'!I$16)))</f>
        <v>0</v>
      </c>
      <c r="AC331" s="101">
        <f>IF(Z331&lt;'Vehicle Data'!C$16,'Vehicle Data'!I$15,IF(Z331&lt;'Vehicle Data'!C$15,'Vehicle Data'!I$15,IF(Z330&gt;'Vehicle Data'!C$15,'Vehicle Data'!I$16)))</f>
        <v>0.98256251041858167</v>
      </c>
      <c r="AD331">
        <f>IF(O331=0.6,'Vehicle Data'!F$21,IF(O331=0.9,'Vehicle Data'!F$20))</f>
        <v>3.5315999999999996</v>
      </c>
      <c r="AE331" s="101">
        <f>(Data!H$15-Data!Q331)/'Vehicle Data'!C$6</f>
        <v>-0.75905237261101188</v>
      </c>
      <c r="AF331" s="158">
        <f t="shared" si="263"/>
        <v>0.28486140101441343</v>
      </c>
      <c r="AG331" s="148">
        <f t="shared" si="246"/>
        <v>0</v>
      </c>
      <c r="AH331" s="148">
        <f t="shared" si="264"/>
        <v>112.23588662443531</v>
      </c>
      <c r="AI331" s="101"/>
      <c r="AJ331" s="101">
        <f>(Z331^2)*'Vehicle Data'!C$31</f>
        <v>25.317075000000013</v>
      </c>
      <c r="AK331" s="101">
        <f>IF(O331=0.6,'Vehicle Data'!C$6*'Vehicle Data'!D$21*9.81,IF(O331=0.9,'Vehicle Data'!C$6*9.81*'Vehicle Data'!D$20))</f>
        <v>86.131799999999998</v>
      </c>
      <c r="AL331" s="101">
        <f t="shared" si="243"/>
        <v>656.18953157623423</v>
      </c>
      <c r="AM331" s="101"/>
      <c r="AN331" t="b">
        <f>IF(AG331&gt;0,AG331*'Vehicle Data'!C$6)</f>
        <v>0</v>
      </c>
      <c r="AO331" s="101">
        <f t="shared" si="247"/>
        <v>656.18953157623423</v>
      </c>
      <c r="AP331" s="101">
        <f>AO331*'Vehicle Data'!F$3</f>
        <v>167.72204427088548</v>
      </c>
      <c r="AQ331">
        <v>20</v>
      </c>
      <c r="AR331">
        <f>IF(Z331&lt;'Vehicle Data'!C$16, Z331*'Vehicle Data'!F$7*'Vehicle Data'!G$14,IF(Z331&lt;'Vehicle Data'!C$15,Z331*'Vehicle Data'!F$7*'Vehicle Data'!G$15,IF(Z331&gt;'Vehicle Data'!C$15,Z331*'Vehicle Data'!F$7*'Vehicle Data'!G$16)))</f>
        <v>107.59259259259261</v>
      </c>
      <c r="AS331">
        <f t="shared" si="265"/>
        <v>6455.5555555555566</v>
      </c>
      <c r="AT331">
        <f t="shared" si="266"/>
        <v>20</v>
      </c>
      <c r="AU331">
        <f t="shared" si="267"/>
        <v>6500</v>
      </c>
      <c r="AW331">
        <f>VLOOKUP(AT331,BSFC!A$64:A$82,1,FALSE)</f>
        <v>20</v>
      </c>
      <c r="AX331" t="e" cm="1">
        <f t="array" ref="AX331">_xlfn.XLOOKUP(AT331,BSFC!A$64:A$82,,-1,_xlfn.XLOOKUP(Data!AU331,BSFC!C$63:Q$63,BSFC!B$64:Q$82,,-1))</f>
        <v>#VALUE!</v>
      </c>
      <c r="AY331">
        <f>HLOOKUP(AU331,BSFC!F$63:Q$63,1)</f>
        <v>6500</v>
      </c>
      <c r="AZ331">
        <f>IF(AT331&gt;0,MATCH(AT331,BSFC!A$64:A$83,0),IF(AT331&lt;=0,0))</f>
        <v>3</v>
      </c>
      <c r="BA331">
        <f>MATCH(AU331,BSFC!C$63:Q$63,0)</f>
        <v>13</v>
      </c>
      <c r="BB331" cm="1">
        <f t="array" ref="BB331">IF(AZ331&gt;0,INDEX(BSFC!C$64:Q$83,Data!AZ331,Data!BA331))</f>
        <v>494.7</v>
      </c>
      <c r="BC331">
        <f>0.5*'Vehicle Data'!C$6*Data!Z331^2</f>
        <v>15121.355000000003</v>
      </c>
      <c r="BD331">
        <f t="shared" si="248"/>
        <v>13.465906457145509</v>
      </c>
      <c r="BE331">
        <f t="shared" si="268"/>
        <v>6661.5839243498831</v>
      </c>
      <c r="BF331">
        <f t="shared" si="269"/>
        <v>0.52711892490705614</v>
      </c>
      <c r="BG331">
        <f t="shared" si="249"/>
        <v>136.82017485487688</v>
      </c>
      <c r="BH331">
        <f t="shared" si="228"/>
        <v>13465.906457145509</v>
      </c>
      <c r="BI331" s="148">
        <f t="shared" si="250"/>
        <v>6871.6622130335309</v>
      </c>
      <c r="BO331">
        <f t="shared" si="251"/>
        <v>3842.1264788570202</v>
      </c>
      <c r="BP331">
        <f t="shared" si="252"/>
        <v>600640.85934615869</v>
      </c>
      <c r="BQ331">
        <f t="shared" si="253"/>
        <v>809834.86452045816</v>
      </c>
      <c r="BR331" s="148">
        <f t="shared" si="254"/>
        <v>773207.74110104749</v>
      </c>
      <c r="BS331" s="156">
        <f t="shared" si="255"/>
        <v>3842.1264788570202</v>
      </c>
      <c r="BT331" s="156">
        <f t="shared" si="256"/>
        <v>13465.906457145509</v>
      </c>
      <c r="BU331">
        <f t="shared" si="257"/>
        <v>1960.6400376001116</v>
      </c>
      <c r="BV331">
        <f t="shared" si="258"/>
        <v>1960.6400376001116</v>
      </c>
      <c r="BW331" s="148">
        <f t="shared" si="259"/>
        <v>455.4</v>
      </c>
      <c r="BX331" s="148">
        <f t="shared" si="260"/>
        <v>3129354.9718154697</v>
      </c>
      <c r="BY331" s="148">
        <f t="shared" si="261"/>
        <v>0.24802096475641408</v>
      </c>
      <c r="BZ331">
        <f t="shared" si="244"/>
        <v>112.23588662443531</v>
      </c>
      <c r="CB331">
        <f t="shared" si="262"/>
        <v>-1881.4864412569086</v>
      </c>
      <c r="CC331" s="162">
        <f t="shared" si="245"/>
        <v>-6604.9188642505105</v>
      </c>
      <c r="CD331">
        <f t="shared" si="270"/>
        <v>-37359.063898436856</v>
      </c>
    </row>
    <row r="332" spans="4:82" x14ac:dyDescent="0.2">
      <c r="D332" s="22">
        <f t="shared" si="235"/>
        <v>0.12666005135049033</v>
      </c>
      <c r="E332" s="23">
        <v>9.4175053154758874</v>
      </c>
      <c r="F332" s="23">
        <f>IF(K332&lt;6,1,IF(Data!K332&lt;9,2,IF(K332&gt;9,3)))</f>
        <v>3</v>
      </c>
      <c r="G332" s="23">
        <v>1034.2134283380981</v>
      </c>
      <c r="H332" s="23">
        <v>219.26666499999999</v>
      </c>
      <c r="I332" s="64">
        <v>47.385913826051471</v>
      </c>
      <c r="J332" s="65">
        <f t="shared" si="236"/>
        <v>1.5120651498572473</v>
      </c>
      <c r="K332" s="65">
        <f t="shared" si="237"/>
        <v>18.954365530420588</v>
      </c>
      <c r="L332" s="65">
        <f t="shared" si="238"/>
        <v>0.60482605994288463</v>
      </c>
      <c r="M332">
        <f t="shared" si="239"/>
        <v>18.835010630951775</v>
      </c>
      <c r="N332">
        <f t="shared" si="240"/>
        <v>0.30000252641903735</v>
      </c>
      <c r="O332">
        <f>IF(L332&lt;'Vehicle Data'!F$21,'Vehicle Data'!C$21,IF(L332&gt;'Vehicle Data'!C$21,'Vehicle Data'!C$20))</f>
        <v>0.6</v>
      </c>
      <c r="P332">
        <f>('Vehicle Data'!C$6*9.81*'Vehicle Data'!C$5*SIN(D332))/'Vehicle Data'!C$9</f>
        <v>84.126123307636263</v>
      </c>
      <c r="Q332" s="107">
        <f>'Vehicle Data'!C$6*9.81*SIN(D332)</f>
        <v>544.01559738938113</v>
      </c>
      <c r="R332" s="101">
        <f t="shared" si="234"/>
        <v>1031.8417313515729</v>
      </c>
      <c r="S332" s="101">
        <f>IF(Data!O332=0.6,'Vehicle Data'!E$21,IF(Data!O332 = 0.9,'Vehicle Data'!E$20))+(P332*O332)</f>
        <v>1600.8480739845816</v>
      </c>
      <c r="T332" s="101">
        <f>IF(F332=3,'Vehicle Data'!H$16,IF(F332=2,'Vehicle Data'!H$15,IF(F332 = 1,'Vehicle Data'!G$14)))</f>
        <v>466.23005239380637</v>
      </c>
      <c r="U332" s="148">
        <f t="shared" si="241"/>
        <v>315.70324922825682</v>
      </c>
      <c r="V332" s="102" t="s">
        <v>77</v>
      </c>
      <c r="W332" s="103" t="s">
        <v>84</v>
      </c>
      <c r="X332" s="101">
        <f>IF(V332="S",'Vehicle Data'!C$14,IF(Data!V332 = "T1",'Vehicle Data'!P$2,IF(Data!V332="T2",'Vehicle Data'!P$3)))</f>
        <v>13.411199999999999</v>
      </c>
      <c r="Y332" s="101"/>
      <c r="Z332" s="105">
        <v>8.3000000000000007</v>
      </c>
      <c r="AA332" s="101"/>
      <c r="AB332" s="101" t="b">
        <f>IF(AA332=1,'Vehicle Data'!I$14,IF(AA332=2,'Vehicle Data'!I$15,IF(AA332=3,'Vehicle Data'!I$16)))</f>
        <v>0</v>
      </c>
      <c r="AC332" s="101">
        <f>IF(Z332&lt;'Vehicle Data'!C$16,'Vehicle Data'!I$15,IF(Z332&lt;'Vehicle Data'!C$15,'Vehicle Data'!I$15,IF(Z331&gt;'Vehicle Data'!C$15,'Vehicle Data'!I$16)))</f>
        <v>0.98256251041858167</v>
      </c>
      <c r="AD332">
        <f>IF(O332=0.6,'Vehicle Data'!F$21,IF(O332=0.9,'Vehicle Data'!F$20))</f>
        <v>3.5315999999999996</v>
      </c>
      <c r="AE332" s="101">
        <f>(Data!H$15-Data!Q332)/'Vehicle Data'!C$6</f>
        <v>-0.75740075715120991</v>
      </c>
      <c r="AF332" s="158">
        <f t="shared" si="263"/>
        <v>0.28532252849701367</v>
      </c>
      <c r="AG332" s="148">
        <f t="shared" si="246"/>
        <v>0</v>
      </c>
      <c r="AH332" s="148">
        <f t="shared" si="264"/>
        <v>112.52120915293233</v>
      </c>
      <c r="AI332" s="101"/>
      <c r="AJ332" s="101">
        <f>(Z332^2)*'Vehicle Data'!C$31</f>
        <v>25.317075000000013</v>
      </c>
      <c r="AK332" s="101">
        <f>IF(O332=0.6,'Vehicle Data'!C$6*'Vehicle Data'!D$21*9.81,IF(O332=0.9,'Vehicle Data'!C$6*9.81*'Vehicle Data'!D$20))</f>
        <v>86.131799999999998</v>
      </c>
      <c r="AL332" s="101">
        <f t="shared" si="243"/>
        <v>655.46447238938117</v>
      </c>
      <c r="AM332" s="101"/>
      <c r="AN332" t="b">
        <f>IF(AG332&gt;0,AG332*'Vehicle Data'!C$6)</f>
        <v>0</v>
      </c>
      <c r="AO332" s="101">
        <f t="shared" si="247"/>
        <v>655.46447238938117</v>
      </c>
      <c r="AP332" s="101">
        <f>AO332*'Vehicle Data'!F$3</f>
        <v>167.53671914272581</v>
      </c>
      <c r="AQ332">
        <v>20</v>
      </c>
      <c r="AR332">
        <f>IF(Z332&lt;'Vehicle Data'!C$16, Z332*'Vehicle Data'!F$7*'Vehicle Data'!G$14,IF(Z332&lt;'Vehicle Data'!C$15,Z332*'Vehicle Data'!F$7*'Vehicle Data'!G$15,IF(Z332&gt;'Vehicle Data'!C$15,Z332*'Vehicle Data'!F$7*'Vehicle Data'!G$16)))</f>
        <v>107.59259259259261</v>
      </c>
      <c r="AS332">
        <f t="shared" si="265"/>
        <v>6455.5555555555566</v>
      </c>
      <c r="AT332">
        <f t="shared" si="266"/>
        <v>20</v>
      </c>
      <c r="AU332">
        <f t="shared" si="267"/>
        <v>6500</v>
      </c>
      <c r="AW332">
        <f>VLOOKUP(AT332,BSFC!A$64:A$82,1,FALSE)</f>
        <v>20</v>
      </c>
      <c r="AX332" t="e" cm="1">
        <f t="array" ref="AX332">_xlfn.XLOOKUP(AT332,BSFC!A$64:A$82,,-1,_xlfn.XLOOKUP(Data!AU332,BSFC!C$63:Q$63,BSFC!B$64:Q$82,,-1))</f>
        <v>#VALUE!</v>
      </c>
      <c r="AY332">
        <f>HLOOKUP(AU332,BSFC!F$63:Q$63,1)</f>
        <v>6500</v>
      </c>
      <c r="AZ332">
        <f>IF(AT332&gt;0,MATCH(AT332,BSFC!A$64:A$83,0),IF(AT332&lt;=0,0))</f>
        <v>3</v>
      </c>
      <c r="BA332">
        <f>MATCH(AU332,BSFC!C$63:Q$63,0)</f>
        <v>13</v>
      </c>
      <c r="BB332" cm="1">
        <f t="array" ref="BB332">IF(AZ332&gt;0,INDEX(BSFC!C$64:Q$83,Data!AZ332,Data!BA332))</f>
        <v>494.7</v>
      </c>
      <c r="BC332">
        <f>0.5*'Vehicle Data'!C$6*Data!Z332^2</f>
        <v>15121.355000000003</v>
      </c>
      <c r="BD332">
        <f t="shared" si="248"/>
        <v>13.465906457145509</v>
      </c>
      <c r="BE332">
        <f t="shared" si="268"/>
        <v>6661.5839243498831</v>
      </c>
      <c r="BF332">
        <f t="shared" si="269"/>
        <v>0.52797221363626878</v>
      </c>
      <c r="BG332">
        <f t="shared" si="249"/>
        <v>137.34814706851316</v>
      </c>
      <c r="BH332">
        <f t="shared" si="228"/>
        <v>13465.906457145509</v>
      </c>
      <c r="BI332" s="148">
        <f t="shared" si="250"/>
        <v>6871.6622130335309</v>
      </c>
      <c r="BO332">
        <f t="shared" si="251"/>
        <v>3847.8373211135126</v>
      </c>
      <c r="BP332">
        <f t="shared" si="252"/>
        <v>604488.69666727225</v>
      </c>
      <c r="BQ332">
        <f t="shared" si="253"/>
        <v>813682.70184157172</v>
      </c>
      <c r="BR332" s="148">
        <f t="shared" si="254"/>
        <v>775171.29538575478</v>
      </c>
      <c r="BS332" s="156">
        <f t="shared" si="255"/>
        <v>3847.8373211135126</v>
      </c>
      <c r="BT332" s="156">
        <f t="shared" si="256"/>
        <v>13465.906457145509</v>
      </c>
      <c r="BU332">
        <f t="shared" si="257"/>
        <v>1963.5542847073095</v>
      </c>
      <c r="BV332">
        <f t="shared" si="258"/>
        <v>1963.5542847073095</v>
      </c>
      <c r="BW332" s="148">
        <f t="shared" si="259"/>
        <v>455.4</v>
      </c>
      <c r="BX332" s="148">
        <f t="shared" si="260"/>
        <v>3129354.9718154697</v>
      </c>
      <c r="BY332" s="148">
        <f t="shared" si="261"/>
        <v>0.24838961701547463</v>
      </c>
      <c r="BZ332">
        <f t="shared" si="244"/>
        <v>112.52120915293233</v>
      </c>
      <c r="CB332">
        <f t="shared" si="262"/>
        <v>-1884.2830364062031</v>
      </c>
      <c r="CC332" s="162">
        <f t="shared" si="245"/>
        <v>-6604.0457664943469</v>
      </c>
      <c r="CD332">
        <f t="shared" si="270"/>
        <v>-39243.346934843059</v>
      </c>
    </row>
    <row r="333" spans="4:82" x14ac:dyDescent="0.2">
      <c r="D333" s="22">
        <f t="shared" si="235"/>
        <v>8.4203435663086926E-2</v>
      </c>
      <c r="E333" s="23">
        <v>9.7175078418949248</v>
      </c>
      <c r="F333" s="23">
        <f>IF(K333&lt;6,1,IF(Data!K333&lt;9,2,IF(K333&gt;9,3)))</f>
        <v>3</v>
      </c>
      <c r="G333" s="23">
        <v>1036.5883379665186</v>
      </c>
      <c r="H333" s="23">
        <v>219.316665</v>
      </c>
      <c r="I333" s="64">
        <v>47.461517083544351</v>
      </c>
      <c r="J333" s="65">
        <f t="shared" si="236"/>
        <v>1.5093780383831219</v>
      </c>
      <c r="K333" s="65">
        <f t="shared" si="237"/>
        <v>18.98460683341774</v>
      </c>
      <c r="L333" s="65">
        <f t="shared" si="238"/>
        <v>0.60375121535329146</v>
      </c>
      <c r="M333">
        <f t="shared" si="239"/>
        <v>19.43501568378985</v>
      </c>
      <c r="N333">
        <f t="shared" si="240"/>
        <v>0.19999747358096087</v>
      </c>
      <c r="O333">
        <f>IF(L333&lt;'Vehicle Data'!F$21,'Vehicle Data'!C$21,IF(L333&gt;'Vehicle Data'!C$21,'Vehicle Data'!C$20))</f>
        <v>0.6</v>
      </c>
      <c r="P333">
        <f>('Vehicle Data'!C$6*9.81*'Vehicle Data'!C$5*SIN(D333))/'Vehicle Data'!C$9</f>
        <v>56.010511124743715</v>
      </c>
      <c r="Q333" s="107">
        <f>'Vehicle Data'!C$6*9.81*SIN(D333)</f>
        <v>362.20130527334265</v>
      </c>
      <c r="R333" s="101">
        <f t="shared" si="234"/>
        <v>1034.2134283380981</v>
      </c>
      <c r="S333" s="101">
        <f>IF(Data!O333=0.6,'Vehicle Data'!E$21,IF(Data!O333 = 0.9,'Vehicle Data'!E$20))+(P333*O333)</f>
        <v>1583.9787066748461</v>
      </c>
      <c r="T333" s="101">
        <f>IF(F333=3,'Vehicle Data'!H$16,IF(F333=2,'Vehicle Data'!H$15,IF(F333 = 1,'Vehicle Data'!G$14)))</f>
        <v>466.23005239380637</v>
      </c>
      <c r="U333" s="148">
        <f t="shared" si="241"/>
        <v>318.07494621478202</v>
      </c>
      <c r="V333" s="102" t="s">
        <v>77</v>
      </c>
      <c r="W333" s="103" t="s">
        <v>84</v>
      </c>
      <c r="X333" s="101">
        <f>IF(V333="S",'Vehicle Data'!C$14,IF(Data!V333 = "T1",'Vehicle Data'!P$2,IF(Data!V333="T2",'Vehicle Data'!P$3)))</f>
        <v>13.411199999999999</v>
      </c>
      <c r="Y333" s="101"/>
      <c r="Z333" s="105">
        <v>8.3000000000000007</v>
      </c>
      <c r="AA333" s="101"/>
      <c r="AB333" s="101" t="b">
        <f>IF(AA333=1,'Vehicle Data'!I$14,IF(AA333=2,'Vehicle Data'!I$15,IF(AA333=3,'Vehicle Data'!I$16)))</f>
        <v>0</v>
      </c>
      <c r="AC333" s="101">
        <f>IF(Z333&lt;'Vehicle Data'!C$16,'Vehicle Data'!I$15,IF(Z333&lt;'Vehicle Data'!C$15,'Vehicle Data'!I$15,IF(Z332&gt;'Vehicle Data'!C$15,'Vehicle Data'!I$16)))</f>
        <v>0.98256251041858167</v>
      </c>
      <c r="AD333">
        <f>IF(O333=0.6,'Vehicle Data'!F$21,IF(O333=0.9,'Vehicle Data'!F$20))</f>
        <v>3.5315999999999996</v>
      </c>
      <c r="AE333" s="101">
        <f>(Data!H$15-Data!Q333)/'Vehicle Data'!C$6</f>
        <v>-0.34324519424451633</v>
      </c>
      <c r="AF333" s="158">
        <f t="shared" si="263"/>
        <v>0.28574662488255348</v>
      </c>
      <c r="AG333" s="148">
        <f t="shared" si="246"/>
        <v>0</v>
      </c>
      <c r="AH333" s="148">
        <f t="shared" si="264"/>
        <v>112.80695577781488</v>
      </c>
      <c r="AI333" s="101"/>
      <c r="AJ333" s="101">
        <f>(Z333^2)*'Vehicle Data'!C$31</f>
        <v>25.317075000000013</v>
      </c>
      <c r="AK333" s="101">
        <f>IF(O333=0.6,'Vehicle Data'!C$6*'Vehicle Data'!D$21*9.81,IF(O333=0.9,'Vehicle Data'!C$6*9.81*'Vehicle Data'!D$20))</f>
        <v>86.131799999999998</v>
      </c>
      <c r="AL333" s="101">
        <f t="shared" si="243"/>
        <v>473.6501802733427</v>
      </c>
      <c r="AM333" s="101"/>
      <c r="AN333" t="b">
        <f>IF(AG333&gt;0,AG333*'Vehicle Data'!C$6)</f>
        <v>0</v>
      </c>
      <c r="AO333" s="101">
        <f t="shared" si="247"/>
        <v>473.6501802733427</v>
      </c>
      <c r="AP333" s="101">
        <f>AO333*'Vehicle Data'!F$3</f>
        <v>121.06498607786639</v>
      </c>
      <c r="AQ333">
        <v>20</v>
      </c>
      <c r="AR333">
        <f>IF(Z333&lt;'Vehicle Data'!C$16, Z333*'Vehicle Data'!F$7*'Vehicle Data'!G$14,IF(Z333&lt;'Vehicle Data'!C$15,Z333*'Vehicle Data'!F$7*'Vehicle Data'!G$15,IF(Z333&gt;'Vehicle Data'!C$15,Z333*'Vehicle Data'!F$7*'Vehicle Data'!G$16)))</f>
        <v>107.59259259259261</v>
      </c>
      <c r="AS333">
        <f t="shared" si="265"/>
        <v>6455.5555555555566</v>
      </c>
      <c r="AT333">
        <f t="shared" si="266"/>
        <v>20</v>
      </c>
      <c r="AU333">
        <f t="shared" si="267"/>
        <v>6500</v>
      </c>
      <c r="AW333">
        <f>VLOOKUP(AT333,BSFC!A$64:A$82,1,FALSE)</f>
        <v>20</v>
      </c>
      <c r="AX333" t="e" cm="1">
        <f t="array" ref="AX333">_xlfn.XLOOKUP(AT333,BSFC!A$64:A$82,,-1,_xlfn.XLOOKUP(Data!AU333,BSFC!C$63:Q$63,BSFC!B$64:Q$82,,-1))</f>
        <v>#VALUE!</v>
      </c>
      <c r="AY333">
        <f>HLOOKUP(AU333,BSFC!F$63:Q$63,1)</f>
        <v>6500</v>
      </c>
      <c r="AZ333">
        <f>IF(AT333&gt;0,MATCH(AT333,BSFC!A$64:A$83,0),IF(AT333&lt;=0,0))</f>
        <v>3</v>
      </c>
      <c r="BA333">
        <f>MATCH(AU333,BSFC!C$63:Q$63,0)</f>
        <v>13</v>
      </c>
      <c r="BB333" cm="1">
        <f t="array" ref="BB333">IF(AZ333&gt;0,INDEX(BSFC!C$64:Q$83,Data!AZ333,Data!BA333))</f>
        <v>494.7</v>
      </c>
      <c r="BC333">
        <f>0.5*'Vehicle Data'!C$6*Data!Z333^2</f>
        <v>15121.355000000003</v>
      </c>
      <c r="BD333">
        <f t="shared" si="248"/>
        <v>13.465906457145509</v>
      </c>
      <c r="BE333">
        <f t="shared" si="268"/>
        <v>6661.5839243498831</v>
      </c>
      <c r="BF333">
        <f t="shared" si="269"/>
        <v>0.52875697854301518</v>
      </c>
      <c r="BG333">
        <f t="shared" si="249"/>
        <v>137.87690404705617</v>
      </c>
      <c r="BH333">
        <f t="shared" si="228"/>
        <v>13465.906457145509</v>
      </c>
      <c r="BI333" s="148">
        <f t="shared" si="250"/>
        <v>6871.6622130335309</v>
      </c>
      <c r="BO333">
        <f t="shared" si="251"/>
        <v>3853.0495060824592</v>
      </c>
      <c r="BP333">
        <f t="shared" si="252"/>
        <v>608341.74617335468</v>
      </c>
      <c r="BQ333">
        <f t="shared" si="253"/>
        <v>817535.75134765415</v>
      </c>
      <c r="BR333" s="148">
        <f t="shared" si="254"/>
        <v>777137.50945237966</v>
      </c>
      <c r="BS333" s="156">
        <f t="shared" si="255"/>
        <v>3853.0495060824592</v>
      </c>
      <c r="BT333" s="156">
        <f t="shared" si="256"/>
        <v>13465.906457145509</v>
      </c>
      <c r="BU333">
        <f t="shared" si="257"/>
        <v>1966.2140666248833</v>
      </c>
      <c r="BV333">
        <f t="shared" si="258"/>
        <v>1966.2140666248833</v>
      </c>
      <c r="BW333" s="148">
        <f t="shared" si="259"/>
        <v>455.4</v>
      </c>
      <c r="BX333" s="148">
        <f t="shared" si="260"/>
        <v>3129354.9718154697</v>
      </c>
      <c r="BY333" s="148">
        <f t="shared" si="261"/>
        <v>0.24872607942804772</v>
      </c>
      <c r="BZ333">
        <f t="shared" si="244"/>
        <v>112.80695577781488</v>
      </c>
      <c r="CB333">
        <f t="shared" si="262"/>
        <v>-1886.8354394575758</v>
      </c>
      <c r="CC333" s="162">
        <f t="shared" si="245"/>
        <v>-6603.176643759577</v>
      </c>
      <c r="CD333">
        <f t="shared" si="270"/>
        <v>-41130.182374300632</v>
      </c>
    </row>
    <row r="334" spans="4:82" x14ac:dyDescent="0.2">
      <c r="D334" s="22">
        <f t="shared" si="235"/>
        <v>0.11964539312235034</v>
      </c>
      <c r="E334" s="23">
        <v>9.9175053154758857</v>
      </c>
      <c r="F334" s="23">
        <f>IF(K334&lt;6,1,IF(Data!K334&lt;9,2,IF(K334&gt;9,3)))</f>
        <v>3</v>
      </c>
      <c r="G334" s="23">
        <v>1038.9663170273589</v>
      </c>
      <c r="H334" s="23">
        <v>219.36666499999998</v>
      </c>
      <c r="I334" s="64">
        <v>47.536985985463481</v>
      </c>
      <c r="J334" s="65">
        <f t="shared" si="236"/>
        <v>1.5135701037153493</v>
      </c>
      <c r="K334" s="65">
        <f t="shared" si="237"/>
        <v>19.014794394185394</v>
      </c>
      <c r="L334" s="65">
        <f t="shared" si="238"/>
        <v>0.60542804148611129</v>
      </c>
      <c r="M334">
        <f t="shared" si="239"/>
        <v>19.835010630951771</v>
      </c>
      <c r="N334">
        <f t="shared" si="240"/>
        <v>0.28420028452411472</v>
      </c>
      <c r="O334">
        <f>IF(L334&lt;'Vehicle Data'!F$21,'Vehicle Data'!C$21,IF(L334&gt;'Vehicle Data'!C$21,'Vehicle Data'!C$20))</f>
        <v>0.6</v>
      </c>
      <c r="P334">
        <f>('Vehicle Data'!C$6*9.81*'Vehicle Data'!C$5*SIN(D334))/'Vehicle Data'!C$9</f>
        <v>79.489979109089504</v>
      </c>
      <c r="Q334" s="107">
        <f>'Vehicle Data'!C$6*9.81*SIN(D334)</f>
        <v>514.03519823877878</v>
      </c>
      <c r="R334" s="101">
        <f t="shared" si="234"/>
        <v>1036.5883379665186</v>
      </c>
      <c r="S334" s="101">
        <f>IF(Data!O334=0.6,'Vehicle Data'!E$21,IF(Data!O334 = 0.9,'Vehicle Data'!E$20))+(P334*O334)</f>
        <v>1598.0663874654535</v>
      </c>
      <c r="T334" s="101">
        <f>IF(F334=3,'Vehicle Data'!H$16,IF(F334=2,'Vehicle Data'!H$15,IF(F334 = 1,'Vehicle Data'!G$14)))</f>
        <v>466.23005239380637</v>
      </c>
      <c r="U334" s="148">
        <f t="shared" si="241"/>
        <v>320.4498558432025</v>
      </c>
      <c r="V334" s="102" t="s">
        <v>77</v>
      </c>
      <c r="W334" s="103" t="s">
        <v>84</v>
      </c>
      <c r="X334" s="101">
        <f>IF(V334="S",'Vehicle Data'!C$14,IF(Data!V334 = "T1",'Vehicle Data'!P$2,IF(Data!V334="T2",'Vehicle Data'!P$3)))</f>
        <v>13.411199999999999</v>
      </c>
      <c r="Y334" s="101"/>
      <c r="Z334" s="105">
        <v>8.3000000000000007</v>
      </c>
      <c r="AA334" s="101"/>
      <c r="AB334" s="101" t="b">
        <f>IF(AA334=1,'Vehicle Data'!I$14,IF(AA334=2,'Vehicle Data'!I$15,IF(AA334=3,'Vehicle Data'!I$16)))</f>
        <v>0</v>
      </c>
      <c r="AC334" s="101">
        <f>IF(Z334&lt;'Vehicle Data'!C$16,'Vehicle Data'!I$15,IF(Z334&lt;'Vehicle Data'!C$15,'Vehicle Data'!I$15,IF(Z333&gt;'Vehicle Data'!C$15,'Vehicle Data'!I$16)))</f>
        <v>0.98256251041858167</v>
      </c>
      <c r="AD334">
        <f>IF(O334=0.6,'Vehicle Data'!F$21,IF(O334=0.9,'Vehicle Data'!F$20))</f>
        <v>3.5315999999999996</v>
      </c>
      <c r="AE334" s="101">
        <f>(Data!H$15-Data!Q334)/'Vehicle Data'!C$6</f>
        <v>-0.68910827617033887</v>
      </c>
      <c r="AF334" s="158">
        <f t="shared" si="263"/>
        <v>0.28613369017114243</v>
      </c>
      <c r="AG334" s="148">
        <f t="shared" si="246"/>
        <v>0</v>
      </c>
      <c r="AH334" s="148">
        <f t="shared" si="264"/>
        <v>113.09308946798602</v>
      </c>
      <c r="AI334" s="101"/>
      <c r="AJ334" s="101">
        <f>(Z334^2)*'Vehicle Data'!C$31</f>
        <v>25.317075000000013</v>
      </c>
      <c r="AK334" s="101">
        <f>IF(O334=0.6,'Vehicle Data'!C$6*'Vehicle Data'!D$21*9.81,IF(O334=0.9,'Vehicle Data'!C$6*9.81*'Vehicle Data'!D$20))</f>
        <v>86.131799999999998</v>
      </c>
      <c r="AL334" s="101">
        <f t="shared" si="243"/>
        <v>625.48407323877882</v>
      </c>
      <c r="AM334" s="101"/>
      <c r="AN334" t="b">
        <f>IF(AG334&gt;0,AG334*'Vehicle Data'!C$6)</f>
        <v>0</v>
      </c>
      <c r="AO334" s="101">
        <f t="shared" si="247"/>
        <v>625.48407323877882</v>
      </c>
      <c r="AP334" s="101">
        <f>AO334*'Vehicle Data'!F$3</f>
        <v>159.87372911983186</v>
      </c>
      <c r="AQ334">
        <v>20</v>
      </c>
      <c r="AR334">
        <f>IF(Z334&lt;'Vehicle Data'!C$16, Z334*'Vehicle Data'!F$7*'Vehicle Data'!G$14,IF(Z334&lt;'Vehicle Data'!C$15,Z334*'Vehicle Data'!F$7*'Vehicle Data'!G$15,IF(Z334&gt;'Vehicle Data'!C$15,Z334*'Vehicle Data'!F$7*'Vehicle Data'!G$16)))</f>
        <v>107.59259259259261</v>
      </c>
      <c r="AS334">
        <f t="shared" si="265"/>
        <v>6455.5555555555566</v>
      </c>
      <c r="AT334">
        <f t="shared" si="266"/>
        <v>20</v>
      </c>
      <c r="AU334">
        <f t="shared" si="267"/>
        <v>6500</v>
      </c>
      <c r="AW334">
        <f>VLOOKUP(AT334,BSFC!A$64:A$82,1,FALSE)</f>
        <v>20</v>
      </c>
      <c r="AX334" t="e" cm="1">
        <f t="array" ref="AX334">_xlfn.XLOOKUP(AT334,BSFC!A$64:A$82,,-1,_xlfn.XLOOKUP(Data!AU334,BSFC!C$63:Q$63,BSFC!B$64:Q$82,,-1))</f>
        <v>#VALUE!</v>
      </c>
      <c r="AY334">
        <f>HLOOKUP(AU334,BSFC!F$63:Q$63,1)</f>
        <v>6500</v>
      </c>
      <c r="AZ334">
        <f>IF(AT334&gt;0,MATCH(AT334,BSFC!A$64:A$83,0),IF(AT334&lt;=0,0))</f>
        <v>3</v>
      </c>
      <c r="BA334">
        <f>MATCH(AU334,BSFC!C$63:Q$63,0)</f>
        <v>13</v>
      </c>
      <c r="BB334" cm="1">
        <f t="array" ref="BB334">IF(AZ334&gt;0,INDEX(BSFC!C$64:Q$83,Data!AZ334,Data!BA334))</f>
        <v>494.7</v>
      </c>
      <c r="BC334">
        <f>0.5*'Vehicle Data'!C$6*Data!Z334^2</f>
        <v>15121.355000000003</v>
      </c>
      <c r="BD334">
        <f t="shared" si="248"/>
        <v>13.465906457145509</v>
      </c>
      <c r="BE334">
        <f t="shared" si="268"/>
        <v>6661.5839243498831</v>
      </c>
      <c r="BF334">
        <f t="shared" si="269"/>
        <v>0.52947321962749794</v>
      </c>
      <c r="BG334">
        <f t="shared" si="249"/>
        <v>138.40637726668368</v>
      </c>
      <c r="BH334">
        <f t="shared" si="228"/>
        <v>13465.906457145509</v>
      </c>
      <c r="BI334" s="148">
        <f t="shared" si="250"/>
        <v>6871.6622130335309</v>
      </c>
      <c r="BO334">
        <f t="shared" si="251"/>
        <v>3858.0293482320553</v>
      </c>
      <c r="BP334">
        <f t="shared" si="252"/>
        <v>612199.77552158677</v>
      </c>
      <c r="BQ334">
        <f t="shared" si="253"/>
        <v>821393.78069588623</v>
      </c>
      <c r="BR334" s="148">
        <f t="shared" si="254"/>
        <v>779106.26473620627</v>
      </c>
      <c r="BS334" s="156">
        <f t="shared" si="255"/>
        <v>3858.0293482320553</v>
      </c>
      <c r="BT334" s="156">
        <f t="shared" si="256"/>
        <v>13465.906457145509</v>
      </c>
      <c r="BU334">
        <f t="shared" si="257"/>
        <v>1968.7552838266477</v>
      </c>
      <c r="BV334">
        <f t="shared" si="258"/>
        <v>1968.7552838266477</v>
      </c>
      <c r="BW334" s="148">
        <f t="shared" si="259"/>
        <v>455.4</v>
      </c>
      <c r="BX334" s="148">
        <f t="shared" si="260"/>
        <v>3129354.9718154697</v>
      </c>
      <c r="BY334" s="148">
        <f t="shared" si="261"/>
        <v>0.24904754340407093</v>
      </c>
      <c r="BZ334">
        <f t="shared" si="244"/>
        <v>113.09308946798602</v>
      </c>
      <c r="CB334">
        <f t="shared" si="262"/>
        <v>-1889.2740644054077</v>
      </c>
      <c r="CC334" s="162">
        <f t="shared" si="245"/>
        <v>-6602.766920859277</v>
      </c>
      <c r="CD334">
        <f t="shared" si="270"/>
        <v>-43019.456438706038</v>
      </c>
    </row>
    <row r="335" spans="4:82" x14ac:dyDescent="0.2">
      <c r="D335" s="22">
        <f t="shared" si="235"/>
        <v>8.39845225348754E-2</v>
      </c>
      <c r="E335" s="23">
        <v>10.2017056</v>
      </c>
      <c r="F335" s="23">
        <f>IF(K335&lt;6,1,IF(Data!K335&lt;9,2,IF(K335&gt;9,3)))</f>
        <v>3</v>
      </c>
      <c r="G335" s="23">
        <v>1041.3473487300948</v>
      </c>
      <c r="H335" s="23">
        <v>219.41666499999999</v>
      </c>
      <c r="I335" s="64">
        <v>47.612664490649266</v>
      </c>
      <c r="J335" s="65">
        <f t="shared" si="236"/>
        <v>1.6143492494900435</v>
      </c>
      <c r="K335" s="65">
        <f t="shared" si="237"/>
        <v>19.045065796259706</v>
      </c>
      <c r="L335" s="65">
        <f t="shared" si="238"/>
        <v>0.645739699795989</v>
      </c>
      <c r="M335">
        <f t="shared" si="239"/>
        <v>20.403411200000001</v>
      </c>
      <c r="N335">
        <f t="shared" si="240"/>
        <v>0.19999759999999966</v>
      </c>
      <c r="O335">
        <f>IF(L335&lt;'Vehicle Data'!F$21,'Vehicle Data'!C$21,IF(L335&gt;'Vehicle Data'!C$21,'Vehicle Data'!C$20))</f>
        <v>0.6</v>
      </c>
      <c r="P335">
        <f>('Vehicle Data'!C$6*9.81*'Vehicle Data'!C$5*SIN(D335))/'Vehicle Data'!C$9</f>
        <v>55.865237282212533</v>
      </c>
      <c r="Q335" s="107">
        <f>'Vehicle Data'!C$6*9.81*SIN(D335)</f>
        <v>361.26186775830769</v>
      </c>
      <c r="R335" s="101">
        <f t="shared" si="234"/>
        <v>1038.9663170273589</v>
      </c>
      <c r="S335" s="101">
        <f>IF(Data!O335=0.6,'Vehicle Data'!E$21,IF(Data!O335 = 0.9,'Vehicle Data'!E$20))+(P335*O335)</f>
        <v>1583.8915423693272</v>
      </c>
      <c r="T335" s="101">
        <f>IF(F335=3,'Vehicle Data'!H$16,IF(F335=2,'Vehicle Data'!H$15,IF(F335 = 1,'Vehicle Data'!G$14)))</f>
        <v>466.23005239380637</v>
      </c>
      <c r="U335" s="148">
        <f t="shared" si="241"/>
        <v>322.82783490404279</v>
      </c>
      <c r="V335" s="102" t="s">
        <v>77</v>
      </c>
      <c r="W335" s="103" t="s">
        <v>84</v>
      </c>
      <c r="X335" s="101">
        <f>IF(V335="S",'Vehicle Data'!C$14,IF(Data!V335 = "T1",'Vehicle Data'!P$2,IF(Data!V335="T2",'Vehicle Data'!P$3)))</f>
        <v>13.411199999999999</v>
      </c>
      <c r="Y335" s="101"/>
      <c r="Z335" s="105">
        <v>8.3000000000000007</v>
      </c>
      <c r="AA335" s="101"/>
      <c r="AB335" s="101" t="b">
        <f>IF(AA335=1,'Vehicle Data'!I$14,IF(AA335=2,'Vehicle Data'!I$15,IF(AA335=3,'Vehicle Data'!I$16)))</f>
        <v>0</v>
      </c>
      <c r="AC335" s="101">
        <f>IF(Z335&lt;'Vehicle Data'!C$16,'Vehicle Data'!I$15,IF(Z335&lt;'Vehicle Data'!C$15,'Vehicle Data'!I$15,IF(Z334&gt;'Vehicle Data'!C$15,'Vehicle Data'!I$16)))</f>
        <v>0.98256251041858167</v>
      </c>
      <c r="AD335">
        <f>IF(O335=0.6,'Vehicle Data'!F$21,IF(O335=0.9,'Vehicle Data'!F$20))</f>
        <v>3.5315999999999996</v>
      </c>
      <c r="AE335" s="101">
        <f>(Data!H$15-Data!Q335)/'Vehicle Data'!C$6</f>
        <v>-0.34110524546311549</v>
      </c>
      <c r="AF335" s="158">
        <f t="shared" si="263"/>
        <v>0.28650350130605889</v>
      </c>
      <c r="AG335" s="148">
        <f t="shared" si="246"/>
        <v>0</v>
      </c>
      <c r="AH335" s="148">
        <f t="shared" si="264"/>
        <v>113.37959296929208</v>
      </c>
      <c r="AI335" s="101"/>
      <c r="AJ335" s="101">
        <f>(Z335^2)*'Vehicle Data'!C$31</f>
        <v>25.317075000000013</v>
      </c>
      <c r="AK335" s="101">
        <f>IF(O335=0.6,'Vehicle Data'!C$6*'Vehicle Data'!D$21*9.81,IF(O335=0.9,'Vehicle Data'!C$6*9.81*'Vehicle Data'!D$20))</f>
        <v>86.131799999999998</v>
      </c>
      <c r="AL335" s="101">
        <f t="shared" si="243"/>
        <v>472.71074275830767</v>
      </c>
      <c r="AM335" s="101"/>
      <c r="AN335" t="b">
        <f>IF(AG335&gt;0,AG335*'Vehicle Data'!C$6)</f>
        <v>0</v>
      </c>
      <c r="AO335" s="101">
        <f t="shared" si="247"/>
        <v>472.71074275830767</v>
      </c>
      <c r="AP335" s="101">
        <f>AO335*'Vehicle Data'!F$3</f>
        <v>120.82486584902344</v>
      </c>
      <c r="AQ335">
        <v>20</v>
      </c>
      <c r="AR335">
        <f>IF(Z335&lt;'Vehicle Data'!C$16, Z335*'Vehicle Data'!F$7*'Vehicle Data'!G$14,IF(Z335&lt;'Vehicle Data'!C$15,Z335*'Vehicle Data'!F$7*'Vehicle Data'!G$15,IF(Z335&gt;'Vehicle Data'!C$15,Z335*'Vehicle Data'!F$7*'Vehicle Data'!G$16)))</f>
        <v>107.59259259259261</v>
      </c>
      <c r="AS335">
        <f t="shared" si="265"/>
        <v>6455.5555555555566</v>
      </c>
      <c r="AT335">
        <f t="shared" si="266"/>
        <v>20</v>
      </c>
      <c r="AU335">
        <f t="shared" si="267"/>
        <v>6500</v>
      </c>
      <c r="AW335">
        <f>VLOOKUP(AT335,BSFC!A$64:A$82,1,FALSE)</f>
        <v>20</v>
      </c>
      <c r="AX335" t="e" cm="1">
        <f t="array" ref="AX335">_xlfn.XLOOKUP(AT335,BSFC!A$64:A$82,,-1,_xlfn.XLOOKUP(Data!AU335,BSFC!C$63:Q$63,BSFC!B$64:Q$82,,-1))</f>
        <v>#VALUE!</v>
      </c>
      <c r="AY335">
        <f>HLOOKUP(AU335,BSFC!F$63:Q$63,1)</f>
        <v>6500</v>
      </c>
      <c r="AZ335">
        <f>IF(AT335&gt;0,MATCH(AT335,BSFC!A$64:A$83,0),IF(AT335&lt;=0,0))</f>
        <v>3</v>
      </c>
      <c r="BA335">
        <f>MATCH(AU335,BSFC!C$63:Q$63,0)</f>
        <v>13</v>
      </c>
      <c r="BB335" cm="1">
        <f t="array" ref="BB335">IF(AZ335&gt;0,INDEX(BSFC!C$64:Q$83,Data!AZ335,Data!BA335))</f>
        <v>494.7</v>
      </c>
      <c r="BC335">
        <f>0.5*'Vehicle Data'!C$6*Data!Z335^2</f>
        <v>15121.355000000003</v>
      </c>
      <c r="BD335">
        <f t="shared" si="248"/>
        <v>13.465906457145509</v>
      </c>
      <c r="BE335">
        <f t="shared" si="268"/>
        <v>6661.5839243498831</v>
      </c>
      <c r="BF335">
        <f t="shared" si="269"/>
        <v>0.53015753293622159</v>
      </c>
      <c r="BG335">
        <f t="shared" si="249"/>
        <v>138.93653479961989</v>
      </c>
      <c r="BH335">
        <f t="shared" si="228"/>
        <v>13465.906457145509</v>
      </c>
      <c r="BI335" s="148">
        <f t="shared" si="250"/>
        <v>6871.6622130335309</v>
      </c>
      <c r="BO335">
        <f t="shared" si="251"/>
        <v>3862.9819494627254</v>
      </c>
      <c r="BP335">
        <f t="shared" si="252"/>
        <v>616062.75747104944</v>
      </c>
      <c r="BQ335">
        <f t="shared" si="253"/>
        <v>825256.76264534891</v>
      </c>
      <c r="BR335" s="148">
        <f t="shared" si="254"/>
        <v>781077.54733617324</v>
      </c>
      <c r="BS335" s="156">
        <f t="shared" si="255"/>
        <v>3862.9819494627254</v>
      </c>
      <c r="BT335" s="156">
        <f t="shared" si="256"/>
        <v>13465.906457145509</v>
      </c>
      <c r="BU335">
        <f t="shared" si="257"/>
        <v>1971.2825999669556</v>
      </c>
      <c r="BV335">
        <f t="shared" si="258"/>
        <v>1971.2825999669556</v>
      </c>
      <c r="BW335" s="148">
        <f t="shared" si="259"/>
        <v>455.4</v>
      </c>
      <c r="BX335" s="148">
        <f t="shared" si="260"/>
        <v>3129354.9718154697</v>
      </c>
      <c r="BY335" s="148">
        <f t="shared" si="261"/>
        <v>0.24936724889581985</v>
      </c>
      <c r="BZ335">
        <f t="shared" si="244"/>
        <v>113.37959296929208</v>
      </c>
      <c r="CB335">
        <f t="shared" si="262"/>
        <v>-1891.6993494957699</v>
      </c>
      <c r="CC335" s="162">
        <f t="shared" si="245"/>
        <v>-6602.7093591256316</v>
      </c>
      <c r="CD335">
        <f t="shared" si="270"/>
        <v>-44911.15578820181</v>
      </c>
    </row>
    <row r="336" spans="4:82" x14ac:dyDescent="0.2">
      <c r="D336" s="22">
        <f t="shared" si="235"/>
        <v>9.0517733112231255E-2</v>
      </c>
      <c r="E336" s="23">
        <v>10.4017032</v>
      </c>
      <c r="F336" s="23">
        <f>IF(K336&lt;6,1,IF(Data!K336&lt;9,2,IF(K336&gt;9,3)))</f>
        <v>3</v>
      </c>
      <c r="G336" s="23">
        <v>1043.7315130747254</v>
      </c>
      <c r="H336" s="23">
        <v>219.46666499999998</v>
      </c>
      <c r="I336" s="64">
        <v>47.69338195312374</v>
      </c>
      <c r="J336" s="65">
        <f t="shared" si="236"/>
        <v>1.6545321290320705</v>
      </c>
      <c r="K336" s="65">
        <f t="shared" si="237"/>
        <v>19.077352781249495</v>
      </c>
      <c r="L336" s="65">
        <f t="shared" si="238"/>
        <v>0.66181285161284242</v>
      </c>
      <c r="M336">
        <f t="shared" si="239"/>
        <v>20.8034064</v>
      </c>
      <c r="N336">
        <f t="shared" si="240"/>
        <v>0.21580611547588724</v>
      </c>
      <c r="O336">
        <f>IF(L336&lt;'Vehicle Data'!F$21,'Vehicle Data'!C$21,IF(L336&gt;'Vehicle Data'!C$21,'Vehicle Data'!C$20))</f>
        <v>0.6</v>
      </c>
      <c r="P336">
        <f>('Vehicle Data'!C$6*9.81*'Vehicle Data'!C$5*SIN(D336))/'Vehicle Data'!C$9</f>
        <v>60.199584960645986</v>
      </c>
      <c r="Q336" s="107">
        <f>'Vehicle Data'!C$6*9.81*SIN(D336)</f>
        <v>389.29064941217734</v>
      </c>
      <c r="R336" s="101">
        <f t="shared" si="234"/>
        <v>1041.3473487300948</v>
      </c>
      <c r="S336" s="101">
        <f>IF(Data!O336=0.6,'Vehicle Data'!E$21,IF(Data!O336 = 0.9,'Vehicle Data'!E$20))+(P336*O336)</f>
        <v>1586.4921509763874</v>
      </c>
      <c r="T336" s="101">
        <f>IF(F336=3,'Vehicle Data'!H$16,IF(F336=2,'Vehicle Data'!H$15,IF(F336 = 1,'Vehicle Data'!G$14)))</f>
        <v>466.23005239380637</v>
      </c>
      <c r="U336" s="148">
        <f t="shared" si="241"/>
        <v>325.20886660677877</v>
      </c>
      <c r="V336" s="102" t="s">
        <v>77</v>
      </c>
      <c r="W336" s="103" t="s">
        <v>84</v>
      </c>
      <c r="X336" s="101">
        <f>IF(V336="S",'Vehicle Data'!C$14,IF(Data!V336 = "T1",'Vehicle Data'!P$2,IF(Data!V336="T2",'Vehicle Data'!P$3)))</f>
        <v>13.411199999999999</v>
      </c>
      <c r="Y336" s="101"/>
      <c r="Z336" s="105">
        <v>8.3000000000000007</v>
      </c>
      <c r="AA336" s="101"/>
      <c r="AB336" s="101" t="b">
        <f>IF(AA336=1,'Vehicle Data'!I$14,IF(AA336=2,'Vehicle Data'!I$15,IF(AA336=3,'Vehicle Data'!I$16)))</f>
        <v>0</v>
      </c>
      <c r="AC336" s="101">
        <f>IF(Z336&lt;'Vehicle Data'!C$16,'Vehicle Data'!I$15,IF(Z336&lt;'Vehicle Data'!C$15,'Vehicle Data'!I$15,IF(Z335&gt;'Vehicle Data'!C$15,'Vehicle Data'!I$16)))</f>
        <v>0.98256251041858167</v>
      </c>
      <c r="AD336">
        <f>IF(O336=0.6,'Vehicle Data'!F$21,IF(O336=0.9,'Vehicle Data'!F$20))</f>
        <v>3.5315999999999996</v>
      </c>
      <c r="AE336" s="101">
        <f>(Data!H$15-Data!Q336)/'Vehicle Data'!C$6</f>
        <v>-0.40495212850154294</v>
      </c>
      <c r="AF336" s="158">
        <f t="shared" si="263"/>
        <v>0.28687128948626284</v>
      </c>
      <c r="AG336" s="148">
        <f t="shared" si="246"/>
        <v>0</v>
      </c>
      <c r="AH336" s="148">
        <f t="shared" si="264"/>
        <v>113.66646425877833</v>
      </c>
      <c r="AI336" s="101"/>
      <c r="AJ336" s="101">
        <f>(Z336^2)*'Vehicle Data'!C$31</f>
        <v>25.317075000000013</v>
      </c>
      <c r="AK336" s="101">
        <f>IF(O336=0.6,'Vehicle Data'!C$6*'Vehicle Data'!D$21*9.81,IF(O336=0.9,'Vehicle Data'!C$6*9.81*'Vehicle Data'!D$20))</f>
        <v>86.131799999999998</v>
      </c>
      <c r="AL336" s="101">
        <f t="shared" si="243"/>
        <v>500.73952441217739</v>
      </c>
      <c r="AM336" s="101"/>
      <c r="AN336" t="b">
        <f>IF(AG336&gt;0,AG336*'Vehicle Data'!C$6)</f>
        <v>0</v>
      </c>
      <c r="AO336" s="101">
        <f t="shared" si="247"/>
        <v>500.73952441217739</v>
      </c>
      <c r="AP336" s="101">
        <f>AO336*'Vehicle Data'!F$3</f>
        <v>127.98902243975253</v>
      </c>
      <c r="AQ336">
        <v>20</v>
      </c>
      <c r="AR336">
        <f>IF(Z336&lt;'Vehicle Data'!C$16, Z336*'Vehicle Data'!F$7*'Vehicle Data'!G$14,IF(Z336&lt;'Vehicle Data'!C$15,Z336*'Vehicle Data'!F$7*'Vehicle Data'!G$15,IF(Z336&gt;'Vehicle Data'!C$15,Z336*'Vehicle Data'!F$7*'Vehicle Data'!G$16)))</f>
        <v>107.59259259259261</v>
      </c>
      <c r="AS336">
        <f t="shared" si="265"/>
        <v>6455.5555555555566</v>
      </c>
      <c r="AT336">
        <f t="shared" si="266"/>
        <v>20</v>
      </c>
      <c r="AU336">
        <f t="shared" si="267"/>
        <v>6500</v>
      </c>
      <c r="AW336">
        <f>VLOOKUP(AT336,BSFC!A$64:A$82,1,FALSE)</f>
        <v>20</v>
      </c>
      <c r="AX336" t="e" cm="1">
        <f t="array" ref="AX336">_xlfn.XLOOKUP(AT336,BSFC!A$64:A$82,,-1,_xlfn.XLOOKUP(Data!AU336,BSFC!C$63:Q$63,BSFC!B$64:Q$82,,-1))</f>
        <v>#VALUE!</v>
      </c>
      <c r="AY336">
        <f>HLOOKUP(AU336,BSFC!F$63:Q$63,1)</f>
        <v>6500</v>
      </c>
      <c r="AZ336">
        <f>IF(AT336&gt;0,MATCH(AT336,BSFC!A$64:A$83,0),IF(AT336&lt;=0,0))</f>
        <v>3</v>
      </c>
      <c r="BA336">
        <f>MATCH(AU336,BSFC!C$63:Q$63,0)</f>
        <v>13</v>
      </c>
      <c r="BB336" cm="1">
        <f t="array" ref="BB336">IF(AZ336&gt;0,INDEX(BSFC!C$64:Q$83,Data!AZ336,Data!BA336))</f>
        <v>494.7</v>
      </c>
      <c r="BC336">
        <f>0.5*'Vehicle Data'!C$6*Data!Z336^2</f>
        <v>15121.355000000003</v>
      </c>
      <c r="BD336">
        <f t="shared" si="248"/>
        <v>13.465906457145509</v>
      </c>
      <c r="BE336">
        <f t="shared" si="268"/>
        <v>6661.5839243498831</v>
      </c>
      <c r="BF336">
        <f t="shared" si="269"/>
        <v>0.53083810288866951</v>
      </c>
      <c r="BG336">
        <f t="shared" si="249"/>
        <v>139.46737290250857</v>
      </c>
      <c r="BH336">
        <f t="shared" si="228"/>
        <v>13465.906457145509</v>
      </c>
      <c r="BI336" s="148">
        <f t="shared" si="250"/>
        <v>6871.6622130335309</v>
      </c>
      <c r="BO336">
        <f t="shared" si="251"/>
        <v>3868.0643425610574</v>
      </c>
      <c r="BP336">
        <f t="shared" si="252"/>
        <v>619930.8218136105</v>
      </c>
      <c r="BQ336">
        <f t="shared" si="253"/>
        <v>829124.82698790997</v>
      </c>
      <c r="BR336" s="148">
        <f t="shared" si="254"/>
        <v>783051.42348516837</v>
      </c>
      <c r="BS336" s="156">
        <f t="shared" si="255"/>
        <v>3868.0643425610574</v>
      </c>
      <c r="BT336" s="156">
        <f t="shared" si="256"/>
        <v>13465.906457145509</v>
      </c>
      <c r="BU336">
        <f t="shared" si="257"/>
        <v>1973.8761489951428</v>
      </c>
      <c r="BV336">
        <f t="shared" si="258"/>
        <v>1973.8761489951428</v>
      </c>
      <c r="BW336" s="148">
        <f t="shared" si="259"/>
        <v>455.4</v>
      </c>
      <c r="BX336" s="148">
        <f t="shared" si="260"/>
        <v>3129354.9718154697</v>
      </c>
      <c r="BY336" s="148">
        <f t="shared" si="261"/>
        <v>0.24969533284788553</v>
      </c>
      <c r="BZ336">
        <f t="shared" si="244"/>
        <v>113.66646425877833</v>
      </c>
      <c r="CB336">
        <f t="shared" si="262"/>
        <v>-1894.1881935659146</v>
      </c>
      <c r="CC336" s="162">
        <f t="shared" si="245"/>
        <v>-6602.9200655043578</v>
      </c>
      <c r="CD336">
        <f t="shared" si="270"/>
        <v>-46805.343981767721</v>
      </c>
    </row>
    <row r="337" spans="4:82" x14ac:dyDescent="0.2">
      <c r="D337" s="22">
        <f t="shared" si="235"/>
        <v>7.7118916197572301E-2</v>
      </c>
      <c r="E337" s="23">
        <v>10.617509315475887</v>
      </c>
      <c r="F337" s="23">
        <f>IF(K337&lt;6,1,IF(Data!K337&lt;9,2,IF(K337&gt;9,3)))</f>
        <v>3</v>
      </c>
      <c r="G337" s="23">
        <v>1046.1189027031448</v>
      </c>
      <c r="H337" s="23">
        <v>219.51666499999999</v>
      </c>
      <c r="I337" s="64">
        <v>47.776108559575363</v>
      </c>
      <c r="J337" s="65">
        <f t="shared" si="236"/>
        <v>1.6119607088608376</v>
      </c>
      <c r="K337" s="65">
        <f t="shared" si="237"/>
        <v>19.110443423830144</v>
      </c>
      <c r="L337" s="65">
        <f t="shared" si="238"/>
        <v>0.64478428354433504</v>
      </c>
      <c r="M337">
        <f t="shared" si="239"/>
        <v>21.235018630951775</v>
      </c>
      <c r="N337">
        <f t="shared" si="240"/>
        <v>0.18419548452411227</v>
      </c>
      <c r="O337">
        <f>IF(L337&lt;'Vehicle Data'!F$21,'Vehicle Data'!C$21,IF(L337&gt;'Vehicle Data'!C$21,'Vehicle Data'!C$20))</f>
        <v>0.6</v>
      </c>
      <c r="P337">
        <f>('Vehicle Data'!C$6*9.81*'Vehicle Data'!C$5*SIN(D337))/'Vehicle Data'!C$9</f>
        <v>51.307801120126392</v>
      </c>
      <c r="Q337" s="107">
        <f>'Vehicle Data'!C$6*9.81*SIN(D337)</f>
        <v>331.79044724348398</v>
      </c>
      <c r="R337" s="101">
        <f t="shared" si="234"/>
        <v>1043.7315130747254</v>
      </c>
      <c r="S337" s="101">
        <f>IF(Data!O337=0.6,'Vehicle Data'!E$21,IF(Data!O337 = 0.9,'Vehicle Data'!E$20))+(P337*O337)</f>
        <v>1581.1570806720756</v>
      </c>
      <c r="T337" s="101">
        <f>IF(F337=3,'Vehicle Data'!H$16,IF(F337=2,'Vehicle Data'!H$15,IF(F337 = 1,'Vehicle Data'!G$14)))</f>
        <v>466.23005239380637</v>
      </c>
      <c r="U337" s="148">
        <f t="shared" si="241"/>
        <v>327.59303095140933</v>
      </c>
      <c r="V337" s="102" t="s">
        <v>77</v>
      </c>
      <c r="W337" s="103" t="s">
        <v>84</v>
      </c>
      <c r="X337" s="101">
        <f>IF(V337="S",'Vehicle Data'!C$14,IF(Data!V337 = "T1",'Vehicle Data'!P$2,IF(Data!V337="T2",'Vehicle Data'!P$3)))</f>
        <v>13.411199999999999</v>
      </c>
      <c r="Y337" s="101"/>
      <c r="Z337" s="105">
        <v>8.3000000000000007</v>
      </c>
      <c r="AA337" s="101"/>
      <c r="AB337" s="101" t="b">
        <f>IF(AA337=1,'Vehicle Data'!I$14,IF(AA337=2,'Vehicle Data'!I$15,IF(AA337=3,'Vehicle Data'!I$16)))</f>
        <v>0</v>
      </c>
      <c r="AC337" s="101">
        <f>IF(Z337&lt;'Vehicle Data'!C$16,'Vehicle Data'!I$15,IF(Z337&lt;'Vehicle Data'!C$15,'Vehicle Data'!I$15,IF(Z336&gt;'Vehicle Data'!C$15,'Vehicle Data'!I$16)))</f>
        <v>0.98256251041858167</v>
      </c>
      <c r="AD337">
        <f>IF(O337=0.6,'Vehicle Data'!F$21,IF(O337=0.9,'Vehicle Data'!F$20))</f>
        <v>3.5315999999999996</v>
      </c>
      <c r="AE337" s="101">
        <f>(Data!H$15-Data!Q337)/'Vehicle Data'!C$6</f>
        <v>-0.27397216911955352</v>
      </c>
      <c r="AF337" s="158">
        <f t="shared" si="263"/>
        <v>0.28724871622054965</v>
      </c>
      <c r="AG337" s="148">
        <f t="shared" si="246"/>
        <v>0</v>
      </c>
      <c r="AH337" s="148">
        <f t="shared" si="264"/>
        <v>113.95371297499888</v>
      </c>
      <c r="AI337" s="101"/>
      <c r="AJ337" s="101">
        <f>(Z337^2)*'Vehicle Data'!C$31</f>
        <v>25.317075000000013</v>
      </c>
      <c r="AK337" s="101">
        <f>IF(O337=0.6,'Vehicle Data'!C$6*'Vehicle Data'!D$21*9.81,IF(O337=0.9,'Vehicle Data'!C$6*9.81*'Vehicle Data'!D$20))</f>
        <v>86.131799999999998</v>
      </c>
      <c r="AL337" s="101">
        <f t="shared" si="243"/>
        <v>443.23932224348403</v>
      </c>
      <c r="AM337" s="101"/>
      <c r="AN337" t="b">
        <f>IF(AG337&gt;0,AG337*'Vehicle Data'!C$6)</f>
        <v>0</v>
      </c>
      <c r="AO337" s="101">
        <f t="shared" si="247"/>
        <v>443.23932224348403</v>
      </c>
      <c r="AP337" s="101">
        <f>AO337*'Vehicle Data'!F$3</f>
        <v>113.29197076543451</v>
      </c>
      <c r="AQ337">
        <v>20</v>
      </c>
      <c r="AR337">
        <f>IF(Z337&lt;'Vehicle Data'!C$16, Z337*'Vehicle Data'!F$7*'Vehicle Data'!G$14,IF(Z337&lt;'Vehicle Data'!C$15,Z337*'Vehicle Data'!F$7*'Vehicle Data'!G$15,IF(Z337&gt;'Vehicle Data'!C$15,Z337*'Vehicle Data'!F$7*'Vehicle Data'!G$16)))</f>
        <v>107.59259259259261</v>
      </c>
      <c r="AS337">
        <f t="shared" si="265"/>
        <v>6455.5555555555566</v>
      </c>
      <c r="AT337">
        <f t="shared" si="266"/>
        <v>20</v>
      </c>
      <c r="AU337">
        <f t="shared" si="267"/>
        <v>6500</v>
      </c>
      <c r="AW337">
        <f>VLOOKUP(AT337,BSFC!A$64:A$82,1,FALSE)</f>
        <v>20</v>
      </c>
      <c r="AX337" t="e" cm="1">
        <f t="array" ref="AX337">_xlfn.XLOOKUP(AT337,BSFC!A$64:A$82,,-1,_xlfn.XLOOKUP(Data!AU337,BSFC!C$63:Q$63,BSFC!B$64:Q$82,,-1))</f>
        <v>#VALUE!</v>
      </c>
      <c r="AY337">
        <f>HLOOKUP(AU337,BSFC!F$63:Q$63,1)</f>
        <v>6500</v>
      </c>
      <c r="AZ337">
        <f>IF(AT337&gt;0,MATCH(AT337,BSFC!A$64:A$83,0),IF(AT337&lt;=0,0))</f>
        <v>3</v>
      </c>
      <c r="BA337">
        <f>MATCH(AU337,BSFC!C$63:Q$63,0)</f>
        <v>13</v>
      </c>
      <c r="BB337" cm="1">
        <f t="array" ref="BB337">IF(AZ337&gt;0,INDEX(BSFC!C$64:Q$83,Data!AZ337,Data!BA337))</f>
        <v>494.7</v>
      </c>
      <c r="BC337">
        <f>0.5*'Vehicle Data'!C$6*Data!Z337^2</f>
        <v>15121.355000000003</v>
      </c>
      <c r="BD337">
        <f t="shared" si="248"/>
        <v>13.465906457145509</v>
      </c>
      <c r="BE337">
        <f t="shared" si="268"/>
        <v>6661.5839243498831</v>
      </c>
      <c r="BF337">
        <f t="shared" si="269"/>
        <v>0.5315365084069319</v>
      </c>
      <c r="BG337">
        <f t="shared" si="249"/>
        <v>139.9989094109155</v>
      </c>
      <c r="BH337">
        <f t="shared" si="228"/>
        <v>13465.906457145509</v>
      </c>
      <c r="BI337" s="148">
        <f t="shared" si="250"/>
        <v>6871.6622130335309</v>
      </c>
      <c r="BO337">
        <f t="shared" si="251"/>
        <v>3873.2970377175388</v>
      </c>
      <c r="BP337">
        <f t="shared" si="252"/>
        <v>623804.11885132804</v>
      </c>
      <c r="BQ337">
        <f t="shared" si="253"/>
        <v>832998.12402562751</v>
      </c>
      <c r="BR337" s="148">
        <f t="shared" si="254"/>
        <v>785027.96988244529</v>
      </c>
      <c r="BS337" s="156">
        <f t="shared" si="255"/>
        <v>3873.2970377175388</v>
      </c>
      <c r="BT337" s="156">
        <f t="shared" si="256"/>
        <v>13465.906457145509</v>
      </c>
      <c r="BU337">
        <f t="shared" si="257"/>
        <v>1976.5463972768719</v>
      </c>
      <c r="BV337">
        <f t="shared" si="258"/>
        <v>1976.5463972768719</v>
      </c>
      <c r="BW337" s="148">
        <f t="shared" si="259"/>
        <v>455.4</v>
      </c>
      <c r="BX337" s="148">
        <f t="shared" si="260"/>
        <v>3129354.9718154697</v>
      </c>
      <c r="BY337" s="148">
        <f t="shared" si="261"/>
        <v>0.25003311925552429</v>
      </c>
      <c r="BZ337">
        <f t="shared" si="244"/>
        <v>113.95371297499888</v>
      </c>
      <c r="CB337">
        <f t="shared" si="262"/>
        <v>-1896.750640440667</v>
      </c>
      <c r="CC337" s="162">
        <f t="shared" si="245"/>
        <v>-6603.1648997322791</v>
      </c>
      <c r="CD337">
        <f t="shared" si="270"/>
        <v>-48702.094622208388</v>
      </c>
    </row>
    <row r="338" spans="4:82" x14ac:dyDescent="0.2">
      <c r="D338" s="22">
        <f t="shared" si="235"/>
        <v>8.3626532506466691E-2</v>
      </c>
      <c r="E338" s="23">
        <v>10.8017048</v>
      </c>
      <c r="F338" s="23">
        <f>IF(K338&lt;6,1,IF(Data!K338&lt;9,2,IF(K338&gt;9,3)))</f>
        <v>3</v>
      </c>
      <c r="G338" s="23">
        <v>1048.5097323315656</v>
      </c>
      <c r="H338" s="23">
        <v>219.566665</v>
      </c>
      <c r="I338" s="64">
        <v>47.856706595018423</v>
      </c>
      <c r="J338" s="65">
        <f t="shared" si="236"/>
        <v>1.6314679559003644</v>
      </c>
      <c r="K338" s="65">
        <f t="shared" si="237"/>
        <v>19.142682638007368</v>
      </c>
      <c r="L338" s="65">
        <f t="shared" si="238"/>
        <v>0.65258718236017421</v>
      </c>
      <c r="M338">
        <f t="shared" si="239"/>
        <v>21.603409599999999</v>
      </c>
      <c r="N338">
        <f t="shared" si="240"/>
        <v>0.1999967999999992</v>
      </c>
      <c r="O338">
        <f>IF(L338&lt;'Vehicle Data'!F$21,'Vehicle Data'!C$21,IF(L338&gt;'Vehicle Data'!C$21,'Vehicle Data'!C$20))</f>
        <v>0.6</v>
      </c>
      <c r="P338">
        <f>('Vehicle Data'!C$6*9.81*'Vehicle Data'!C$5*SIN(D338))/'Vehicle Data'!C$9</f>
        <v>55.627664279577644</v>
      </c>
      <c r="Q338" s="107">
        <f>'Vehicle Data'!C$6*9.81*SIN(D338)</f>
        <v>359.7255623412687</v>
      </c>
      <c r="R338" s="101">
        <f t="shared" si="234"/>
        <v>1046.1189027031448</v>
      </c>
      <c r="S338" s="101">
        <f>IF(Data!O338=0.6,'Vehicle Data'!E$21,IF(Data!O338 = 0.9,'Vehicle Data'!E$20))+(P338*O338)</f>
        <v>1583.7489985677464</v>
      </c>
      <c r="T338" s="101">
        <f>IF(F338=3,'Vehicle Data'!H$16,IF(F338=2,'Vehicle Data'!H$15,IF(F338 = 1,'Vehicle Data'!G$14)))</f>
        <v>466.23005239380637</v>
      </c>
      <c r="U338" s="148">
        <f t="shared" si="241"/>
        <v>329.98042057982877</v>
      </c>
      <c r="V338" s="102" t="s">
        <v>77</v>
      </c>
      <c r="W338" s="103" t="s">
        <v>84</v>
      </c>
      <c r="X338" s="101">
        <f>IF(V338="S",'Vehicle Data'!C$14,IF(Data!V338 = "T1",'Vehicle Data'!P$2,IF(Data!V338="T2",'Vehicle Data'!P$3)))</f>
        <v>13.411199999999999</v>
      </c>
      <c r="Y338" s="101"/>
      <c r="Z338" s="105">
        <v>8.3000000000000007</v>
      </c>
      <c r="AA338" s="101"/>
      <c r="AB338" s="101" t="b">
        <f>IF(AA338=1,'Vehicle Data'!I$14,IF(AA338=2,'Vehicle Data'!I$15,IF(AA338=3,'Vehicle Data'!I$16)))</f>
        <v>0</v>
      </c>
      <c r="AC338" s="101">
        <f>IF(Z338&lt;'Vehicle Data'!C$16,'Vehicle Data'!I$15,IF(Z338&lt;'Vehicle Data'!C$15,'Vehicle Data'!I$15,IF(Z337&gt;'Vehicle Data'!C$15,'Vehicle Data'!I$16)))</f>
        <v>0.98256251041858167</v>
      </c>
      <c r="AD338">
        <f>IF(O338=0.6,'Vehicle Data'!F$21,IF(O338=0.9,'Vehicle Data'!F$20))</f>
        <v>3.5315999999999996</v>
      </c>
      <c r="AE338" s="101">
        <f>(Data!H$15-Data!Q338)/'Vehicle Data'!C$6</f>
        <v>-0.33760568870448454</v>
      </c>
      <c r="AF338" s="158">
        <f t="shared" si="263"/>
        <v>0.28763730462884834</v>
      </c>
      <c r="AG338" s="148">
        <f t="shared" si="246"/>
        <v>0</v>
      </c>
      <c r="AH338" s="148">
        <f t="shared" si="264"/>
        <v>114.24135027962772</v>
      </c>
      <c r="AI338" s="101"/>
      <c r="AJ338" s="101">
        <f>(Z338^2)*'Vehicle Data'!C$31</f>
        <v>25.317075000000013</v>
      </c>
      <c r="AK338" s="101">
        <f>IF(O338=0.6,'Vehicle Data'!C$6*'Vehicle Data'!D$21*9.81,IF(O338=0.9,'Vehicle Data'!C$6*9.81*'Vehicle Data'!D$20))</f>
        <v>86.131799999999998</v>
      </c>
      <c r="AL338" s="101">
        <f t="shared" si="243"/>
        <v>471.17443734126869</v>
      </c>
      <c r="AM338" s="101"/>
      <c r="AN338" t="b">
        <f>IF(AG338&gt;0,AG338*'Vehicle Data'!C$6)</f>
        <v>0</v>
      </c>
      <c r="AO338" s="101">
        <f t="shared" si="247"/>
        <v>471.17443734126869</v>
      </c>
      <c r="AP338" s="101">
        <f>AO338*'Vehicle Data'!F$3</f>
        <v>120.43218618442828</v>
      </c>
      <c r="AQ338">
        <v>20</v>
      </c>
      <c r="AR338">
        <f>IF(Z338&lt;'Vehicle Data'!C$16, Z338*'Vehicle Data'!F$7*'Vehicle Data'!G$14,IF(Z338&lt;'Vehicle Data'!C$15,Z338*'Vehicle Data'!F$7*'Vehicle Data'!G$15,IF(Z338&gt;'Vehicle Data'!C$15,Z338*'Vehicle Data'!F$7*'Vehicle Data'!G$16)))</f>
        <v>107.59259259259261</v>
      </c>
      <c r="AS338">
        <f t="shared" si="265"/>
        <v>6455.5555555555566</v>
      </c>
      <c r="AT338">
        <f t="shared" si="266"/>
        <v>20</v>
      </c>
      <c r="AU338">
        <f t="shared" si="267"/>
        <v>6500</v>
      </c>
      <c r="AW338">
        <f>VLOOKUP(AT338,BSFC!A$64:A$82,1,FALSE)</f>
        <v>20</v>
      </c>
      <c r="AX338" t="e" cm="1">
        <f t="array" ref="AX338">_xlfn.XLOOKUP(AT338,BSFC!A$64:A$82,,-1,_xlfn.XLOOKUP(Data!AU338,BSFC!C$63:Q$63,BSFC!B$64:Q$82,,-1))</f>
        <v>#VALUE!</v>
      </c>
      <c r="AY338">
        <f>HLOOKUP(AU338,BSFC!F$63:Q$63,1)</f>
        <v>6500</v>
      </c>
      <c r="AZ338">
        <f>IF(AT338&gt;0,MATCH(AT338,BSFC!A$64:A$83,0),IF(AT338&lt;=0,0))</f>
        <v>3</v>
      </c>
      <c r="BA338">
        <f>MATCH(AU338,BSFC!C$63:Q$63,0)</f>
        <v>13</v>
      </c>
      <c r="BB338" cm="1">
        <f t="array" ref="BB338">IF(AZ338&gt;0,INDEX(BSFC!C$64:Q$83,Data!AZ338,Data!BA338))</f>
        <v>494.7</v>
      </c>
      <c r="BC338">
        <f>0.5*'Vehicle Data'!C$6*Data!Z338^2</f>
        <v>15121.355000000003</v>
      </c>
      <c r="BD338">
        <f t="shared" si="248"/>
        <v>13.465906457145509</v>
      </c>
      <c r="BE338">
        <f t="shared" si="268"/>
        <v>6661.5839243498831</v>
      </c>
      <c r="BF338">
        <f t="shared" si="269"/>
        <v>0.53225556793301843</v>
      </c>
      <c r="BG338">
        <f t="shared" si="249"/>
        <v>140.53116497884852</v>
      </c>
      <c r="BH338">
        <f t="shared" si="228"/>
        <v>13465.906457145509</v>
      </c>
      <c r="BI338" s="148">
        <f t="shared" si="250"/>
        <v>6871.6622130335309</v>
      </c>
      <c r="BO338">
        <f t="shared" si="251"/>
        <v>3878.8780881067369</v>
      </c>
      <c r="BP338">
        <f t="shared" si="252"/>
        <v>627682.99693943479</v>
      </c>
      <c r="BQ338">
        <f t="shared" si="253"/>
        <v>836877.00211373426</v>
      </c>
      <c r="BR338" s="148">
        <f t="shared" si="254"/>
        <v>787007.36429394165</v>
      </c>
      <c r="BS338" s="156">
        <f t="shared" si="255"/>
        <v>3878.8780881067369</v>
      </c>
      <c r="BT338" s="156">
        <f t="shared" si="256"/>
        <v>13465.906457145509</v>
      </c>
      <c r="BU338">
        <f t="shared" si="257"/>
        <v>1979.3944114963781</v>
      </c>
      <c r="BV338">
        <f t="shared" si="258"/>
        <v>1979.3944114963781</v>
      </c>
      <c r="BW338" s="148">
        <f t="shared" si="259"/>
        <v>455.4</v>
      </c>
      <c r="BX338" s="148">
        <f t="shared" si="260"/>
        <v>3129354.9718154697</v>
      </c>
      <c r="BY338" s="148">
        <f t="shared" si="261"/>
        <v>0.25039339305429176</v>
      </c>
      <c r="BZ338">
        <f t="shared" si="244"/>
        <v>114.24135027962772</v>
      </c>
      <c r="CB338">
        <f t="shared" si="262"/>
        <v>-1899.4836766103588</v>
      </c>
      <c r="CC338" s="162">
        <f t="shared" si="245"/>
        <v>-6603.745919053762</v>
      </c>
      <c r="CD338">
        <f t="shared" si="270"/>
        <v>-50601.578298818749</v>
      </c>
    </row>
    <row r="339" spans="4:82" x14ac:dyDescent="0.2">
      <c r="D339" s="22">
        <f t="shared" si="235"/>
        <v>4.8314625047584658E-2</v>
      </c>
      <c r="E339" s="23">
        <v>11.001701599999999</v>
      </c>
      <c r="F339" s="23">
        <f>IF(K339&lt;6,1,IF(Data!K339&lt;9,2,IF(K339&gt;9,3)))</f>
        <v>3</v>
      </c>
      <c r="G339" s="23">
        <v>1050.90406931809</v>
      </c>
      <c r="H339" s="23">
        <v>219.61666499999998</v>
      </c>
      <c r="I339" s="64">
        <v>47.938279992813413</v>
      </c>
      <c r="J339" s="65">
        <f t="shared" si="236"/>
        <v>1.612882005716247</v>
      </c>
      <c r="K339" s="65">
        <f t="shared" si="237"/>
        <v>19.175311997125366</v>
      </c>
      <c r="L339" s="65">
        <f t="shared" si="238"/>
        <v>0.64515280228647043</v>
      </c>
      <c r="M339">
        <f t="shared" si="239"/>
        <v>22.003403199999997</v>
      </c>
      <c r="N339">
        <f t="shared" si="240"/>
        <v>0.11580771547588853</v>
      </c>
      <c r="O339">
        <f>IF(L339&lt;'Vehicle Data'!F$21,'Vehicle Data'!C$21,IF(L339&gt;'Vehicle Data'!C$21,'Vehicle Data'!C$20))</f>
        <v>0.6</v>
      </c>
      <c r="P339">
        <f>('Vehicle Data'!C$6*9.81*'Vehicle Data'!C$5*SIN(D339))/'Vehicle Data'!C$9</f>
        <v>32.163454684879788</v>
      </c>
      <c r="Q339" s="107">
        <f>'Vehicle Data'!C$6*9.81*SIN(D339)</f>
        <v>207.99034029555594</v>
      </c>
      <c r="R339" s="101">
        <f t="shared" si="234"/>
        <v>1048.5097323315656</v>
      </c>
      <c r="S339" s="101">
        <f>IF(Data!O339=0.6,'Vehicle Data'!E$21,IF(Data!O339 = 0.9,'Vehicle Data'!E$20))+(P339*O339)</f>
        <v>1569.6704728109275</v>
      </c>
      <c r="T339" s="101">
        <f>IF(F339=3,'Vehicle Data'!H$16,IF(F339=2,'Vehicle Data'!H$15,IF(F339 = 1,'Vehicle Data'!G$14)))</f>
        <v>466.23005239380637</v>
      </c>
      <c r="U339" s="148">
        <f t="shared" si="241"/>
        <v>332.37125020824953</v>
      </c>
      <c r="V339" s="102" t="s">
        <v>77</v>
      </c>
      <c r="W339" s="103" t="s">
        <v>84</v>
      </c>
      <c r="X339" s="101">
        <f>IF(V339="S",'Vehicle Data'!C$14,IF(Data!V339 = "T1",'Vehicle Data'!P$2,IF(Data!V339="T2",'Vehicle Data'!P$3)))</f>
        <v>13.411199999999999</v>
      </c>
      <c r="Y339" s="101"/>
      <c r="Z339" s="105">
        <v>8.3000000000000007</v>
      </c>
      <c r="AA339" s="101"/>
      <c r="AB339" s="101" t="b">
        <f>IF(AA339=1,'Vehicle Data'!I$14,IF(AA339=2,'Vehicle Data'!I$15,IF(AA339=3,'Vehicle Data'!I$16)))</f>
        <v>0</v>
      </c>
      <c r="AC339" s="101">
        <f>IF(Z339&lt;'Vehicle Data'!C$16,'Vehicle Data'!I$15,IF(Z339&lt;'Vehicle Data'!C$15,'Vehicle Data'!I$15,IF(Z338&gt;'Vehicle Data'!C$15,'Vehicle Data'!I$16)))</f>
        <v>0.98256251041858167</v>
      </c>
      <c r="AD339">
        <f>IF(O339=0.6,'Vehicle Data'!F$21,IF(O339=0.9,'Vehicle Data'!F$20))</f>
        <v>3.5315999999999996</v>
      </c>
      <c r="AE339" s="101">
        <f>(Data!H$15-Data!Q339)/'Vehicle Data'!C$6</f>
        <v>8.0326303062506852E-3</v>
      </c>
      <c r="AF339" s="158">
        <f t="shared" si="263"/>
        <v>0.28805176246033259</v>
      </c>
      <c r="AG339" s="148">
        <f t="shared" si="246"/>
        <v>0</v>
      </c>
      <c r="AH339" s="148">
        <f t="shared" si="264"/>
        <v>114.52940204208805</v>
      </c>
      <c r="AI339" s="101"/>
      <c r="AJ339" s="101">
        <f>(Z339^2)*'Vehicle Data'!C$31</f>
        <v>25.317075000000013</v>
      </c>
      <c r="AK339" s="101">
        <f>IF(O339=0.6,'Vehicle Data'!C$6*'Vehicle Data'!D$21*9.81,IF(O339=0.9,'Vehicle Data'!C$6*9.81*'Vehicle Data'!D$20))</f>
        <v>86.131799999999998</v>
      </c>
      <c r="AL339" s="101">
        <f t="shared" si="243"/>
        <v>319.43921529555598</v>
      </c>
      <c r="AM339" s="101"/>
      <c r="AN339" t="b">
        <f>IF(AG339&gt;0,AG339*'Vehicle Data'!C$6)</f>
        <v>0</v>
      </c>
      <c r="AO339" s="101">
        <f t="shared" si="247"/>
        <v>319.43921529555598</v>
      </c>
      <c r="AP339" s="101">
        <f>AO339*'Vehicle Data'!F$3</f>
        <v>81.648663429544101</v>
      </c>
      <c r="AQ339">
        <v>20</v>
      </c>
      <c r="AR339">
        <f>IF(Z339&lt;'Vehicle Data'!C$16, Z339*'Vehicle Data'!F$7*'Vehicle Data'!G$14,IF(Z339&lt;'Vehicle Data'!C$15,Z339*'Vehicle Data'!F$7*'Vehicle Data'!G$15,IF(Z339&gt;'Vehicle Data'!C$15,Z339*'Vehicle Data'!F$7*'Vehicle Data'!G$16)))</f>
        <v>107.59259259259261</v>
      </c>
      <c r="AS339">
        <f t="shared" si="265"/>
        <v>6455.5555555555566</v>
      </c>
      <c r="AT339">
        <f t="shared" si="266"/>
        <v>20</v>
      </c>
      <c r="AU339">
        <f t="shared" si="267"/>
        <v>6500</v>
      </c>
      <c r="AW339">
        <f>VLOOKUP(AT339,BSFC!A$64:A$82,1,FALSE)</f>
        <v>20</v>
      </c>
      <c r="AX339" t="e" cm="1">
        <f t="array" ref="AX339">_xlfn.XLOOKUP(AT339,BSFC!A$64:A$82,,-1,_xlfn.XLOOKUP(Data!AU339,BSFC!C$63:Q$63,BSFC!B$64:Q$82,,-1))</f>
        <v>#VALUE!</v>
      </c>
      <c r="AY339">
        <f>HLOOKUP(AU339,BSFC!F$63:Q$63,1)</f>
        <v>6500</v>
      </c>
      <c r="AZ339">
        <f>IF(AT339&gt;0,MATCH(AT339,BSFC!A$64:A$83,0),IF(AT339&lt;=0,0))</f>
        <v>3</v>
      </c>
      <c r="BA339">
        <f>MATCH(AU339,BSFC!C$63:Q$63,0)</f>
        <v>13</v>
      </c>
      <c r="BB339" cm="1">
        <f t="array" ref="BB339">IF(AZ339&gt;0,INDEX(BSFC!C$64:Q$83,Data!AZ339,Data!BA339))</f>
        <v>494.7</v>
      </c>
      <c r="BC339">
        <f>0.5*'Vehicle Data'!C$6*Data!Z339^2</f>
        <v>15121.355000000003</v>
      </c>
      <c r="BD339">
        <f t="shared" si="248"/>
        <v>13.465906457145509</v>
      </c>
      <c r="BE339">
        <f t="shared" si="268"/>
        <v>6661.5839243498831</v>
      </c>
      <c r="BF339">
        <f t="shared" si="269"/>
        <v>0.53302249727400075</v>
      </c>
      <c r="BG339">
        <f t="shared" si="249"/>
        <v>141.06418747612253</v>
      </c>
      <c r="BH339">
        <f t="shared" si="228"/>
        <v>13465.906457145509</v>
      </c>
      <c r="BI339" s="148">
        <f t="shared" si="250"/>
        <v>6871.6622130335309</v>
      </c>
      <c r="BO339">
        <f t="shared" si="251"/>
        <v>3884.5684201712693</v>
      </c>
      <c r="BP339">
        <f t="shared" si="252"/>
        <v>631567.56535960606</v>
      </c>
      <c r="BQ339">
        <f t="shared" si="253"/>
        <v>840761.57053390553</v>
      </c>
      <c r="BR339" s="148">
        <f t="shared" si="254"/>
        <v>788989.6624861788</v>
      </c>
      <c r="BS339" s="156">
        <f t="shared" si="255"/>
        <v>3884.5684201712693</v>
      </c>
      <c r="BT339" s="156">
        <f t="shared" si="256"/>
        <v>13465.906457145509</v>
      </c>
      <c r="BU339">
        <f t="shared" si="257"/>
        <v>1982.2981922371621</v>
      </c>
      <c r="BV339">
        <f t="shared" si="258"/>
        <v>1982.2981922371621</v>
      </c>
      <c r="BW339" s="148">
        <f t="shared" si="259"/>
        <v>455.4</v>
      </c>
      <c r="BX339" s="148">
        <f t="shared" si="260"/>
        <v>3129354.9718154697</v>
      </c>
      <c r="BY339" s="148">
        <f t="shared" si="261"/>
        <v>0.25076072131800098</v>
      </c>
      <c r="BZ339">
        <f t="shared" si="244"/>
        <v>114.52940204208805</v>
      </c>
      <c r="CB339">
        <f t="shared" si="262"/>
        <v>-1902.2702279341072</v>
      </c>
      <c r="CC339" s="162">
        <f t="shared" si="245"/>
        <v>-6603.9180308646901</v>
      </c>
      <c r="CD339">
        <f t="shared" si="270"/>
        <v>-52503.848526752859</v>
      </c>
    </row>
    <row r="340" spans="4:82" x14ac:dyDescent="0.2">
      <c r="D340" s="22">
        <f t="shared" si="235"/>
        <v>4.1651209028775893E-2</v>
      </c>
      <c r="E340" s="23">
        <v>11.117509315475887</v>
      </c>
      <c r="F340" s="23">
        <f>IF(K340&lt;6,1,IF(Data!K340&lt;9,2,IF(K340&gt;9,3)))</f>
        <v>3</v>
      </c>
      <c r="G340" s="23">
        <v>1053.3019515884041</v>
      </c>
      <c r="H340" s="23">
        <v>219.66666499999999</v>
      </c>
      <c r="I340" s="64">
        <v>48.018924093099244</v>
      </c>
      <c r="J340" s="65">
        <f t="shared" si="236"/>
        <v>1.616747093508178</v>
      </c>
      <c r="K340" s="65">
        <f t="shared" si="237"/>
        <v>19.207569637239697</v>
      </c>
      <c r="L340" s="65">
        <f t="shared" si="238"/>
        <v>0.6466988374032997</v>
      </c>
      <c r="M340">
        <f t="shared" si="239"/>
        <v>22.235018630951775</v>
      </c>
      <c r="N340">
        <f t="shared" si="240"/>
        <v>9.9998526419128098E-2</v>
      </c>
      <c r="O340">
        <f>IF(L340&lt;'Vehicle Data'!F$21,'Vehicle Data'!C$21,IF(L340&gt;'Vehicle Data'!C$21,'Vehicle Data'!C$20))</f>
        <v>0.6</v>
      </c>
      <c r="P340">
        <f>('Vehicle Data'!C$6*9.81*'Vehicle Data'!C$5*SIN(D340))/'Vehicle Data'!C$9</f>
        <v>27.730333128335385</v>
      </c>
      <c r="Q340" s="107">
        <f>'Vehicle Data'!C$6*9.81*SIN(D340)</f>
        <v>179.3228208965688</v>
      </c>
      <c r="R340" s="101">
        <f t="shared" si="234"/>
        <v>1050.90406931809</v>
      </c>
      <c r="S340" s="101">
        <f>IF(Data!O340=0.6,'Vehicle Data'!E$21,IF(Data!O340 = 0.9,'Vehicle Data'!E$20))+(P340*O340)</f>
        <v>1567.0105998770009</v>
      </c>
      <c r="T340" s="101">
        <f>IF(F340=3,'Vehicle Data'!H$16,IF(F340=2,'Vehicle Data'!H$15,IF(F340 = 1,'Vehicle Data'!G$14)))</f>
        <v>466.23005239380637</v>
      </c>
      <c r="U340" s="148">
        <f t="shared" si="241"/>
        <v>334.76558719477396</v>
      </c>
      <c r="V340" s="102" t="s">
        <v>77</v>
      </c>
      <c r="W340" s="103" t="s">
        <v>84</v>
      </c>
      <c r="X340" s="101">
        <f>IF(V340="S",'Vehicle Data'!C$14,IF(Data!V340 = "T1",'Vehicle Data'!P$2,IF(Data!V340="T2",'Vehicle Data'!P$3)))</f>
        <v>13.411199999999999</v>
      </c>
      <c r="Y340" s="101"/>
      <c r="Z340" s="105">
        <v>8.3000000000000007</v>
      </c>
      <c r="AA340" s="101"/>
      <c r="AB340" s="101" t="b">
        <f>IF(AA340=1,'Vehicle Data'!I$14,IF(AA340=2,'Vehicle Data'!I$15,IF(AA340=3,'Vehicle Data'!I$16)))</f>
        <v>0</v>
      </c>
      <c r="AC340" s="101">
        <f>IF(Z340&lt;'Vehicle Data'!C$16,'Vehicle Data'!I$15,IF(Z340&lt;'Vehicle Data'!C$15,'Vehicle Data'!I$15,IF(Z339&gt;'Vehicle Data'!C$15,'Vehicle Data'!I$16)))</f>
        <v>0.98256251041858167</v>
      </c>
      <c r="AD340">
        <f>IF(O340=0.6,'Vehicle Data'!F$21,IF(O340=0.9,'Vehicle Data'!F$20))</f>
        <v>3.5315999999999996</v>
      </c>
      <c r="AE340" s="101">
        <f>(Data!H$15-Data!Q340)/'Vehicle Data'!C$6</f>
        <v>7.3334496818749859E-2</v>
      </c>
      <c r="AF340" s="158">
        <f t="shared" si="263"/>
        <v>0.28847433572583397</v>
      </c>
      <c r="AG340" s="148">
        <f t="shared" si="246"/>
        <v>0</v>
      </c>
      <c r="AH340" s="148">
        <f t="shared" si="264"/>
        <v>114.81787637781389</v>
      </c>
      <c r="AI340" s="101"/>
      <c r="AJ340" s="101">
        <f>(Z340^2)*'Vehicle Data'!C$31</f>
        <v>25.317075000000013</v>
      </c>
      <c r="AK340" s="101">
        <f>IF(O340=0.6,'Vehicle Data'!C$6*'Vehicle Data'!D$21*9.81,IF(O340=0.9,'Vehicle Data'!C$6*9.81*'Vehicle Data'!D$20))</f>
        <v>86.131799999999998</v>
      </c>
      <c r="AL340" s="101">
        <f t="shared" si="243"/>
        <v>290.77169589656881</v>
      </c>
      <c r="AM340" s="101"/>
      <c r="AN340" t="b">
        <f>IF(AG340&gt;0,AG340*'Vehicle Data'!C$6)</f>
        <v>0</v>
      </c>
      <c r="AO340" s="101">
        <f t="shared" si="247"/>
        <v>290.77169589656881</v>
      </c>
      <c r="AP340" s="101">
        <f>AO340*'Vehicle Data'!F$3</f>
        <v>74.321245471162982</v>
      </c>
      <c r="AQ340">
        <v>20</v>
      </c>
      <c r="AR340">
        <f>IF(Z340&lt;'Vehicle Data'!C$16, Z340*'Vehicle Data'!F$7*'Vehicle Data'!G$14,IF(Z340&lt;'Vehicle Data'!C$15,Z340*'Vehicle Data'!F$7*'Vehicle Data'!G$15,IF(Z340&gt;'Vehicle Data'!C$15,Z340*'Vehicle Data'!F$7*'Vehicle Data'!G$16)))</f>
        <v>107.59259259259261</v>
      </c>
      <c r="AS340">
        <f t="shared" si="265"/>
        <v>6455.5555555555566</v>
      </c>
      <c r="AT340">
        <f t="shared" si="266"/>
        <v>20</v>
      </c>
      <c r="AU340">
        <f t="shared" si="267"/>
        <v>6500</v>
      </c>
      <c r="AW340">
        <f>VLOOKUP(AT340,BSFC!A$64:A$82,1,FALSE)</f>
        <v>20</v>
      </c>
      <c r="AX340" t="e" cm="1">
        <f t="array" ref="AX340">_xlfn.XLOOKUP(AT340,BSFC!A$64:A$82,,-1,_xlfn.XLOOKUP(Data!AU340,BSFC!C$63:Q$63,BSFC!B$64:Q$82,,-1))</f>
        <v>#VALUE!</v>
      </c>
      <c r="AY340">
        <f>HLOOKUP(AU340,BSFC!F$63:Q$63,1)</f>
        <v>6500</v>
      </c>
      <c r="AZ340">
        <f>IF(AT340&gt;0,MATCH(AT340,BSFC!A$64:A$83,0),IF(AT340&lt;=0,0))</f>
        <v>3</v>
      </c>
      <c r="BA340">
        <f>MATCH(AU340,BSFC!C$63:Q$63,0)</f>
        <v>13</v>
      </c>
      <c r="BB340" cm="1">
        <f t="array" ref="BB340">IF(AZ340&gt;0,INDEX(BSFC!C$64:Q$83,Data!AZ340,Data!BA340))</f>
        <v>494.7</v>
      </c>
      <c r="BC340">
        <f>0.5*'Vehicle Data'!C$6*Data!Z340^2</f>
        <v>15121.355000000003</v>
      </c>
      <c r="BD340">
        <f t="shared" si="248"/>
        <v>13.465906457145509</v>
      </c>
      <c r="BE340">
        <f t="shared" si="268"/>
        <v>6661.5839243498831</v>
      </c>
      <c r="BF340">
        <f t="shared" si="269"/>
        <v>0.53380444373853519</v>
      </c>
      <c r="BG340">
        <f t="shared" si="249"/>
        <v>141.59799191986107</v>
      </c>
      <c r="BH340">
        <f t="shared" si="228"/>
        <v>13465.906457145509</v>
      </c>
      <c r="BI340" s="148">
        <f t="shared" si="250"/>
        <v>6871.6622130335309</v>
      </c>
      <c r="BO340">
        <f t="shared" si="251"/>
        <v>3890.3202828068875</v>
      </c>
      <c r="BP340">
        <f t="shared" si="252"/>
        <v>635457.88564241293</v>
      </c>
      <c r="BQ340">
        <f t="shared" si="253"/>
        <v>844651.8908167124</v>
      </c>
      <c r="BR340" s="148">
        <f t="shared" si="254"/>
        <v>790974.89585825359</v>
      </c>
      <c r="BS340" s="156">
        <f t="shared" si="255"/>
        <v>3890.3202828068875</v>
      </c>
      <c r="BT340" s="156">
        <f t="shared" si="256"/>
        <v>13465.906457145509</v>
      </c>
      <c r="BU340">
        <f t="shared" si="257"/>
        <v>1985.2333720747411</v>
      </c>
      <c r="BV340">
        <f t="shared" si="258"/>
        <v>1985.2333720747411</v>
      </c>
      <c r="BW340" s="148">
        <f t="shared" si="259"/>
        <v>455.4</v>
      </c>
      <c r="BX340" s="148">
        <f t="shared" si="260"/>
        <v>3129354.9718154697</v>
      </c>
      <c r="BY340" s="148">
        <f t="shared" si="261"/>
        <v>0.25113202156745468</v>
      </c>
      <c r="BZ340">
        <f t="shared" si="244"/>
        <v>114.81787637781389</v>
      </c>
      <c r="CB340">
        <f t="shared" si="262"/>
        <v>-1905.0869107321464</v>
      </c>
      <c r="CC340" s="162">
        <f t="shared" si="245"/>
        <v>-6604.0083113068313</v>
      </c>
      <c r="CD340">
        <f t="shared" si="270"/>
        <v>-54408.935437485008</v>
      </c>
    </row>
    <row r="341" spans="4:82" x14ac:dyDescent="0.2">
      <c r="D341" s="22">
        <f t="shared" si="235"/>
        <v>7.6649926927881112E-2</v>
      </c>
      <c r="E341" s="23">
        <v>11.217507841895015</v>
      </c>
      <c r="F341" s="23">
        <f>IF(K341&lt;6,1,IF(Data!K341&lt;9,2,IF(K341&gt;9,3)))</f>
        <v>3</v>
      </c>
      <c r="G341" s="23">
        <v>1055.703501216824</v>
      </c>
      <c r="H341" s="23">
        <v>219.71666499999998</v>
      </c>
      <c r="I341" s="64">
        <v>48.099761447774625</v>
      </c>
      <c r="J341" s="65">
        <f t="shared" si="236"/>
        <v>1.757489287055618</v>
      </c>
      <c r="K341" s="65">
        <f t="shared" si="237"/>
        <v>19.239904579109851</v>
      </c>
      <c r="L341" s="65">
        <f t="shared" si="238"/>
        <v>0.70299571482221879</v>
      </c>
      <c r="M341">
        <f t="shared" si="239"/>
        <v>22.435015683790031</v>
      </c>
      <c r="N341">
        <f t="shared" si="240"/>
        <v>0.18419535810498466</v>
      </c>
      <c r="O341">
        <f>IF(L341&lt;'Vehicle Data'!F$21,'Vehicle Data'!C$21,IF(L341&gt;'Vehicle Data'!C$21,'Vehicle Data'!C$20))</f>
        <v>0.6</v>
      </c>
      <c r="P341">
        <f>('Vehicle Data'!C$6*9.81*'Vehicle Data'!C$5*SIN(D341))/'Vehicle Data'!C$9</f>
        <v>50.996392174361247</v>
      </c>
      <c r="Q341" s="107">
        <f>'Vehicle Data'!C$6*9.81*SIN(D341)</f>
        <v>329.77666939420271</v>
      </c>
      <c r="R341" s="101">
        <f t="shared" si="234"/>
        <v>1053.3019515884041</v>
      </c>
      <c r="S341" s="101">
        <f>IF(Data!O341=0.6,'Vehicle Data'!E$21,IF(Data!O341 = 0.9,'Vehicle Data'!E$20))+(P341*O341)</f>
        <v>1580.9702353046164</v>
      </c>
      <c r="T341" s="101">
        <f>IF(F341=3,'Vehicle Data'!H$16,IF(F341=2,'Vehicle Data'!H$15,IF(F341 = 1,'Vehicle Data'!G$14)))</f>
        <v>466.23005239380637</v>
      </c>
      <c r="U341" s="148">
        <f t="shared" si="241"/>
        <v>337.16346946508804</v>
      </c>
      <c r="V341" s="102" t="s">
        <v>77</v>
      </c>
      <c r="W341" s="103" t="s">
        <v>84</v>
      </c>
      <c r="X341" s="101">
        <f>IF(V341="S",'Vehicle Data'!C$14,IF(Data!V341 = "T1",'Vehicle Data'!P$2,IF(Data!V341="T2",'Vehicle Data'!P$3)))</f>
        <v>13.411199999999999</v>
      </c>
      <c r="Y341" s="101"/>
      <c r="Z341" s="105">
        <v>8.3000000000000007</v>
      </c>
      <c r="AA341" s="101"/>
      <c r="AB341" s="101" t="b">
        <f>IF(AA341=1,'Vehicle Data'!I$14,IF(AA341=2,'Vehicle Data'!I$15,IF(AA341=3,'Vehicle Data'!I$16)))</f>
        <v>0</v>
      </c>
      <c r="AC341" s="101">
        <f>IF(Z341&lt;'Vehicle Data'!C$16,'Vehicle Data'!I$15,IF(Z341&lt;'Vehicle Data'!C$15,'Vehicle Data'!I$15,IF(Z340&gt;'Vehicle Data'!C$15,'Vehicle Data'!I$16)))</f>
        <v>0.98256251041858167</v>
      </c>
      <c r="AD341">
        <f>IF(O341=0.6,'Vehicle Data'!F$21,IF(O341=0.9,'Vehicle Data'!F$20))</f>
        <v>3.5315999999999996</v>
      </c>
      <c r="AE341" s="101">
        <f>(Data!H$15-Data!Q341)/'Vehicle Data'!C$6</f>
        <v>-0.26938497584100846</v>
      </c>
      <c r="AF341" s="158">
        <f t="shared" si="263"/>
        <v>0.28890147835109453</v>
      </c>
      <c r="AG341" s="148">
        <f t="shared" si="246"/>
        <v>0</v>
      </c>
      <c r="AH341" s="148">
        <f t="shared" si="264"/>
        <v>115.10677785616498</v>
      </c>
      <c r="AI341" s="101"/>
      <c r="AJ341" s="101">
        <f>(Z341^2)*'Vehicle Data'!C$31</f>
        <v>25.317075000000013</v>
      </c>
      <c r="AK341" s="101">
        <f>IF(O341=0.6,'Vehicle Data'!C$6*'Vehicle Data'!D$21*9.81,IF(O341=0.9,'Vehicle Data'!C$6*9.81*'Vehicle Data'!D$20))</f>
        <v>86.131799999999998</v>
      </c>
      <c r="AL341" s="101">
        <f t="shared" si="243"/>
        <v>441.22554439420276</v>
      </c>
      <c r="AM341" s="101"/>
      <c r="AN341" t="b">
        <f>IF(AG341&gt;0,AG341*'Vehicle Data'!C$6)</f>
        <v>0</v>
      </c>
      <c r="AO341" s="101">
        <f t="shared" si="247"/>
        <v>441.22554439420276</v>
      </c>
      <c r="AP341" s="101">
        <f>AO341*'Vehicle Data'!F$3</f>
        <v>112.77724914715822</v>
      </c>
      <c r="AQ341">
        <v>20</v>
      </c>
      <c r="AR341">
        <f>IF(Z341&lt;'Vehicle Data'!C$16, Z341*'Vehicle Data'!F$7*'Vehicle Data'!G$14,IF(Z341&lt;'Vehicle Data'!C$15,Z341*'Vehicle Data'!F$7*'Vehicle Data'!G$15,IF(Z341&gt;'Vehicle Data'!C$15,Z341*'Vehicle Data'!F$7*'Vehicle Data'!G$16)))</f>
        <v>107.59259259259261</v>
      </c>
      <c r="AS341">
        <f t="shared" si="265"/>
        <v>6455.5555555555566</v>
      </c>
      <c r="AT341">
        <f t="shared" si="266"/>
        <v>20</v>
      </c>
      <c r="AU341">
        <f t="shared" si="267"/>
        <v>6500</v>
      </c>
      <c r="AW341">
        <f>VLOOKUP(AT341,BSFC!A$64:A$82,1,FALSE)</f>
        <v>20</v>
      </c>
      <c r="AX341" t="e" cm="1">
        <f t="array" ref="AX341">_xlfn.XLOOKUP(AT341,BSFC!A$64:A$82,,-1,_xlfn.XLOOKUP(Data!AU341,BSFC!C$63:Q$63,BSFC!B$64:Q$82,,-1))</f>
        <v>#VALUE!</v>
      </c>
      <c r="AY341">
        <f>HLOOKUP(AU341,BSFC!F$63:Q$63,1)</f>
        <v>6500</v>
      </c>
      <c r="AZ341">
        <f>IF(AT341&gt;0,MATCH(AT341,BSFC!A$64:A$83,0),IF(AT341&lt;=0,0))</f>
        <v>3</v>
      </c>
      <c r="BA341">
        <f>MATCH(AU341,BSFC!C$63:Q$63,0)</f>
        <v>13</v>
      </c>
      <c r="BB341" cm="1">
        <f t="array" ref="BB341">IF(AZ341&gt;0,INDEX(BSFC!C$64:Q$83,Data!AZ341,Data!BA341))</f>
        <v>494.7</v>
      </c>
      <c r="BC341">
        <f>0.5*'Vehicle Data'!C$6*Data!Z341^2</f>
        <v>15121.355000000003</v>
      </c>
      <c r="BD341">
        <f t="shared" si="248"/>
        <v>13.465906457145509</v>
      </c>
      <c r="BE341">
        <f t="shared" si="268"/>
        <v>6661.5839243498831</v>
      </c>
      <c r="BF341">
        <f t="shared" si="269"/>
        <v>0.53459484552904646</v>
      </c>
      <c r="BG341">
        <f t="shared" si="249"/>
        <v>142.13258676539013</v>
      </c>
      <c r="BH341">
        <f t="shared" si="228"/>
        <v>13465.906457145509</v>
      </c>
      <c r="BI341" s="148">
        <f t="shared" si="250"/>
        <v>6871.6622130335309</v>
      </c>
      <c r="BO341">
        <f t="shared" si="251"/>
        <v>3896.2701986137545</v>
      </c>
      <c r="BP341">
        <f t="shared" si="252"/>
        <v>639354.15584102669</v>
      </c>
      <c r="BQ341">
        <f t="shared" si="253"/>
        <v>848548.16101532616</v>
      </c>
      <c r="BR341" s="148">
        <f t="shared" si="254"/>
        <v>792963.16547684849</v>
      </c>
      <c r="BS341" s="156">
        <f t="shared" si="255"/>
        <v>3896.2701986137545</v>
      </c>
      <c r="BT341" s="156">
        <f t="shared" si="256"/>
        <v>13465.906457145509</v>
      </c>
      <c r="BU341">
        <f t="shared" si="257"/>
        <v>1988.2696185948616</v>
      </c>
      <c r="BV341">
        <f t="shared" si="258"/>
        <v>1988.2696185948616</v>
      </c>
      <c r="BW341" s="148">
        <f t="shared" si="259"/>
        <v>455.4</v>
      </c>
      <c r="BX341" s="148">
        <f t="shared" si="260"/>
        <v>3129354.9718154697</v>
      </c>
      <c r="BY341" s="148">
        <f t="shared" si="261"/>
        <v>0.25151610675225</v>
      </c>
      <c r="BZ341">
        <f t="shared" si="244"/>
        <v>115.10677785616498</v>
      </c>
      <c r="CB341">
        <f t="shared" si="262"/>
        <v>-1908.0005800188928</v>
      </c>
      <c r="CC341" s="162">
        <f t="shared" si="245"/>
        <v>-6604.3295829042409</v>
      </c>
      <c r="CD341">
        <f t="shared" si="270"/>
        <v>-56316.936017503904</v>
      </c>
    </row>
    <row r="342" spans="4:82" x14ac:dyDescent="0.2">
      <c r="D342" s="22">
        <f t="shared" si="235"/>
        <v>0</v>
      </c>
      <c r="E342" s="23">
        <v>11.4017032</v>
      </c>
      <c r="F342" s="23">
        <f>IF(K342&lt;6,1,IF(Data!K342&lt;9,2,IF(K342&gt;9,3)))</f>
        <v>3</v>
      </c>
      <c r="G342" s="23">
        <v>1058.1089287709276</v>
      </c>
      <c r="H342" s="23">
        <v>219.76666499999999</v>
      </c>
      <c r="I342" s="64">
        <v>48.187635912127426</v>
      </c>
      <c r="J342" s="65">
        <f t="shared" si="236"/>
        <v>1.8680885259291828</v>
      </c>
      <c r="K342" s="65">
        <f t="shared" si="237"/>
        <v>19.27505436485097</v>
      </c>
      <c r="L342" s="65">
        <f t="shared" si="238"/>
        <v>0.7472354103717016</v>
      </c>
      <c r="M342">
        <f t="shared" si="239"/>
        <v>22.8034064</v>
      </c>
      <c r="N342">
        <f t="shared" si="240"/>
        <v>0</v>
      </c>
      <c r="O342">
        <f>IF(L342&lt;'Vehicle Data'!F$21,'Vehicle Data'!C$21,IF(L342&gt;'Vehicle Data'!C$21,'Vehicle Data'!C$20))</f>
        <v>0.6</v>
      </c>
      <c r="P342">
        <f>('Vehicle Data'!C$6*9.81*'Vehicle Data'!C$5*SIN(D342))/'Vehicle Data'!C$9</f>
        <v>0</v>
      </c>
      <c r="Q342" s="107">
        <f>'Vehicle Data'!C$6*9.81*SIN(D342)</f>
        <v>0</v>
      </c>
      <c r="R342" s="101">
        <f t="shared" si="234"/>
        <v>1055.703501216824</v>
      </c>
      <c r="S342" s="101">
        <f>IF(Data!O342=0.6,'Vehicle Data'!E$21,IF(Data!O342 = 0.9,'Vehicle Data'!E$20))+(P342*O342)</f>
        <v>1550.3723999999997</v>
      </c>
      <c r="T342" s="101">
        <f>IF(F342=3,'Vehicle Data'!H$16,IF(F342=2,'Vehicle Data'!H$15,IF(F342 = 1,'Vehicle Data'!G$14)))</f>
        <v>466.23005239380637</v>
      </c>
      <c r="U342" s="148">
        <f t="shared" si="241"/>
        <v>339.56501909350789</v>
      </c>
      <c r="V342" s="102" t="s">
        <v>77</v>
      </c>
      <c r="W342" s="103" t="s">
        <v>84</v>
      </c>
      <c r="X342" s="101">
        <f>IF(V342="S",'Vehicle Data'!C$14,IF(Data!V342 = "T1",'Vehicle Data'!P$2,IF(Data!V342="T2",'Vehicle Data'!P$3)))</f>
        <v>13.411199999999999</v>
      </c>
      <c r="Y342" s="101"/>
      <c r="Z342" s="105">
        <v>8.3000000000000007</v>
      </c>
      <c r="AA342" s="101"/>
      <c r="AB342" s="101" t="b">
        <f>IF(AA342=1,'Vehicle Data'!I$14,IF(AA342=2,'Vehicle Data'!I$15,IF(AA342=3,'Vehicle Data'!I$16)))</f>
        <v>0</v>
      </c>
      <c r="AC342" s="101">
        <f>IF(Z342&lt;'Vehicle Data'!C$16,'Vehicle Data'!I$15,IF(Z342&lt;'Vehicle Data'!C$15,'Vehicle Data'!I$15,IF(Z341&gt;'Vehicle Data'!C$15,'Vehicle Data'!I$16)))</f>
        <v>0.98256251041858167</v>
      </c>
      <c r="AD342">
        <f>IF(O342=0.6,'Vehicle Data'!F$21,IF(O342=0.9,'Vehicle Data'!F$20))</f>
        <v>3.5315999999999996</v>
      </c>
      <c r="AE342" s="101">
        <f>(Data!H$15-Data!Q342)/'Vehicle Data'!C$6</f>
        <v>0.48181472665148062</v>
      </c>
      <c r="AF342" s="158">
        <f t="shared" si="263"/>
        <v>0.28934332872528229</v>
      </c>
      <c r="AG342" s="148">
        <f t="shared" si="246"/>
        <v>0</v>
      </c>
      <c r="AH342" s="148">
        <f t="shared" si="264"/>
        <v>115.39612118489026</v>
      </c>
      <c r="AI342" s="101"/>
      <c r="AJ342" s="101">
        <f>(Z342^2)*'Vehicle Data'!C$31</f>
        <v>25.317075000000013</v>
      </c>
      <c r="AK342" s="101">
        <f>IF(O342=0.6,'Vehicle Data'!C$6*'Vehicle Data'!D$21*9.81,IF(O342=0.9,'Vehicle Data'!C$6*9.81*'Vehicle Data'!D$20))</f>
        <v>86.131799999999998</v>
      </c>
      <c r="AL342" s="101">
        <f t="shared" si="243"/>
        <v>111.44887500000002</v>
      </c>
      <c r="AM342" s="101"/>
      <c r="AN342" t="b">
        <f>IF(AG342&gt;0,AG342*'Vehicle Data'!C$6)</f>
        <v>0</v>
      </c>
      <c r="AO342" s="101">
        <f t="shared" si="247"/>
        <v>111.44887500000002</v>
      </c>
      <c r="AP342" s="101">
        <f>AO342*'Vehicle Data'!F$3</f>
        <v>28.486332450000003</v>
      </c>
      <c r="AQ342">
        <v>20</v>
      </c>
      <c r="AR342">
        <f>IF(Z342&lt;'Vehicle Data'!C$16, Z342*'Vehicle Data'!F$7*'Vehicle Data'!G$14,IF(Z342&lt;'Vehicle Data'!C$15,Z342*'Vehicle Data'!F$7*'Vehicle Data'!G$15,IF(Z342&gt;'Vehicle Data'!C$15,Z342*'Vehicle Data'!F$7*'Vehicle Data'!G$16)))</f>
        <v>107.59259259259261</v>
      </c>
      <c r="AS342">
        <f t="shared" si="265"/>
        <v>6455.5555555555566</v>
      </c>
      <c r="AT342">
        <f t="shared" si="266"/>
        <v>20</v>
      </c>
      <c r="AU342">
        <f t="shared" si="267"/>
        <v>6500</v>
      </c>
      <c r="AW342">
        <f>VLOOKUP(AT342,BSFC!A$64:A$82,1,FALSE)</f>
        <v>20</v>
      </c>
      <c r="AX342" t="e" cm="1">
        <f t="array" ref="AX342">_xlfn.XLOOKUP(AT342,BSFC!A$64:A$82,,-1,_xlfn.XLOOKUP(Data!AU342,BSFC!C$63:Q$63,BSFC!B$64:Q$82,,-1))</f>
        <v>#VALUE!</v>
      </c>
      <c r="AY342">
        <f>HLOOKUP(AU342,BSFC!F$63:Q$63,1)</f>
        <v>6500</v>
      </c>
      <c r="AZ342">
        <f>IF(AT342&gt;0,MATCH(AT342,BSFC!A$64:A$83,0),IF(AT342&lt;=0,0))</f>
        <v>3</v>
      </c>
      <c r="BA342">
        <f>MATCH(AU342,BSFC!C$63:Q$63,0)</f>
        <v>13</v>
      </c>
      <c r="BB342" cm="1">
        <f t="array" ref="BB342">IF(AZ342&gt;0,INDEX(BSFC!C$64:Q$83,Data!AZ342,Data!BA342))</f>
        <v>494.7</v>
      </c>
      <c r="BC342">
        <f>0.5*'Vehicle Data'!C$6*Data!Z342^2</f>
        <v>15121.355000000003</v>
      </c>
      <c r="BD342">
        <f t="shared" si="248"/>
        <v>13.465906457145509</v>
      </c>
      <c r="BE342">
        <f t="shared" si="268"/>
        <v>6661.5839243498831</v>
      </c>
      <c r="BF342">
        <f t="shared" si="269"/>
        <v>0.53541246312617341</v>
      </c>
      <c r="BG342">
        <f t="shared" si="249"/>
        <v>142.66799922851629</v>
      </c>
      <c r="BH342">
        <f t="shared" si="228"/>
        <v>13465.906457145509</v>
      </c>
      <c r="BI342" s="148">
        <f t="shared" si="250"/>
        <v>6871.6622130335309</v>
      </c>
      <c r="BO342">
        <f t="shared" si="251"/>
        <v>3902.5617389156755</v>
      </c>
      <c r="BP342">
        <f t="shared" si="252"/>
        <v>643256.71757994231</v>
      </c>
      <c r="BQ342">
        <f t="shared" si="253"/>
        <v>852450.72275424178</v>
      </c>
      <c r="BR342" s="148">
        <f t="shared" si="254"/>
        <v>794954.64567320072</v>
      </c>
      <c r="BS342" s="156">
        <f t="shared" si="255"/>
        <v>3902.5617389156755</v>
      </c>
      <c r="BT342" s="156">
        <f t="shared" si="256"/>
        <v>13465.906457145509</v>
      </c>
      <c r="BU342">
        <f t="shared" si="257"/>
        <v>1991.480196352258</v>
      </c>
      <c r="BV342">
        <f t="shared" si="258"/>
        <v>1991.480196352258</v>
      </c>
      <c r="BW342" s="148">
        <f t="shared" si="259"/>
        <v>455.4</v>
      </c>
      <c r="BX342" s="148">
        <f t="shared" si="260"/>
        <v>3129354.9718154697</v>
      </c>
      <c r="BY342" s="148">
        <f t="shared" si="261"/>
        <v>0.25192224483856063</v>
      </c>
      <c r="BZ342">
        <f t="shared" si="244"/>
        <v>115.39612118489026</v>
      </c>
      <c r="CB342">
        <f t="shared" si="262"/>
        <v>-1911.0815425634175</v>
      </c>
      <c r="CC342" s="162">
        <f t="shared" si="245"/>
        <v>-6604.8923643161324</v>
      </c>
      <c r="CD342">
        <f t="shared" si="270"/>
        <v>-58228.017560067325</v>
      </c>
    </row>
    <row r="343" spans="4:82" x14ac:dyDescent="0.2">
      <c r="D343" s="22">
        <f t="shared" si="235"/>
        <v>4.142616122772616E-2</v>
      </c>
      <c r="E343" s="23">
        <v>11.4017032</v>
      </c>
      <c r="F343" s="23">
        <f>IF(K343&lt;6,1,IF(Data!K343&lt;9,2,IF(K343&gt;9,3)))</f>
        <v>3</v>
      </c>
      <c r="G343" s="23">
        <v>1060.5186889669269</v>
      </c>
      <c r="H343" s="23">
        <v>219.816665</v>
      </c>
      <c r="I343" s="64">
        <v>48.281040338423907</v>
      </c>
      <c r="J343" s="65">
        <f t="shared" si="236"/>
        <v>1.9321061135158342</v>
      </c>
      <c r="K343" s="65">
        <f t="shared" si="237"/>
        <v>19.312416135369563</v>
      </c>
      <c r="L343" s="65">
        <f t="shared" si="238"/>
        <v>0.77284244540633362</v>
      </c>
      <c r="M343">
        <f t="shared" si="239"/>
        <v>22.8034064</v>
      </c>
      <c r="N343">
        <f t="shared" si="240"/>
        <v>9.9998399999998711E-2</v>
      </c>
      <c r="O343">
        <f>IF(L343&lt;'Vehicle Data'!F$21,'Vehicle Data'!C$21,IF(L343&gt;'Vehicle Data'!C$21,'Vehicle Data'!C$20))</f>
        <v>0.6</v>
      </c>
      <c r="P343">
        <f>('Vehicle Data'!C$6*9.81*'Vehicle Data'!C$5*SIN(D343))/'Vehicle Data'!C$9</f>
        <v>27.580587884242512</v>
      </c>
      <c r="Q343" s="107">
        <f>'Vehicle Data'!C$6*9.81*SIN(D343)</f>
        <v>178.35446831810157</v>
      </c>
      <c r="R343" s="101">
        <f t="shared" si="234"/>
        <v>1058.1089287709276</v>
      </c>
      <c r="S343" s="101">
        <f>IF(Data!O343=0.6,'Vehicle Data'!E$21,IF(Data!O343 = 0.9,'Vehicle Data'!E$20))+(P343*O343)</f>
        <v>1566.9207527305452</v>
      </c>
      <c r="T343" s="101">
        <f>IF(F343=3,'Vehicle Data'!H$16,IF(F343=2,'Vehicle Data'!H$15,IF(F343 = 1,'Vehicle Data'!G$14)))</f>
        <v>466.23005239380637</v>
      </c>
      <c r="U343" s="148">
        <f t="shared" si="241"/>
        <v>341.97044664761154</v>
      </c>
      <c r="V343" s="102" t="s">
        <v>77</v>
      </c>
      <c r="W343" s="103" t="s">
        <v>84</v>
      </c>
      <c r="X343" s="101">
        <f>IF(V343="S",'Vehicle Data'!C$14,IF(Data!V343 = "T1",'Vehicle Data'!P$2,IF(Data!V343="T2",'Vehicle Data'!P$3)))</f>
        <v>13.411199999999999</v>
      </c>
      <c r="Y343" s="101"/>
      <c r="Z343" s="105">
        <v>8.3000000000000007</v>
      </c>
      <c r="AA343" s="101"/>
      <c r="AB343" s="101" t="b">
        <f>IF(AA343=1,'Vehicle Data'!I$14,IF(AA343=2,'Vehicle Data'!I$15,IF(AA343=3,'Vehicle Data'!I$16)))</f>
        <v>0</v>
      </c>
      <c r="AC343" s="101">
        <f>IF(Z343&lt;'Vehicle Data'!C$16,'Vehicle Data'!I$15,IF(Z343&lt;'Vehicle Data'!C$15,'Vehicle Data'!I$15,IF(Z342&gt;'Vehicle Data'!C$15,'Vehicle Data'!I$16)))</f>
        <v>0.98256251041858167</v>
      </c>
      <c r="AD343">
        <f>IF(O343=0.6,'Vehicle Data'!F$21,IF(O343=0.9,'Vehicle Data'!F$20))</f>
        <v>3.5315999999999996</v>
      </c>
      <c r="AE343" s="101">
        <f>(Data!H$15-Data!Q343)/'Vehicle Data'!C$6</f>
        <v>7.5540311348287981E-2</v>
      </c>
      <c r="AF343" s="158">
        <f t="shared" si="263"/>
        <v>0.28981054868718709</v>
      </c>
      <c r="AG343" s="148">
        <f t="shared" si="246"/>
        <v>0</v>
      </c>
      <c r="AH343" s="148">
        <f t="shared" si="264"/>
        <v>115.68593173357745</v>
      </c>
      <c r="AI343" s="101"/>
      <c r="AJ343" s="101">
        <f>(Z343^2)*'Vehicle Data'!C$31</f>
        <v>25.317075000000013</v>
      </c>
      <c r="AK343" s="101">
        <f>IF(O343=0.6,'Vehicle Data'!C$6*'Vehicle Data'!D$21*9.81,IF(O343=0.9,'Vehicle Data'!C$6*9.81*'Vehicle Data'!D$20))</f>
        <v>86.131799999999998</v>
      </c>
      <c r="AL343" s="101">
        <f t="shared" si="243"/>
        <v>289.80334331810161</v>
      </c>
      <c r="AM343" s="101"/>
      <c r="AN343" t="b">
        <f>IF(AG343&gt;0,AG343*'Vehicle Data'!C$6)</f>
        <v>0</v>
      </c>
      <c r="AO343" s="101">
        <f t="shared" si="247"/>
        <v>289.80334331810161</v>
      </c>
      <c r="AP343" s="101">
        <f>AO343*'Vehicle Data'!F$3</f>
        <v>74.073734552106771</v>
      </c>
      <c r="AQ343">
        <v>20</v>
      </c>
      <c r="AR343">
        <f>IF(Z343&lt;'Vehicle Data'!C$16, Z343*'Vehicle Data'!F$7*'Vehicle Data'!G$14,IF(Z343&lt;'Vehicle Data'!C$15,Z343*'Vehicle Data'!F$7*'Vehicle Data'!G$15,IF(Z343&gt;'Vehicle Data'!C$15,Z343*'Vehicle Data'!F$7*'Vehicle Data'!G$16)))</f>
        <v>107.59259259259261</v>
      </c>
      <c r="AS343">
        <f t="shared" si="265"/>
        <v>6455.5555555555566</v>
      </c>
      <c r="AT343">
        <f t="shared" si="266"/>
        <v>20</v>
      </c>
      <c r="AU343">
        <f t="shared" si="267"/>
        <v>6500</v>
      </c>
      <c r="AW343">
        <f>VLOOKUP(AT343,BSFC!A$64:A$82,1,FALSE)</f>
        <v>20</v>
      </c>
      <c r="AX343" t="e" cm="1">
        <f t="array" ref="AX343">_xlfn.XLOOKUP(AT343,BSFC!A$64:A$82,,-1,_xlfn.XLOOKUP(Data!AU343,BSFC!C$63:Q$63,BSFC!B$64:Q$82,,-1))</f>
        <v>#VALUE!</v>
      </c>
      <c r="AY343">
        <f>HLOOKUP(AU343,BSFC!F$63:Q$63,1)</f>
        <v>6500</v>
      </c>
      <c r="AZ343">
        <f>IF(AT343&gt;0,MATCH(AT343,BSFC!A$64:A$83,0),IF(AT343&lt;=0,0))</f>
        <v>3</v>
      </c>
      <c r="BA343">
        <f>MATCH(AU343,BSFC!C$63:Q$63,0)</f>
        <v>13</v>
      </c>
      <c r="BB343" cm="1">
        <f t="array" ref="BB343">IF(AZ343&gt;0,INDEX(BSFC!C$64:Q$83,Data!AZ343,Data!BA343))</f>
        <v>494.7</v>
      </c>
      <c r="BC343">
        <f>0.5*'Vehicle Data'!C$6*Data!Z343^2</f>
        <v>15121.355000000003</v>
      </c>
      <c r="BD343">
        <f t="shared" si="248"/>
        <v>13.465906457145509</v>
      </c>
      <c r="BE343">
        <f t="shared" si="268"/>
        <v>6661.5839243498831</v>
      </c>
      <c r="BF343">
        <f t="shared" si="269"/>
        <v>0.53627702562266233</v>
      </c>
      <c r="BG343">
        <f t="shared" si="249"/>
        <v>143.20427625413896</v>
      </c>
      <c r="BH343">
        <f t="shared" si="228"/>
        <v>13465.906457145509</v>
      </c>
      <c r="BI343" s="148">
        <f t="shared" si="250"/>
        <v>6871.6622130335309</v>
      </c>
      <c r="BO343">
        <f t="shared" si="251"/>
        <v>3909.5910100577303</v>
      </c>
      <c r="BP343">
        <f t="shared" si="252"/>
        <v>647166.30859000003</v>
      </c>
      <c r="BQ343">
        <f t="shared" si="253"/>
        <v>856360.3137642995</v>
      </c>
      <c r="BR343" s="148">
        <f t="shared" si="254"/>
        <v>796949.7129119141</v>
      </c>
      <c r="BS343" s="156">
        <f t="shared" si="255"/>
        <v>3909.5910100577303</v>
      </c>
      <c r="BT343" s="156">
        <f t="shared" si="256"/>
        <v>13465.906457145509</v>
      </c>
      <c r="BU343">
        <f t="shared" si="257"/>
        <v>1995.0672387133307</v>
      </c>
      <c r="BV343">
        <f t="shared" si="258"/>
        <v>1995.0672387133307</v>
      </c>
      <c r="BW343" s="148">
        <f t="shared" si="259"/>
        <v>455.4</v>
      </c>
      <c r="BX343" s="148">
        <f t="shared" si="260"/>
        <v>3129354.9718154697</v>
      </c>
      <c r="BY343" s="148">
        <f t="shared" si="261"/>
        <v>0.25237600569723628</v>
      </c>
      <c r="BZ343">
        <f t="shared" si="244"/>
        <v>115.68593173357745</v>
      </c>
      <c r="CB343">
        <f t="shared" si="262"/>
        <v>-1914.5237713443996</v>
      </c>
      <c r="CC343" s="162">
        <f t="shared" si="245"/>
        <v>-6606.1217578760034</v>
      </c>
      <c r="CD343">
        <f t="shared" si="270"/>
        <v>-60142.541331411725</v>
      </c>
    </row>
    <row r="344" spans="4:82" x14ac:dyDescent="0.2">
      <c r="D344" s="22">
        <f t="shared" si="235"/>
        <v>0</v>
      </c>
      <c r="E344" s="23">
        <v>11.501701599999999</v>
      </c>
      <c r="F344" s="23">
        <f>IF(K344&lt;6,1,IF(Data!K344&lt;9,2,IF(K344&gt;9,3)))</f>
        <v>3</v>
      </c>
      <c r="G344" s="23">
        <v>1062.9332744467138</v>
      </c>
      <c r="H344" s="23">
        <v>219.86666499999998</v>
      </c>
      <c r="I344" s="64">
        <v>48.377645644099665</v>
      </c>
      <c r="J344" s="65">
        <f t="shared" si="236"/>
        <v>1.8949605291949423</v>
      </c>
      <c r="K344" s="65">
        <f t="shared" si="237"/>
        <v>19.351058257639867</v>
      </c>
      <c r="L344" s="65">
        <f t="shared" si="238"/>
        <v>0.75798421167793428</v>
      </c>
      <c r="M344">
        <f t="shared" si="239"/>
        <v>23.003403199999997</v>
      </c>
      <c r="N344">
        <f t="shared" si="240"/>
        <v>0</v>
      </c>
      <c r="O344">
        <f>IF(L344&lt;'Vehicle Data'!F$21,'Vehicle Data'!C$21,IF(L344&gt;'Vehicle Data'!C$21,'Vehicle Data'!C$20))</f>
        <v>0.6</v>
      </c>
      <c r="P344">
        <f>('Vehicle Data'!C$6*9.81*'Vehicle Data'!C$5*SIN(D344))/'Vehicle Data'!C$9</f>
        <v>0</v>
      </c>
      <c r="Q344" s="107">
        <f>'Vehicle Data'!C$6*9.81*SIN(D344)</f>
        <v>0</v>
      </c>
      <c r="R344" s="101">
        <f t="shared" si="234"/>
        <v>1060.5186889669269</v>
      </c>
      <c r="S344" s="101">
        <f>IF(Data!O344=0.6,'Vehicle Data'!E$21,IF(Data!O344 = 0.9,'Vehicle Data'!E$20))+(P344*O344)</f>
        <v>1550.3723999999997</v>
      </c>
      <c r="T344" s="101">
        <f>IF(F344=3,'Vehicle Data'!H$16,IF(F344=2,'Vehicle Data'!H$15,IF(F344 = 1,'Vehicle Data'!G$14)))</f>
        <v>466.23005239380637</v>
      </c>
      <c r="U344" s="148">
        <f t="shared" si="241"/>
        <v>344.38020684361084</v>
      </c>
      <c r="V344" s="102" t="s">
        <v>77</v>
      </c>
      <c r="W344" s="103" t="s">
        <v>84</v>
      </c>
      <c r="X344" s="101">
        <f>IF(V344="S",'Vehicle Data'!C$14,IF(Data!V344 = "T1",'Vehicle Data'!P$2,IF(Data!V344="T2",'Vehicle Data'!P$3)))</f>
        <v>13.411199999999999</v>
      </c>
      <c r="Y344" s="101"/>
      <c r="Z344" s="105">
        <v>8.3000000000000007</v>
      </c>
      <c r="AA344" s="101"/>
      <c r="AB344" s="101" t="b">
        <f>IF(AA344=1,'Vehicle Data'!I$14,IF(AA344=2,'Vehicle Data'!I$15,IF(AA344=3,'Vehicle Data'!I$16)))</f>
        <v>0</v>
      </c>
      <c r="AC344" s="101">
        <f>IF(Z344&lt;'Vehicle Data'!C$16,'Vehicle Data'!I$15,IF(Z344&lt;'Vehicle Data'!C$15,'Vehicle Data'!I$15,IF(Z343&gt;'Vehicle Data'!C$15,'Vehicle Data'!I$16)))</f>
        <v>0.98256251041858167</v>
      </c>
      <c r="AD344">
        <f>IF(O344=0.6,'Vehicle Data'!F$21,IF(O344=0.9,'Vehicle Data'!F$20))</f>
        <v>3.5315999999999996</v>
      </c>
      <c r="AE344" s="101">
        <f>(Data!H$15-Data!Q344)/'Vehicle Data'!C$6</f>
        <v>0.48181472665148062</v>
      </c>
      <c r="AF344" s="158">
        <f t="shared" si="263"/>
        <v>0.29033255373485506</v>
      </c>
      <c r="AG344" s="148">
        <f t="shared" si="246"/>
        <v>0</v>
      </c>
      <c r="AH344" s="148">
        <f t="shared" si="264"/>
        <v>115.9762642873123</v>
      </c>
      <c r="AI344" s="101"/>
      <c r="AJ344" s="101">
        <f>(Z344^2)*'Vehicle Data'!C$31</f>
        <v>25.317075000000013</v>
      </c>
      <c r="AK344" s="101">
        <f>IF(O344=0.6,'Vehicle Data'!C$6*'Vehicle Data'!D$21*9.81,IF(O344=0.9,'Vehicle Data'!C$6*9.81*'Vehicle Data'!D$20))</f>
        <v>86.131799999999998</v>
      </c>
      <c r="AL344" s="101">
        <f t="shared" si="243"/>
        <v>111.44887500000002</v>
      </c>
      <c r="AM344" s="101"/>
      <c r="AN344" t="b">
        <f>IF(AG344&gt;0,AG344*'Vehicle Data'!C$6)</f>
        <v>0</v>
      </c>
      <c r="AO344" s="101">
        <f t="shared" si="247"/>
        <v>111.44887500000002</v>
      </c>
      <c r="AP344" s="101">
        <f>AO344*'Vehicle Data'!F$3</f>
        <v>28.486332450000003</v>
      </c>
      <c r="AQ344">
        <v>20</v>
      </c>
      <c r="AR344">
        <f>IF(Z344&lt;'Vehicle Data'!C$16, Z344*'Vehicle Data'!F$7*'Vehicle Data'!G$14,IF(Z344&lt;'Vehicle Data'!C$15,Z344*'Vehicle Data'!F$7*'Vehicle Data'!G$15,IF(Z344&gt;'Vehicle Data'!C$15,Z344*'Vehicle Data'!F$7*'Vehicle Data'!G$16)))</f>
        <v>107.59259259259261</v>
      </c>
      <c r="AS344">
        <f t="shared" si="265"/>
        <v>6455.5555555555566</v>
      </c>
      <c r="AT344">
        <f t="shared" si="266"/>
        <v>20</v>
      </c>
      <c r="AU344">
        <f t="shared" si="267"/>
        <v>6500</v>
      </c>
      <c r="AW344">
        <f>VLOOKUP(AT344,BSFC!A$64:A$82,1,FALSE)</f>
        <v>20</v>
      </c>
      <c r="AX344" t="e" cm="1">
        <f t="array" ref="AX344">_xlfn.XLOOKUP(AT344,BSFC!A$64:A$82,,-1,_xlfn.XLOOKUP(Data!AU344,BSFC!C$63:Q$63,BSFC!B$64:Q$82,,-1))</f>
        <v>#VALUE!</v>
      </c>
      <c r="AY344">
        <f>HLOOKUP(AU344,BSFC!F$63:Q$63,1)</f>
        <v>6500</v>
      </c>
      <c r="AZ344">
        <f>IF(AT344&gt;0,MATCH(AT344,BSFC!A$64:A$83,0),IF(AT344&lt;=0,0))</f>
        <v>3</v>
      </c>
      <c r="BA344">
        <f>MATCH(AU344,BSFC!C$63:Q$63,0)</f>
        <v>13</v>
      </c>
      <c r="BB344" cm="1">
        <f t="array" ref="BB344">IF(AZ344&gt;0,INDEX(BSFC!C$64:Q$83,Data!AZ344,Data!BA344))</f>
        <v>494.7</v>
      </c>
      <c r="BC344">
        <f>0.5*'Vehicle Data'!C$6*Data!Z344^2</f>
        <v>15121.355000000003</v>
      </c>
      <c r="BD344">
        <f t="shared" si="248"/>
        <v>13.465906457145509</v>
      </c>
      <c r="BE344">
        <f t="shared" si="268"/>
        <v>6661.5839243498831</v>
      </c>
      <c r="BF344">
        <f t="shared" si="269"/>
        <v>0.53724296463209975</v>
      </c>
      <c r="BG344">
        <f t="shared" si="249"/>
        <v>143.74151921877106</v>
      </c>
      <c r="BH344">
        <f t="shared" ref="BH344:BH407" si="271">AQ344*(AS344/9.588)</f>
        <v>13465.906457145509</v>
      </c>
      <c r="BI344" s="148">
        <f t="shared" si="250"/>
        <v>6871.6622130335309</v>
      </c>
      <c r="BO344">
        <f t="shared" si="251"/>
        <v>3917.4195426014135</v>
      </c>
      <c r="BP344">
        <f t="shared" si="252"/>
        <v>651083.72813260148</v>
      </c>
      <c r="BQ344">
        <f t="shared" si="253"/>
        <v>860277.73330690095</v>
      </c>
      <c r="BR344" s="148">
        <f t="shared" si="254"/>
        <v>798948.77505668404</v>
      </c>
      <c r="BS344" s="156">
        <f t="shared" si="255"/>
        <v>3917.4195426014135</v>
      </c>
      <c r="BT344" s="156">
        <f t="shared" si="256"/>
        <v>13465.906457145509</v>
      </c>
      <c r="BU344">
        <f t="shared" si="257"/>
        <v>1999.0621447699805</v>
      </c>
      <c r="BV344">
        <f t="shared" si="258"/>
        <v>1999.0621447699805</v>
      </c>
      <c r="BW344" s="148">
        <f t="shared" si="259"/>
        <v>455.4</v>
      </c>
      <c r="BX344" s="148">
        <f t="shared" si="260"/>
        <v>3129354.9718154697</v>
      </c>
      <c r="BY344" s="148">
        <f t="shared" si="261"/>
        <v>0.2528813613134025</v>
      </c>
      <c r="BZ344">
        <f t="shared" si="244"/>
        <v>115.9762642873123</v>
      </c>
      <c r="CB344">
        <f t="shared" si="262"/>
        <v>-1918.357397831433</v>
      </c>
      <c r="CC344" s="162">
        <f t="shared" si="245"/>
        <v>-6607.4485039778056</v>
      </c>
      <c r="CD344">
        <f t="shared" si="270"/>
        <v>-62060.898729243156</v>
      </c>
    </row>
    <row r="345" spans="4:82" x14ac:dyDescent="0.2">
      <c r="D345" s="22">
        <f t="shared" si="235"/>
        <v>0</v>
      </c>
      <c r="E345" s="23">
        <v>11.501701599999999</v>
      </c>
      <c r="F345" s="23">
        <f>IF(K345&lt;6,1,IF(Data!K345&lt;9,2,IF(K345&gt;9,3)))</f>
        <v>3</v>
      </c>
      <c r="G345" s="23">
        <v>1065.3528199265015</v>
      </c>
      <c r="H345" s="23">
        <v>219.91666499999999</v>
      </c>
      <c r="I345" s="64">
        <v>48.472393670559434</v>
      </c>
      <c r="J345" s="65">
        <f t="shared" si="236"/>
        <v>1.9343653736226887</v>
      </c>
      <c r="K345" s="65">
        <f t="shared" si="237"/>
        <v>19.388957468223772</v>
      </c>
      <c r="L345" s="65">
        <f t="shared" si="238"/>
        <v>0.77374614944913234</v>
      </c>
      <c r="M345">
        <f t="shared" si="239"/>
        <v>23.003403199999997</v>
      </c>
      <c r="N345">
        <f t="shared" si="240"/>
        <v>0</v>
      </c>
      <c r="O345">
        <f>IF(L345&lt;'Vehicle Data'!F$21,'Vehicle Data'!C$21,IF(L345&gt;'Vehicle Data'!C$21,'Vehicle Data'!C$20))</f>
        <v>0.6</v>
      </c>
      <c r="P345">
        <f>('Vehicle Data'!C$6*9.81*'Vehicle Data'!C$5*SIN(D345))/'Vehicle Data'!C$9</f>
        <v>0</v>
      </c>
      <c r="Q345" s="107">
        <f>'Vehicle Data'!C$6*9.81*SIN(D345)</f>
        <v>0</v>
      </c>
      <c r="R345" s="101">
        <f t="shared" si="234"/>
        <v>1062.9332744467138</v>
      </c>
      <c r="S345" s="101">
        <f>IF(Data!O345=0.6,'Vehicle Data'!E$21,IF(Data!O345 = 0.9,'Vehicle Data'!E$20))+(P345*O345)</f>
        <v>1550.3723999999997</v>
      </c>
      <c r="T345" s="101">
        <f>IF(F345=3,'Vehicle Data'!H$16,IF(F345=2,'Vehicle Data'!H$15,IF(F345 = 1,'Vehicle Data'!G$14)))</f>
        <v>466.23005239380637</v>
      </c>
      <c r="U345" s="148">
        <f t="shared" si="241"/>
        <v>346.7947923233977</v>
      </c>
      <c r="V345" s="102" t="s">
        <v>77</v>
      </c>
      <c r="W345" s="103" t="s">
        <v>84</v>
      </c>
      <c r="X345" s="101">
        <f>IF(V345="S",'Vehicle Data'!C$14,IF(Data!V345 = "T1",'Vehicle Data'!P$2,IF(Data!V345="T2",'Vehicle Data'!P$3)))</f>
        <v>13.411199999999999</v>
      </c>
      <c r="Y345" s="101"/>
      <c r="Z345" s="105">
        <v>8.3000000000000007</v>
      </c>
      <c r="AA345" s="101"/>
      <c r="AB345" s="101" t="b">
        <f>IF(AA345=1,'Vehicle Data'!I$14,IF(AA345=2,'Vehicle Data'!I$15,IF(AA345=3,'Vehicle Data'!I$16)))</f>
        <v>0</v>
      </c>
      <c r="AC345" s="101">
        <f>IF(Z345&lt;'Vehicle Data'!C$16,'Vehicle Data'!I$15,IF(Z345&lt;'Vehicle Data'!C$15,'Vehicle Data'!I$15,IF(Z344&gt;'Vehicle Data'!C$15,'Vehicle Data'!I$16)))</f>
        <v>0.98256251041858167</v>
      </c>
      <c r="AD345">
        <f>IF(O345=0.6,'Vehicle Data'!F$21,IF(O345=0.9,'Vehicle Data'!F$20))</f>
        <v>3.5315999999999996</v>
      </c>
      <c r="AE345" s="101">
        <f>(Data!H$15-Data!Q345)/'Vehicle Data'!C$6</f>
        <v>0.48181472665148062</v>
      </c>
      <c r="AF345" s="158">
        <f t="shared" si="263"/>
        <v>0.29091391322733312</v>
      </c>
      <c r="AG345" s="148">
        <f t="shared" si="246"/>
        <v>0</v>
      </c>
      <c r="AH345" s="148">
        <f t="shared" si="264"/>
        <v>116.26717820053963</v>
      </c>
      <c r="AI345" s="101"/>
      <c r="AJ345" s="101">
        <f>(Z345^2)*'Vehicle Data'!C$31</f>
        <v>25.317075000000013</v>
      </c>
      <c r="AK345" s="101">
        <f>IF(O345=0.6,'Vehicle Data'!C$6*'Vehicle Data'!D$21*9.81,IF(O345=0.9,'Vehicle Data'!C$6*9.81*'Vehicle Data'!D$20))</f>
        <v>86.131799999999998</v>
      </c>
      <c r="AL345" s="101">
        <f t="shared" si="243"/>
        <v>111.44887500000002</v>
      </c>
      <c r="AM345" s="101"/>
      <c r="AN345" t="b">
        <f>IF(AG345&gt;0,AG345*'Vehicle Data'!C$6)</f>
        <v>0</v>
      </c>
      <c r="AO345" s="101">
        <f t="shared" si="247"/>
        <v>111.44887500000002</v>
      </c>
      <c r="AP345" s="101">
        <f>AO345*'Vehicle Data'!F$3</f>
        <v>28.486332450000003</v>
      </c>
      <c r="AQ345">
        <v>20</v>
      </c>
      <c r="AR345">
        <f>IF(Z345&lt;'Vehicle Data'!C$16, Z345*'Vehicle Data'!F$7*'Vehicle Data'!G$14,IF(Z345&lt;'Vehicle Data'!C$15,Z345*'Vehicle Data'!F$7*'Vehicle Data'!G$15,IF(Z345&gt;'Vehicle Data'!C$15,Z345*'Vehicle Data'!F$7*'Vehicle Data'!G$16)))</f>
        <v>107.59259259259261</v>
      </c>
      <c r="AS345">
        <f t="shared" si="265"/>
        <v>6455.5555555555566</v>
      </c>
      <c r="AT345">
        <f t="shared" si="266"/>
        <v>20</v>
      </c>
      <c r="AU345">
        <f t="shared" si="267"/>
        <v>6500</v>
      </c>
      <c r="AW345">
        <f>VLOOKUP(AT345,BSFC!A$64:A$82,1,FALSE)</f>
        <v>20</v>
      </c>
      <c r="AX345" t="e" cm="1">
        <f t="array" ref="AX345">_xlfn.XLOOKUP(AT345,BSFC!A$64:A$82,,-1,_xlfn.XLOOKUP(Data!AU345,BSFC!C$63:Q$63,BSFC!B$64:Q$82,,-1))</f>
        <v>#VALUE!</v>
      </c>
      <c r="AY345">
        <f>HLOOKUP(AU345,BSFC!F$63:Q$63,1)</f>
        <v>6500</v>
      </c>
      <c r="AZ345">
        <f>IF(AT345&gt;0,MATCH(AT345,BSFC!A$64:A$83,0),IF(AT345&lt;=0,0))</f>
        <v>3</v>
      </c>
      <c r="BA345">
        <f>MATCH(AU345,BSFC!C$63:Q$63,0)</f>
        <v>13</v>
      </c>
      <c r="BB345" cm="1">
        <f t="array" ref="BB345">IF(AZ345&gt;0,INDEX(BSFC!C$64:Q$83,Data!AZ345,Data!BA345))</f>
        <v>494.7</v>
      </c>
      <c r="BC345">
        <f>0.5*'Vehicle Data'!C$6*Data!Z345^2</f>
        <v>15121.355000000003</v>
      </c>
      <c r="BD345">
        <f t="shared" si="248"/>
        <v>13.465906457145509</v>
      </c>
      <c r="BE345">
        <f t="shared" si="268"/>
        <v>6661.5839243498831</v>
      </c>
      <c r="BF345">
        <f t="shared" si="269"/>
        <v>0.53831873547914422</v>
      </c>
      <c r="BG345">
        <f t="shared" si="249"/>
        <v>144.27983795425021</v>
      </c>
      <c r="BH345">
        <f t="shared" si="271"/>
        <v>13465.906457145509</v>
      </c>
      <c r="BI345" s="148">
        <f t="shared" si="250"/>
        <v>6871.6622130335309</v>
      </c>
      <c r="BO345">
        <f t="shared" si="251"/>
        <v>3925.4666385097817</v>
      </c>
      <c r="BP345">
        <f t="shared" si="252"/>
        <v>655009.19477111124</v>
      </c>
      <c r="BQ345">
        <f t="shared" si="253"/>
        <v>864203.19994541071</v>
      </c>
      <c r="BR345" s="148">
        <f t="shared" si="254"/>
        <v>800951.94364056038</v>
      </c>
      <c r="BS345" s="156">
        <f t="shared" si="255"/>
        <v>3925.4666385097817</v>
      </c>
      <c r="BT345" s="156">
        <f t="shared" si="256"/>
        <v>13465.906457145509</v>
      </c>
      <c r="BU345">
        <f t="shared" si="257"/>
        <v>2003.1685838763392</v>
      </c>
      <c r="BV345">
        <f t="shared" si="258"/>
        <v>2003.1685838763392</v>
      </c>
      <c r="BW345" s="148">
        <f t="shared" si="259"/>
        <v>455.4</v>
      </c>
      <c r="BX345" s="148">
        <f t="shared" si="260"/>
        <v>3129354.9718154697</v>
      </c>
      <c r="BY345" s="148">
        <f t="shared" si="261"/>
        <v>0.25340082586035684</v>
      </c>
      <c r="BZ345">
        <f t="shared" si="244"/>
        <v>116.26717820053963</v>
      </c>
      <c r="CB345">
        <f t="shared" si="262"/>
        <v>-1922.2980546334425</v>
      </c>
      <c r="CC345" s="162">
        <f t="shared" si="245"/>
        <v>-6607.7900273243567</v>
      </c>
      <c r="CD345">
        <f t="shared" si="270"/>
        <v>-63983.1967838766</v>
      </c>
    </row>
    <row r="346" spans="4:82" ht="16" thickBot="1" x14ac:dyDescent="0.25">
      <c r="D346" s="22">
        <f t="shared" si="235"/>
        <v>0</v>
      </c>
      <c r="E346" s="23">
        <v>11.501701599999999</v>
      </c>
      <c r="F346" s="23">
        <f>IF(K346&lt;6,1,IF(Data!K346&lt;9,2,IF(K346&gt;9,3)))</f>
        <v>3</v>
      </c>
      <c r="G346" s="23">
        <v>1067.7775654062891</v>
      </c>
      <c r="H346" s="23">
        <v>219.96666499999998</v>
      </c>
      <c r="I346" s="64">
        <v>48.569111939240535</v>
      </c>
      <c r="J346" s="65">
        <f t="shared" si="236"/>
        <v>1.9153387929762198</v>
      </c>
      <c r="K346" s="65">
        <f t="shared" si="237"/>
        <v>19.427644775696216</v>
      </c>
      <c r="L346" s="65">
        <f t="shared" si="238"/>
        <v>0.76613551719045947</v>
      </c>
      <c r="M346">
        <f t="shared" si="239"/>
        <v>23.003403199999997</v>
      </c>
      <c r="N346">
        <f t="shared" si="240"/>
        <v>0</v>
      </c>
      <c r="O346">
        <f>IF(L346&lt;'Vehicle Data'!F$21,'Vehicle Data'!C$21,IF(L346&gt;'Vehicle Data'!C$21,'Vehicle Data'!C$20))</f>
        <v>0.6</v>
      </c>
      <c r="P346">
        <f>('Vehicle Data'!C$6*9.81*'Vehicle Data'!C$5*SIN(D346))/'Vehicle Data'!C$9</f>
        <v>0</v>
      </c>
      <c r="Q346" s="107">
        <f>'Vehicle Data'!C$6*9.81*SIN(D346)</f>
        <v>0</v>
      </c>
      <c r="R346" s="101">
        <f t="shared" si="234"/>
        <v>1065.3528199265015</v>
      </c>
      <c r="S346" s="101">
        <f>IF(Data!O346=0.6,'Vehicle Data'!E$21,IF(Data!O346 = 0.9,'Vehicle Data'!E$20))+(P346*O346)</f>
        <v>1550.3723999999997</v>
      </c>
      <c r="T346" s="101">
        <f>IF(F346=3,'Vehicle Data'!H$16,IF(F346=2,'Vehicle Data'!H$15,IF(F346 = 1,'Vehicle Data'!G$14)))</f>
        <v>466.23005239380637</v>
      </c>
      <c r="U346" s="148">
        <f t="shared" si="241"/>
        <v>349.21433780318546</v>
      </c>
      <c r="V346" s="102" t="s">
        <v>77</v>
      </c>
      <c r="W346" s="103" t="s">
        <v>84</v>
      </c>
      <c r="X346" s="101">
        <f>IF(V346="S",'Vehicle Data'!C$14,IF(Data!V346 = "T1",'Vehicle Data'!P$2,IF(Data!V346="T2",'Vehicle Data'!P$3)))</f>
        <v>13.411199999999999</v>
      </c>
      <c r="Y346" s="101"/>
      <c r="Z346" s="106">
        <v>8.3000000000000007</v>
      </c>
      <c r="AA346" s="101"/>
      <c r="AB346" s="101" t="b">
        <f>IF(AA346=1,'Vehicle Data'!I$14,IF(AA346=2,'Vehicle Data'!I$15,IF(AA346=3,'Vehicle Data'!I$16)))</f>
        <v>0</v>
      </c>
      <c r="AC346" s="101">
        <f>IF(Z346&lt;'Vehicle Data'!C$16,'Vehicle Data'!I$15,IF(Z346&lt;'Vehicle Data'!C$15,'Vehicle Data'!I$15,IF(Z345&gt;'Vehicle Data'!C$15,'Vehicle Data'!I$16)))</f>
        <v>0.98256251041858167</v>
      </c>
      <c r="AD346">
        <f>IF(O346=0.6,'Vehicle Data'!F$21,IF(O346=0.9,'Vehicle Data'!F$20))</f>
        <v>3.5315999999999996</v>
      </c>
      <c r="AE346" s="101">
        <f>(Data!H$15-Data!Q346)/'Vehicle Data'!C$6</f>
        <v>0.48181472665148062</v>
      </c>
      <c r="AF346" s="158">
        <f t="shared" si="263"/>
        <v>0.29151150358888639</v>
      </c>
      <c r="AG346" s="148">
        <f t="shared" si="246"/>
        <v>0</v>
      </c>
      <c r="AH346" s="148">
        <f t="shared" si="264"/>
        <v>116.55868970412853</v>
      </c>
      <c r="AI346" s="101"/>
      <c r="AJ346" s="101">
        <f>(Z346^2)*'Vehicle Data'!C$31</f>
        <v>25.317075000000013</v>
      </c>
      <c r="AK346" s="101">
        <f>IF(O346=0.6,'Vehicle Data'!C$6*'Vehicle Data'!D$21*9.81,IF(O346=0.9,'Vehicle Data'!C$6*9.81*'Vehicle Data'!D$20))</f>
        <v>86.131799999999998</v>
      </c>
      <c r="AL346" s="101">
        <f t="shared" si="243"/>
        <v>111.44887500000002</v>
      </c>
      <c r="AM346" s="101"/>
      <c r="AN346" t="b">
        <f>IF(AG346&gt;0,AG346*'Vehicle Data'!C$6)</f>
        <v>0</v>
      </c>
      <c r="AO346" s="101">
        <f t="shared" si="247"/>
        <v>111.44887500000002</v>
      </c>
      <c r="AP346" s="101">
        <f>AO346*'Vehicle Data'!F$3</f>
        <v>28.486332450000003</v>
      </c>
      <c r="AQ346">
        <v>20</v>
      </c>
      <c r="AR346">
        <f>IF(Z346&lt;'Vehicle Data'!C$16, Z346*'Vehicle Data'!F$7*'Vehicle Data'!G$14,IF(Z346&lt;'Vehicle Data'!C$15,Z346*'Vehicle Data'!F$7*'Vehicle Data'!G$15,IF(Z346&gt;'Vehicle Data'!C$15,Z346*'Vehicle Data'!F$7*'Vehicle Data'!G$16)))</f>
        <v>107.59259259259261</v>
      </c>
      <c r="AS346">
        <f t="shared" si="265"/>
        <v>6455.5555555555566</v>
      </c>
      <c r="AT346">
        <f t="shared" si="266"/>
        <v>20</v>
      </c>
      <c r="AU346">
        <f t="shared" si="267"/>
        <v>6500</v>
      </c>
      <c r="AW346">
        <f>VLOOKUP(AT346,BSFC!A$64:A$82,1,FALSE)</f>
        <v>20</v>
      </c>
      <c r="AX346" t="e" cm="1">
        <f t="array" ref="AX346">_xlfn.XLOOKUP(AT346,BSFC!A$64:A$82,,-1,_xlfn.XLOOKUP(Data!AU346,BSFC!C$63:Q$63,BSFC!B$64:Q$82,,-1))</f>
        <v>#VALUE!</v>
      </c>
      <c r="AY346">
        <f>HLOOKUP(AU346,BSFC!F$63:Q$63,1)</f>
        <v>6500</v>
      </c>
      <c r="AZ346">
        <f>IF(AT346&gt;0,MATCH(AT346,BSFC!A$64:A$83,0),IF(AT346&lt;=0,0))</f>
        <v>3</v>
      </c>
      <c r="BA346">
        <f>MATCH(AU346,BSFC!C$63:Q$63,0)</f>
        <v>13</v>
      </c>
      <c r="BB346" cm="1">
        <f t="array" ref="BB346">IF(AZ346&gt;0,INDEX(BSFC!C$64:Q$83,Data!AZ346,Data!BA346))</f>
        <v>494.7</v>
      </c>
      <c r="BC346">
        <f>0.5*'Vehicle Data'!C$6*Data!Z346^2</f>
        <v>15121.355000000003</v>
      </c>
      <c r="BD346">
        <f t="shared" si="248"/>
        <v>3.2250722167563075</v>
      </c>
      <c r="BE346">
        <f t="shared" si="268"/>
        <v>1595.4432256293453</v>
      </c>
      <c r="BF346">
        <f t="shared" si="269"/>
        <v>0.12919168155386482</v>
      </c>
      <c r="BG346">
        <f t="shared" si="249"/>
        <v>144.40902963580407</v>
      </c>
      <c r="BH346">
        <f t="shared" si="271"/>
        <v>13465.906457145509</v>
      </c>
      <c r="BI346" s="148">
        <f t="shared" si="250"/>
        <v>6871.6622130335309</v>
      </c>
      <c r="BO346">
        <f t="shared" si="251"/>
        <v>3868.8400802917517</v>
      </c>
      <c r="BP346">
        <f t="shared" si="252"/>
        <v>658878.03485140298</v>
      </c>
      <c r="BQ346">
        <f t="shared" si="253"/>
        <v>868072.04002570244</v>
      </c>
      <c r="BR346" s="148">
        <f t="shared" si="254"/>
        <v>802926.2156491041</v>
      </c>
      <c r="BS346" s="156">
        <f t="shared" si="255"/>
        <v>3868.8400802917517</v>
      </c>
      <c r="BT346" s="156">
        <f t="shared" si="256"/>
        <v>13465.906457145509</v>
      </c>
      <c r="BU346">
        <f t="shared" si="257"/>
        <v>1974.2720085437147</v>
      </c>
      <c r="BV346">
        <f t="shared" si="258"/>
        <v>1974.2720085437147</v>
      </c>
      <c r="BW346" s="148">
        <f t="shared" si="259"/>
        <v>455.4</v>
      </c>
      <c r="BX346" s="148">
        <f t="shared" si="260"/>
        <v>3129354.9718154697</v>
      </c>
      <c r="BY346" s="148">
        <f t="shared" si="261"/>
        <v>0.24974540908077988</v>
      </c>
      <c r="BZ346">
        <f t="shared" si="244"/>
        <v>116.55868970412853</v>
      </c>
      <c r="CB346">
        <f t="shared" si="262"/>
        <v>-1894.568071748037</v>
      </c>
      <c r="CC346" s="162">
        <f t="shared" si="245"/>
        <v>-6499.1194118358699</v>
      </c>
      <c r="CD346">
        <f t="shared" si="270"/>
        <v>-65877.764855624642</v>
      </c>
    </row>
    <row r="347" spans="4:82" x14ac:dyDescent="0.2">
      <c r="D347" s="22">
        <f t="shared" si="235"/>
        <v>-4.107080121875966E-2</v>
      </c>
      <c r="E347" s="23">
        <v>11.501701599999999</v>
      </c>
      <c r="F347" s="23">
        <f>IF(K347&lt;6,1,IF(Data!K347&lt;9,2,IF(K347&gt;9,3)))</f>
        <v>3</v>
      </c>
      <c r="G347" s="23">
        <v>1070.2076035279713</v>
      </c>
      <c r="H347" s="23">
        <v>220.01666499999999</v>
      </c>
      <c r="I347" s="64">
        <v>48.664878878889368</v>
      </c>
      <c r="J347" s="65">
        <f t="shared" si="236"/>
        <v>1.7855161126991197</v>
      </c>
      <c r="K347" s="65">
        <f t="shared" si="237"/>
        <v>19.465951551555747</v>
      </c>
      <c r="L347" s="65">
        <f t="shared" si="238"/>
        <v>0.71420644507964781</v>
      </c>
      <c r="M347">
        <f t="shared" si="239"/>
        <v>23.003403199999997</v>
      </c>
      <c r="N347">
        <f t="shared" si="240"/>
        <v>-9.9998399999998711E-2</v>
      </c>
      <c r="O347">
        <f>IF(L347&lt;'Vehicle Data'!F$21,'Vehicle Data'!C$21,IF(L347&gt;'Vehicle Data'!C$21,'Vehicle Data'!C$20))</f>
        <v>0.6</v>
      </c>
      <c r="P347">
        <f>('Vehicle Data'!C$6*9.81*'Vehicle Data'!C$5*SIN(D347))/'Vehicle Data'!C$9</f>
        <v>-27.344130960567359</v>
      </c>
      <c r="Q347" s="107">
        <f>'Vehicle Data'!C$6*9.81*SIN(D347)</f>
        <v>-176.82538021166891</v>
      </c>
      <c r="R347">
        <f t="shared" si="234"/>
        <v>1067.7775654062891</v>
      </c>
      <c r="S347">
        <f>IF(Data!O347=0.6,'Vehicle Data'!E$21,IF(Data!O347 = 0.9,'Vehicle Data'!E$20))+(P347*O347)</f>
        <v>1533.9659214236594</v>
      </c>
      <c r="T347">
        <f>IF(F347=3,'Vehicle Data'!H$16,IF(F347=2,'Vehicle Data'!H$15,IF(F347 = 1,'Vehicle Data'!G$14)))</f>
        <v>466.23005239380637</v>
      </c>
      <c r="U347" s="148">
        <f t="shared" si="241"/>
        <v>351.63908328297305</v>
      </c>
      <c r="V347" s="70" t="s">
        <v>77</v>
      </c>
      <c r="W347" s="99" t="s">
        <v>84</v>
      </c>
      <c r="X347">
        <f>IF(V347="S",'Vehicle Data'!C$14,IF(Data!V347 = "T1",'Vehicle Data'!P$2,IF(Data!V347="T2",'Vehicle Data'!P$3)))</f>
        <v>13.411199999999999</v>
      </c>
      <c r="Z347">
        <f>SQRT(Z346^2+2*AE346*(U347-U346))</f>
        <v>8.4395827006485664</v>
      </c>
      <c r="AB347" t="b">
        <f>IF(AA347=1,'Vehicle Data'!I$14,IF(AA347=2,'Vehicle Data'!I$15,IF(AA347=3,'Vehicle Data'!I$16)))</f>
        <v>0</v>
      </c>
      <c r="AC347">
        <f>IF(Z347&lt;'Vehicle Data'!C$16,'Vehicle Data'!I$15,IF(Z347&lt;'Vehicle Data'!C$15,'Vehicle Data'!I$15,IF(Z346&gt;'Vehicle Data'!C$15,'Vehicle Data'!I$16)))</f>
        <v>0.98256251041858167</v>
      </c>
      <c r="AD347">
        <f>IF(O347=0.6,'Vehicle Data'!F$21,IF(O347=0.9,'Vehicle Data'!F$20))</f>
        <v>3.5315999999999996</v>
      </c>
      <c r="AE347" s="100">
        <f t="shared" ref="AE347:AE373" si="272">IF(W347="a",AC347,IF(W347="b",AD347*-1))</f>
        <v>0.98256251041858167</v>
      </c>
      <c r="AF347" s="158">
        <f t="shared" si="263"/>
        <v>0.28730632375949722</v>
      </c>
      <c r="AG347" s="148">
        <f t="shared" si="246"/>
        <v>0.48583232983555813</v>
      </c>
      <c r="AH347" s="148">
        <f t="shared" si="264"/>
        <v>116.84599602788802</v>
      </c>
      <c r="AJ347">
        <f>(Z347^2)*'Vehicle Data'!C$31</f>
        <v>26.175759389199314</v>
      </c>
      <c r="AK347">
        <f>IF(O347=0.6,'Vehicle Data'!C$6*'Vehicle Data'!D$21*9.81,IF(O347=0.9,'Vehicle Data'!C$6*9.81*'Vehicle Data'!D$20))</f>
        <v>86.131799999999998</v>
      </c>
      <c r="AL347">
        <f t="shared" si="243"/>
        <v>-64.517820822469602</v>
      </c>
      <c r="AN347">
        <f>IF(AG347&gt;0,AG347*'Vehicle Data'!C$6)</f>
        <v>213.28039279781001</v>
      </c>
      <c r="AO347">
        <f t="shared" si="247"/>
        <v>148.76257197534039</v>
      </c>
      <c r="AP347">
        <f>AO347*'Vehicle Data'!F$3</f>
        <v>38.023713396897001</v>
      </c>
      <c r="AQ347">
        <f>IF(AE347='Vehicle Data'!I$15,AP347/'Vehicle Data'!G$15,IF(AE347='Vehicle Data'!I$16,AP347/'Vehicle Data'!G$16,IF(AE347='Vehicle Data'!I$14,Data!AP347/'Vehicle Data'!G358)))</f>
        <v>4.7107598562553266</v>
      </c>
      <c r="AR347">
        <f>IF(Z347&lt;'Vehicle Data'!C$16, Z347*'Vehicle Data'!F$7*'Vehicle Data'!G$14,IF(Z347&lt;'Vehicle Data'!C$15,Z347*'Vehicle Data'!F$7*'Vehicle Data'!G$15,IF(Z347&gt;'Vehicle Data'!C$15,Z347*'Vehicle Data'!F$7*'Vehicle Data'!G$16)))</f>
        <v>109.40199797137031</v>
      </c>
      <c r="AS347">
        <f t="shared" si="265"/>
        <v>6564.1198782822185</v>
      </c>
      <c r="AT347">
        <f t="shared" si="266"/>
        <v>5</v>
      </c>
      <c r="AU347">
        <f t="shared" si="267"/>
        <v>6500</v>
      </c>
      <c r="AW347">
        <f>VLOOKUP(AT347,BSFC!A$64:A$82,1,FALSE)</f>
        <v>5</v>
      </c>
      <c r="AX347" t="e" cm="1">
        <f t="array" ref="AX347">_xlfn.XLOOKUP(AT347,BSFC!A$64:A$82,,-1,_xlfn.XLOOKUP(Data!AU347,BSFC!C$63:Q$63,BSFC!B$64:Q$82,,-1))</f>
        <v>#VALUE!</v>
      </c>
      <c r="AY347">
        <f>HLOOKUP(AU347,BSFC!F$63:Q$63,1)</f>
        <v>6500</v>
      </c>
      <c r="AZ347">
        <f>IF(AT347&gt;0,MATCH(AT347,BSFC!A$64:A$83,0),IF(AT347&lt;=0,0))</f>
        <v>18</v>
      </c>
      <c r="BA347">
        <f>MATCH(AU347,BSFC!C$63:Q$63,0)</f>
        <v>13</v>
      </c>
      <c r="BB347" cm="1">
        <f t="array" ref="BB347">IF(AZ347&gt;0,INDEX(BSFC!C$64:Q$83,Data!AZ347,Data!BA347))</f>
        <v>600</v>
      </c>
      <c r="BC347">
        <f>0.5*'Vehicle Data'!C$6*Data!Z347^2</f>
        <v>15634.229077358497</v>
      </c>
      <c r="BD347">
        <f t="shared" si="248"/>
        <v>11.746270514507263</v>
      </c>
      <c r="BE347">
        <f t="shared" si="268"/>
        <v>7047.7623087043576</v>
      </c>
      <c r="BF347">
        <f t="shared" si="269"/>
        <v>0.56246296656794326</v>
      </c>
      <c r="BG347">
        <f t="shared" si="249"/>
        <v>144.97149260237202</v>
      </c>
      <c r="BH347">
        <f t="shared" si="271"/>
        <v>3225.0722167563076</v>
      </c>
      <c r="BI347" s="148">
        <f t="shared" si="250"/>
        <v>6871.6622130335309</v>
      </c>
      <c r="BO347">
        <f t="shared" si="251"/>
        <v>898.959961209791</v>
      </c>
      <c r="BP347">
        <f t="shared" si="252"/>
        <v>659776.99481261277</v>
      </c>
      <c r="BQ347">
        <f t="shared" si="253"/>
        <v>868970.99998691224</v>
      </c>
      <c r="BR347" s="148">
        <f t="shared" si="254"/>
        <v>804841.62987281673</v>
      </c>
      <c r="BS347" s="156">
        <f t="shared" si="255"/>
        <v>898.959961209791</v>
      </c>
      <c r="BT347" s="156">
        <f t="shared" si="256"/>
        <v>3225.0722167563076</v>
      </c>
      <c r="BU347">
        <f t="shared" si="257"/>
        <v>1915.4142237126161</v>
      </c>
      <c r="BV347">
        <f t="shared" si="258"/>
        <v>1915.4142237126161</v>
      </c>
      <c r="BW347" s="148">
        <f t="shared" si="259"/>
        <v>455.4</v>
      </c>
      <c r="BX347" s="148">
        <f t="shared" si="260"/>
        <v>3129354.9718154697</v>
      </c>
      <c r="BY347" s="148">
        <f t="shared" si="261"/>
        <v>0.2422998992996459</v>
      </c>
      <c r="BZ347">
        <f t="shared" si="244"/>
        <v>116.84599602788802</v>
      </c>
      <c r="CB347">
        <f t="shared" si="262"/>
        <v>1016.4542625028251</v>
      </c>
      <c r="CC347" s="162">
        <f t="shared" si="245"/>
        <v>3537.8764003597175</v>
      </c>
      <c r="CD347">
        <f t="shared" si="270"/>
        <v>-64861.310593121816</v>
      </c>
    </row>
    <row r="348" spans="4:82" x14ac:dyDescent="0.2">
      <c r="D348" s="22">
        <f t="shared" si="235"/>
        <v>-6.4746343068807508E-3</v>
      </c>
      <c r="E348" s="23">
        <v>11.4017032</v>
      </c>
      <c r="F348" s="23">
        <f>IF(K348&lt;6,1,IF(Data!K348&lt;9,2,IF(K348&gt;9,3)))</f>
        <v>3</v>
      </c>
      <c r="G348" s="23">
        <v>1072.6430690077598</v>
      </c>
      <c r="H348" s="23">
        <v>220.066665</v>
      </c>
      <c r="I348" s="64">
        <v>48.754154684524345</v>
      </c>
      <c r="J348" s="65">
        <f t="shared" si="236"/>
        <v>1.737401231523019</v>
      </c>
      <c r="K348" s="65">
        <f t="shared" si="237"/>
        <v>19.501661873809738</v>
      </c>
      <c r="L348" s="65">
        <f t="shared" si="238"/>
        <v>0.69496049260922177</v>
      </c>
      <c r="M348">
        <f t="shared" si="239"/>
        <v>22.8034064</v>
      </c>
      <c r="N348">
        <f t="shared" si="240"/>
        <v>-1.5802115475887391E-2</v>
      </c>
      <c r="O348">
        <f>IF(L348&lt;'Vehicle Data'!F$21,'Vehicle Data'!C$21,IF(L348&gt;'Vehicle Data'!C$21,'Vehicle Data'!C$20))</f>
        <v>0.6</v>
      </c>
      <c r="P348">
        <f>('Vehicle Data'!C$6*9.81*'Vehicle Data'!C$5*SIN(D348))/'Vehicle Data'!C$9</f>
        <v>-4.3118660632822206</v>
      </c>
      <c r="Q348" s="107">
        <f>'Vehicle Data'!C$6*9.81*SIN(D348)</f>
        <v>-27.883400542558359</v>
      </c>
      <c r="R348">
        <f t="shared" si="234"/>
        <v>1070.2076035279713</v>
      </c>
      <c r="S348">
        <f>IF(Data!O348=0.6,'Vehicle Data'!E$21,IF(Data!O348 = 0.9,'Vehicle Data'!E$20))+(P348*O348)</f>
        <v>1547.7852803620303</v>
      </c>
      <c r="T348">
        <f>IF(F348=3,'Vehicle Data'!H$16,IF(F348=2,'Vehicle Data'!H$15,IF(F348 = 1,'Vehicle Data'!G$14)))</f>
        <v>466.23005239380637</v>
      </c>
      <c r="U348" s="148">
        <f t="shared" si="241"/>
        <v>354.06912140465522</v>
      </c>
      <c r="V348" s="70" t="s">
        <v>77</v>
      </c>
      <c r="W348" s="99" t="s">
        <v>84</v>
      </c>
      <c r="X348">
        <f>IF(V348="S",'Vehicle Data'!C$14,IF(Data!V348 = "T1",'Vehicle Data'!P$2,IF(Data!V348="T2",'Vehicle Data'!P$3)))</f>
        <v>13.411199999999999</v>
      </c>
      <c r="Z348">
        <f t="shared" ref="Z348:Z365" si="273">SQRT(Z347^2+2*AE347*(U348-U347))</f>
        <v>8.7179059914403947</v>
      </c>
      <c r="AB348" t="b">
        <f>IF(AA348=1,'Vehicle Data'!I$14,IF(AA348=2,'Vehicle Data'!I$15,IF(AA348=3,'Vehicle Data'!I$16)))</f>
        <v>0</v>
      </c>
      <c r="AC348">
        <f>IF(Z348&lt;'Vehicle Data'!C$16,'Vehicle Data'!I$15,IF(Z348&lt;'Vehicle Data'!C$15,'Vehicle Data'!I$15,IF(Z347&gt;'Vehicle Data'!C$15,'Vehicle Data'!I$16)))</f>
        <v>0.98256251041858167</v>
      </c>
      <c r="AD348">
        <f>IF(O348=0.6,'Vehicle Data'!F$21,IF(O348=0.9,'Vehicle Data'!F$20))</f>
        <v>3.5315999999999996</v>
      </c>
      <c r="AE348" s="100">
        <f t="shared" si="272"/>
        <v>0.98256251041858167</v>
      </c>
      <c r="AF348" s="158">
        <f t="shared" si="263"/>
        <v>0.27874103300357755</v>
      </c>
      <c r="AG348" s="148">
        <f t="shared" si="246"/>
        <v>0.99850132502112121</v>
      </c>
      <c r="AH348" s="148">
        <f t="shared" si="264"/>
        <v>117.1247370608916</v>
      </c>
      <c r="AJ348">
        <f>(Z348^2)*'Vehicle Data'!C$31</f>
        <v>27.930692691780187</v>
      </c>
      <c r="AK348">
        <f>IF(O348=0.6,'Vehicle Data'!C$6*'Vehicle Data'!D$21*9.81,IF(O348=0.9,'Vehicle Data'!C$6*9.81*'Vehicle Data'!D$20))</f>
        <v>86.131799999999998</v>
      </c>
      <c r="AL348">
        <f t="shared" si="243"/>
        <v>86.17909214922183</v>
      </c>
      <c r="AN348">
        <f>IF(AG348&gt;0,AG348*'Vehicle Data'!C$6)</f>
        <v>438.34208168427222</v>
      </c>
      <c r="AO348">
        <f t="shared" si="247"/>
        <v>524.521173833494</v>
      </c>
      <c r="AP348">
        <f>AO348*'Vehicle Data'!F$3</f>
        <v>134.06761203184107</v>
      </c>
      <c r="AQ348">
        <f>IF(AE348='Vehicle Data'!I$15,AP348/'Vehicle Data'!G$15,IF(AE348='Vehicle Data'!I$16,AP348/'Vehicle Data'!G$16,IF(AE348='Vehicle Data'!I$14,Data!AP348/'Vehicle Data'!G359)))</f>
        <v>16.609643518803459</v>
      </c>
      <c r="AR348">
        <f>IF(Z348&lt;'Vehicle Data'!C$16, Z348*'Vehicle Data'!F$7*'Vehicle Data'!G$14,IF(Z348&lt;'Vehicle Data'!C$15,Z348*'Vehicle Data'!F$7*'Vehicle Data'!G$15,IF(Z348&gt;'Vehicle Data'!C$15,Z348*'Vehicle Data'!F$7*'Vehicle Data'!G$16)))</f>
        <v>113.00989248163475</v>
      </c>
      <c r="AS348">
        <f t="shared" si="265"/>
        <v>6780.5935488980849</v>
      </c>
      <c r="AT348">
        <f t="shared" si="266"/>
        <v>17</v>
      </c>
      <c r="AU348">
        <f t="shared" si="267"/>
        <v>7000</v>
      </c>
      <c r="AW348">
        <f>VLOOKUP(AT348,BSFC!A$64:A$82,1,FALSE)</f>
        <v>17</v>
      </c>
      <c r="AX348" t="e" cm="1">
        <f t="array" ref="AX348">_xlfn.XLOOKUP(AT348,BSFC!A$64:A$82,,-1,_xlfn.XLOOKUP(Data!AU348,BSFC!C$63:Q$63,BSFC!B$64:Q$82,,-1))</f>
        <v>#VALUE!</v>
      </c>
      <c r="AY348">
        <f>HLOOKUP(AU348,BSFC!F$63:Q$63,1)</f>
        <v>7000</v>
      </c>
      <c r="AZ348">
        <f>IF(AT348&gt;0,MATCH(AT348,BSFC!A$64:A$83,0),IF(AT348&lt;=0,0))</f>
        <v>6</v>
      </c>
      <c r="BA348">
        <f>MATCH(AU348,BSFC!C$63:Q$63,0)</f>
        <v>14</v>
      </c>
      <c r="BB348" cm="1">
        <f t="array" ref="BB348">IF(AZ348&gt;0,INDEX(BSFC!C$64:Q$83,Data!AZ348,Data!BA348))</f>
        <v>500</v>
      </c>
      <c r="BC348">
        <f>0.5*'Vehicle Data'!C$6*Data!Z348^2</f>
        <v>16682.413730192515</v>
      </c>
      <c r="BD348">
        <f t="shared" si="248"/>
        <v>8.7192170294856286</v>
      </c>
      <c r="BE348">
        <f t="shared" si="268"/>
        <v>4359.6085147428139</v>
      </c>
      <c r="BF348">
        <f t="shared" si="269"/>
        <v>0.3375560502473901</v>
      </c>
      <c r="BG348">
        <f t="shared" si="249"/>
        <v>145.30904865261942</v>
      </c>
      <c r="BH348">
        <f t="shared" si="271"/>
        <v>11746.270514507263</v>
      </c>
      <c r="BI348" s="148">
        <f t="shared" si="250"/>
        <v>6871.6622130335309</v>
      </c>
      <c r="BO348">
        <f t="shared" si="251"/>
        <v>3182.7965114733715</v>
      </c>
      <c r="BP348">
        <f t="shared" si="252"/>
        <v>662959.79132408614</v>
      </c>
      <c r="BQ348">
        <f t="shared" si="253"/>
        <v>872153.79649838561</v>
      </c>
      <c r="BR348" s="148">
        <f t="shared" si="254"/>
        <v>806703.59129220131</v>
      </c>
      <c r="BS348" s="156">
        <f t="shared" si="255"/>
        <v>3182.7965114733715</v>
      </c>
      <c r="BT348" s="156">
        <f t="shared" si="256"/>
        <v>11746.270514507263</v>
      </c>
      <c r="BU348">
        <f t="shared" si="257"/>
        <v>1861.9614193845225</v>
      </c>
      <c r="BV348">
        <f t="shared" si="258"/>
        <v>1861.9614193845225</v>
      </c>
      <c r="BW348" s="148">
        <f t="shared" si="259"/>
        <v>455.4</v>
      </c>
      <c r="BX348" s="148">
        <f t="shared" si="260"/>
        <v>3129354.9718154697</v>
      </c>
      <c r="BY348" s="148">
        <f t="shared" si="261"/>
        <v>0.23553811955214207</v>
      </c>
      <c r="BZ348">
        <f t="shared" si="244"/>
        <v>117.1247370608916</v>
      </c>
      <c r="CB348">
        <f t="shared" si="262"/>
        <v>-1320.835092088849</v>
      </c>
      <c r="CC348" s="162">
        <f t="shared" si="245"/>
        <v>-4738.5742883139346</v>
      </c>
      <c r="CD348">
        <f t="shared" si="270"/>
        <v>-66182.145685210664</v>
      </c>
    </row>
    <row r="349" spans="4:82" x14ac:dyDescent="0.2">
      <c r="D349" s="22">
        <f t="shared" si="235"/>
        <v>-4.0904504877040788E-2</v>
      </c>
      <c r="E349" s="23">
        <v>11.385901084524113</v>
      </c>
      <c r="F349" s="23">
        <f>IF(K349&lt;6,1,IF(Data!K349&lt;9,2,IF(K349&gt;9,3)))</f>
        <v>3</v>
      </c>
      <c r="G349" s="23">
        <v>1075.0837050551254</v>
      </c>
      <c r="H349" s="23">
        <v>220.11666499999998</v>
      </c>
      <c r="I349" s="64">
        <v>48.841024746100466</v>
      </c>
      <c r="J349" s="65">
        <f t="shared" si="236"/>
        <v>1.6514353025723036</v>
      </c>
      <c r="K349" s="65">
        <f t="shared" si="237"/>
        <v>19.536409898440187</v>
      </c>
      <c r="L349" s="65">
        <f t="shared" si="238"/>
        <v>0.66057412102892143</v>
      </c>
      <c r="M349">
        <f t="shared" si="239"/>
        <v>22.771802169048225</v>
      </c>
      <c r="N349">
        <f t="shared" si="240"/>
        <v>-9.9998526418946909E-2</v>
      </c>
      <c r="O349">
        <f>IF(L349&lt;'Vehicle Data'!F$21,'Vehicle Data'!C$21,IF(L349&gt;'Vehicle Data'!C$21,'Vehicle Data'!C$20))</f>
        <v>0.6</v>
      </c>
      <c r="P349">
        <f>('Vehicle Data'!C$6*9.81*'Vehicle Data'!C$5*SIN(D349))/'Vehicle Data'!C$9</f>
        <v>-27.233476012040324</v>
      </c>
      <c r="Q349" s="107">
        <f>'Vehicle Data'!C$6*9.81*SIN(D349)</f>
        <v>-176.10981154452742</v>
      </c>
      <c r="R349">
        <f t="shared" si="234"/>
        <v>1072.6430690077598</v>
      </c>
      <c r="S349">
        <f>IF(Data!O349=0.6,'Vehicle Data'!E$21,IF(Data!O349 = 0.9,'Vehicle Data'!E$20))+(P349*O349)</f>
        <v>1534.0323143927756</v>
      </c>
      <c r="T349">
        <f>IF(F349=3,'Vehicle Data'!H$16,IF(F349=2,'Vehicle Data'!H$15,IF(F349 = 1,'Vehicle Data'!G$14)))</f>
        <v>466.23005239380637</v>
      </c>
      <c r="U349" s="148">
        <f t="shared" si="241"/>
        <v>356.50458688444371</v>
      </c>
      <c r="V349" s="70" t="s">
        <v>77</v>
      </c>
      <c r="W349" s="99" t="s">
        <v>84</v>
      </c>
      <c r="X349">
        <f>IF(V349="S",'Vehicle Data'!C$14,IF(Data!V349 = "T1",'Vehicle Data'!P$2,IF(Data!V349="T2",'Vehicle Data'!P$3)))</f>
        <v>13.411199999999999</v>
      </c>
      <c r="Z349">
        <f t="shared" si="273"/>
        <v>8.9882077761537023</v>
      </c>
      <c r="AB349" t="b">
        <f>IF(AA349=1,'Vehicle Data'!I$14,IF(AA349=2,'Vehicle Data'!I$15,IF(AA349=3,'Vehicle Data'!I$16)))</f>
        <v>0</v>
      </c>
      <c r="AC349">
        <f>IF(Z349&lt;'Vehicle Data'!C$16,'Vehicle Data'!I$15,IF(Z349&lt;'Vehicle Data'!C$15,'Vehicle Data'!I$15,IF(Z348&gt;'Vehicle Data'!C$15,'Vehicle Data'!I$16)))</f>
        <v>0.98256251041858167</v>
      </c>
      <c r="AD349">
        <f>IF(O349=0.6,'Vehicle Data'!F$21,IF(O349=0.9,'Vehicle Data'!F$20))</f>
        <v>3.5315999999999996</v>
      </c>
      <c r="AE349" s="100">
        <f t="shared" si="272"/>
        <v>0.98256251041858167</v>
      </c>
      <c r="AF349" s="158">
        <f t="shared" si="263"/>
        <v>0.27096230310228681</v>
      </c>
      <c r="AG349" s="148">
        <f t="shared" si="246"/>
        <v>0.99756232368334319</v>
      </c>
      <c r="AH349" s="148">
        <f t="shared" si="264"/>
        <v>117.39569936399388</v>
      </c>
      <c r="AJ349">
        <f>(Z349^2)*'Vehicle Data'!C$31</f>
        <v>29.68954554253639</v>
      </c>
      <c r="AK349">
        <f>IF(O349=0.6,'Vehicle Data'!C$6*'Vehicle Data'!D$21*9.81,IF(O349=0.9,'Vehicle Data'!C$6*9.81*'Vehicle Data'!D$20))</f>
        <v>86.131799999999998</v>
      </c>
      <c r="AL349">
        <f t="shared" si="243"/>
        <v>-60.288466001991026</v>
      </c>
      <c r="AN349">
        <f>IF(AG349&gt;0,AG349*'Vehicle Data'!C$6)</f>
        <v>437.92986009698768</v>
      </c>
      <c r="AO349">
        <f t="shared" si="247"/>
        <v>377.64139409499666</v>
      </c>
      <c r="AP349">
        <f>AO349*'Vehicle Data'!F$3</f>
        <v>96.52514033068114</v>
      </c>
      <c r="AQ349">
        <f>IF(AE349='Vehicle Data'!I$15,AP349/'Vehicle Data'!G$15,IF(AE349='Vehicle Data'!I$16,AP349/'Vehicle Data'!G$16,IF(AE349='Vehicle Data'!I$14,Data!AP349/'Vehicle Data'!G360)))</f>
        <v>11.958504721590185</v>
      </c>
      <c r="AR349">
        <f>IF(Z349&lt;'Vehicle Data'!C$16, Z349*'Vehicle Data'!F$7*'Vehicle Data'!G$14,IF(Z349&lt;'Vehicle Data'!C$15,Z349*'Vehicle Data'!F$7*'Vehicle Data'!G$15,IF(Z349&gt;'Vehicle Data'!C$15,Z349*'Vehicle Data'!F$7*'Vehicle Data'!G$16)))</f>
        <v>116.51380450569616</v>
      </c>
      <c r="AS349">
        <f t="shared" si="265"/>
        <v>6990.8282703417699</v>
      </c>
      <c r="AT349">
        <f t="shared" si="266"/>
        <v>12</v>
      </c>
      <c r="AU349">
        <f t="shared" si="267"/>
        <v>7000</v>
      </c>
      <c r="AW349">
        <f>VLOOKUP(AT349,BSFC!A$64:A$82,1,FALSE)</f>
        <v>12</v>
      </c>
      <c r="AX349" t="e" cm="1">
        <f t="array" ref="AX349">_xlfn.XLOOKUP(AT349,BSFC!A$64:A$82,,-1,_xlfn.XLOOKUP(Data!AU349,BSFC!C$63:Q$63,BSFC!B$64:Q$82,,-1))</f>
        <v>#VALUE!</v>
      </c>
      <c r="AY349">
        <f>HLOOKUP(AU349,BSFC!F$63:Q$63,1)</f>
        <v>7000</v>
      </c>
      <c r="AZ349">
        <f>IF(AT349&gt;0,MATCH(AT349,BSFC!A$64:A$83,0),IF(AT349&lt;=0,0))</f>
        <v>11</v>
      </c>
      <c r="BA349">
        <f>MATCH(AU349,BSFC!C$63:Q$63,0)</f>
        <v>14</v>
      </c>
      <c r="BB349" cm="1">
        <f t="array" ref="BB349">IF(AZ349&gt;0,INDEX(BSFC!C$64:Q$83,Data!AZ349,Data!BA349))</f>
        <v>474.5</v>
      </c>
      <c r="BC349">
        <f>0.5*'Vehicle Data'!C$6*Data!Z349^2</f>
        <v>17732.939446494518</v>
      </c>
      <c r="BD349">
        <f t="shared" si="248"/>
        <v>0</v>
      </c>
      <c r="BE349">
        <f t="shared" si="268"/>
        <v>0</v>
      </c>
      <c r="BF349">
        <f t="shared" si="269"/>
        <v>0</v>
      </c>
      <c r="BG349">
        <f t="shared" si="249"/>
        <v>145.30904865261942</v>
      </c>
      <c r="BH349">
        <f t="shared" si="271"/>
        <v>8719.2170294856278</v>
      </c>
      <c r="BI349" s="148">
        <f t="shared" si="250"/>
        <v>6871.6622130335309</v>
      </c>
      <c r="BO349">
        <f t="shared" si="251"/>
        <v>2300.2981631894686</v>
      </c>
      <c r="BP349">
        <f t="shared" si="252"/>
        <v>665260.08948727557</v>
      </c>
      <c r="BQ349">
        <f t="shared" si="253"/>
        <v>874454.09466157504</v>
      </c>
      <c r="BR349" s="148">
        <f t="shared" si="254"/>
        <v>808516.46874590451</v>
      </c>
      <c r="BS349" s="156">
        <f t="shared" si="255"/>
        <v>2300.2981631894686</v>
      </c>
      <c r="BT349" s="156">
        <f t="shared" si="256"/>
        <v>8719.2170294856278</v>
      </c>
      <c r="BU349">
        <f t="shared" si="257"/>
        <v>1812.8774537032027</v>
      </c>
      <c r="BV349">
        <f t="shared" si="258"/>
        <v>1812.8774537032027</v>
      </c>
      <c r="BW349" s="148">
        <f t="shared" si="259"/>
        <v>455.4</v>
      </c>
      <c r="BX349" s="148">
        <f t="shared" si="260"/>
        <v>3129354.9718154697</v>
      </c>
      <c r="BY349" s="148">
        <f t="shared" si="261"/>
        <v>0.22932899789345512</v>
      </c>
      <c r="BZ349">
        <f t="shared" si="244"/>
        <v>117.39569936399388</v>
      </c>
      <c r="CB349">
        <f t="shared" si="262"/>
        <v>-487.42070948626588</v>
      </c>
      <c r="CC349" s="162">
        <f t="shared" si="245"/>
        <v>-1798.8506294260396</v>
      </c>
      <c r="CD349">
        <f t="shared" si="270"/>
        <v>-66669.566394696929</v>
      </c>
    </row>
    <row r="350" spans="4:82" x14ac:dyDescent="0.2">
      <c r="D350" s="22">
        <f t="shared" si="235"/>
        <v>-7.5293619300337275E-2</v>
      </c>
      <c r="E350" s="23">
        <v>11.285902558105166</v>
      </c>
      <c r="F350" s="23">
        <f>IF(K350&lt;6,1,IF(Data!K350&lt;9,2,IF(K350&gt;9,3)))</f>
        <v>3</v>
      </c>
      <c r="G350" s="23">
        <v>1077.5290693997558</v>
      </c>
      <c r="H350" s="23">
        <v>220.16666499999999</v>
      </c>
      <c r="I350" s="64">
        <v>48.9235965112291</v>
      </c>
      <c r="J350" s="65">
        <f t="shared" si="236"/>
        <v>0.98040533768828952</v>
      </c>
      <c r="K350" s="65">
        <f t="shared" si="237"/>
        <v>19.569438604491641</v>
      </c>
      <c r="L350" s="65">
        <f t="shared" si="238"/>
        <v>0.39216213507528735</v>
      </c>
      <c r="M350">
        <f t="shared" si="239"/>
        <v>22.571805116210331</v>
      </c>
      <c r="N350">
        <f t="shared" si="240"/>
        <v>-0.18419535810516585</v>
      </c>
      <c r="O350">
        <f>IF(L350&lt;'Vehicle Data'!F$21,'Vehicle Data'!C$21,IF(L350&gt;'Vehicle Data'!C$21,'Vehicle Data'!C$20))</f>
        <v>0.6</v>
      </c>
      <c r="P350">
        <f>('Vehicle Data'!C$6*9.81*'Vehicle Data'!C$5*SIN(D350))/'Vehicle Data'!C$9</f>
        <v>-50.095740823382329</v>
      </c>
      <c r="Q350" s="107">
        <f>'Vehicle Data'!C$6*9.81*SIN(D350)</f>
        <v>-323.95245732453901</v>
      </c>
      <c r="R350">
        <f t="shared" si="234"/>
        <v>1075.0837050551254</v>
      </c>
      <c r="S350">
        <f>IF(Data!O350=0.6,'Vehicle Data'!E$21,IF(Data!O350 = 0.9,'Vehicle Data'!E$20))+(P350*O350)</f>
        <v>1520.3149555059704</v>
      </c>
      <c r="T350">
        <f>IF(F350=3,'Vehicle Data'!H$16,IF(F350=2,'Vehicle Data'!H$15,IF(F350 = 1,'Vehicle Data'!G$14)))</f>
        <v>466.23005239380637</v>
      </c>
      <c r="U350" s="148">
        <f t="shared" si="241"/>
        <v>358.94522293180933</v>
      </c>
      <c r="V350" s="70" t="s">
        <v>77</v>
      </c>
      <c r="W350" s="99" t="s">
        <v>84</v>
      </c>
      <c r="X350">
        <f>IF(V350="S",'Vehicle Data'!C$14,IF(Data!V350 = "T1",'Vehicle Data'!P$2,IF(Data!V350="T2",'Vehicle Data'!P$3)))</f>
        <v>13.411199999999999</v>
      </c>
      <c r="Z350">
        <f t="shared" si="273"/>
        <v>9.2511639262713956</v>
      </c>
      <c r="AB350" t="b">
        <f>IF(AA350=1,'Vehicle Data'!I$14,IF(AA350=2,'Vehicle Data'!I$15,IF(AA350=3,'Vehicle Data'!I$16)))</f>
        <v>0</v>
      </c>
      <c r="AC350" t="b">
        <f>IF(Z350&lt;'Vehicle Data'!C$16,'Vehicle Data'!I$15,IF(Z350&lt;'Vehicle Data'!C$15,'Vehicle Data'!I$15,IF(Z349&gt;'Vehicle Data'!C$15,'Vehicle Data'!I$16)))</f>
        <v>0</v>
      </c>
      <c r="AD350">
        <f>IF(O350=0.6,'Vehicle Data'!F$21,IF(O350=0.9,'Vehicle Data'!F$20))</f>
        <v>3.5315999999999996</v>
      </c>
      <c r="AE350" s="100" t="b">
        <f t="shared" si="272"/>
        <v>0</v>
      </c>
      <c r="AF350" s="158">
        <f t="shared" si="263"/>
        <v>0.26381934930746526</v>
      </c>
      <c r="AG350" s="148">
        <f t="shared" si="246"/>
        <v>0.99672806717157847</v>
      </c>
      <c r="AH350" s="148">
        <f t="shared" si="264"/>
        <v>117.65951871330135</v>
      </c>
      <c r="AJ350">
        <f>(Z350^2)*'Vehicle Data'!C$31</f>
        <v>31.452132491598864</v>
      </c>
      <c r="AK350">
        <f>IF(O350=0.6,'Vehicle Data'!C$6*'Vehicle Data'!D$21*9.81,IF(O350=0.9,'Vehicle Data'!C$6*9.81*'Vehicle Data'!D$20))</f>
        <v>86.131799999999998</v>
      </c>
      <c r="AL350">
        <f t="shared" si="243"/>
        <v>-206.36852483294015</v>
      </c>
      <c r="AN350">
        <f>IF(AG350&gt;0,AG350*'Vehicle Data'!C$6)</f>
        <v>437.56362148832295</v>
      </c>
      <c r="AO350">
        <f t="shared" si="247"/>
        <v>231.1950966553828</v>
      </c>
      <c r="AP350">
        <f>AO350*'Vehicle Data'!F$3</f>
        <v>59.093466705115844</v>
      </c>
      <c r="AQ350" t="b">
        <f>IF(AE350='Vehicle Data'!I$15,AP350/'Vehicle Data'!G$15,IF(AE350='Vehicle Data'!I$16,AP350/'Vehicle Data'!G$16,IF(AE350='Vehicle Data'!I$14,Data!AP350/'Vehicle Data'!G361)))</f>
        <v>0</v>
      </c>
      <c r="AR350">
        <f>IF(Z350&lt;'Vehicle Data'!C$16, Z350*'Vehicle Data'!F$7*'Vehicle Data'!G$14,IF(Z350&lt;'Vehicle Data'!C$15,Z350*'Vehicle Data'!F$7*'Vehicle Data'!G$15,IF(Z350&gt;'Vehicle Data'!C$15,Z350*'Vehicle Data'!F$7*'Vehicle Data'!G$16)))</f>
        <v>80.477694618303829</v>
      </c>
      <c r="AS350">
        <f t="shared" si="265"/>
        <v>4828.66167709823</v>
      </c>
      <c r="AT350">
        <f t="shared" si="266"/>
        <v>0</v>
      </c>
      <c r="AU350">
        <f t="shared" si="267"/>
        <v>5000</v>
      </c>
      <c r="AW350" t="e">
        <f>VLOOKUP(AT350,BSFC!A$64:A$82,1,FALSE)</f>
        <v>#N/A</v>
      </c>
      <c r="AX350" t="e" cm="1">
        <f t="array" ref="AX350">_xlfn.XLOOKUP(AT350,BSFC!A$64:A$82,,-1,_xlfn.XLOOKUP(Data!AU350,BSFC!C$63:Q$63,BSFC!B$64:Q$82,,-1))</f>
        <v>#VALUE!</v>
      </c>
      <c r="AY350">
        <f>HLOOKUP(AU350,BSFC!F$63:Q$63,1)</f>
        <v>5000</v>
      </c>
      <c r="AZ350">
        <f>IF(AT350&gt;0,MATCH(AT350,BSFC!A$64:A$83,0),IF(AT350&lt;=0,0))</f>
        <v>0</v>
      </c>
      <c r="BA350">
        <f>MATCH(AU350,BSFC!C$63:Q$63,0)</f>
        <v>10</v>
      </c>
      <c r="BB350" t="b" cm="1">
        <f t="array" ref="BB350">IF(AZ350&gt;0,INDEX(BSFC!C$64:Q$83,Data!AZ350,Data!BA350))</f>
        <v>0</v>
      </c>
      <c r="BC350">
        <f>0.5*'Vehicle Data'!C$6*Data!Z350^2</f>
        <v>18785.695460968567</v>
      </c>
      <c r="BD350">
        <f t="shared" si="248"/>
        <v>2.0516947603002373</v>
      </c>
      <c r="BE350">
        <f t="shared" si="268"/>
        <v>0</v>
      </c>
      <c r="BF350">
        <f t="shared" si="269"/>
        <v>0</v>
      </c>
      <c r="BG350">
        <f t="shared" si="249"/>
        <v>145.30904865261942</v>
      </c>
      <c r="BH350">
        <f t="shared" si="271"/>
        <v>0</v>
      </c>
      <c r="BI350" s="148">
        <f t="shared" si="250"/>
        <v>6871.6622130335309</v>
      </c>
      <c r="BO350">
        <f t="shared" si="251"/>
        <v>0</v>
      </c>
      <c r="BP350">
        <f t="shared" si="252"/>
        <v>665260.08948727557</v>
      </c>
      <c r="BQ350">
        <f t="shared" si="253"/>
        <v>874454.09466157504</v>
      </c>
      <c r="BR350" s="148">
        <f t="shared" si="254"/>
        <v>810332.85832650389</v>
      </c>
      <c r="BS350" s="156" t="b">
        <f t="shared" si="255"/>
        <v>0</v>
      </c>
      <c r="BT350" s="156">
        <f t="shared" si="256"/>
        <v>0</v>
      </c>
      <c r="BU350">
        <f t="shared" si="257"/>
        <v>1816.3895805994066</v>
      </c>
      <c r="BV350">
        <f t="shared" si="258"/>
        <v>1816.3895805994066</v>
      </c>
      <c r="BW350" s="148">
        <f t="shared" si="259"/>
        <v>455.4</v>
      </c>
      <c r="BX350" s="148">
        <f t="shared" si="260"/>
        <v>3129354.9718154697</v>
      </c>
      <c r="BY350" s="148">
        <f t="shared" si="261"/>
        <v>0.22977328194582489</v>
      </c>
      <c r="BZ350">
        <f t="shared" si="244"/>
        <v>117.65951871330135</v>
      </c>
      <c r="CB350">
        <f t="shared" si="262"/>
        <v>1816.3895805994066</v>
      </c>
      <c r="CC350" s="162">
        <f t="shared" si="245"/>
        <v>6884.9748336028852</v>
      </c>
      <c r="CD350">
        <f t="shared" si="270"/>
        <v>-64853.176814097525</v>
      </c>
    </row>
    <row r="351" spans="4:82" x14ac:dyDescent="0.2">
      <c r="D351" s="22">
        <f t="shared" si="235"/>
        <v>-4.7368368520190052E-2</v>
      </c>
      <c r="E351" s="23">
        <v>11.1017072</v>
      </c>
      <c r="F351" s="23">
        <f>IF(K351&lt;6,1,IF(Data!K351&lt;9,2,IF(K351&gt;9,3)))</f>
        <v>3</v>
      </c>
      <c r="G351" s="23">
        <v>1079.9777431768077</v>
      </c>
      <c r="H351" s="23">
        <v>220.21666499999998</v>
      </c>
      <c r="I351" s="64">
        <v>48.972616778113498</v>
      </c>
      <c r="J351" s="65">
        <f t="shared" si="236"/>
        <v>-4.4257151947752389</v>
      </c>
      <c r="K351" s="65">
        <f t="shared" si="237"/>
        <v>19.589046711245398</v>
      </c>
      <c r="L351" s="65">
        <f t="shared" si="238"/>
        <v>-1.7702860779101097</v>
      </c>
      <c r="M351">
        <f t="shared" si="239"/>
        <v>22.2034144</v>
      </c>
      <c r="N351">
        <f t="shared" si="240"/>
        <v>-0.11580771547588675</v>
      </c>
      <c r="O351">
        <f>IF(L351&lt;'Vehicle Data'!F$21,'Vehicle Data'!C$21,IF(L351&gt;'Vehicle Data'!C$21,'Vehicle Data'!C$20))</f>
        <v>0.6</v>
      </c>
      <c r="P351">
        <f>('Vehicle Data'!C$6*9.81*'Vehicle Data'!C$5*SIN(D351))/'Vehicle Data'!C$9</f>
        <v>-31.533999628852754</v>
      </c>
      <c r="Q351" s="107">
        <f>'Vehicle Data'!C$6*9.81*SIN(D351)</f>
        <v>-203.91986426658113</v>
      </c>
      <c r="R351">
        <f t="shared" si="234"/>
        <v>1077.5290693997558</v>
      </c>
      <c r="S351">
        <f>IF(Data!O351=0.6,'Vehicle Data'!E$21,IF(Data!O351 = 0.9,'Vehicle Data'!E$20))+(P351*O351)</f>
        <v>1531.4520002226882</v>
      </c>
      <c r="T351">
        <f>IF(F351=3,'Vehicle Data'!H$16,IF(F351=2,'Vehicle Data'!H$15,IF(F351 = 1,'Vehicle Data'!G$14)))</f>
        <v>466.23005239380637</v>
      </c>
      <c r="U351" s="148">
        <f t="shared" si="241"/>
        <v>361.39058727643976</v>
      </c>
      <c r="V351" s="70" t="s">
        <v>77</v>
      </c>
      <c r="W351" s="99" t="s">
        <v>84</v>
      </c>
      <c r="X351">
        <f>IF(V351="S",'Vehicle Data'!C$14,IF(Data!V351 = "T1",'Vehicle Data'!P$2,IF(Data!V351="T2",'Vehicle Data'!P$3)))</f>
        <v>13.411199999999999</v>
      </c>
      <c r="Z351">
        <f t="shared" si="273"/>
        <v>9.2511639262713956</v>
      </c>
      <c r="AB351" t="b">
        <f>IF(AA351=1,'Vehicle Data'!I$14,IF(AA351=2,'Vehicle Data'!I$15,IF(AA351=3,'Vehicle Data'!I$16)))</f>
        <v>0</v>
      </c>
      <c r="AC351">
        <f>IF(Z351&lt;'Vehicle Data'!C$16,'Vehicle Data'!I$15,IF(Z351&lt;'Vehicle Data'!C$15,'Vehicle Data'!I$15,IF(Z350&gt;'Vehicle Data'!C$15,'Vehicle Data'!I$16)))</f>
        <v>0.46202745420001456</v>
      </c>
      <c r="AD351">
        <f>IF(O351=0.6,'Vehicle Data'!F$21,IF(O351=0.9,'Vehicle Data'!F$20))</f>
        <v>3.5315999999999996</v>
      </c>
      <c r="AE351" s="100">
        <f t="shared" si="272"/>
        <v>0.46202745420001456</v>
      </c>
      <c r="AF351" s="158">
        <f t="shared" si="263"/>
        <v>0.26433045226732005</v>
      </c>
      <c r="AG351" s="148">
        <f t="shared" si="246"/>
        <v>0</v>
      </c>
      <c r="AH351" s="148">
        <f t="shared" si="264"/>
        <v>117.92384916556867</v>
      </c>
      <c r="AJ351">
        <f>(Z351^2)*'Vehicle Data'!C$31</f>
        <v>31.452132491598864</v>
      </c>
      <c r="AK351">
        <f>IF(O351=0.6,'Vehicle Data'!C$6*'Vehicle Data'!D$21*9.81,IF(O351=0.9,'Vehicle Data'!C$6*9.81*'Vehicle Data'!D$20))</f>
        <v>86.131799999999998</v>
      </c>
      <c r="AL351">
        <f t="shared" si="243"/>
        <v>-86.335931774982271</v>
      </c>
      <c r="AN351" t="b">
        <f>IF(AG351&gt;0,AG351*'Vehicle Data'!C$6)</f>
        <v>0</v>
      </c>
      <c r="AO351">
        <f t="shared" si="247"/>
        <v>-86.335931774982271</v>
      </c>
      <c r="AP351">
        <f>AO351*'Vehicle Data'!F$3</f>
        <v>-22.067464161685468</v>
      </c>
      <c r="AQ351">
        <f>IF(AE351='Vehicle Data'!I$15,AP351/'Vehicle Data'!G$15,IF(AE351='Vehicle Data'!I$16,AP351/'Vehicle Data'!G$16,IF(AE351='Vehicle Data'!I$14,Data!AP351/'Vehicle Data'!G362)))</f>
        <v>-4.0739340788895966</v>
      </c>
      <c r="AR351">
        <f>IF(Z351&lt;'Vehicle Data'!C$16, Z351*'Vehicle Data'!F$7*'Vehicle Data'!G$14,IF(Z351&lt;'Vehicle Data'!C$15,Z351*'Vehicle Data'!F$7*'Vehicle Data'!G$15,IF(Z351&gt;'Vehicle Data'!C$15,Z351*'Vehicle Data'!F$7*'Vehicle Data'!G$16)))</f>
        <v>80.477694618303829</v>
      </c>
      <c r="AS351">
        <f t="shared" si="265"/>
        <v>4828.66167709823</v>
      </c>
      <c r="AT351">
        <f t="shared" si="266"/>
        <v>-4</v>
      </c>
      <c r="AU351">
        <f t="shared" si="267"/>
        <v>5000</v>
      </c>
      <c r="AW351" t="e">
        <f>VLOOKUP(AT351,BSFC!A$64:A$82,1,FALSE)</f>
        <v>#N/A</v>
      </c>
      <c r="AX351" t="e" cm="1">
        <f t="array" ref="AX351">_xlfn.XLOOKUP(AT351,BSFC!A$64:A$82,,-1,_xlfn.XLOOKUP(Data!AU351,BSFC!C$63:Q$63,BSFC!B$64:Q$82,,-1))</f>
        <v>#VALUE!</v>
      </c>
      <c r="AY351">
        <f>HLOOKUP(AU351,BSFC!F$63:Q$63,1)</f>
        <v>5000</v>
      </c>
      <c r="AZ351">
        <f>IF(AT351&gt;0,MATCH(AT351,BSFC!A$64:A$83,0),IF(AT351&lt;=0,0))</f>
        <v>0</v>
      </c>
      <c r="BA351">
        <f>MATCH(AU351,BSFC!C$63:Q$63,0)</f>
        <v>10</v>
      </c>
      <c r="BB351" t="b" cm="1">
        <f t="array" ref="BB351">IF(AZ351&gt;0,INDEX(BSFC!C$64:Q$83,Data!AZ351,Data!BA351))</f>
        <v>0</v>
      </c>
      <c r="BC351">
        <f>0.5*'Vehicle Data'!C$6*Data!Z351^2</f>
        <v>18785.695460968567</v>
      </c>
      <c r="BD351">
        <f t="shared" si="248"/>
        <v>0.7902558436083178</v>
      </c>
      <c r="BE351">
        <f t="shared" si="268"/>
        <v>0</v>
      </c>
      <c r="BF351">
        <v>2.3E-2</v>
      </c>
      <c r="BG351">
        <f t="shared" si="249"/>
        <v>145.33204865261942</v>
      </c>
      <c r="BH351">
        <f t="shared" si="271"/>
        <v>-2051.6947603002372</v>
      </c>
      <c r="BI351" s="148">
        <f t="shared" si="250"/>
        <v>6871.6622130335309</v>
      </c>
      <c r="BO351">
        <f t="shared" si="251"/>
        <v>-536.0198187509211</v>
      </c>
      <c r="BP351">
        <f t="shared" si="252"/>
        <v>664724.06966852467</v>
      </c>
      <c r="BQ351">
        <f t="shared" si="253"/>
        <v>874454.09466157504</v>
      </c>
      <c r="BR351" s="148">
        <f t="shared" si="254"/>
        <v>812128.1288536893</v>
      </c>
      <c r="BS351" s="156" t="b">
        <f t="shared" si="255"/>
        <v>0</v>
      </c>
      <c r="BT351" s="156">
        <f t="shared" si="256"/>
        <v>0</v>
      </c>
      <c r="BU351">
        <f t="shared" si="257"/>
        <v>1795.2705271854277</v>
      </c>
      <c r="BV351">
        <f t="shared" si="258"/>
        <v>1795.2705271854277</v>
      </c>
      <c r="BW351" s="148">
        <f t="shared" si="259"/>
        <v>455.4</v>
      </c>
      <c r="BX351" s="148">
        <f t="shared" si="260"/>
        <v>3129354.9718154697</v>
      </c>
      <c r="BY351" s="148">
        <f t="shared" si="261"/>
        <v>0.22710172168895656</v>
      </c>
      <c r="BZ351">
        <f t="shared" si="244"/>
        <v>117.92384916556867</v>
      </c>
      <c r="CB351">
        <f t="shared" si="262"/>
        <v>1795.2705271854277</v>
      </c>
      <c r="CC351" s="162">
        <f t="shared" si="245"/>
        <v>6791.7658059688047</v>
      </c>
      <c r="CD351">
        <f t="shared" si="270"/>
        <v>-63057.906286912097</v>
      </c>
    </row>
    <row r="352" spans="4:82" x14ac:dyDescent="0.2">
      <c r="D352" s="22">
        <f t="shared" si="235"/>
        <v>-8.2616750833246363E-2</v>
      </c>
      <c r="E352" s="23">
        <v>10.985899484524113</v>
      </c>
      <c r="F352" s="23">
        <f>IF(K352&lt;6,1,IF(Data!K352&lt;9,2,IF(K352&gt;9,3)))</f>
        <v>3</v>
      </c>
      <c r="G352" s="23">
        <v>1082.4234899469179</v>
      </c>
      <c r="H352" s="23">
        <v>220.26666499999999</v>
      </c>
      <c r="I352" s="64">
        <v>48.751331018374685</v>
      </c>
      <c r="J352" s="65">
        <f t="shared" si="236"/>
        <v>-12.883821262559023</v>
      </c>
      <c r="K352" s="65">
        <f t="shared" si="237"/>
        <v>19.500532407349873</v>
      </c>
      <c r="L352" s="65">
        <f t="shared" si="238"/>
        <v>-5.1535285050235666</v>
      </c>
      <c r="M352">
        <f t="shared" si="239"/>
        <v>21.971798969048226</v>
      </c>
      <c r="N352">
        <f t="shared" si="240"/>
        <v>-0.1999969264189474</v>
      </c>
      <c r="O352">
        <f>IF(L352&lt;'Vehicle Data'!F$21,'Vehicle Data'!C$21,IF(L352&gt;'Vehicle Data'!C$21,'Vehicle Data'!C$20))</f>
        <v>0.6</v>
      </c>
      <c r="P352">
        <f>('Vehicle Data'!C$6*9.81*'Vehicle Data'!C$5*SIN(D352))/'Vehicle Data'!C$9</f>
        <v>-54.957504326367967</v>
      </c>
      <c r="Q352" s="107">
        <f>'Vehicle Data'!C$6*9.81*SIN(D352)</f>
        <v>-355.39186131051281</v>
      </c>
      <c r="R352">
        <f t="shared" si="234"/>
        <v>1079.9777431768077</v>
      </c>
      <c r="S352">
        <f>IF(Data!O352=0.6,'Vehicle Data'!E$21,IF(Data!O352 = 0.9,'Vehicle Data'!E$20))+(P352*O352)</f>
        <v>1517.397897404179</v>
      </c>
      <c r="T352">
        <f>IF(F352=3,'Vehicle Data'!H$16,IF(F352=2,'Vehicle Data'!H$15,IF(F352 = 1,'Vehicle Data'!G$14)))</f>
        <v>466.23005239380637</v>
      </c>
      <c r="U352" s="148">
        <f t="shared" si="241"/>
        <v>363.83926105349167</v>
      </c>
      <c r="V352" s="70" t="s">
        <v>77</v>
      </c>
      <c r="W352" s="99" t="s">
        <v>84</v>
      </c>
      <c r="X352">
        <f>IF(V352="S",'Vehicle Data'!C$14,IF(Data!V352 = "T1",'Vehicle Data'!P$2,IF(Data!V352="T2",'Vehicle Data'!P$3)))</f>
        <v>13.411199999999999</v>
      </c>
      <c r="Z352">
        <f t="shared" si="273"/>
        <v>9.3726593351887306</v>
      </c>
      <c r="AB352" t="b">
        <f>IF(AA352=1,'Vehicle Data'!I$14,IF(AA352=2,'Vehicle Data'!I$15,IF(AA352=3,'Vehicle Data'!I$16)))</f>
        <v>0</v>
      </c>
      <c r="AC352">
        <f>IF(Z352&lt;'Vehicle Data'!C$16,'Vehicle Data'!I$15,IF(Z352&lt;'Vehicle Data'!C$15,'Vehicle Data'!I$15,IF(Z351&gt;'Vehicle Data'!C$15,'Vehicle Data'!I$16)))</f>
        <v>0.46202745420001456</v>
      </c>
      <c r="AD352">
        <f>IF(O352=0.6,'Vehicle Data'!F$21,IF(O352=0.9,'Vehicle Data'!F$20))</f>
        <v>3.5315999999999996</v>
      </c>
      <c r="AE352" s="100">
        <f t="shared" si="272"/>
        <v>0.46202745420001456</v>
      </c>
      <c r="AF352" s="158">
        <f t="shared" si="263"/>
        <v>0.26125709785040441</v>
      </c>
      <c r="AG352" s="148">
        <f t="shared" si="246"/>
        <v>0.46504156218907089</v>
      </c>
      <c r="AH352" s="148">
        <f t="shared" si="264"/>
        <v>118.18510626341907</v>
      </c>
      <c r="AJ352">
        <f>(Z352^2)*'Vehicle Data'!C$31</f>
        <v>32.283678057461429</v>
      </c>
      <c r="AK352">
        <f>IF(O352=0.6,'Vehicle Data'!C$6*'Vehicle Data'!D$21*9.81,IF(O352=0.9,'Vehicle Data'!C$6*9.81*'Vehicle Data'!D$20))</f>
        <v>86.131799999999998</v>
      </c>
      <c r="AL352">
        <f t="shared" si="243"/>
        <v>-236.97638325305138</v>
      </c>
      <c r="AN352">
        <f>IF(AG352&gt;0,AG352*'Vehicle Data'!C$6)</f>
        <v>204.15324580100213</v>
      </c>
      <c r="AO352">
        <f t="shared" si="247"/>
        <v>-32.823137452049252</v>
      </c>
      <c r="AP352">
        <f>AO352*'Vehicle Data'!F$3</f>
        <v>-8.3895939327437894</v>
      </c>
      <c r="AQ352">
        <f>IF(AE352='Vehicle Data'!I$15,AP352/'Vehicle Data'!G$15,IF(AE352='Vehicle Data'!I$16,AP352/'Vehicle Data'!G$16,IF(AE352='Vehicle Data'!I$14,Data!AP352/'Vehicle Data'!G363)))</f>
        <v>-1.5488255641983932</v>
      </c>
      <c r="AR352">
        <f>IF(Z352&lt;'Vehicle Data'!C$16, Z352*'Vehicle Data'!F$7*'Vehicle Data'!G$14,IF(Z352&lt;'Vehicle Data'!C$15,Z352*'Vehicle Data'!F$7*'Vehicle Data'!G$15,IF(Z352&gt;'Vehicle Data'!C$15,Z352*'Vehicle Data'!F$7*'Vehicle Data'!G$16)))</f>
        <v>81.534607077568396</v>
      </c>
      <c r="AS352">
        <f t="shared" si="265"/>
        <v>4892.0764246541039</v>
      </c>
      <c r="AT352">
        <f t="shared" si="266"/>
        <v>-2</v>
      </c>
      <c r="AU352">
        <f t="shared" si="267"/>
        <v>5000</v>
      </c>
      <c r="AW352" t="e">
        <f>VLOOKUP(AT352,BSFC!A$64:A$82,1,FALSE)</f>
        <v>#N/A</v>
      </c>
      <c r="AX352" t="e" cm="1">
        <f t="array" ref="AX352">_xlfn.XLOOKUP(AT352,BSFC!A$64:A$82,,-1,_xlfn.XLOOKUP(Data!AU352,BSFC!C$63:Q$63,BSFC!B$64:Q$82,,-1))</f>
        <v>#VALUE!</v>
      </c>
      <c r="AY352">
        <f>HLOOKUP(AU352,BSFC!F$63:Q$63,1)</f>
        <v>5000</v>
      </c>
      <c r="AZ352">
        <f>IF(AT352&gt;0,MATCH(AT352,BSFC!A$64:A$83,0),IF(AT352&lt;=0,0))</f>
        <v>0</v>
      </c>
      <c r="BA352">
        <f>MATCH(AU352,BSFC!C$63:Q$63,0)</f>
        <v>10</v>
      </c>
      <c r="BB352" t="b" cm="1">
        <f t="array" ref="BB352">IF(AZ352&gt;0,INDEX(BSFC!C$64:Q$83,Data!AZ352,Data!BA352))</f>
        <v>0</v>
      </c>
      <c r="BC352">
        <f>0.5*'Vehicle Data'!C$6*Data!Z352^2</f>
        <v>19282.36009146335</v>
      </c>
      <c r="BD352">
        <f t="shared" si="248"/>
        <v>0.91207595569832267</v>
      </c>
      <c r="BE352">
        <f t="shared" si="268"/>
        <v>0</v>
      </c>
      <c r="BF352">
        <v>2.3E-2</v>
      </c>
      <c r="BG352">
        <f t="shared" si="249"/>
        <v>145.35504865261942</v>
      </c>
      <c r="BH352">
        <f t="shared" si="271"/>
        <v>-790.25584360831783</v>
      </c>
      <c r="BI352" s="148">
        <f t="shared" si="250"/>
        <v>6871.6622130335309</v>
      </c>
      <c r="BO352">
        <f t="shared" si="251"/>
        <v>-203.61067713463268</v>
      </c>
      <c r="BP352">
        <f t="shared" si="252"/>
        <v>664520.45899139007</v>
      </c>
      <c r="BQ352">
        <f t="shared" si="253"/>
        <v>874454.09466157504</v>
      </c>
      <c r="BR352" s="148">
        <f t="shared" si="254"/>
        <v>813898.62357075175</v>
      </c>
      <c r="BS352" s="156" t="b">
        <f t="shared" si="255"/>
        <v>0</v>
      </c>
      <c r="BT352" s="156">
        <f t="shared" si="256"/>
        <v>0</v>
      </c>
      <c r="BU352">
        <f t="shared" si="257"/>
        <v>1770.4947170624112</v>
      </c>
      <c r="BV352">
        <f t="shared" si="258"/>
        <v>1770.4947170624112</v>
      </c>
      <c r="BW352" s="148">
        <f t="shared" si="259"/>
        <v>455.4</v>
      </c>
      <c r="BX352" s="148">
        <f t="shared" si="260"/>
        <v>3129354.9718154697</v>
      </c>
      <c r="BY352" s="148">
        <f t="shared" si="261"/>
        <v>0.22396758170839498</v>
      </c>
      <c r="BZ352">
        <f t="shared" si="244"/>
        <v>118.18510626341907</v>
      </c>
      <c r="CB352">
        <f t="shared" si="262"/>
        <v>1770.4947170624112</v>
      </c>
      <c r="CC352" s="162">
        <f t="shared" si="245"/>
        <v>6776.8291526999919</v>
      </c>
      <c r="CD352">
        <f t="shared" si="270"/>
        <v>-61287.411569849683</v>
      </c>
    </row>
    <row r="353" spans="4:82" x14ac:dyDescent="0.2">
      <c r="D353" s="22">
        <f t="shared" si="235"/>
        <v>-8.3869654862761614E-2</v>
      </c>
      <c r="E353" s="23">
        <v>10.785902558105166</v>
      </c>
      <c r="F353" s="23">
        <f>IF(K353&lt;6,1,IF(Data!K353&lt;9,2,IF(K353&gt;9,3)))</f>
        <v>3</v>
      </c>
      <c r="G353" s="23">
        <v>1084.8470253654571</v>
      </c>
      <c r="H353" s="23">
        <v>220.316665</v>
      </c>
      <c r="I353" s="64">
        <v>48.107139955246588</v>
      </c>
      <c r="J353" s="65">
        <f t="shared" si="236"/>
        <v>-15.760277847286066</v>
      </c>
      <c r="K353" s="65">
        <f t="shared" si="237"/>
        <v>19.242855982098636</v>
      </c>
      <c r="L353" s="65">
        <f t="shared" si="238"/>
        <v>-6.3041111389144264</v>
      </c>
      <c r="M353">
        <f t="shared" si="239"/>
        <v>21.571805116210331</v>
      </c>
      <c r="N353">
        <f t="shared" si="240"/>
        <v>-0.19999861135157104</v>
      </c>
      <c r="O353">
        <f>IF(L353&lt;'Vehicle Data'!F$21,'Vehicle Data'!C$21,IF(L353&gt;'Vehicle Data'!C$21,'Vehicle Data'!C$20))</f>
        <v>0.6</v>
      </c>
      <c r="P353">
        <f>('Vehicle Data'!C$6*9.81*'Vehicle Data'!C$5*SIN(D353))/'Vehicle Data'!C$9</f>
        <v>-55.789008401882718</v>
      </c>
      <c r="Q353" s="107">
        <f>'Vehicle Data'!C$6*9.81*SIN(D353)</f>
        <v>-360.76892099884157</v>
      </c>
      <c r="R353">
        <f t="shared" si="234"/>
        <v>1082.4234899469179</v>
      </c>
      <c r="S353">
        <f>IF(Data!O353=0.6,'Vehicle Data'!E$21,IF(Data!O353 = 0.9,'Vehicle Data'!E$20))+(P353*O353)</f>
        <v>1516.8989949588702</v>
      </c>
      <c r="T353">
        <f>IF(F353=3,'Vehicle Data'!H$16,IF(F353=2,'Vehicle Data'!H$15,IF(F353 = 1,'Vehicle Data'!G$14)))</f>
        <v>466.23005239380637</v>
      </c>
      <c r="U353" s="148">
        <f t="shared" si="241"/>
        <v>366.28500782360186</v>
      </c>
      <c r="V353" s="70" t="s">
        <v>77</v>
      </c>
      <c r="W353" s="99" t="s">
        <v>84</v>
      </c>
      <c r="X353">
        <f>IF(V353="S",'Vehicle Data'!C$14,IF(Data!V353 = "T1",'Vehicle Data'!P$2,IF(Data!V353="T2",'Vehicle Data'!P$3)))</f>
        <v>13.411199999999999</v>
      </c>
      <c r="Z353">
        <f t="shared" si="273"/>
        <v>9.4924573910618264</v>
      </c>
      <c r="AB353" t="b">
        <f>IF(AA353=1,'Vehicle Data'!I$14,IF(AA353=2,'Vehicle Data'!I$15,IF(AA353=3,'Vehicle Data'!I$16)))</f>
        <v>0</v>
      </c>
      <c r="AC353">
        <f>IF(Z353&lt;'Vehicle Data'!C$16,'Vehicle Data'!I$15,IF(Z353&lt;'Vehicle Data'!C$15,'Vehicle Data'!I$15,IF(Z352&gt;'Vehicle Data'!C$15,'Vehicle Data'!I$16)))</f>
        <v>0.46202745420001456</v>
      </c>
      <c r="AD353">
        <f>IF(O353=0.6,'Vehicle Data'!F$21,IF(O353=0.9,'Vehicle Data'!F$20))</f>
        <v>3.5315999999999996</v>
      </c>
      <c r="AE353" s="100">
        <f t="shared" si="272"/>
        <v>0.46202745420001456</v>
      </c>
      <c r="AF353" s="158">
        <f t="shared" si="263"/>
        <v>0.25765159319157177</v>
      </c>
      <c r="AG353" s="148">
        <f t="shared" si="246"/>
        <v>0.46496144032776188</v>
      </c>
      <c r="AH353" s="148">
        <f t="shared" si="264"/>
        <v>118.44275785661064</v>
      </c>
      <c r="AJ353">
        <f>(Z353^2)*'Vehicle Data'!C$31</f>
        <v>33.114229640513187</v>
      </c>
      <c r="AK353">
        <f>IF(O353=0.6,'Vehicle Data'!C$6*'Vehicle Data'!D$21*9.81,IF(O353=0.9,'Vehicle Data'!C$6*9.81*'Vehicle Data'!D$20))</f>
        <v>86.131799999999998</v>
      </c>
      <c r="AL353">
        <f t="shared" si="243"/>
        <v>-241.52289135832837</v>
      </c>
      <c r="AN353">
        <f>IF(AG353&gt;0,AG353*'Vehicle Data'!C$6)</f>
        <v>204.11807230388746</v>
      </c>
      <c r="AO353">
        <f t="shared" si="247"/>
        <v>-37.404819054440907</v>
      </c>
      <c r="AP353">
        <f>AO353*'Vehicle Data'!F$3</f>
        <v>-9.5606717503150946</v>
      </c>
      <c r="AQ353">
        <f>IF(AE353='Vehicle Data'!I$15,AP353/'Vehicle Data'!G$15,IF(AE353='Vehicle Data'!I$16,AP353/'Vehicle Data'!G$16,IF(AE353='Vehicle Data'!I$14,Data!AP353/'Vehicle Data'!G364)))</f>
        <v>-1.7650213987120316</v>
      </c>
      <c r="AR353">
        <f>IF(Z353&lt;'Vehicle Data'!C$16, Z353*'Vehicle Data'!F$7*'Vehicle Data'!G$14,IF(Z353&lt;'Vehicle Data'!C$15,Z353*'Vehicle Data'!F$7*'Vehicle Data'!G$15,IF(Z353&gt;'Vehicle Data'!C$15,Z353*'Vehicle Data'!F$7*'Vehicle Data'!G$16)))</f>
        <v>82.576753928846529</v>
      </c>
      <c r="AS353">
        <f t="shared" si="265"/>
        <v>4954.6052357307917</v>
      </c>
      <c r="AT353">
        <f t="shared" si="266"/>
        <v>-2</v>
      </c>
      <c r="AU353">
        <f t="shared" si="267"/>
        <v>5000</v>
      </c>
      <c r="AW353" t="e">
        <f>VLOOKUP(AT353,BSFC!A$64:A$82,1,FALSE)</f>
        <v>#N/A</v>
      </c>
      <c r="AX353" t="e" cm="1">
        <f t="array" ref="AX353">_xlfn.XLOOKUP(AT353,BSFC!A$64:A$82,,-1,_xlfn.XLOOKUP(Data!AU353,BSFC!C$63:Q$63,BSFC!B$64:Q$82,,-1))</f>
        <v>#VALUE!</v>
      </c>
      <c r="AY353">
        <f>HLOOKUP(AU353,BSFC!F$63:Q$63,1)</f>
        <v>5000</v>
      </c>
      <c r="AZ353">
        <f>IF(AT353&gt;0,MATCH(AT353,BSFC!A$64:A$83,0),IF(AT353&lt;=0,0))</f>
        <v>0</v>
      </c>
      <c r="BA353">
        <f>MATCH(AU353,BSFC!C$63:Q$63,0)</f>
        <v>10</v>
      </c>
      <c r="BB353" t="b" cm="1">
        <f t="array" ref="BB353">IF(AZ353&gt;0,INDEX(BSFC!C$64:Q$83,Data!AZ353,Data!BA353))</f>
        <v>0</v>
      </c>
      <c r="BC353">
        <f>0.5*'Vehicle Data'!C$6*Data!Z353^2</f>
        <v>19778.431036986785</v>
      </c>
      <c r="BD353">
        <f t="shared" si="248"/>
        <v>1.0576097977591015</v>
      </c>
      <c r="BE353">
        <f t="shared" si="268"/>
        <v>0</v>
      </c>
      <c r="BF353">
        <v>2.3E-2</v>
      </c>
      <c r="BG353">
        <f t="shared" si="249"/>
        <v>145.37804865261941</v>
      </c>
      <c r="BH353">
        <f t="shared" si="271"/>
        <v>-912.07595569832267</v>
      </c>
      <c r="BI353" s="148">
        <f t="shared" si="250"/>
        <v>6871.6622130335309</v>
      </c>
      <c r="BO353">
        <f t="shared" si="251"/>
        <v>-230.02275443293379</v>
      </c>
      <c r="BP353">
        <f t="shared" si="252"/>
        <v>664290.43623695709</v>
      </c>
      <c r="BQ353">
        <f t="shared" si="253"/>
        <v>874454.09466157504</v>
      </c>
      <c r="BR353" s="148">
        <f t="shared" si="254"/>
        <v>815631.63567341643</v>
      </c>
      <c r="BS353" s="156" t="b">
        <f t="shared" si="255"/>
        <v>0</v>
      </c>
      <c r="BT353" s="156">
        <f t="shared" si="256"/>
        <v>0</v>
      </c>
      <c r="BU353">
        <f t="shared" si="257"/>
        <v>1733.0121026647178</v>
      </c>
      <c r="BV353">
        <f t="shared" si="258"/>
        <v>1733.0121026647178</v>
      </c>
      <c r="BW353" s="148">
        <f t="shared" si="259"/>
        <v>455.4</v>
      </c>
      <c r="BX353" s="148">
        <f t="shared" si="260"/>
        <v>3129354.9718154697</v>
      </c>
      <c r="BY353" s="148">
        <f t="shared" si="261"/>
        <v>0.21922603098708676</v>
      </c>
      <c r="BZ353">
        <f t="shared" si="244"/>
        <v>118.44275785661064</v>
      </c>
      <c r="CB353">
        <f t="shared" si="262"/>
        <v>1733.0121026647178</v>
      </c>
      <c r="CC353" s="162">
        <f t="shared" si="245"/>
        <v>6726.1843064800942</v>
      </c>
      <c r="CD353">
        <f t="shared" si="270"/>
        <v>-59554.399467184965</v>
      </c>
    </row>
    <row r="354" spans="4:82" x14ac:dyDescent="0.2">
      <c r="D354" s="22">
        <f t="shared" si="235"/>
        <v>-8.5318931516472213E-2</v>
      </c>
      <c r="E354" s="23">
        <v>10.585903946753595</v>
      </c>
      <c r="F354" s="23">
        <f>IF(K354&lt;6,1,IF(Data!K354&lt;9,2,IF(K354&gt;9,3)))</f>
        <v>3</v>
      </c>
      <c r="G354" s="23">
        <v>1087.2344594528388</v>
      </c>
      <c r="H354" s="23">
        <v>220.36666499999998</v>
      </c>
      <c r="I354" s="64">
        <v>47.319126062882553</v>
      </c>
      <c r="J354" s="65">
        <f t="shared" si="236"/>
        <v>-16.794786704773532</v>
      </c>
      <c r="K354" s="65">
        <f t="shared" si="237"/>
        <v>18.927650425153022</v>
      </c>
      <c r="L354" s="65">
        <f t="shared" si="238"/>
        <v>-6.7179146819094271</v>
      </c>
      <c r="M354">
        <f t="shared" si="239"/>
        <v>21.171807893507189</v>
      </c>
      <c r="N354">
        <f t="shared" si="240"/>
        <v>-0.20000286222948205</v>
      </c>
      <c r="O354">
        <f>IF(L354&lt;'Vehicle Data'!F$21,'Vehicle Data'!C$21,IF(L354&gt;'Vehicle Data'!C$21,'Vehicle Data'!C$20))</f>
        <v>0.6</v>
      </c>
      <c r="P354">
        <f>('Vehicle Data'!C$6*9.81*'Vehicle Data'!C$5*SIN(D354))/'Vehicle Data'!C$9</f>
        <v>-56.750728087594425</v>
      </c>
      <c r="Q354" s="107">
        <f>'Vehicle Data'!C$6*9.81*SIN(D354)</f>
        <v>-366.98804163311064</v>
      </c>
      <c r="R354">
        <f t="shared" si="234"/>
        <v>1084.8470253654571</v>
      </c>
      <c r="S354">
        <f>IF(Data!O354=0.6,'Vehicle Data'!E$21,IF(Data!O354 = 0.9,'Vehicle Data'!E$20))+(P354*O354)</f>
        <v>1516.3219631474431</v>
      </c>
      <c r="T354">
        <f>IF(F354=3,'Vehicle Data'!H$16,IF(F354=2,'Vehicle Data'!H$15,IF(F354 = 1,'Vehicle Data'!G$14)))</f>
        <v>466.23005239380637</v>
      </c>
      <c r="U354" s="148">
        <f t="shared" si="241"/>
        <v>368.70854324214099</v>
      </c>
      <c r="V354" s="70" t="s">
        <v>77</v>
      </c>
      <c r="W354" s="99" t="s">
        <v>84</v>
      </c>
      <c r="X354">
        <f>IF(V354="S",'Vehicle Data'!C$14,IF(Data!V354 = "T1",'Vehicle Data'!P$2,IF(Data!V354="T2",'Vehicle Data'!P$3)))</f>
        <v>13.411199999999999</v>
      </c>
      <c r="Z354">
        <f t="shared" si="273"/>
        <v>9.6096944342838864</v>
      </c>
      <c r="AB354" t="b">
        <f>IF(AA354=1,'Vehicle Data'!I$14,IF(AA354=2,'Vehicle Data'!I$15,IF(AA354=3,'Vehicle Data'!I$16)))</f>
        <v>0</v>
      </c>
      <c r="AC354">
        <f>IF(Z354&lt;'Vehicle Data'!C$16,'Vehicle Data'!I$15,IF(Z354&lt;'Vehicle Data'!C$15,'Vehicle Data'!I$15,IF(Z353&gt;'Vehicle Data'!C$15,'Vehicle Data'!I$16)))</f>
        <v>0.46202745420001456</v>
      </c>
      <c r="AD354">
        <f>IF(O354=0.6,'Vehicle Data'!F$21,IF(O354=0.9,'Vehicle Data'!F$20))</f>
        <v>3.5315999999999996</v>
      </c>
      <c r="AE354" s="100">
        <f t="shared" si="272"/>
        <v>0.46202745420001456</v>
      </c>
      <c r="AF354" s="158">
        <f t="shared" si="263"/>
        <v>0.25219692833237661</v>
      </c>
      <c r="AG354" s="148">
        <f t="shared" si="246"/>
        <v>0.46486308932181103</v>
      </c>
      <c r="AH354" s="148">
        <f t="shared" si="264"/>
        <v>118.69495478494302</v>
      </c>
      <c r="AJ354">
        <f>(Z354^2)*'Vehicle Data'!C$31</f>
        <v>33.937238466712728</v>
      </c>
      <c r="AK354">
        <f>IF(O354=0.6,'Vehicle Data'!C$6*'Vehicle Data'!D$21*9.81,IF(O354=0.9,'Vehicle Data'!C$6*9.81*'Vehicle Data'!D$20))</f>
        <v>86.131799999999998</v>
      </c>
      <c r="AL354">
        <f t="shared" si="243"/>
        <v>-246.91900316639791</v>
      </c>
      <c r="AN354">
        <f>IF(AG354&gt;0,AG354*'Vehicle Data'!C$6)</f>
        <v>204.07489621227504</v>
      </c>
      <c r="AO354">
        <f t="shared" si="247"/>
        <v>-42.844106954122879</v>
      </c>
      <c r="AP354">
        <f>AO354*'Vehicle Data'!F$3</f>
        <v>-10.950953737473807</v>
      </c>
      <c r="AQ354">
        <f>IF(AE354='Vehicle Data'!I$15,AP354/'Vehicle Data'!G$15,IF(AE354='Vehicle Data'!I$16,AP354/'Vehicle Data'!G$16,IF(AE354='Vehicle Data'!I$14,Data!AP354/'Vehicle Data'!G365)))</f>
        <v>-2.0216851062070762</v>
      </c>
      <c r="AR354">
        <f>IF(Z354&lt;'Vehicle Data'!C$16, Z354*'Vehicle Data'!F$7*'Vehicle Data'!G$14,IF(Z354&lt;'Vehicle Data'!C$15,Z354*'Vehicle Data'!F$7*'Vehicle Data'!G$15,IF(Z354&gt;'Vehicle Data'!C$15,Z354*'Vehicle Data'!F$7*'Vehicle Data'!G$16)))</f>
        <v>83.596622027344324</v>
      </c>
      <c r="AS354">
        <f t="shared" si="265"/>
        <v>5015.797321640659</v>
      </c>
      <c r="AT354">
        <f t="shared" si="266"/>
        <v>-2</v>
      </c>
      <c r="AU354">
        <f t="shared" si="267"/>
        <v>5000</v>
      </c>
      <c r="AW354" t="e">
        <f>VLOOKUP(AT354,BSFC!A$64:A$82,1,FALSE)</f>
        <v>#N/A</v>
      </c>
      <c r="AX354" t="e" cm="1">
        <f t="array" ref="AX354">_xlfn.XLOOKUP(AT354,BSFC!A$64:A$82,,-1,_xlfn.XLOOKUP(Data!AU354,BSFC!C$63:Q$63,BSFC!B$64:Q$82,,-1))</f>
        <v>#VALUE!</v>
      </c>
      <c r="AY354">
        <f>HLOOKUP(AU354,BSFC!F$63:Q$63,1)</f>
        <v>5000</v>
      </c>
      <c r="AZ354">
        <f>IF(AT354&gt;0,MATCH(AT354,BSFC!A$64:A$83,0),IF(AT354&lt;=0,0))</f>
        <v>0</v>
      </c>
      <c r="BA354">
        <f>MATCH(AU354,BSFC!C$63:Q$63,0)</f>
        <v>10</v>
      </c>
      <c r="BB354" t="b" cm="1">
        <f t="array" ref="BB354">IF(AZ354&gt;0,INDEX(BSFC!C$64:Q$83,Data!AZ354,Data!BA354))</f>
        <v>0</v>
      </c>
      <c r="BC354">
        <f>0.5*'Vehicle Data'!C$6*Data!Z354^2</f>
        <v>20269.996852907323</v>
      </c>
      <c r="BD354">
        <f t="shared" si="248"/>
        <v>5.8811097829197037</v>
      </c>
      <c r="BE354">
        <f t="shared" si="268"/>
        <v>0</v>
      </c>
      <c r="BF354">
        <v>2.3E-2</v>
      </c>
      <c r="BG354">
        <f t="shared" si="249"/>
        <v>145.40104865261941</v>
      </c>
      <c r="BH354">
        <f t="shared" si="271"/>
        <v>-1057.6097977591014</v>
      </c>
      <c r="BI354" s="148">
        <f t="shared" si="250"/>
        <v>6871.6622130335309</v>
      </c>
      <c r="BO354">
        <f t="shared" si="251"/>
        <v>-259.66935453260714</v>
      </c>
      <c r="BP354">
        <f t="shared" si="252"/>
        <v>664030.76688242448</v>
      </c>
      <c r="BQ354">
        <f t="shared" si="253"/>
        <v>874454.09466157504</v>
      </c>
      <c r="BR354" s="148">
        <f t="shared" si="254"/>
        <v>817318.79864713817</v>
      </c>
      <c r="BS354" s="156" t="b">
        <f t="shared" si="255"/>
        <v>0</v>
      </c>
      <c r="BT354" s="156">
        <f t="shared" si="256"/>
        <v>0</v>
      </c>
      <c r="BU354">
        <f t="shared" si="257"/>
        <v>1687.1629737217686</v>
      </c>
      <c r="BV354">
        <f t="shared" si="258"/>
        <v>1687.1629737217686</v>
      </c>
      <c r="BW354" s="148">
        <f t="shared" si="259"/>
        <v>455.4</v>
      </c>
      <c r="BX354" s="148">
        <f t="shared" si="260"/>
        <v>3129354.9718154697</v>
      </c>
      <c r="BY354" s="148">
        <f t="shared" si="261"/>
        <v>0.21342611617580368</v>
      </c>
      <c r="BZ354">
        <f t="shared" si="244"/>
        <v>118.69495478494302</v>
      </c>
      <c r="CB354">
        <f t="shared" si="262"/>
        <v>1687.1629737217686</v>
      </c>
      <c r="CC354" s="162">
        <f t="shared" si="245"/>
        <v>6689.8632940452917</v>
      </c>
      <c r="CD354">
        <f t="shared" si="270"/>
        <v>-57867.236493463199</v>
      </c>
    </row>
    <row r="355" spans="4:82" x14ac:dyDescent="0.2">
      <c r="D355" s="22">
        <f t="shared" si="235"/>
        <v>-0.1304860927284231</v>
      </c>
      <c r="E355" s="23">
        <v>10.385901084524113</v>
      </c>
      <c r="F355" s="23">
        <f>IF(K355&lt;6,1,IF(Data!K355&lt;9,2,IF(K355&gt;9,3)))</f>
        <v>3</v>
      </c>
      <c r="G355" s="23">
        <v>1089.5814850469587</v>
      </c>
      <c r="H355" s="23">
        <v>220.41666499999999</v>
      </c>
      <c r="I355" s="64">
        <v>46.479386727643686</v>
      </c>
      <c r="J355" s="65">
        <f t="shared" si="236"/>
        <v>-16.463528532467748</v>
      </c>
      <c r="K355" s="65">
        <f t="shared" si="237"/>
        <v>18.591754691057474</v>
      </c>
      <c r="L355" s="65">
        <f t="shared" si="238"/>
        <v>-6.5854114129871002</v>
      </c>
      <c r="M355">
        <f t="shared" si="239"/>
        <v>20.771802169048225</v>
      </c>
      <c r="N355">
        <f t="shared" si="240"/>
        <v>-0.29999713777070092</v>
      </c>
      <c r="O355">
        <f>IF(L355&lt;'Vehicle Data'!F$21,'Vehicle Data'!C$21,IF(L355&gt;'Vehicle Data'!C$21,'Vehicle Data'!C$20))</f>
        <v>0.6</v>
      </c>
      <c r="P355">
        <f>('Vehicle Data'!C$6*9.81*'Vehicle Data'!C$5*SIN(D355))/'Vehicle Data'!C$9</f>
        <v>-86.653109375224929</v>
      </c>
      <c r="Q355" s="107">
        <f>'Vehicle Data'!C$6*9.81*SIN(D355)</f>
        <v>-560.35677395978792</v>
      </c>
      <c r="R355">
        <f t="shared" si="234"/>
        <v>1087.2344594528388</v>
      </c>
      <c r="S355">
        <f>IF(Data!O355=0.6,'Vehicle Data'!E$21,IF(Data!O355 = 0.9,'Vehicle Data'!E$20))+(P355*O355)</f>
        <v>1498.3805343748647</v>
      </c>
      <c r="T355">
        <f>IF(F355=3,'Vehicle Data'!H$16,IF(F355=2,'Vehicle Data'!H$15,IF(F355 = 1,'Vehicle Data'!G$14)))</f>
        <v>466.23005239380637</v>
      </c>
      <c r="U355" s="148">
        <f t="shared" si="241"/>
        <v>371.09597732952273</v>
      </c>
      <c r="V355" s="70" t="s">
        <v>77</v>
      </c>
      <c r="W355" s="99" t="s">
        <v>84</v>
      </c>
      <c r="X355">
        <f>IF(V355="S",'Vehicle Data'!C$14,IF(Data!V355 = "T1",'Vehicle Data'!P$2,IF(Data!V355="T2",'Vehicle Data'!P$3)))</f>
        <v>13.411199999999999</v>
      </c>
      <c r="Z355">
        <f t="shared" si="273"/>
        <v>9.7238031298064307</v>
      </c>
      <c r="AB355" t="b">
        <f>IF(AA355=1,'Vehicle Data'!I$14,IF(AA355=2,'Vehicle Data'!I$15,IF(AA355=3,'Vehicle Data'!I$16)))</f>
        <v>0</v>
      </c>
      <c r="AC355">
        <f>IF(Z355&lt;'Vehicle Data'!C$16,'Vehicle Data'!I$15,IF(Z355&lt;'Vehicle Data'!C$15,'Vehicle Data'!I$15,IF(Z354&gt;'Vehicle Data'!C$15,'Vehicle Data'!I$16)))</f>
        <v>0.46202745420001456</v>
      </c>
      <c r="AD355">
        <f>IF(O355=0.6,'Vehicle Data'!F$21,IF(O355=0.9,'Vehicle Data'!F$20))</f>
        <v>3.5315999999999996</v>
      </c>
      <c r="AE355" s="100">
        <f t="shared" si="272"/>
        <v>0.46202745420001456</v>
      </c>
      <c r="AF355" s="158">
        <f t="shared" si="263"/>
        <v>0.2455247247924548</v>
      </c>
      <c r="AG355" s="148">
        <f t="shared" si="246"/>
        <v>0.46475439741965652</v>
      </c>
      <c r="AH355" s="148">
        <f t="shared" si="264"/>
        <v>118.94047950973548</v>
      </c>
      <c r="AJ355">
        <f>(Z355^2)*'Vehicle Data'!C$31</f>
        <v>34.747987635408258</v>
      </c>
      <c r="AK355">
        <f>IF(O355=0.6,'Vehicle Data'!C$6*'Vehicle Data'!D$21*9.81,IF(O355=0.9,'Vehicle Data'!C$6*9.81*'Vehicle Data'!D$20))</f>
        <v>86.131799999999998</v>
      </c>
      <c r="AL355">
        <f t="shared" si="243"/>
        <v>-439.47698632437965</v>
      </c>
      <c r="AN355">
        <f>IF(AG355&gt;0,AG355*'Vehicle Data'!C$6)</f>
        <v>204.02718046722921</v>
      </c>
      <c r="AO355">
        <f t="shared" si="247"/>
        <v>-235.44980585715044</v>
      </c>
      <c r="AP355">
        <f>AO355*'Vehicle Data'!F$3</f>
        <v>-60.180970377087654</v>
      </c>
      <c r="AQ355">
        <f>IF(AE355='Vehicle Data'!I$15,AP355/'Vehicle Data'!G$15,IF(AE355='Vehicle Data'!I$16,AP355/'Vehicle Data'!G$16,IF(AE355='Vehicle Data'!I$14,Data!AP355/'Vehicle Data'!G366)))</f>
        <v>-11.110171260436154</v>
      </c>
      <c r="AR355">
        <f>IF(Z355&lt;'Vehicle Data'!C$16, Z355*'Vehicle Data'!F$7*'Vehicle Data'!G$14,IF(Z355&lt;'Vehicle Data'!C$15,Z355*'Vehicle Data'!F$7*'Vehicle Data'!G$15,IF(Z355&gt;'Vehicle Data'!C$15,Z355*'Vehicle Data'!F$7*'Vehicle Data'!G$16)))</f>
        <v>84.589276013885183</v>
      </c>
      <c r="AS355">
        <f t="shared" si="265"/>
        <v>5075.356560833111</v>
      </c>
      <c r="AT355">
        <f t="shared" si="266"/>
        <v>-11</v>
      </c>
      <c r="AU355">
        <f t="shared" si="267"/>
        <v>5000</v>
      </c>
      <c r="AW355" t="e">
        <f>VLOOKUP(AT355,BSFC!A$64:A$82,1,FALSE)</f>
        <v>#N/A</v>
      </c>
      <c r="AX355" t="e" cm="1">
        <f t="array" ref="AX355">_xlfn.XLOOKUP(AT355,BSFC!A$64:A$82,,-1,_xlfn.XLOOKUP(Data!AU355,BSFC!C$63:Q$63,BSFC!B$64:Q$82,,-1))</f>
        <v>#VALUE!</v>
      </c>
      <c r="AY355">
        <f>HLOOKUP(AU355,BSFC!F$63:Q$63,1)</f>
        <v>5000</v>
      </c>
      <c r="AZ355">
        <f>IF(AT355&gt;0,MATCH(AT355,BSFC!A$64:A$83,0),IF(AT355&lt;=0,0))</f>
        <v>0</v>
      </c>
      <c r="BA355">
        <f>MATCH(AU355,BSFC!C$63:Q$63,0)</f>
        <v>10</v>
      </c>
      <c r="BB355" t="b" cm="1">
        <f t="array" ref="BB355">IF(AZ355&gt;0,INDEX(BSFC!C$64:Q$83,Data!AZ355,Data!BA355))</f>
        <v>0</v>
      </c>
      <c r="BC355">
        <f>0.5*'Vehicle Data'!C$6*Data!Z355^2</f>
        <v>20754.240233937715</v>
      </c>
      <c r="BD355">
        <f t="shared" si="248"/>
        <v>1.3789025558719818</v>
      </c>
      <c r="BE355">
        <f t="shared" si="268"/>
        <v>0</v>
      </c>
      <c r="BF355">
        <v>2.3E-2</v>
      </c>
      <c r="BG355">
        <f t="shared" si="249"/>
        <v>145.4240486526194</v>
      </c>
      <c r="BH355">
        <f t="shared" si="271"/>
        <v>-5881.1097829197033</v>
      </c>
      <c r="BI355" s="148">
        <f t="shared" si="250"/>
        <v>6871.6622130335309</v>
      </c>
      <c r="BO355">
        <f t="shared" si="251"/>
        <v>-1403.5129883657219</v>
      </c>
      <c r="BP355">
        <f t="shared" si="252"/>
        <v>662627.25389405875</v>
      </c>
      <c r="BQ355">
        <f t="shared" si="253"/>
        <v>874454.09466157504</v>
      </c>
      <c r="BR355" s="148">
        <f t="shared" si="254"/>
        <v>818958.70463829394</v>
      </c>
      <c r="BS355" s="156" t="b">
        <f t="shared" si="255"/>
        <v>0</v>
      </c>
      <c r="BT355" s="156">
        <f t="shared" si="256"/>
        <v>0</v>
      </c>
      <c r="BU355">
        <f t="shared" si="257"/>
        <v>1639.9059911557138</v>
      </c>
      <c r="BV355">
        <f t="shared" si="258"/>
        <v>1639.9059911557138</v>
      </c>
      <c r="BW355" s="148">
        <f t="shared" si="259"/>
        <v>455.4</v>
      </c>
      <c r="BX355" s="148">
        <f t="shared" si="260"/>
        <v>3129354.9718154697</v>
      </c>
      <c r="BY355" s="148">
        <f t="shared" si="261"/>
        <v>0.20744810788119775</v>
      </c>
      <c r="BZ355">
        <f t="shared" si="244"/>
        <v>118.94047950973548</v>
      </c>
      <c r="CB355">
        <f t="shared" si="262"/>
        <v>1639.9059911557138</v>
      </c>
      <c r="CC355" s="162">
        <f t="shared" si="245"/>
        <v>6679.1887967369084</v>
      </c>
      <c r="CD355">
        <f t="shared" si="270"/>
        <v>-56227.330502307486</v>
      </c>
    </row>
    <row r="356" spans="4:82" x14ac:dyDescent="0.2">
      <c r="D356" s="22">
        <f t="shared" si="235"/>
        <v>-8.8407397001256313E-2</v>
      </c>
      <c r="E356" s="23">
        <v>10.085903946753412</v>
      </c>
      <c r="F356" s="23">
        <f>IF(K356&lt;6,1,IF(Data!K356&lt;9,2,IF(K356&gt;9,3)))</f>
        <v>3</v>
      </c>
      <c r="G356" s="23">
        <v>1091.8870959248682</v>
      </c>
      <c r="H356" s="23">
        <v>220.46666499999998</v>
      </c>
      <c r="I356" s="64">
        <v>45.656210301020579</v>
      </c>
      <c r="J356" s="65">
        <f t="shared" si="236"/>
        <v>-16.108133213553121</v>
      </c>
      <c r="K356" s="65">
        <f t="shared" si="237"/>
        <v>18.262484120408232</v>
      </c>
      <c r="L356" s="65">
        <f t="shared" si="238"/>
        <v>-6.443253285421263</v>
      </c>
      <c r="M356">
        <f t="shared" si="239"/>
        <v>20.171807893506823</v>
      </c>
      <c r="N356">
        <f t="shared" si="240"/>
        <v>-0.20000286222929908</v>
      </c>
      <c r="O356">
        <f>IF(L356&lt;'Vehicle Data'!F$21,'Vehicle Data'!C$21,IF(L356&gt;'Vehicle Data'!C$21,'Vehicle Data'!C$20))</f>
        <v>0.6</v>
      </c>
      <c r="P356">
        <f>('Vehicle Data'!C$6*9.81*'Vehicle Data'!C$5*SIN(D356))/'Vehicle Data'!C$9</f>
        <v>-58.799790308189436</v>
      </c>
      <c r="Q356" s="107">
        <f>'Vehicle Data'!C$6*9.81*SIN(D356)</f>
        <v>-380.23864399295837</v>
      </c>
      <c r="R356">
        <f t="shared" si="234"/>
        <v>1089.5814850469587</v>
      </c>
      <c r="S356">
        <f>IF(Data!O356=0.6,'Vehicle Data'!E$21,IF(Data!O356 = 0.9,'Vehicle Data'!E$20))+(P356*O356)</f>
        <v>1515.092525815086</v>
      </c>
      <c r="T356">
        <f>IF(F356=3,'Vehicle Data'!H$16,IF(F356=2,'Vehicle Data'!H$15,IF(F356 = 1,'Vehicle Data'!G$14)))</f>
        <v>466.23005239380637</v>
      </c>
      <c r="U356" s="148">
        <f t="shared" si="241"/>
        <v>373.44300292364267</v>
      </c>
      <c r="V356" s="70" t="s">
        <v>77</v>
      </c>
      <c r="W356" s="99" t="s">
        <v>84</v>
      </c>
      <c r="X356">
        <f>IF(V356="S",'Vehicle Data'!C$14,IF(Data!V356 = "T1",'Vehicle Data'!P$2,IF(Data!V356="T2",'Vehicle Data'!P$3)))</f>
        <v>13.411199999999999</v>
      </c>
      <c r="Z356">
        <f t="shared" si="273"/>
        <v>9.8346900219386875</v>
      </c>
      <c r="AB356" t="b">
        <f>IF(AA356=1,'Vehicle Data'!I$14,IF(AA356=2,'Vehicle Data'!I$15,IF(AA356=3,'Vehicle Data'!I$16)))</f>
        <v>0</v>
      </c>
      <c r="AC356">
        <f>IF(Z356&lt;'Vehicle Data'!C$16,'Vehicle Data'!I$15,IF(Z356&lt;'Vehicle Data'!C$15,'Vehicle Data'!I$15,IF(Z355&gt;'Vehicle Data'!C$15,'Vehicle Data'!I$16)))</f>
        <v>0.46202745420001456</v>
      </c>
      <c r="AD356">
        <f>IF(O356=0.6,'Vehicle Data'!F$21,IF(O356=0.9,'Vehicle Data'!F$20))</f>
        <v>3.5315999999999996</v>
      </c>
      <c r="AE356" s="100">
        <f t="shared" si="272"/>
        <v>0.46202745420001456</v>
      </c>
      <c r="AF356" s="158">
        <f t="shared" si="263"/>
        <v>0.23864764307612391</v>
      </c>
      <c r="AG356" s="148">
        <f t="shared" si="246"/>
        <v>0.46464691921087209</v>
      </c>
      <c r="AH356" s="148">
        <f t="shared" si="264"/>
        <v>119.1791271528116</v>
      </c>
      <c r="AJ356">
        <f>(Z356^2)*'Vehicle Data'!C$31</f>
        <v>35.545014476650501</v>
      </c>
      <c r="AK356">
        <f>IF(O356=0.6,'Vehicle Data'!C$6*'Vehicle Data'!D$21*9.81,IF(O356=0.9,'Vehicle Data'!C$6*9.81*'Vehicle Data'!D$20))</f>
        <v>86.131799999999998</v>
      </c>
      <c r="AL356">
        <f t="shared" si="243"/>
        <v>-258.56182951630785</v>
      </c>
      <c r="AN356">
        <f>IF(AG356&gt;0,AG356*'Vehicle Data'!C$6)</f>
        <v>203.97999753357286</v>
      </c>
      <c r="AO356">
        <f t="shared" si="247"/>
        <v>-54.581831982734997</v>
      </c>
      <c r="AP356">
        <f>AO356*'Vehicle Data'!F$3</f>
        <v>-13.951116254787065</v>
      </c>
      <c r="AQ356">
        <f>IF(AE356='Vehicle Data'!I$15,AP356/'Vehicle Data'!G$15,IF(AE356='Vehicle Data'!I$16,AP356/'Vehicle Data'!G$16,IF(AE356='Vehicle Data'!I$14,Data!AP356/'Vehicle Data'!G367)))</f>
        <v>-2.5755532005171999</v>
      </c>
      <c r="AR356">
        <f>IF(Z356&lt;'Vehicle Data'!C$16, Z356*'Vehicle Data'!F$7*'Vehicle Data'!G$14,IF(Z356&lt;'Vehicle Data'!C$15,Z356*'Vehicle Data'!F$7*'Vehicle Data'!G$15,IF(Z356&gt;'Vehicle Data'!C$15,Z356*'Vehicle Data'!F$7*'Vehicle Data'!G$16)))</f>
        <v>85.553902899033176</v>
      </c>
      <c r="AS356">
        <f t="shared" si="265"/>
        <v>5133.2341739419908</v>
      </c>
      <c r="AT356">
        <f t="shared" si="266"/>
        <v>-3</v>
      </c>
      <c r="AU356">
        <f t="shared" si="267"/>
        <v>5000</v>
      </c>
      <c r="AW356" t="e">
        <f>VLOOKUP(AT356,BSFC!A$64:A$82,1,FALSE)</f>
        <v>#N/A</v>
      </c>
      <c r="AX356" t="e" cm="1">
        <f t="array" ref="AX356">_xlfn.XLOOKUP(AT356,BSFC!A$64:A$82,,-1,_xlfn.XLOOKUP(Data!AU356,BSFC!C$63:Q$63,BSFC!B$64:Q$82,,-1))</f>
        <v>#VALUE!</v>
      </c>
      <c r="AY356">
        <f>HLOOKUP(AU356,BSFC!F$63:Q$63,1)</f>
        <v>5000</v>
      </c>
      <c r="AZ356">
        <f>IF(AT356&gt;0,MATCH(AT356,BSFC!A$64:A$83,0),IF(AT356&lt;=0,0))</f>
        <v>0</v>
      </c>
      <c r="BA356">
        <f>MATCH(AU356,BSFC!C$63:Q$63,0)</f>
        <v>10</v>
      </c>
      <c r="BB356" t="b" cm="1">
        <f t="array" ref="BB356">IF(AZ356&gt;0,INDEX(BSFC!C$64:Q$83,Data!AZ356,Data!BA356))</f>
        <v>0</v>
      </c>
      <c r="BC356">
        <f>0.5*'Vehicle Data'!C$6*Data!Z356^2</f>
        <v>21230.287558162672</v>
      </c>
      <c r="BD356">
        <f t="shared" si="248"/>
        <v>6.4979271417635163</v>
      </c>
      <c r="BE356">
        <f t="shared" si="268"/>
        <v>0</v>
      </c>
      <c r="BF356">
        <v>2.3E-2</v>
      </c>
      <c r="BG356">
        <f t="shared" si="249"/>
        <v>145.4470486526194</v>
      </c>
      <c r="BH356">
        <f t="shared" si="271"/>
        <v>-1378.9025558719818</v>
      </c>
      <c r="BI356" s="148">
        <f t="shared" si="250"/>
        <v>6871.6622130335309</v>
      </c>
      <c r="BO356">
        <f t="shared" si="251"/>
        <v>-319.76258937567638</v>
      </c>
      <c r="BP356">
        <f t="shared" si="252"/>
        <v>662307.49130468303</v>
      </c>
      <c r="BQ356">
        <f t="shared" si="253"/>
        <v>874454.09466157504</v>
      </c>
      <c r="BR356" s="148">
        <f t="shared" si="254"/>
        <v>820552.21862026281</v>
      </c>
      <c r="BS356" s="156" t="b">
        <f t="shared" si="255"/>
        <v>0</v>
      </c>
      <c r="BT356" s="156">
        <f t="shared" si="256"/>
        <v>0</v>
      </c>
      <c r="BU356">
        <f t="shared" si="257"/>
        <v>1593.5139819688545</v>
      </c>
      <c r="BV356">
        <f t="shared" si="258"/>
        <v>1593.5139819688545</v>
      </c>
      <c r="BW356" s="148">
        <f t="shared" si="259"/>
        <v>455.4</v>
      </c>
      <c r="BX356" s="148">
        <f t="shared" si="260"/>
        <v>3129354.9718154697</v>
      </c>
      <c r="BY356" s="148">
        <f t="shared" si="261"/>
        <v>0.20157951871906007</v>
      </c>
      <c r="BZ356">
        <f t="shared" si="244"/>
        <v>119.1791271528116</v>
      </c>
      <c r="CB356">
        <f t="shared" si="262"/>
        <v>1593.5139819688545</v>
      </c>
      <c r="CC356" s="162">
        <f t="shared" si="245"/>
        <v>6677.2667914452304</v>
      </c>
      <c r="CD356">
        <f t="shared" si="270"/>
        <v>-54633.816520338631</v>
      </c>
    </row>
    <row r="357" spans="4:82" x14ac:dyDescent="0.2">
      <c r="D357" s="22">
        <f t="shared" si="235"/>
        <v>-0.13527965497370459</v>
      </c>
      <c r="E357" s="23">
        <v>9.8859010845241126</v>
      </c>
      <c r="F357" s="23">
        <f>IF(K357&lt;6,1,IF(Data!K357&lt;9,2,IF(K357&gt;9,3)))</f>
        <v>3</v>
      </c>
      <c r="G357" s="23">
        <v>1094.1523320865667</v>
      </c>
      <c r="H357" s="23">
        <v>220.51666499999999</v>
      </c>
      <c r="I357" s="64">
        <v>44.85080364034274</v>
      </c>
      <c r="J357" s="65">
        <f t="shared" si="236"/>
        <v>-16.366979109841655</v>
      </c>
      <c r="K357" s="65">
        <f t="shared" si="237"/>
        <v>17.940321456137095</v>
      </c>
      <c r="L357" s="65">
        <f t="shared" si="238"/>
        <v>-6.5467916439366327</v>
      </c>
      <c r="M357">
        <f t="shared" si="239"/>
        <v>19.771802169048225</v>
      </c>
      <c r="N357">
        <f t="shared" si="240"/>
        <v>-0.29999713777051795</v>
      </c>
      <c r="O357">
        <f>IF(L357&lt;'Vehicle Data'!F$21,'Vehicle Data'!C$21,IF(L357&gt;'Vehicle Data'!C$21,'Vehicle Data'!C$20))</f>
        <v>0.6</v>
      </c>
      <c r="P357">
        <f>('Vehicle Data'!C$6*9.81*'Vehicle Data'!C$5*SIN(D357))/'Vehicle Data'!C$9</f>
        <v>-89.817319491794251</v>
      </c>
      <c r="Q357" s="107">
        <f>'Vehicle Data'!C$6*9.81*SIN(D357)</f>
        <v>-580.81866604693607</v>
      </c>
      <c r="R357">
        <f t="shared" si="234"/>
        <v>1091.8870959248682</v>
      </c>
      <c r="S357">
        <f>IF(Data!O357=0.6,'Vehicle Data'!E$21,IF(Data!O357 = 0.9,'Vehicle Data'!E$20))+(P357*O357)</f>
        <v>1496.4820083049233</v>
      </c>
      <c r="T357">
        <f>IF(F357=3,'Vehicle Data'!H$16,IF(F357=2,'Vehicle Data'!H$15,IF(F357 = 1,'Vehicle Data'!G$14)))</f>
        <v>466.23005239380637</v>
      </c>
      <c r="U357" s="148">
        <f t="shared" si="241"/>
        <v>375.7486138015521</v>
      </c>
      <c r="V357" s="70" t="s">
        <v>77</v>
      </c>
      <c r="W357" s="99" t="s">
        <v>84</v>
      </c>
      <c r="X357">
        <f>IF(V357="S",'Vehicle Data'!C$14,IF(Data!V357 = "T1",'Vehicle Data'!P$2,IF(Data!V357="T2",'Vehicle Data'!P$3)))</f>
        <v>13.411199999999999</v>
      </c>
      <c r="Z357">
        <f t="shared" si="273"/>
        <v>9.9424161488147877</v>
      </c>
      <c r="AB357" t="b">
        <f>IF(AA357=1,'Vehicle Data'!I$14,IF(AA357=2,'Vehicle Data'!I$15,IF(AA357=3,'Vehicle Data'!I$16)))</f>
        <v>0</v>
      </c>
      <c r="AC357">
        <f>IF(Z357&lt;'Vehicle Data'!C$16,'Vehicle Data'!I$15,IF(Z357&lt;'Vehicle Data'!C$15,'Vehicle Data'!I$15,IF(Z356&gt;'Vehicle Data'!C$15,'Vehicle Data'!I$16)))</f>
        <v>0.46202745420001456</v>
      </c>
      <c r="AD357">
        <f>IF(O357=0.6,'Vehicle Data'!F$21,IF(O357=0.9,'Vehicle Data'!F$20))</f>
        <v>3.5315999999999996</v>
      </c>
      <c r="AE357" s="100">
        <f t="shared" si="272"/>
        <v>0.46202745420001456</v>
      </c>
      <c r="AF357" s="158">
        <f t="shared" si="263"/>
        <v>0.23189643678154395</v>
      </c>
      <c r="AG357" s="148">
        <f t="shared" si="246"/>
        <v>0.46454412310605164</v>
      </c>
      <c r="AH357" s="148">
        <f t="shared" si="264"/>
        <v>119.41102358959314</v>
      </c>
      <c r="AJ357">
        <f>(Z357^2)*'Vehicle Data'!C$31</f>
        <v>36.327977287008316</v>
      </c>
      <c r="AK357">
        <f>IF(O357=0.6,'Vehicle Data'!C$6*'Vehicle Data'!D$21*9.81,IF(O357=0.9,'Vehicle Data'!C$6*9.81*'Vehicle Data'!D$20))</f>
        <v>86.131799999999998</v>
      </c>
      <c r="AL357">
        <f t="shared" si="243"/>
        <v>-458.35888875992777</v>
      </c>
      <c r="AN357">
        <f>IF(AG357&gt;0,AG357*'Vehicle Data'!C$6)</f>
        <v>203.93487004355666</v>
      </c>
      <c r="AO357">
        <f t="shared" si="247"/>
        <v>-254.42401871637111</v>
      </c>
      <c r="AP357">
        <f>AO357*'Vehicle Data'!F$3</f>
        <v>-65.030779183904457</v>
      </c>
      <c r="AQ357">
        <f>IF(AE357='Vehicle Data'!I$15,AP357/'Vehicle Data'!G$15,IF(AE357='Vehicle Data'!I$16,AP357/'Vehicle Data'!G$16,IF(AE357='Vehicle Data'!I$14,Data!AP357/'Vehicle Data'!G368)))</f>
        <v>-12.005507545087031</v>
      </c>
      <c r="AR357">
        <f>IF(Z357&lt;'Vehicle Data'!C$16, Z357*'Vehicle Data'!F$7*'Vehicle Data'!G$14,IF(Z357&lt;'Vehicle Data'!C$15,Z357*'Vehicle Data'!F$7*'Vehicle Data'!G$15,IF(Z357&gt;'Vehicle Data'!C$15,Z357*'Vehicle Data'!F$7*'Vehicle Data'!G$16)))</f>
        <v>86.49103366552275</v>
      </c>
      <c r="AS357">
        <f t="shared" si="265"/>
        <v>5189.4620199313649</v>
      </c>
      <c r="AT357">
        <f t="shared" si="266"/>
        <v>-12</v>
      </c>
      <c r="AU357">
        <f t="shared" si="267"/>
        <v>5000</v>
      </c>
      <c r="AW357" t="e">
        <f>VLOOKUP(AT357,BSFC!A$64:A$82,1,FALSE)</f>
        <v>#N/A</v>
      </c>
      <c r="AX357" t="e" cm="1">
        <f t="array" ref="AX357">_xlfn.XLOOKUP(AT357,BSFC!A$64:A$82,,-1,_xlfn.XLOOKUP(Data!AU357,BSFC!C$63:Q$63,BSFC!B$64:Q$82,,-1))</f>
        <v>#VALUE!</v>
      </c>
      <c r="AY357">
        <f>HLOOKUP(AU357,BSFC!F$63:Q$63,1)</f>
        <v>5000</v>
      </c>
      <c r="AZ357">
        <f>IF(AT357&gt;0,MATCH(AT357,BSFC!A$64:A$83,0),IF(AT357&lt;=0,0))</f>
        <v>0</v>
      </c>
      <c r="BA357">
        <f>MATCH(AU357,BSFC!C$63:Q$63,0)</f>
        <v>10</v>
      </c>
      <c r="BB357" t="b" cm="1">
        <f t="array" ref="BB357">IF(AZ357&gt;0,INDEX(BSFC!C$64:Q$83,Data!AZ357,Data!BA357))</f>
        <v>0</v>
      </c>
      <c r="BC357">
        <f>0.5*'Vehicle Data'!C$6*Data!Z357^2</f>
        <v>21697.93473332877</v>
      </c>
      <c r="BD357">
        <f t="shared" si="248"/>
        <v>0</v>
      </c>
      <c r="BE357">
        <f t="shared" si="268"/>
        <v>0</v>
      </c>
      <c r="BF357">
        <v>2.3E-2</v>
      </c>
      <c r="BG357">
        <f t="shared" si="249"/>
        <v>145.4700486526194</v>
      </c>
      <c r="BH357">
        <f t="shared" si="271"/>
        <v>-6497.9271417635164</v>
      </c>
      <c r="BI357" s="148">
        <f t="shared" si="250"/>
        <v>6871.6622130335309</v>
      </c>
      <c r="BO357">
        <f t="shared" si="251"/>
        <v>-1465.0291239831979</v>
      </c>
      <c r="BP357">
        <f t="shared" si="252"/>
        <v>660842.4621806998</v>
      </c>
      <c r="BQ357">
        <f t="shared" si="253"/>
        <v>874454.09466157504</v>
      </c>
      <c r="BR357" s="148">
        <f t="shared" si="254"/>
        <v>822101.51042557799</v>
      </c>
      <c r="BS357" s="156" t="b">
        <f t="shared" si="255"/>
        <v>0</v>
      </c>
      <c r="BT357" s="156">
        <f t="shared" si="256"/>
        <v>0</v>
      </c>
      <c r="BU357">
        <f t="shared" si="257"/>
        <v>1549.2918053151263</v>
      </c>
      <c r="BV357">
        <f t="shared" si="258"/>
        <v>1549.2918053151263</v>
      </c>
      <c r="BW357" s="148">
        <f t="shared" si="259"/>
        <v>455.4</v>
      </c>
      <c r="BX357" s="148">
        <f t="shared" si="260"/>
        <v>3129354.9718154697</v>
      </c>
      <c r="BY357" s="148">
        <f t="shared" si="261"/>
        <v>0.19598541337236347</v>
      </c>
      <c r="BZ357">
        <f t="shared" si="244"/>
        <v>119.41102358959314</v>
      </c>
      <c r="CB357">
        <f t="shared" si="262"/>
        <v>1549.2918053151263</v>
      </c>
      <c r="CC357" s="162">
        <f t="shared" si="245"/>
        <v>6680.9642563617817</v>
      </c>
      <c r="CD357">
        <f t="shared" si="270"/>
        <v>-53084.524715023501</v>
      </c>
    </row>
    <row r="358" spans="4:82" x14ac:dyDescent="0.2">
      <c r="D358" s="22">
        <f t="shared" si="235"/>
        <v>-0.1378028096821646</v>
      </c>
      <c r="E358" s="23">
        <v>9.5859039467535947</v>
      </c>
      <c r="F358" s="23">
        <f>IF(K358&lt;6,1,IF(Data!K358&lt;9,2,IF(K358&gt;9,3)))</f>
        <v>3</v>
      </c>
      <c r="G358" s="23">
        <v>1096.3767176806873</v>
      </c>
      <c r="H358" s="23">
        <v>220.566665</v>
      </c>
      <c r="I358" s="64">
        <v>44.032454684850471</v>
      </c>
      <c r="J358" s="65">
        <f t="shared" si="236"/>
        <v>-15.79245069171121</v>
      </c>
      <c r="K358" s="65">
        <f t="shared" si="237"/>
        <v>17.612981873940189</v>
      </c>
      <c r="L358" s="65">
        <f t="shared" si="238"/>
        <v>-6.3169802766845127</v>
      </c>
      <c r="M358">
        <f t="shared" si="239"/>
        <v>19.171807893507189</v>
      </c>
      <c r="N358">
        <f t="shared" si="240"/>
        <v>-0.30000138864842896</v>
      </c>
      <c r="O358">
        <f>IF(L358&lt;'Vehicle Data'!F$21,'Vehicle Data'!C$21,IF(L358&gt;'Vehicle Data'!C$21,'Vehicle Data'!C$20))</f>
        <v>0.6</v>
      </c>
      <c r="P358">
        <f>('Vehicle Data'!C$6*9.81*'Vehicle Data'!C$5*SIN(D358))/'Vehicle Data'!C$9</f>
        <v>-91.482018761150869</v>
      </c>
      <c r="Q358" s="107">
        <f>'Vehicle Data'!C$6*9.81*SIN(D358)</f>
        <v>-591.58372132210889</v>
      </c>
      <c r="R358">
        <f t="shared" si="234"/>
        <v>1094.1523320865667</v>
      </c>
      <c r="S358">
        <f>IF(Data!O358=0.6,'Vehicle Data'!E$21,IF(Data!O358 = 0.9,'Vehicle Data'!E$20))+(P358*O358)</f>
        <v>1495.4831887433093</v>
      </c>
      <c r="T358">
        <f>IF(F358=3,'Vehicle Data'!H$16,IF(F358=2,'Vehicle Data'!H$15,IF(F358 = 1,'Vehicle Data'!G$14)))</f>
        <v>466.23005239380637</v>
      </c>
      <c r="U358" s="148">
        <f t="shared" si="241"/>
        <v>378.01384996325066</v>
      </c>
      <c r="V358" s="70" t="s">
        <v>77</v>
      </c>
      <c r="W358" s="99" t="s">
        <v>84</v>
      </c>
      <c r="X358">
        <f>IF(V358="S",'Vehicle Data'!C$14,IF(Data!V358 = "T1",'Vehicle Data'!P$2,IF(Data!V358="T2",'Vehicle Data'!P$3)))</f>
        <v>13.411199999999999</v>
      </c>
      <c r="Z358">
        <f t="shared" si="273"/>
        <v>10.047131006915151</v>
      </c>
      <c r="AB358" t="b">
        <f>IF(AA358=1,'Vehicle Data'!I$14,IF(AA358=2,'Vehicle Data'!I$15,IF(AA358=3,'Vehicle Data'!I$16)))</f>
        <v>0</v>
      </c>
      <c r="AC358">
        <v>1.3037776999999999</v>
      </c>
      <c r="AD358">
        <f>IF(O358=0.6,'Vehicle Data'!F$21,IF(O358=0.9,'Vehicle Data'!F$20))</f>
        <v>3.5315999999999996</v>
      </c>
      <c r="AE358" s="100">
        <f t="shared" si="272"/>
        <v>1.3037776999999999</v>
      </c>
      <c r="AF358" s="158">
        <f t="shared" si="263"/>
        <v>0.22546099579466719</v>
      </c>
      <c r="AG358" s="148">
        <f t="shared" si="246"/>
        <v>0.46444777612767218</v>
      </c>
      <c r="AH358" s="148">
        <f t="shared" si="264"/>
        <v>119.63648458538781</v>
      </c>
      <c r="AJ358">
        <f>(Z358^2)*'Vehicle Data'!C$31</f>
        <v>37.097229240267588</v>
      </c>
      <c r="AK358">
        <f>IF(O358=0.6,'Vehicle Data'!C$6*'Vehicle Data'!D$21*9.81,IF(O358=0.9,'Vehicle Data'!C$6*9.81*'Vehicle Data'!D$20))</f>
        <v>86.131799999999998</v>
      </c>
      <c r="AL358">
        <f t="shared" si="243"/>
        <v>-468.35469208184134</v>
      </c>
      <c r="AN358">
        <f>IF(AG358&gt;0,AG358*'Vehicle Data'!C$6)</f>
        <v>203.89257372004809</v>
      </c>
      <c r="AO358">
        <f t="shared" si="247"/>
        <v>-264.46211836179327</v>
      </c>
      <c r="AP358">
        <f>AO358*'Vehicle Data'!F$3</f>
        <v>-67.596517453274359</v>
      </c>
      <c r="AQ358" t="b">
        <f>IF(AE358='Vehicle Data'!I$15,AP358/'Vehicle Data'!G$15,IF(AE358='Vehicle Data'!I$16,AP358/'Vehicle Data'!G$16,IF(AE358='Vehicle Data'!I$14,Data!AP358/'Vehicle Data'!G369)))</f>
        <v>0</v>
      </c>
      <c r="AR358">
        <f>IF(Z358&lt;'Vehicle Data'!C$16, Z358*'Vehicle Data'!F$7*'Vehicle Data'!G$14,IF(Z358&lt;'Vehicle Data'!C$15,Z358*'Vehicle Data'!F$7*'Vehicle Data'!G$15,IF(Z358&gt;'Vehicle Data'!C$15,Z358*'Vehicle Data'!F$7*'Vehicle Data'!G$16)))</f>
        <v>87.401968812641755</v>
      </c>
      <c r="AS358">
        <f t="shared" si="265"/>
        <v>5244.118128758505</v>
      </c>
      <c r="AT358">
        <f t="shared" si="266"/>
        <v>0</v>
      </c>
      <c r="AU358">
        <f t="shared" si="267"/>
        <v>5000</v>
      </c>
      <c r="AW358" t="e">
        <f>VLOOKUP(AT358,BSFC!A$64:A$82,1,FALSE)</f>
        <v>#N/A</v>
      </c>
      <c r="AX358" t="e" cm="1">
        <f t="array" ref="AX358">_xlfn.XLOOKUP(AT358,BSFC!A$64:A$82,,-1,_xlfn.XLOOKUP(Data!AU358,BSFC!C$63:Q$63,BSFC!B$64:Q$82,,-1))</f>
        <v>#VALUE!</v>
      </c>
      <c r="AY358">
        <f>HLOOKUP(AU358,BSFC!F$63:Q$63,1)</f>
        <v>5000</v>
      </c>
      <c r="AZ358">
        <f>IF(AT358&gt;0,MATCH(AT358,BSFC!A$64:A$83,0),IF(AT358&lt;=0,0))</f>
        <v>0</v>
      </c>
      <c r="BA358">
        <f>MATCH(AU358,BSFC!C$63:Q$63,0)</f>
        <v>10</v>
      </c>
      <c r="BB358" t="b" cm="1">
        <f t="array" ref="BB358">IF(AZ358&gt;0,INDEX(BSFC!C$64:Q$83,Data!AZ358,Data!BA358))</f>
        <v>0</v>
      </c>
      <c r="BC358">
        <f>0.5*'Vehicle Data'!C$6*Data!Z358^2</f>
        <v>22157.392702690431</v>
      </c>
      <c r="BD358">
        <f t="shared" si="248"/>
        <v>3.5864720281922668</v>
      </c>
      <c r="BE358">
        <f t="shared" si="268"/>
        <v>0</v>
      </c>
      <c r="BF358">
        <v>2.3E-2</v>
      </c>
      <c r="BG358">
        <f t="shared" si="249"/>
        <v>145.49304865261939</v>
      </c>
      <c r="BH358">
        <f t="shared" si="271"/>
        <v>0</v>
      </c>
      <c r="BI358" s="148">
        <f t="shared" si="250"/>
        <v>6871.6622130335309</v>
      </c>
      <c r="BO358">
        <f t="shared" si="251"/>
        <v>0</v>
      </c>
      <c r="BP358">
        <f t="shared" si="252"/>
        <v>660842.4621806998</v>
      </c>
      <c r="BQ358">
        <f t="shared" si="253"/>
        <v>874454.09466157504</v>
      </c>
      <c r="BR358" s="148">
        <f t="shared" si="254"/>
        <v>823580.95263059868</v>
      </c>
      <c r="BS358" s="156" t="b">
        <f t="shared" si="255"/>
        <v>0</v>
      </c>
      <c r="BT358" s="156">
        <f t="shared" si="256"/>
        <v>0</v>
      </c>
      <c r="BU358">
        <f t="shared" si="257"/>
        <v>1479.4422050206522</v>
      </c>
      <c r="BV358">
        <f t="shared" si="258"/>
        <v>1479.4422050206522</v>
      </c>
      <c r="BW358" s="148">
        <f t="shared" si="259"/>
        <v>455.4</v>
      </c>
      <c r="BX358" s="148">
        <f t="shared" si="260"/>
        <v>3129354.9718154697</v>
      </c>
      <c r="BY358" s="148">
        <f t="shared" si="261"/>
        <v>0.18714943893511249</v>
      </c>
      <c r="BZ358">
        <f t="shared" si="244"/>
        <v>119.63648458538781</v>
      </c>
      <c r="CB358">
        <f t="shared" si="262"/>
        <v>1479.4422050206522</v>
      </c>
      <c r="CC358" s="162">
        <f t="shared" si="245"/>
        <v>6561.8543012559276</v>
      </c>
      <c r="CD358">
        <f t="shared" si="270"/>
        <v>-51605.082510002845</v>
      </c>
    </row>
    <row r="359" spans="4:82" x14ac:dyDescent="0.2">
      <c r="D359" s="22">
        <f t="shared" si="235"/>
        <v>-0.13288009181467</v>
      </c>
      <c r="E359" s="23">
        <v>9.2859025581051657</v>
      </c>
      <c r="F359" s="23">
        <f>IF(K359&lt;6,1,IF(Data!K359&lt;9,2,IF(K359&gt;9,3)))</f>
        <v>3</v>
      </c>
      <c r="G359" s="23">
        <v>1098.5606570518587</v>
      </c>
      <c r="H359" s="23">
        <v>220.61666499999998</v>
      </c>
      <c r="I359" s="64">
        <v>43.24283215026518</v>
      </c>
      <c r="J359" s="65">
        <f t="shared" si="236"/>
        <v>-15.168623118003911</v>
      </c>
      <c r="K359" s="65">
        <f t="shared" si="237"/>
        <v>17.297132860106071</v>
      </c>
      <c r="L359" s="65">
        <f t="shared" si="238"/>
        <v>-6.0674492472015791</v>
      </c>
      <c r="M359">
        <f t="shared" si="239"/>
        <v>18.571805116210331</v>
      </c>
      <c r="N359">
        <f t="shared" si="240"/>
        <v>-0.28420095810516699</v>
      </c>
      <c r="O359">
        <f>IF(L359&lt;'Vehicle Data'!F$21,'Vehicle Data'!C$21,IF(L359&gt;'Vehicle Data'!C$21,'Vehicle Data'!C$20))</f>
        <v>0.6</v>
      </c>
      <c r="P359">
        <f>('Vehicle Data'!C$6*9.81*'Vehicle Data'!C$5*SIN(D359))/'Vehicle Data'!C$9</f>
        <v>-88.233631457817623</v>
      </c>
      <c r="Q359" s="107">
        <f>'Vehicle Data'!C$6*9.81*SIN(D359)</f>
        <v>-570.57748342722061</v>
      </c>
      <c r="R359">
        <f t="shared" si="234"/>
        <v>1096.3767176806873</v>
      </c>
      <c r="S359">
        <f>IF(Data!O359=0.6,'Vehicle Data'!E$21,IF(Data!O359 = 0.9,'Vehicle Data'!E$20))+(P359*O359)</f>
        <v>1497.4322211253091</v>
      </c>
      <c r="T359">
        <f>IF(F359=3,'Vehicle Data'!H$16,IF(F359=2,'Vehicle Data'!H$15,IF(F359 = 1,'Vehicle Data'!G$14)))</f>
        <v>466.23005239380637</v>
      </c>
      <c r="U359" s="148">
        <f t="shared" si="241"/>
        <v>380.23823555737124</v>
      </c>
      <c r="V359" s="70" t="s">
        <v>77</v>
      </c>
      <c r="W359" s="99" t="s">
        <v>84</v>
      </c>
      <c r="X359">
        <f>IF(V359="S",'Vehicle Data'!C$14,IF(Data!V359 = "T1",'Vehicle Data'!P$2,IF(Data!V359="T2",'Vehicle Data'!P$3)))</f>
        <v>13.411199999999999</v>
      </c>
      <c r="Z359">
        <f t="shared" si="273"/>
        <v>10.331749616485446</v>
      </c>
      <c r="AB359" t="b">
        <f>IF(AA359=1,'Vehicle Data'!I$14,IF(AA359=2,'Vehicle Data'!I$15,IF(AA359=3,'Vehicle Data'!I$16)))</f>
        <v>0</v>
      </c>
      <c r="AC359">
        <f>IF(Z359&lt;'Vehicle Data'!C$16,'Vehicle Data'!I$15,IF(Z359&lt;'Vehicle Data'!C$15,'Vehicle Data'!I$15,IF(Z358&gt;'Vehicle Data'!C$15,'Vehicle Data'!I$16)))</f>
        <v>0.46202745420001456</v>
      </c>
      <c r="AD359">
        <f>IF(O359=0.6,'Vehicle Data'!F$21,IF(O359=0.9,'Vehicle Data'!F$20))</f>
        <v>3.5315999999999996</v>
      </c>
      <c r="AE359" s="100">
        <f t="shared" si="272"/>
        <v>0.46202745420001456</v>
      </c>
      <c r="AF359" s="158">
        <f t="shared" si="263"/>
        <v>0.21529611892368394</v>
      </c>
      <c r="AG359" s="148">
        <f t="shared" si="246"/>
        <v>1.3219867176109363</v>
      </c>
      <c r="AH359" s="148">
        <f t="shared" si="264"/>
        <v>119.85178070431149</v>
      </c>
      <c r="AJ359">
        <f>(Z359^2)*'Vehicle Data'!C$31</f>
        <v>39.22880592562209</v>
      </c>
      <c r="AK359">
        <f>IF(O359=0.6,'Vehicle Data'!C$6*'Vehicle Data'!D$21*9.81,IF(O359=0.9,'Vehicle Data'!C$6*9.81*'Vehicle Data'!D$20))</f>
        <v>86.131799999999998</v>
      </c>
      <c r="AL359">
        <f t="shared" si="243"/>
        <v>-445.21687750159856</v>
      </c>
      <c r="AN359">
        <f>IF(AG359&gt;0,AG359*'Vehicle Data'!C$6)</f>
        <v>580.35216903120102</v>
      </c>
      <c r="AO359">
        <f t="shared" si="247"/>
        <v>135.13529152960245</v>
      </c>
      <c r="AP359">
        <f>AO359*'Vehicle Data'!F$3</f>
        <v>34.540580514966386</v>
      </c>
      <c r="AQ359">
        <f>IF(AE359='Vehicle Data'!I$15,AP359/'Vehicle Data'!G$15,IF(AE359='Vehicle Data'!I$16,AP359/'Vehicle Data'!G$16,IF(AE359='Vehicle Data'!I$14,Data!AP359/'Vehicle Data'!G370)))</f>
        <v>6.3766297311527582</v>
      </c>
      <c r="AR359">
        <f>IF(Z359&lt;'Vehicle Data'!C$16, Z359*'Vehicle Data'!F$7*'Vehicle Data'!G$14,IF(Z359&lt;'Vehicle Data'!C$15,Z359*'Vehicle Data'!F$7*'Vehicle Data'!G$15,IF(Z359&gt;'Vehicle Data'!C$15,Z359*'Vehicle Data'!F$7*'Vehicle Data'!G$16)))</f>
        <v>89.877922079304525</v>
      </c>
      <c r="AS359">
        <f t="shared" si="265"/>
        <v>5392.6753247582719</v>
      </c>
      <c r="AT359">
        <f t="shared" si="266"/>
        <v>6</v>
      </c>
      <c r="AU359">
        <f t="shared" si="267"/>
        <v>5500</v>
      </c>
      <c r="AW359">
        <f>VLOOKUP(AT359,BSFC!A$64:A$82,1,FALSE)</f>
        <v>6</v>
      </c>
      <c r="AX359" t="e" cm="1">
        <f t="array" ref="AX359">_xlfn.XLOOKUP(AT359,BSFC!A$64:A$82,,-1,_xlfn.XLOOKUP(Data!AU359,BSFC!C$63:Q$63,BSFC!B$64:Q$82,,-1))</f>
        <v>#VALUE!</v>
      </c>
      <c r="AY359">
        <f>HLOOKUP(AU359,BSFC!F$63:Q$63,1)</f>
        <v>5500</v>
      </c>
      <c r="AZ359">
        <f>IF(AT359&gt;0,MATCH(AT359,BSFC!A$64:A$83,0),IF(AT359&lt;=0,0))</f>
        <v>17</v>
      </c>
      <c r="BA359">
        <f>MATCH(AU359,BSFC!C$63:Q$63,0)</f>
        <v>11</v>
      </c>
      <c r="BB359" cm="1">
        <f t="array" ref="BB359">IF(AZ359&gt;0,INDEX(BSFC!C$64:Q$83,Data!AZ359,Data!BA359))</f>
        <v>664</v>
      </c>
      <c r="BC359">
        <f>0.5*'Vehicle Data'!C$6*Data!Z359^2</f>
        <v>23430.538505235501</v>
      </c>
      <c r="BD359">
        <f t="shared" si="248"/>
        <v>3.3607524242129632</v>
      </c>
      <c r="BE359">
        <f t="shared" si="268"/>
        <v>2231.5396096774075</v>
      </c>
      <c r="BF359">
        <f t="shared" si="269"/>
        <v>0.13345606033000509</v>
      </c>
      <c r="BG359">
        <f t="shared" si="249"/>
        <v>145.62650471294941</v>
      </c>
      <c r="BH359">
        <f t="shared" si="271"/>
        <v>3586.4720281922669</v>
      </c>
      <c r="BI359" s="148">
        <f t="shared" si="250"/>
        <v>6871.6622130335309</v>
      </c>
      <c r="BO359">
        <f t="shared" si="251"/>
        <v>751.04710593459083</v>
      </c>
      <c r="BP359">
        <f t="shared" si="252"/>
        <v>661593.50928663439</v>
      </c>
      <c r="BQ359">
        <f t="shared" si="253"/>
        <v>875205.14176750963</v>
      </c>
      <c r="BR359" s="148">
        <f t="shared" si="254"/>
        <v>825019.95507575653</v>
      </c>
      <c r="BS359" s="156">
        <f t="shared" si="255"/>
        <v>751.04710593459083</v>
      </c>
      <c r="BT359" s="156">
        <f t="shared" si="256"/>
        <v>3586.4720281922669</v>
      </c>
      <c r="BU359">
        <f t="shared" si="257"/>
        <v>1439.0024451578538</v>
      </c>
      <c r="BV359">
        <f t="shared" si="258"/>
        <v>1439.0024451578538</v>
      </c>
      <c r="BW359" s="148">
        <f t="shared" si="259"/>
        <v>455.4</v>
      </c>
      <c r="BX359" s="148">
        <f t="shared" si="260"/>
        <v>3129354.9718154697</v>
      </c>
      <c r="BY359" s="148">
        <f t="shared" si="261"/>
        <v>0.18203380931246846</v>
      </c>
      <c r="BZ359">
        <f t="shared" si="244"/>
        <v>119.85178070431149</v>
      </c>
      <c r="CB359">
        <f t="shared" si="262"/>
        <v>687.95533922326297</v>
      </c>
      <c r="CC359" s="162">
        <f t="shared" si="245"/>
        <v>3195.391271623927</v>
      </c>
      <c r="CD359">
        <f t="shared" si="270"/>
        <v>-50917.127170779582</v>
      </c>
    </row>
    <row r="360" spans="4:82" x14ac:dyDescent="0.2">
      <c r="D360" s="22">
        <f t="shared" si="235"/>
        <v>-4.7487407732836003E-2</v>
      </c>
      <c r="E360" s="23">
        <v>9.0017015999999987</v>
      </c>
      <c r="F360" s="23">
        <f>IF(K360&lt;6,1,IF(Data!K360&lt;9,2,IF(K360&gt;9,3)))</f>
        <v>3</v>
      </c>
      <c r="G360" s="23">
        <v>1100.7057417068199</v>
      </c>
      <c r="H360" s="23">
        <v>220.66666499999999</v>
      </c>
      <c r="I360" s="64">
        <v>42.484400994364812</v>
      </c>
      <c r="J360" s="65">
        <f t="shared" si="236"/>
        <v>-15.514697512459497</v>
      </c>
      <c r="K360" s="65">
        <f t="shared" si="237"/>
        <v>16.993760397745923</v>
      </c>
      <c r="L360" s="65">
        <f t="shared" si="238"/>
        <v>-6.2058790049837702</v>
      </c>
      <c r="M360">
        <f t="shared" si="239"/>
        <v>18.003403199999997</v>
      </c>
      <c r="N360">
        <f t="shared" si="240"/>
        <v>-9.9998399999998711E-2</v>
      </c>
      <c r="O360">
        <f>IF(L360&lt;'Vehicle Data'!F$21,'Vehicle Data'!C$21,IF(L360&gt;'Vehicle Data'!C$21,'Vehicle Data'!C$20))</f>
        <v>0.6</v>
      </c>
      <c r="P360">
        <f>('Vehicle Data'!C$6*9.81*'Vehicle Data'!C$5*SIN(D360))/'Vehicle Data'!C$9</f>
        <v>-31.61318673325453</v>
      </c>
      <c r="Q360" s="107">
        <f>'Vehicle Data'!C$6*9.81*SIN(D360)</f>
        <v>-204.43194087504597</v>
      </c>
      <c r="R360">
        <f t="shared" si="234"/>
        <v>1098.5606570518587</v>
      </c>
      <c r="S360">
        <f>IF(Data!O360=0.6,'Vehicle Data'!E$21,IF(Data!O360 = 0.9,'Vehicle Data'!E$20))+(P360*O360)</f>
        <v>1531.4044879600469</v>
      </c>
      <c r="T360">
        <f>IF(F360=3,'Vehicle Data'!H$16,IF(F360=2,'Vehicle Data'!H$15,IF(F360 = 1,'Vehicle Data'!G$14)))</f>
        <v>466.23005239380637</v>
      </c>
      <c r="U360" s="148">
        <f t="shared" si="241"/>
        <v>382.42217492854263</v>
      </c>
      <c r="V360" s="70" t="s">
        <v>77</v>
      </c>
      <c r="W360" s="99" t="s">
        <v>84</v>
      </c>
      <c r="X360">
        <f>IF(V360="S",'Vehicle Data'!C$14,IF(Data!V360 = "T1",'Vehicle Data'!P$2,IF(Data!V360="T2",'Vehicle Data'!P$3)))</f>
        <v>13.411199999999999</v>
      </c>
      <c r="Z360">
        <f t="shared" si="273"/>
        <v>10.428956325219037</v>
      </c>
      <c r="AB360" t="b">
        <f>IF(AA360=1,'Vehicle Data'!I$14,IF(AA360=2,'Vehicle Data'!I$15,IF(AA360=3,'Vehicle Data'!I$16)))</f>
        <v>0</v>
      </c>
      <c r="AC360">
        <f>IF(Z360&lt;'Vehicle Data'!C$16,'Vehicle Data'!I$15,IF(Z360&lt;'Vehicle Data'!C$15,'Vehicle Data'!I$15,IF(Z359&gt;'Vehicle Data'!C$15,'Vehicle Data'!I$16)))</f>
        <v>0.46202745420001456</v>
      </c>
      <c r="AD360">
        <f>IF(O360=0.6,'Vehicle Data'!F$21,IF(O360=0.9,'Vehicle Data'!F$20))</f>
        <v>3.5315999999999996</v>
      </c>
      <c r="AE360" s="100">
        <f t="shared" si="272"/>
        <v>0.46202745420001456</v>
      </c>
      <c r="AF360" s="158">
        <f t="shared" si="263"/>
        <v>0.2094111148869465</v>
      </c>
      <c r="AG360" s="148">
        <f t="shared" si="246"/>
        <v>0.46419077987369117</v>
      </c>
      <c r="AH360" s="148">
        <f t="shared" si="264"/>
        <v>120.06119181919844</v>
      </c>
      <c r="AJ360">
        <f>(Z360^2)*'Vehicle Data'!C$31</f>
        <v>39.970450287247374</v>
      </c>
      <c r="AK360">
        <f>IF(O360=0.6,'Vehicle Data'!C$6*'Vehicle Data'!D$21*9.81,IF(O360=0.9,'Vehicle Data'!C$6*9.81*'Vehicle Data'!D$20))</f>
        <v>86.131799999999998</v>
      </c>
      <c r="AL360">
        <f t="shared" si="243"/>
        <v>-78.329690587798595</v>
      </c>
      <c r="AN360">
        <f>IF(AG360&gt;0,AG360*'Vehicle Data'!C$6)</f>
        <v>203.77975236455043</v>
      </c>
      <c r="AO360">
        <f t="shared" si="247"/>
        <v>125.45006177675184</v>
      </c>
      <c r="AP360">
        <f>AO360*'Vehicle Data'!F$3</f>
        <v>32.06503579013777</v>
      </c>
      <c r="AQ360">
        <f>IF(AE360='Vehicle Data'!I$15,AP360/'Vehicle Data'!G$15,IF(AE360='Vehicle Data'!I$16,AP360/'Vehicle Data'!G$16,IF(AE360='Vehicle Data'!I$14,Data!AP360/'Vehicle Data'!G371)))</f>
        <v>5.9196127425036931</v>
      </c>
      <c r="AR360">
        <f>IF(Z360&lt;'Vehicle Data'!C$16, Z360*'Vehicle Data'!F$7*'Vehicle Data'!G$14,IF(Z360&lt;'Vehicle Data'!C$15,Z360*'Vehicle Data'!F$7*'Vehicle Data'!G$15,IF(Z360&gt;'Vehicle Data'!C$15,Z360*'Vehicle Data'!F$7*'Vehicle Data'!G$16)))</f>
        <v>90.723542358294139</v>
      </c>
      <c r="AS360">
        <f t="shared" si="265"/>
        <v>5443.4125414976479</v>
      </c>
      <c r="AT360">
        <f t="shared" si="266"/>
        <v>6</v>
      </c>
      <c r="AU360">
        <f t="shared" si="267"/>
        <v>5500</v>
      </c>
      <c r="AW360">
        <f>VLOOKUP(AT360,BSFC!A$64:A$82,1,FALSE)</f>
        <v>6</v>
      </c>
      <c r="AX360" t="e" cm="1">
        <f t="array" ref="AX360">_xlfn.XLOOKUP(AT360,BSFC!A$64:A$82,,-1,_xlfn.XLOOKUP(Data!AU360,BSFC!C$63:Q$63,BSFC!B$64:Q$82,,-1))</f>
        <v>#VALUE!</v>
      </c>
      <c r="AY360">
        <f>HLOOKUP(AU360,BSFC!F$63:Q$63,1)</f>
        <v>5500</v>
      </c>
      <c r="AZ360">
        <f>IF(AT360&gt;0,MATCH(AT360,BSFC!A$64:A$83,0),IF(AT360&lt;=0,0))</f>
        <v>17</v>
      </c>
      <c r="BA360">
        <f>MATCH(AU360,BSFC!C$63:Q$63,0)</f>
        <v>11</v>
      </c>
      <c r="BB360" cm="1">
        <f t="array" ref="BB360">IF(AZ360&gt;0,INDEX(BSFC!C$64:Q$83,Data!AZ360,Data!BA360))</f>
        <v>664</v>
      </c>
      <c r="BC360">
        <f>0.5*'Vehicle Data'!C$6*Data!Z360^2</f>
        <v>23873.507042315094</v>
      </c>
      <c r="BD360">
        <f t="shared" si="248"/>
        <v>8.9363363461116343</v>
      </c>
      <c r="BE360">
        <f t="shared" si="268"/>
        <v>5933.7273338181249</v>
      </c>
      <c r="BF360">
        <f t="shared" si="269"/>
        <v>0.34516346011388949</v>
      </c>
      <c r="BG360">
        <f t="shared" si="249"/>
        <v>145.97166817306331</v>
      </c>
      <c r="BH360">
        <f t="shared" si="271"/>
        <v>3360.752424212963</v>
      </c>
      <c r="BI360" s="148">
        <f t="shared" si="250"/>
        <v>6871.6622130335309</v>
      </c>
      <c r="BO360">
        <f t="shared" si="251"/>
        <v>685.0437255458354</v>
      </c>
      <c r="BP360">
        <f t="shared" si="252"/>
        <v>662278.55301218026</v>
      </c>
      <c r="BQ360">
        <f t="shared" si="253"/>
        <v>875890.1854930555</v>
      </c>
      <c r="BR360" s="148">
        <f t="shared" si="254"/>
        <v>826420.65006572194</v>
      </c>
      <c r="BS360" s="156">
        <f t="shared" si="255"/>
        <v>685.0437255458354</v>
      </c>
      <c r="BT360" s="156">
        <f t="shared" si="256"/>
        <v>3360.752424212963</v>
      </c>
      <c r="BU360">
        <f t="shared" si="257"/>
        <v>1400.6949899653582</v>
      </c>
      <c r="BV360">
        <f t="shared" si="258"/>
        <v>1400.6949899653582</v>
      </c>
      <c r="BW360" s="148">
        <f t="shared" si="259"/>
        <v>455.4</v>
      </c>
      <c r="BX360" s="148">
        <f t="shared" si="260"/>
        <v>3129354.9718154697</v>
      </c>
      <c r="BY360" s="148">
        <f t="shared" si="261"/>
        <v>0.1771879162306178</v>
      </c>
      <c r="BZ360">
        <f t="shared" si="244"/>
        <v>120.06119181919844</v>
      </c>
      <c r="CB360">
        <f t="shared" si="262"/>
        <v>715.65126441952282</v>
      </c>
      <c r="CC360" s="162">
        <f t="shared" si="245"/>
        <v>3417.4464178077383</v>
      </c>
      <c r="CD360">
        <f t="shared" si="270"/>
        <v>-50201.475906360058</v>
      </c>
    </row>
    <row r="361" spans="4:82" x14ac:dyDescent="0.2">
      <c r="D361" s="22">
        <f t="shared" si="235"/>
        <v>0</v>
      </c>
      <c r="E361" s="23">
        <v>8.9017032</v>
      </c>
      <c r="F361" s="23">
        <f>IF(K361&lt;6,1,IF(Data!K361&lt;9,2,IF(K361&gt;9,3)))</f>
        <v>3</v>
      </c>
      <c r="G361" s="23">
        <v>1102.8123210779918</v>
      </c>
      <c r="H361" s="23">
        <v>220.71666499999998</v>
      </c>
      <c r="I361" s="64">
        <v>41.708666118742102</v>
      </c>
      <c r="J361" s="65">
        <f t="shared" si="236"/>
        <v>-16.151301331152176</v>
      </c>
      <c r="K361" s="65">
        <f t="shared" si="237"/>
        <v>16.683466447496841</v>
      </c>
      <c r="L361" s="65">
        <f t="shared" si="238"/>
        <v>-6.4605205324608992</v>
      </c>
      <c r="M361">
        <f t="shared" si="239"/>
        <v>17.8034064</v>
      </c>
      <c r="N361">
        <f t="shared" si="240"/>
        <v>0</v>
      </c>
      <c r="O361">
        <f>IF(L361&lt;'Vehicle Data'!F$21,'Vehicle Data'!C$21,IF(L361&gt;'Vehicle Data'!C$21,'Vehicle Data'!C$20))</f>
        <v>0.6</v>
      </c>
      <c r="P361">
        <f>('Vehicle Data'!C$6*9.81*'Vehicle Data'!C$5*SIN(D361))/'Vehicle Data'!C$9</f>
        <v>0</v>
      </c>
      <c r="Q361" s="107">
        <f>'Vehicle Data'!C$6*9.81*SIN(D361)</f>
        <v>0</v>
      </c>
      <c r="R361">
        <f t="shared" si="234"/>
        <v>1100.7057417068199</v>
      </c>
      <c r="S361">
        <f>IF(Data!O361=0.6,'Vehicle Data'!E$21,IF(Data!O361 = 0.9,'Vehicle Data'!E$20))+(P361*O361)</f>
        <v>1550.3723999999997</v>
      </c>
      <c r="T361">
        <f>IF(F361=3,'Vehicle Data'!H$16,IF(F361=2,'Vehicle Data'!H$15,IF(F361 = 1,'Vehicle Data'!G$14)))</f>
        <v>466.23005239380637</v>
      </c>
      <c r="U361" s="148">
        <f t="shared" si="241"/>
        <v>384.56725958350387</v>
      </c>
      <c r="V361" s="70" t="s">
        <v>77</v>
      </c>
      <c r="W361" s="99" t="s">
        <v>84</v>
      </c>
      <c r="X361">
        <f>IF(V361="S",'Vehicle Data'!C$14,IF(Data!V361 = "T1",'Vehicle Data'!P$2,IF(Data!V361="T2",'Vehicle Data'!P$3)))</f>
        <v>13.411199999999999</v>
      </c>
      <c r="Z361">
        <f t="shared" si="273"/>
        <v>10.523559570681238</v>
      </c>
      <c r="AB361" t="b">
        <f>IF(AA361=1,'Vehicle Data'!I$14,IF(AA361=2,'Vehicle Data'!I$15,IF(AA361=3,'Vehicle Data'!I$16)))</f>
        <v>0</v>
      </c>
      <c r="AC361">
        <f>IF(Z361&lt;'Vehicle Data'!C$16,'Vehicle Data'!I$15,IF(Z361&lt;'Vehicle Data'!C$15,'Vehicle Data'!I$15,IF(Z360&gt;'Vehicle Data'!C$15,'Vehicle Data'!I$16)))</f>
        <v>0.46202745420001456</v>
      </c>
      <c r="AD361">
        <f>IF(O361=0.6,'Vehicle Data'!F$21,IF(O361=0.9,'Vehicle Data'!F$20))</f>
        <v>3.5315999999999996</v>
      </c>
      <c r="AE361" s="100">
        <f t="shared" si="272"/>
        <v>0.46202745420001456</v>
      </c>
      <c r="AF361" s="158">
        <f t="shared" si="263"/>
        <v>0.20383641490826632</v>
      </c>
      <c r="AG361" s="148">
        <f t="shared" si="246"/>
        <v>0.46411356628684747</v>
      </c>
      <c r="AH361" s="148">
        <f t="shared" si="264"/>
        <v>120.26502823410671</v>
      </c>
      <c r="AJ361">
        <f>(Z361^2)*'Vehicle Data'!C$31</f>
        <v>40.698899968846192</v>
      </c>
      <c r="AK361">
        <f>IF(O361=0.6,'Vehicle Data'!C$6*'Vehicle Data'!D$21*9.81,IF(O361=0.9,'Vehicle Data'!C$6*9.81*'Vehicle Data'!D$20))</f>
        <v>86.131799999999998</v>
      </c>
      <c r="AL361">
        <f t="shared" si="243"/>
        <v>126.83069996884619</v>
      </c>
      <c r="AN361">
        <f>IF(AG361&gt;0,AG361*'Vehicle Data'!C$6)</f>
        <v>203.74585559992605</v>
      </c>
      <c r="AO361">
        <f t="shared" si="247"/>
        <v>330.57655556877222</v>
      </c>
      <c r="AP361">
        <f>AO361*'Vehicle Data'!F$3</f>
        <v>84.495367603378185</v>
      </c>
      <c r="AQ361">
        <f>IF(AE361='Vehicle Data'!I$15,AP361/'Vehicle Data'!G$15,IF(AE361='Vehicle Data'!I$16,AP361/'Vehicle Data'!G$16,IF(AE361='Vehicle Data'!I$14,Data!AP361/'Vehicle Data'!G372)))</f>
        <v>15.598917712773341</v>
      </c>
      <c r="AR361">
        <f>IF(Z361&lt;'Vehicle Data'!C$16, Z361*'Vehicle Data'!F$7*'Vehicle Data'!G$14,IF(Z361&lt;'Vehicle Data'!C$15,Z361*'Vehicle Data'!F$7*'Vehicle Data'!G$15,IF(Z361&gt;'Vehicle Data'!C$15,Z361*'Vehicle Data'!F$7*'Vehicle Data'!G$16)))</f>
        <v>91.54651459820731</v>
      </c>
      <c r="AS361">
        <f t="shared" si="265"/>
        <v>5492.7908758924386</v>
      </c>
      <c r="AT361">
        <f t="shared" si="266"/>
        <v>16</v>
      </c>
      <c r="AU361">
        <f t="shared" si="267"/>
        <v>5500</v>
      </c>
      <c r="AW361">
        <f>VLOOKUP(AT361,BSFC!A$64:A$82,1,FALSE)</f>
        <v>16</v>
      </c>
      <c r="AX361" t="e" cm="1">
        <f t="array" ref="AX361">_xlfn.XLOOKUP(AT361,BSFC!A$64:A$82,,-1,_xlfn.XLOOKUP(Data!AU361,BSFC!C$63:Q$63,BSFC!B$64:Q$82,,-1))</f>
        <v>#VALUE!</v>
      </c>
      <c r="AY361">
        <f>HLOOKUP(AU361,BSFC!F$63:Q$63,1)</f>
        <v>5500</v>
      </c>
      <c r="AZ361">
        <f>IF(AT361&gt;0,MATCH(AT361,BSFC!A$64:A$83,0),IF(AT361&lt;=0,0))</f>
        <v>7</v>
      </c>
      <c r="BA361">
        <f>MATCH(AU361,BSFC!C$63:Q$63,0)</f>
        <v>11</v>
      </c>
      <c r="BB361" cm="1">
        <f t="array" ref="BB361">IF(AZ361&gt;0,INDEX(BSFC!C$64:Q$83,Data!AZ361,Data!BA361))</f>
        <v>632.5</v>
      </c>
      <c r="BC361">
        <f>0.5*'Vehicle Data'!C$6*Data!Z361^2</f>
        <v>24308.594675270033</v>
      </c>
      <c r="BD361">
        <f t="shared" si="248"/>
        <v>9.033160285996761</v>
      </c>
      <c r="BE361">
        <f t="shared" si="268"/>
        <v>5713.4738808929515</v>
      </c>
      <c r="BF361">
        <f t="shared" si="269"/>
        <v>0.32350389793145506</v>
      </c>
      <c r="BG361">
        <f t="shared" si="249"/>
        <v>146.29517207099477</v>
      </c>
      <c r="BH361">
        <f t="shared" si="271"/>
        <v>8936.3363461116351</v>
      </c>
      <c r="BI361" s="148">
        <f t="shared" si="250"/>
        <v>6871.6622130335309</v>
      </c>
      <c r="BO361">
        <f t="shared" si="251"/>
        <v>1773.3357964277175</v>
      </c>
      <c r="BP361">
        <f t="shared" si="252"/>
        <v>664051.88880860794</v>
      </c>
      <c r="BQ361">
        <f t="shared" si="253"/>
        <v>877663.52128948318</v>
      </c>
      <c r="BR361" s="148">
        <f t="shared" si="254"/>
        <v>827784.26979883935</v>
      </c>
      <c r="BS361" s="156">
        <f t="shared" si="255"/>
        <v>1773.3357964277175</v>
      </c>
      <c r="BT361" s="156">
        <f t="shared" si="256"/>
        <v>8936.3363461116351</v>
      </c>
      <c r="BU361">
        <f t="shared" si="257"/>
        <v>1363.6197331173998</v>
      </c>
      <c r="BV361">
        <f t="shared" si="258"/>
        <v>1363.6197331173998</v>
      </c>
      <c r="BW361" s="148">
        <f t="shared" si="259"/>
        <v>455.4</v>
      </c>
      <c r="BX361" s="148">
        <f t="shared" si="260"/>
        <v>3129354.9718154697</v>
      </c>
      <c r="BY361" s="148">
        <f t="shared" si="261"/>
        <v>0.17249789623935105</v>
      </c>
      <c r="BZ361">
        <f t="shared" si="244"/>
        <v>120.26502823410671</v>
      </c>
      <c r="CB361">
        <f t="shared" si="262"/>
        <v>-409.71606331031762</v>
      </c>
      <c r="CC361" s="162">
        <f t="shared" si="245"/>
        <v>-2010.0238884926603</v>
      </c>
      <c r="CD361">
        <f t="shared" si="270"/>
        <v>-50611.191969670377</v>
      </c>
    </row>
    <row r="362" spans="4:82" x14ac:dyDescent="0.2">
      <c r="D362" s="22">
        <f t="shared" si="235"/>
        <v>0</v>
      </c>
      <c r="E362" s="23">
        <v>8.9017032</v>
      </c>
      <c r="F362" s="23">
        <f>IF(K362&lt;6,1,IF(Data!K362&lt;9,2,IF(K362&gt;9,3)))</f>
        <v>3</v>
      </c>
      <c r="G362" s="23">
        <v>1104.879291955901</v>
      </c>
      <c r="H362" s="23">
        <v>220.76666499999999</v>
      </c>
      <c r="I362" s="64">
        <v>40.901101052184309</v>
      </c>
      <c r="J362" s="65">
        <f t="shared" si="236"/>
        <v>-15.75517953777077</v>
      </c>
      <c r="K362" s="65">
        <f t="shared" si="237"/>
        <v>16.360440420873722</v>
      </c>
      <c r="L362" s="65">
        <f t="shared" si="238"/>
        <v>-6.3020718151082518</v>
      </c>
      <c r="M362">
        <f t="shared" si="239"/>
        <v>17.8034064</v>
      </c>
      <c r="N362">
        <f t="shared" si="240"/>
        <v>0</v>
      </c>
      <c r="O362">
        <f>IF(L362&lt;'Vehicle Data'!F$21,'Vehicle Data'!C$21,IF(L362&gt;'Vehicle Data'!C$21,'Vehicle Data'!C$20))</f>
        <v>0.6</v>
      </c>
      <c r="P362">
        <f>('Vehicle Data'!C$6*9.81*'Vehicle Data'!C$5*SIN(D362))/'Vehicle Data'!C$9</f>
        <v>0</v>
      </c>
      <c r="Q362" s="107">
        <f>'Vehicle Data'!C$6*9.81*SIN(D362)</f>
        <v>0</v>
      </c>
      <c r="R362">
        <f t="shared" si="234"/>
        <v>1102.8123210779918</v>
      </c>
      <c r="S362">
        <f>IF(Data!O362=0.6,'Vehicle Data'!E$21,IF(Data!O362 = 0.9,'Vehicle Data'!E$20))+(P362*O362)</f>
        <v>1550.3723999999997</v>
      </c>
      <c r="T362">
        <f>IF(F362=3,'Vehicle Data'!H$16,IF(F362=2,'Vehicle Data'!H$15,IF(F362 = 1,'Vehicle Data'!G$14)))</f>
        <v>466.23005239380637</v>
      </c>
      <c r="U362" s="148">
        <f t="shared" si="241"/>
        <v>386.67383895467572</v>
      </c>
      <c r="V362" s="70" t="s">
        <v>77</v>
      </c>
      <c r="W362" s="99" t="s">
        <v>84</v>
      </c>
      <c r="X362">
        <f>IF(V362="S",'Vehicle Data'!C$14,IF(Data!V362 = "T1",'Vehicle Data'!P$2,IF(Data!V362="T2",'Vehicle Data'!P$3)))</f>
        <v>13.411199999999999</v>
      </c>
      <c r="Z362">
        <f t="shared" si="273"/>
        <v>10.615644165360022</v>
      </c>
      <c r="AB362" t="b">
        <f>IF(AA362=1,'Vehicle Data'!I$14,IF(AA362=2,'Vehicle Data'!I$15,IF(AA362=3,'Vehicle Data'!I$16)))</f>
        <v>0</v>
      </c>
      <c r="AC362">
        <f>IF(Z362&lt;'Vehicle Data'!C$16,'Vehicle Data'!I$15,IF(Z362&lt;'Vehicle Data'!C$15,'Vehicle Data'!I$15,IF(Z361&gt;'Vehicle Data'!C$15,'Vehicle Data'!I$16)))</f>
        <v>0.46202745420001456</v>
      </c>
      <c r="AD362">
        <f>IF(O362=0.6,'Vehicle Data'!F$21,IF(O362=0.9,'Vehicle Data'!F$20))</f>
        <v>3.5315999999999996</v>
      </c>
      <c r="AE362" s="100">
        <f t="shared" si="272"/>
        <v>0.46202745420001456</v>
      </c>
      <c r="AF362" s="158">
        <f t="shared" si="263"/>
        <v>0.19844103083690764</v>
      </c>
      <c r="AG362" s="148">
        <f t="shared" si="246"/>
        <v>0.46404009438181998</v>
      </c>
      <c r="AH362" s="148">
        <f t="shared" si="264"/>
        <v>120.46346926494361</v>
      </c>
      <c r="AJ362">
        <f>(Z362^2)*'Vehicle Data'!C$31</f>
        <v>41.4142736342368</v>
      </c>
      <c r="AK362">
        <f>IF(O362=0.6,'Vehicle Data'!C$6*'Vehicle Data'!D$21*9.81,IF(O362=0.9,'Vehicle Data'!C$6*9.81*'Vehicle Data'!D$20))</f>
        <v>86.131799999999998</v>
      </c>
      <c r="AL362">
        <f t="shared" si="243"/>
        <v>127.54607363423679</v>
      </c>
      <c r="AN362">
        <f>IF(AG362&gt;0,AG362*'Vehicle Data'!C$6)</f>
        <v>203.71360143361898</v>
      </c>
      <c r="AO362">
        <f t="shared" si="247"/>
        <v>331.25967506785577</v>
      </c>
      <c r="AP362">
        <f>AO362*'Vehicle Data'!F$3</f>
        <v>84.669972947343936</v>
      </c>
      <c r="AQ362">
        <f>IF(AE362='Vehicle Data'!I$15,AP362/'Vehicle Data'!G$15,IF(AE362='Vehicle Data'!I$16,AP362/'Vehicle Data'!G$16,IF(AE362='Vehicle Data'!I$14,Data!AP362/'Vehicle Data'!G373)))</f>
        <v>15.631152076265517</v>
      </c>
      <c r="AR362">
        <f>IF(Z362&lt;'Vehicle Data'!C$16, Z362*'Vehicle Data'!F$7*'Vehicle Data'!G$14,IF(Z362&lt;'Vehicle Data'!C$15,Z362*'Vehicle Data'!F$7*'Vehicle Data'!G$15,IF(Z362&gt;'Vehicle Data'!C$15,Z362*'Vehicle Data'!F$7*'Vehicle Data'!G$16)))</f>
        <v>92.347576599558792</v>
      </c>
      <c r="AS362">
        <f t="shared" si="265"/>
        <v>5540.8545959735275</v>
      </c>
      <c r="AT362">
        <f t="shared" si="266"/>
        <v>16</v>
      </c>
      <c r="AU362">
        <f t="shared" si="267"/>
        <v>5500</v>
      </c>
      <c r="AW362">
        <f>VLOOKUP(AT362,BSFC!A$64:A$82,1,FALSE)</f>
        <v>16</v>
      </c>
      <c r="AX362" t="e" cm="1">
        <f t="array" ref="AX362">_xlfn.XLOOKUP(AT362,BSFC!A$64:A$82,,-1,_xlfn.XLOOKUP(Data!AU362,BSFC!C$63:Q$63,BSFC!B$64:Q$82,,-1))</f>
        <v>#VALUE!</v>
      </c>
      <c r="AY362">
        <f>HLOOKUP(AU362,BSFC!F$63:Q$63,1)</f>
        <v>5500</v>
      </c>
      <c r="AZ362">
        <f>IF(AT362&gt;0,MATCH(AT362,BSFC!A$64:A$83,0),IF(AT362&lt;=0,0))</f>
        <v>7</v>
      </c>
      <c r="BA362">
        <f>MATCH(AU362,BSFC!C$63:Q$63,0)</f>
        <v>11</v>
      </c>
      <c r="BB362" cm="1">
        <f t="array" ref="BB362">IF(AZ362&gt;0,INDEX(BSFC!C$64:Q$83,Data!AZ362,Data!BA362))</f>
        <v>632.5</v>
      </c>
      <c r="BC362">
        <f>0.5*'Vehicle Data'!C$6*Data!Z362^2</f>
        <v>24735.872279496532</v>
      </c>
      <c r="BD362">
        <f t="shared" si="248"/>
        <v>3.1735043426934615</v>
      </c>
      <c r="BE362">
        <f t="shared" si="268"/>
        <v>2007.2414967536145</v>
      </c>
      <c r="BF362">
        <f t="shared" si="269"/>
        <v>0.11064418659844574</v>
      </c>
      <c r="BG362">
        <f t="shared" si="249"/>
        <v>146.40581625759322</v>
      </c>
      <c r="BH362">
        <f t="shared" si="271"/>
        <v>9033.1602859967606</v>
      </c>
      <c r="BI362" s="148">
        <f t="shared" si="250"/>
        <v>6871.6622130335309</v>
      </c>
      <c r="BO362">
        <f t="shared" si="251"/>
        <v>1744.1272745118531</v>
      </c>
      <c r="BP362">
        <f t="shared" si="252"/>
        <v>665796.01608311979</v>
      </c>
      <c r="BQ362">
        <f t="shared" si="253"/>
        <v>879407.64856399503</v>
      </c>
      <c r="BR362" s="148">
        <f t="shared" si="254"/>
        <v>829111.0539040172</v>
      </c>
      <c r="BS362" s="156">
        <f t="shared" si="255"/>
        <v>1744.1272745118531</v>
      </c>
      <c r="BT362" s="156">
        <f t="shared" si="256"/>
        <v>9033.1602859967606</v>
      </c>
      <c r="BU362">
        <f t="shared" si="257"/>
        <v>1326.7841051778453</v>
      </c>
      <c r="BV362">
        <f t="shared" si="258"/>
        <v>1326.7841051778453</v>
      </c>
      <c r="BW362" s="148">
        <f t="shared" si="259"/>
        <v>455.4</v>
      </c>
      <c r="BX362" s="148">
        <f t="shared" si="260"/>
        <v>3129354.9718154697</v>
      </c>
      <c r="BY362" s="148">
        <f t="shared" si="261"/>
        <v>0.16783818930499739</v>
      </c>
      <c r="BZ362">
        <f t="shared" si="244"/>
        <v>120.46346926494361</v>
      </c>
      <c r="CB362">
        <f t="shared" si="262"/>
        <v>-417.34316933400783</v>
      </c>
      <c r="CC362" s="162">
        <f t="shared" si="245"/>
        <v>-2103.1092590776625</v>
      </c>
      <c r="CD362">
        <f t="shared" si="270"/>
        <v>-51028.535139004387</v>
      </c>
    </row>
    <row r="363" spans="4:82" x14ac:dyDescent="0.2">
      <c r="D363" s="22">
        <f t="shared" si="235"/>
        <v>-5.0299252407294326E-2</v>
      </c>
      <c r="E363" s="23">
        <v>8.9017032</v>
      </c>
      <c r="F363" s="23">
        <f>IF(K363&lt;6,1,IF(Data!K363&lt;9,2,IF(K363&gt;9,3)))</f>
        <v>3</v>
      </c>
      <c r="G363" s="23">
        <v>1106.9056818946522</v>
      </c>
      <c r="H363" s="23">
        <v>220.816665</v>
      </c>
      <c r="I363" s="64">
        <v>40.113342075295591</v>
      </c>
      <c r="J363" s="65">
        <f t="shared" si="236"/>
        <v>-14.761745665986926</v>
      </c>
      <c r="K363" s="65">
        <f t="shared" si="237"/>
        <v>16.045336830118238</v>
      </c>
      <c r="L363" s="65">
        <f t="shared" si="238"/>
        <v>-5.9046982663947984</v>
      </c>
      <c r="M363">
        <f t="shared" si="239"/>
        <v>17.8034064</v>
      </c>
      <c r="N363">
        <f t="shared" si="240"/>
        <v>-9.9998400000000487E-2</v>
      </c>
      <c r="O363">
        <f>IF(L363&lt;'Vehicle Data'!F$21,'Vehicle Data'!C$21,IF(L363&gt;'Vehicle Data'!C$21,'Vehicle Data'!C$20))</f>
        <v>0.6</v>
      </c>
      <c r="P363">
        <f>('Vehicle Data'!C$6*9.81*'Vehicle Data'!C$5*SIN(D363))/'Vehicle Data'!C$9</f>
        <v>-33.483545527756249</v>
      </c>
      <c r="Q363" s="107">
        <f>'Vehicle Data'!C$6*9.81*SIN(D363)</f>
        <v>-216.52692774615704</v>
      </c>
      <c r="R363">
        <f t="shared" si="234"/>
        <v>1104.879291955901</v>
      </c>
      <c r="S363">
        <f>IF(Data!O363=0.6,'Vehicle Data'!E$21,IF(Data!O363 = 0.9,'Vehicle Data'!E$20))+(P363*O363)</f>
        <v>1530.282272683346</v>
      </c>
      <c r="T363">
        <f>IF(F363=3,'Vehicle Data'!H$16,IF(F363=2,'Vehicle Data'!H$15,IF(F363 = 1,'Vehicle Data'!G$14)))</f>
        <v>466.23005239380637</v>
      </c>
      <c r="U363" s="148">
        <f t="shared" si="241"/>
        <v>388.74080983258489</v>
      </c>
      <c r="V363" s="70" t="s">
        <v>77</v>
      </c>
      <c r="W363" s="99" t="s">
        <v>84</v>
      </c>
      <c r="X363">
        <f>IF(V363="S",'Vehicle Data'!C$14,IF(Data!V363 = "T1",'Vehicle Data'!P$2,IF(Data!V363="T2",'Vehicle Data'!P$3)))</f>
        <v>13.411199999999999</v>
      </c>
      <c r="Z363">
        <f t="shared" si="273"/>
        <v>10.705227490847365</v>
      </c>
      <c r="AB363" t="b">
        <f>IF(AA363=1,'Vehicle Data'!I$14,IF(AA363=2,'Vehicle Data'!I$15,IF(AA363=3,'Vehicle Data'!I$16)))</f>
        <v>0</v>
      </c>
      <c r="AC363">
        <f>IF(Z363&lt;'Vehicle Data'!C$16,'Vehicle Data'!I$15,IF(Z363&lt;'Vehicle Data'!C$15,'Vehicle Data'!I$15,IF(Z362&gt;'Vehicle Data'!C$15,'Vehicle Data'!I$16)))</f>
        <v>0.46202745420001456</v>
      </c>
      <c r="AD363">
        <f>IF(O363=0.6,'Vehicle Data'!F$21,IF(O363=0.9,'Vehicle Data'!F$20))</f>
        <v>3.5315999999999996</v>
      </c>
      <c r="AE363" s="100">
        <f t="shared" si="272"/>
        <v>0.46202745420001456</v>
      </c>
      <c r="AF363" s="158">
        <f t="shared" si="263"/>
        <v>0.19308051880974655</v>
      </c>
      <c r="AG363" s="148">
        <f t="shared" si="246"/>
        <v>0.46396874236501662</v>
      </c>
      <c r="AH363" s="148">
        <f t="shared" si="264"/>
        <v>120.65654978375336</v>
      </c>
      <c r="AJ363">
        <f>(Z363^2)*'Vehicle Data'!C$31</f>
        <v>42.116196644316872</v>
      </c>
      <c r="AK363">
        <f>IF(O363=0.6,'Vehicle Data'!C$6*'Vehicle Data'!D$21*9.81,IF(O363=0.9,'Vehicle Data'!C$6*9.81*'Vehicle Data'!D$20))</f>
        <v>86.131799999999998</v>
      </c>
      <c r="AL363">
        <f t="shared" si="243"/>
        <v>-88.278931101840186</v>
      </c>
      <c r="AN363">
        <f>IF(AG363&gt;0,AG363*'Vehicle Data'!C$6)</f>
        <v>203.68227789824229</v>
      </c>
      <c r="AO363">
        <f t="shared" si="247"/>
        <v>115.4033467964021</v>
      </c>
      <c r="AP363">
        <f>AO363*'Vehicle Data'!F$3</f>
        <v>29.497095441160376</v>
      </c>
      <c r="AQ363">
        <f>IF(AE363='Vehicle Data'!I$15,AP363/'Vehicle Data'!G$15,IF(AE363='Vehicle Data'!I$16,AP363/'Vehicle Data'!G$16,IF(AE363='Vehicle Data'!I$14,Data!AP363/'Vehicle Data'!G374)))</f>
        <v>5.4455383484725655</v>
      </c>
      <c r="AR363">
        <f>IF(Z363&lt;'Vehicle Data'!C$16, Z363*'Vehicle Data'!F$7*'Vehicle Data'!G$14,IF(Z363&lt;'Vehicle Data'!C$15,Z363*'Vehicle Data'!F$7*'Vehicle Data'!G$15,IF(Z363&gt;'Vehicle Data'!C$15,Z363*'Vehicle Data'!F$7*'Vehicle Data'!G$16)))</f>
        <v>93.12687956823595</v>
      </c>
      <c r="AS363">
        <f t="shared" si="265"/>
        <v>5587.6127740941574</v>
      </c>
      <c r="AT363">
        <f t="shared" si="266"/>
        <v>5</v>
      </c>
      <c r="AU363">
        <f t="shared" si="267"/>
        <v>5500</v>
      </c>
      <c r="AW363">
        <f>VLOOKUP(AT363,BSFC!A$64:A$82,1,FALSE)</f>
        <v>5</v>
      </c>
      <c r="AX363" t="e" cm="1">
        <f t="array" ref="AX363">_xlfn.XLOOKUP(AT363,BSFC!A$64:A$82,,-1,_xlfn.XLOOKUP(Data!AU363,BSFC!C$63:Q$63,BSFC!B$64:Q$82,,-1))</f>
        <v>#VALUE!</v>
      </c>
      <c r="AY363">
        <f>HLOOKUP(AU363,BSFC!F$63:Q$63,1)</f>
        <v>5500</v>
      </c>
      <c r="AZ363">
        <f>IF(AT363&gt;0,MATCH(AT363,BSFC!A$64:A$83,0),IF(AT363&lt;=0,0))</f>
        <v>18</v>
      </c>
      <c r="BA363">
        <f>MATCH(AU363,BSFC!C$63:Q$63,0)</f>
        <v>11</v>
      </c>
      <c r="BB363" cm="1">
        <f t="array" ref="BB363">IF(AZ363&gt;0,INDEX(BSFC!C$64:Q$83,Data!AZ363,Data!BA363))</f>
        <v>666.9</v>
      </c>
      <c r="BC363">
        <f>0.5*'Vehicle Data'!C$6*Data!Z363^2</f>
        <v>25155.11609095932</v>
      </c>
      <c r="BD363">
        <f t="shared" si="248"/>
        <v>8.2532119062426599</v>
      </c>
      <c r="BE363">
        <f t="shared" si="268"/>
        <v>5504.0670202732299</v>
      </c>
      <c r="BF363">
        <f t="shared" si="269"/>
        <v>0.29520225439943637</v>
      </c>
      <c r="BG363">
        <f t="shared" si="249"/>
        <v>146.70101851199266</v>
      </c>
      <c r="BH363">
        <f t="shared" si="271"/>
        <v>3173.5043426934617</v>
      </c>
      <c r="BI363" s="148">
        <f t="shared" si="250"/>
        <v>6871.6622130335309</v>
      </c>
      <c r="BO363">
        <f t="shared" si="251"/>
        <v>595.8636503839665</v>
      </c>
      <c r="BP363">
        <f t="shared" si="252"/>
        <v>666391.8797335038</v>
      </c>
      <c r="BQ363">
        <f t="shared" si="253"/>
        <v>880003.51221437904</v>
      </c>
      <c r="BR363" s="148">
        <f t="shared" si="254"/>
        <v>830401.29122160305</v>
      </c>
      <c r="BS363" s="156">
        <f t="shared" si="255"/>
        <v>595.8636503839665</v>
      </c>
      <c r="BT363" s="156">
        <f t="shared" si="256"/>
        <v>3173.5043426934617</v>
      </c>
      <c r="BU363">
        <f t="shared" si="257"/>
        <v>1290.2373175858083</v>
      </c>
      <c r="BV363">
        <f t="shared" si="258"/>
        <v>1290.2373175858083</v>
      </c>
      <c r="BW363" s="148">
        <f t="shared" si="259"/>
        <v>455.4</v>
      </c>
      <c r="BX363" s="148">
        <f t="shared" si="260"/>
        <v>3129354.9718154697</v>
      </c>
      <c r="BY363" s="148">
        <f t="shared" si="261"/>
        <v>0.16321502067460472</v>
      </c>
      <c r="BZ363">
        <f t="shared" si="244"/>
        <v>120.65654978375336</v>
      </c>
      <c r="CB363">
        <f t="shared" si="262"/>
        <v>694.37366720184184</v>
      </c>
      <c r="CC363" s="162">
        <f t="shared" si="245"/>
        <v>3596.2906640313777</v>
      </c>
      <c r="CD363">
        <f t="shared" si="270"/>
        <v>-50334.161471802545</v>
      </c>
    </row>
    <row r="364" spans="4:82" x14ac:dyDescent="0.2">
      <c r="D364" s="22">
        <f t="shared" si="235"/>
        <v>-8.1005036960945555E-3</v>
      </c>
      <c r="E364" s="23">
        <v>8.8017047999999996</v>
      </c>
      <c r="F364" s="23">
        <f>IF(K364&lt;6,1,IF(Data!K364&lt;9,2,IF(K364&gt;9,3)))</f>
        <v>3</v>
      </c>
      <c r="G364" s="23">
        <v>1108.8945897590859</v>
      </c>
      <c r="H364" s="23">
        <v>220.86666499999998</v>
      </c>
      <c r="I364" s="64">
        <v>39.375254791996497</v>
      </c>
      <c r="J364" s="65">
        <f t="shared" si="236"/>
        <v>-15.764286745606849</v>
      </c>
      <c r="K364" s="65">
        <f t="shared" si="237"/>
        <v>15.750101916798599</v>
      </c>
      <c r="L364" s="65">
        <f t="shared" si="238"/>
        <v>-6.3057146982427401</v>
      </c>
      <c r="M364">
        <f t="shared" si="239"/>
        <v>17.603409599999999</v>
      </c>
      <c r="N364">
        <f t="shared" si="240"/>
        <v>-1.5802241894833813E-2</v>
      </c>
      <c r="O364">
        <f>IF(L364&lt;'Vehicle Data'!F$21,'Vehicle Data'!C$21,IF(L364&gt;'Vehicle Data'!C$21,'Vehicle Data'!C$20))</f>
        <v>0.6</v>
      </c>
      <c r="P364">
        <f>('Vehicle Data'!C$6*9.81*'Vehicle Data'!C$5*SIN(D364))/'Vehicle Data'!C$9</f>
        <v>-5.394613406118677</v>
      </c>
      <c r="Q364" s="107">
        <f>'Vehicle Data'!C$6*9.81*SIN(D364)</f>
        <v>-34.885166692900775</v>
      </c>
      <c r="R364">
        <f t="shared" si="234"/>
        <v>1106.9056818946522</v>
      </c>
      <c r="S364">
        <f>IF(Data!O364=0.6,'Vehicle Data'!E$21,IF(Data!O364 = 0.9,'Vehicle Data'!E$20))+(P364*O364)</f>
        <v>1547.1356319563286</v>
      </c>
      <c r="T364">
        <f>IF(F364=3,'Vehicle Data'!H$16,IF(F364=2,'Vehicle Data'!H$15,IF(F364 = 1,'Vehicle Data'!G$14)))</f>
        <v>466.23005239380637</v>
      </c>
      <c r="U364" s="148">
        <f t="shared" si="241"/>
        <v>390.7671997713361</v>
      </c>
      <c r="V364" s="70" t="s">
        <v>77</v>
      </c>
      <c r="W364" s="99" t="s">
        <v>84</v>
      </c>
      <c r="X364">
        <f>IF(V364="S",'Vehicle Data'!C$14,IF(Data!V364 = "T1",'Vehicle Data'!P$2,IF(Data!V364="T2",'Vehicle Data'!P$3)))</f>
        <v>13.411199999999999</v>
      </c>
      <c r="Z364">
        <f t="shared" si="273"/>
        <v>10.792330202510932</v>
      </c>
      <c r="AB364" t="b">
        <f>IF(AA364=1,'Vehicle Data'!I$14,IF(AA364=2,'Vehicle Data'!I$15,IF(AA364=3,'Vehicle Data'!I$16)))</f>
        <v>0</v>
      </c>
      <c r="AC364">
        <f>IF(Z364&lt;'Vehicle Data'!C$16,'Vehicle Data'!I$15,IF(Z364&lt;'Vehicle Data'!C$15,'Vehicle Data'!I$15,IF(Z363&gt;'Vehicle Data'!C$15,'Vehicle Data'!I$16)))</f>
        <v>0.46202745420001456</v>
      </c>
      <c r="AD364">
        <f>IF(O364=0.6,'Vehicle Data'!F$21,IF(O364=0.9,'Vehicle Data'!F$20))</f>
        <v>3.5315999999999996</v>
      </c>
      <c r="AE364" s="100">
        <f t="shared" si="272"/>
        <v>0.46202745420001456</v>
      </c>
      <c r="AF364" s="158">
        <f t="shared" si="263"/>
        <v>0.1877620403311743</v>
      </c>
      <c r="AG364" s="148">
        <f t="shared" si="246"/>
        <v>0.46389947355671785</v>
      </c>
      <c r="AH364" s="148">
        <f t="shared" si="264"/>
        <v>120.84431182408454</v>
      </c>
      <c r="AJ364">
        <f>(Z364^2)*'Vehicle Data'!C$31</f>
        <v>42.804338766010915</v>
      </c>
      <c r="AK364">
        <f>IF(O364=0.6,'Vehicle Data'!C$6*'Vehicle Data'!D$21*9.81,IF(O364=0.9,'Vehicle Data'!C$6*9.81*'Vehicle Data'!D$20))</f>
        <v>86.131799999999998</v>
      </c>
      <c r="AL364">
        <f t="shared" si="243"/>
        <v>94.050972073110131</v>
      </c>
      <c r="AN364">
        <f>IF(AG364&gt;0,AG364*'Vehicle Data'!C$6)</f>
        <v>203.65186889139915</v>
      </c>
      <c r="AO364">
        <f t="shared" si="247"/>
        <v>297.70284096450928</v>
      </c>
      <c r="AP364">
        <f>AO364*'Vehicle Data'!F$3</f>
        <v>76.092846150528572</v>
      </c>
      <c r="AQ364">
        <f>IF(AE364='Vehicle Data'!I$15,AP364/'Vehicle Data'!G$15,IF(AE364='Vehicle Data'!I$16,AP364/'Vehicle Data'!G$16,IF(AE364='Vehicle Data'!I$14,Data!AP364/'Vehicle Data'!G375)))</f>
        <v>14.047705564220317</v>
      </c>
      <c r="AR364">
        <f>IF(Z364&lt;'Vehicle Data'!C$16, Z364*'Vehicle Data'!F$7*'Vehicle Data'!G$14,IF(Z364&lt;'Vehicle Data'!C$15,Z364*'Vehicle Data'!F$7*'Vehicle Data'!G$15,IF(Z364&gt;'Vehicle Data'!C$15,Z364*'Vehicle Data'!F$7*'Vehicle Data'!G$16)))</f>
        <v>93.884603189344901</v>
      </c>
      <c r="AS364">
        <f t="shared" si="265"/>
        <v>5633.0761913606939</v>
      </c>
      <c r="AT364">
        <f t="shared" si="266"/>
        <v>14</v>
      </c>
      <c r="AU364">
        <f t="shared" si="267"/>
        <v>5500</v>
      </c>
      <c r="AW364">
        <f>VLOOKUP(AT364,BSFC!A$64:A$82,1,FALSE)</f>
        <v>14</v>
      </c>
      <c r="AX364" t="e" cm="1">
        <f t="array" ref="AX364">_xlfn.XLOOKUP(AT364,BSFC!A$64:A$82,,-1,_xlfn.XLOOKUP(Data!AU364,BSFC!C$63:Q$63,BSFC!B$64:Q$82,,-1))</f>
        <v>#VALUE!</v>
      </c>
      <c r="AY364">
        <f>HLOOKUP(AU364,BSFC!F$63:Q$63,1)</f>
        <v>5500</v>
      </c>
      <c r="AZ364">
        <f>IF(AT364&gt;0,MATCH(AT364,BSFC!A$64:A$83,0),IF(AT364&lt;=0,0))</f>
        <v>9</v>
      </c>
      <c r="BA364">
        <f>MATCH(AU364,BSFC!C$63:Q$63,0)</f>
        <v>11</v>
      </c>
      <c r="BB364" cm="1">
        <f t="array" ref="BB364">IF(AZ364&gt;0,INDEX(BSFC!C$64:Q$83,Data!AZ364,Data!BA364))</f>
        <v>638.75</v>
      </c>
      <c r="BC364">
        <f>0.5*'Vehicle Data'!C$6*Data!Z364^2</f>
        <v>25566.128868406511</v>
      </c>
      <c r="BD364">
        <f t="shared" si="248"/>
        <v>3.0147217367661661</v>
      </c>
      <c r="BE364">
        <f t="shared" si="268"/>
        <v>1925.6535093593886</v>
      </c>
      <c r="BF364">
        <f t="shared" si="269"/>
        <v>0.10043461996894579</v>
      </c>
      <c r="BG364">
        <f t="shared" si="249"/>
        <v>146.80145313196161</v>
      </c>
      <c r="BH364">
        <f t="shared" si="271"/>
        <v>8253.2119062426591</v>
      </c>
      <c r="BI364" s="148">
        <f t="shared" si="250"/>
        <v>6871.6622130335309</v>
      </c>
      <c r="BO364">
        <f t="shared" si="251"/>
        <v>1509.1166195121389</v>
      </c>
      <c r="BP364">
        <f t="shared" si="252"/>
        <v>667900.99635301589</v>
      </c>
      <c r="BQ364">
        <f t="shared" si="253"/>
        <v>881512.62883389113</v>
      </c>
      <c r="BR364" s="148">
        <f t="shared" si="254"/>
        <v>831657.78866371023</v>
      </c>
      <c r="BS364" s="156">
        <f t="shared" si="255"/>
        <v>1509.1166195121389</v>
      </c>
      <c r="BT364" s="156">
        <f t="shared" si="256"/>
        <v>8253.2119062426591</v>
      </c>
      <c r="BU364">
        <f t="shared" si="257"/>
        <v>1256.497442107185</v>
      </c>
      <c r="BV364">
        <f t="shared" si="258"/>
        <v>1256.497442107185</v>
      </c>
      <c r="BW364" s="148">
        <f t="shared" si="259"/>
        <v>455.4</v>
      </c>
      <c r="BX364" s="148">
        <f t="shared" si="260"/>
        <v>3129354.9718154697</v>
      </c>
      <c r="BY364" s="148">
        <f t="shared" si="261"/>
        <v>0.15894692642655886</v>
      </c>
      <c r="BZ364">
        <f t="shared" si="244"/>
        <v>120.84431182408454</v>
      </c>
      <c r="CB364">
        <f t="shared" si="262"/>
        <v>-252.61917740495392</v>
      </c>
      <c r="CC364" s="162">
        <f t="shared" si="245"/>
        <v>-1345.4219871033449</v>
      </c>
      <c r="CD364">
        <f t="shared" si="270"/>
        <v>-50586.780649207496</v>
      </c>
    </row>
    <row r="365" spans="4:82" x14ac:dyDescent="0.2">
      <c r="D365" s="22">
        <f t="shared" si="235"/>
        <v>-5.2348114525143222E-2</v>
      </c>
      <c r="E365" s="23">
        <v>8.7859025581051657</v>
      </c>
      <c r="F365" s="23">
        <f>IF(K365&lt;6,1,IF(Data!K365&lt;9,2,IF(K365&gt;9,3)))</f>
        <v>3</v>
      </c>
      <c r="G365" s="23">
        <v>1110.8453838464686</v>
      </c>
      <c r="H365" s="23">
        <v>220.91666499999999</v>
      </c>
      <c r="I365" s="64">
        <v>38.587040454715975</v>
      </c>
      <c r="J365" s="65">
        <f t="shared" si="236"/>
        <v>-16.146622275220572</v>
      </c>
      <c r="K365" s="65">
        <f t="shared" si="237"/>
        <v>15.43481618188639</v>
      </c>
      <c r="L365" s="65">
        <f t="shared" si="238"/>
        <v>-6.4586489100882361</v>
      </c>
      <c r="M365">
        <f t="shared" si="239"/>
        <v>17.571805116210331</v>
      </c>
      <c r="N365">
        <f t="shared" si="240"/>
        <v>-9.9999073581233944E-2</v>
      </c>
      <c r="O365">
        <f>IF(L365&lt;'Vehicle Data'!F$21,'Vehicle Data'!C$21,IF(L365&gt;'Vehicle Data'!C$21,'Vehicle Data'!C$20))</f>
        <v>0.6</v>
      </c>
      <c r="P365">
        <f>('Vehicle Data'!C$6*9.81*'Vehicle Data'!C$5*SIN(D365))/'Vehicle Data'!C$9</f>
        <v>-34.846224222519929</v>
      </c>
      <c r="Q365" s="107">
        <f>'Vehicle Data'!C$6*9.81*SIN(D365)</f>
        <v>-225.33891663896219</v>
      </c>
      <c r="R365">
        <f t="shared" si="234"/>
        <v>1108.8945897590859</v>
      </c>
      <c r="S365">
        <f>IF(Data!O365=0.6,'Vehicle Data'!E$21,IF(Data!O365 = 0.9,'Vehicle Data'!E$20))+(P365*O365)</f>
        <v>1529.4646654664878</v>
      </c>
      <c r="T365">
        <f>IF(F365=3,'Vehicle Data'!H$16,IF(F365=2,'Vehicle Data'!H$15,IF(F365 = 1,'Vehicle Data'!G$14)))</f>
        <v>466.23005239380637</v>
      </c>
      <c r="U365" s="148">
        <f t="shared" si="241"/>
        <v>392.75610763576981</v>
      </c>
      <c r="V365" s="70" t="s">
        <v>77</v>
      </c>
      <c r="W365" s="99" t="s">
        <v>84</v>
      </c>
      <c r="X365">
        <f>IF(V365="S",'Vehicle Data'!C$14,IF(Data!V365 = "T1",'Vehicle Data'!P$2,IF(Data!V365="T2",'Vehicle Data'!P$3)))</f>
        <v>13.411199999999999</v>
      </c>
      <c r="Z365">
        <f t="shared" si="273"/>
        <v>10.877143525508664</v>
      </c>
      <c r="AB365" t="b">
        <f>IF(AA365=1,'Vehicle Data'!I$14,IF(AA365=2,'Vehicle Data'!I$15,IF(AA365=3,'Vehicle Data'!I$16)))</f>
        <v>0</v>
      </c>
      <c r="AC365">
        <f>IF(Z365&lt;'Vehicle Data'!C$16,'Vehicle Data'!I$15,IF(Z365&lt;'Vehicle Data'!C$15,'Vehicle Data'!I$15,IF(Z364&gt;'Vehicle Data'!C$15,'Vehicle Data'!I$16)))</f>
        <v>0.46202745420001456</v>
      </c>
      <c r="AD365">
        <f>IF(O365=0.6,'Vehicle Data'!F$21,IF(O365=0.9,'Vehicle Data'!F$20))</f>
        <v>3.5315999999999996</v>
      </c>
      <c r="AE365" s="100">
        <f t="shared" si="272"/>
        <v>0.46202745420001456</v>
      </c>
      <c r="AF365" s="158">
        <f t="shared" si="263"/>
        <v>0.18285203829198374</v>
      </c>
      <c r="AG365" s="148">
        <f t="shared" si="246"/>
        <v>0.46383580839443328</v>
      </c>
      <c r="AH365" s="148">
        <f t="shared" si="264"/>
        <v>121.02716386237653</v>
      </c>
      <c r="AJ365">
        <f>(Z365^2)*'Vehicle Data'!C$31</f>
        <v>43.479752343384298</v>
      </c>
      <c r="AK365">
        <f>IF(O365=0.6,'Vehicle Data'!C$6*'Vehicle Data'!D$21*9.81,IF(O365=0.9,'Vehicle Data'!C$6*9.81*'Vehicle Data'!D$20))</f>
        <v>86.131799999999998</v>
      </c>
      <c r="AL365">
        <f t="shared" si="243"/>
        <v>-95.7273642955779</v>
      </c>
      <c r="AN365">
        <f>IF(AG365&gt;0,AG365*'Vehicle Data'!C$6)</f>
        <v>203.6239198851562</v>
      </c>
      <c r="AO365">
        <f t="shared" si="247"/>
        <v>107.8965555895783</v>
      </c>
      <c r="AP365">
        <f>AO365*'Vehicle Data'!F$3</f>
        <v>27.578359608696214</v>
      </c>
      <c r="AQ365">
        <f>IF(AE365='Vehicle Data'!I$15,AP365/'Vehicle Data'!G$15,IF(AE365='Vehicle Data'!I$16,AP365/'Vehicle Data'!G$16,IF(AE365='Vehicle Data'!I$14,Data!AP365/'Vehicle Data'!G376)))</f>
        <v>5.0913153512586744</v>
      </c>
      <c r="AR365">
        <f>IF(Z365&lt;'Vehicle Data'!C$16, Z365*'Vehicle Data'!F$7*'Vehicle Data'!G$14,IF(Z365&lt;'Vehicle Data'!C$15,Z365*'Vehicle Data'!F$7*'Vehicle Data'!G$15,IF(Z365&gt;'Vehicle Data'!C$15,Z365*'Vehicle Data'!F$7*'Vehicle Data'!G$16)))</f>
        <v>94.622410968146852</v>
      </c>
      <c r="AS365">
        <f t="shared" si="265"/>
        <v>5677.3446580888112</v>
      </c>
      <c r="AT365">
        <f t="shared" si="266"/>
        <v>5</v>
      </c>
      <c r="AU365">
        <f t="shared" si="267"/>
        <v>5500</v>
      </c>
      <c r="AW365">
        <f>VLOOKUP(AT365,BSFC!A$64:A$82,1,FALSE)</f>
        <v>5</v>
      </c>
      <c r="AX365" t="e" cm="1">
        <f t="array" ref="AX365">_xlfn.XLOOKUP(AT365,BSFC!A$64:A$82,,-1,_xlfn.XLOOKUP(Data!AU365,BSFC!C$63:Q$63,BSFC!B$64:Q$82,,-1))</f>
        <v>#VALUE!</v>
      </c>
      <c r="AY365">
        <f>HLOOKUP(AU365,BSFC!F$63:Q$63,1)</f>
        <v>5500</v>
      </c>
      <c r="AZ365">
        <f>IF(AT365&gt;0,MATCH(AT365,BSFC!A$64:A$83,0),IF(AT365&lt;=0,0))</f>
        <v>18</v>
      </c>
      <c r="BA365">
        <f>MATCH(AU365,BSFC!C$63:Q$63,0)</f>
        <v>11</v>
      </c>
      <c r="BB365" cm="1">
        <f t="array" ref="BB365">IF(AZ365&gt;0,INDEX(BSFC!C$64:Q$83,Data!AZ365,Data!BA365))</f>
        <v>666.9</v>
      </c>
      <c r="BC365">
        <f>0.5*'Vehicle Data'!C$6*Data!Z365^2</f>
        <v>25969.539154756058</v>
      </c>
      <c r="BD365">
        <f t="shared" si="248"/>
        <v>2.5537160864344544</v>
      </c>
      <c r="BE365">
        <f t="shared" si="268"/>
        <v>1703.0732580431375</v>
      </c>
      <c r="BF365">
        <f>0</f>
        <v>0</v>
      </c>
      <c r="BG365">
        <f t="shared" si="249"/>
        <v>146.80145313196161</v>
      </c>
      <c r="BH365">
        <f t="shared" si="271"/>
        <v>3014.721736766166</v>
      </c>
      <c r="BI365" s="148">
        <f t="shared" si="250"/>
        <v>6871.6622130335309</v>
      </c>
      <c r="BO365">
        <f t="shared" si="251"/>
        <v>536.61182056182201</v>
      </c>
      <c r="BP365">
        <f t="shared" si="252"/>
        <v>668437.6081735777</v>
      </c>
      <c r="BQ365">
        <f t="shared" si="253"/>
        <v>882049.24065445294</v>
      </c>
      <c r="BR365" s="148">
        <f t="shared" si="254"/>
        <v>832880.92482432222</v>
      </c>
      <c r="BS365" s="156">
        <f t="shared" si="255"/>
        <v>536.61182056182201</v>
      </c>
      <c r="BT365" s="156">
        <f t="shared" si="256"/>
        <v>3014.721736766166</v>
      </c>
      <c r="BU365">
        <f t="shared" si="257"/>
        <v>1223.1361606120308</v>
      </c>
      <c r="BV365">
        <f t="shared" si="258"/>
        <v>1223.1361606120308</v>
      </c>
      <c r="BW365" s="148">
        <f t="shared" si="259"/>
        <v>455.4</v>
      </c>
      <c r="BX365" s="148">
        <f t="shared" si="260"/>
        <v>3129354.9718154697</v>
      </c>
      <c r="BY365" s="148">
        <f t="shared" si="261"/>
        <v>0.15472672431742188</v>
      </c>
      <c r="BZ365">
        <f t="shared" si="244"/>
        <v>121.02716386237653</v>
      </c>
      <c r="CB365">
        <f t="shared" si="262"/>
        <v>686.52434005020882</v>
      </c>
      <c r="CC365" s="162">
        <f t="shared" si="245"/>
        <v>3754.5347947062373</v>
      </c>
      <c r="CD365">
        <f t="shared" si="270"/>
        <v>-49900.256309157288</v>
      </c>
    </row>
    <row r="366" spans="4:82" x14ac:dyDescent="0.2">
      <c r="D366" s="22">
        <f t="shared" si="235"/>
        <v>-9.8748767517272268E-2</v>
      </c>
      <c r="E366" s="23">
        <v>8.6859034845239318</v>
      </c>
      <c r="F366" s="23">
        <f>IF(K366&lt;6,1,IF(Data!K366&lt;9,2,IF(K366&gt;9,3)))</f>
        <v>3</v>
      </c>
      <c r="G366" s="23">
        <v>1112.7565273662726</v>
      </c>
      <c r="H366" s="23">
        <v>220.96666499999998</v>
      </c>
      <c r="I366" s="64">
        <v>37.779709340955222</v>
      </c>
      <c r="J366" s="65">
        <f t="shared" si="236"/>
        <v>-17.707863781131106</v>
      </c>
      <c r="K366" s="65">
        <f t="shared" si="237"/>
        <v>15.111883736382088</v>
      </c>
      <c r="L366" s="65">
        <f t="shared" si="238"/>
        <v>-7.0831455124524352</v>
      </c>
      <c r="M366">
        <f t="shared" si="239"/>
        <v>17.371806969047864</v>
      </c>
      <c r="N366">
        <f t="shared" si="240"/>
        <v>-0.18420188452393305</v>
      </c>
      <c r="O366">
        <f>IF(L366&lt;'Vehicle Data'!F$21,'Vehicle Data'!C$21,IF(L366&gt;'Vehicle Data'!C$21,'Vehicle Data'!C$20))</f>
        <v>0.6</v>
      </c>
      <c r="P366">
        <f>('Vehicle Data'!C$6*9.81*'Vehicle Data'!C$5*SIN(D366))/'Vehicle Data'!C$9</f>
        <v>-65.656644375071409</v>
      </c>
      <c r="Q366" s="107">
        <f>'Vehicle Data'!C$6*9.81*SIN(D366)</f>
        <v>-424.57963362546172</v>
      </c>
      <c r="R366">
        <f t="shared" si="234"/>
        <v>1110.8453838464686</v>
      </c>
      <c r="S366">
        <f>IF(Data!O366=0.6,'Vehicle Data'!E$21,IF(Data!O366 = 0.9,'Vehicle Data'!E$20))+(P366*O366)</f>
        <v>1510.978413374957</v>
      </c>
      <c r="T366">
        <f>IF(F366=3,'Vehicle Data'!H$16,IF(F366=2,'Vehicle Data'!H$15,IF(F366 = 1,'Vehicle Data'!G$14)))</f>
        <v>466.23005239380637</v>
      </c>
      <c r="U366" s="148">
        <f t="shared" si="241"/>
        <v>394.70690172315255</v>
      </c>
      <c r="V366" s="70" t="s">
        <v>77</v>
      </c>
      <c r="W366" s="99" t="s">
        <v>84</v>
      </c>
      <c r="X366">
        <f>IF(V366="S",'Vehicle Data'!C$14,IF(Data!V366 = "T1",'Vehicle Data'!P$2,IF(Data!V366="T2",'Vehicle Data'!P$3)))</f>
        <v>13.411199999999999</v>
      </c>
      <c r="Z366">
        <f>SQRT(Z365^2+2*AE365*(U366-U365))</f>
        <v>10.959693979588977</v>
      </c>
      <c r="AB366" t="b">
        <f>IF(AA366=1,'Vehicle Data'!I$14,IF(AA366=2,'Vehicle Data'!I$15,IF(AA366=3,'Vehicle Data'!I$16)))</f>
        <v>0</v>
      </c>
      <c r="AC366">
        <f>IF(Z366&lt;'Vehicle Data'!C$16,'Vehicle Data'!I$15,IF(Z366&lt;'Vehicle Data'!C$15,'Vehicle Data'!I$15,IF(Z365&gt;'Vehicle Data'!C$15,'Vehicle Data'!I$16)))</f>
        <v>0.46202745420001456</v>
      </c>
      <c r="AD366">
        <f>IF(O366=0.6,'Vehicle Data'!F$21,IF(O366=0.9,'Vehicle Data'!F$20))</f>
        <v>3.5315999999999996</v>
      </c>
      <c r="AE366" s="100">
        <f t="shared" si="272"/>
        <v>0.46202745420001456</v>
      </c>
      <c r="AF366" s="158">
        <f t="shared" si="263"/>
        <v>0.17799713121697103</v>
      </c>
      <c r="AG366" s="148">
        <f t="shared" si="246"/>
        <v>0.46377407049154534</v>
      </c>
      <c r="AH366" s="148">
        <f t="shared" si="264"/>
        <v>121.20516099359349</v>
      </c>
      <c r="AJ366">
        <f>(Z366^2)*'Vehicle Data'!C$31</f>
        <v>44.142222856392792</v>
      </c>
      <c r="AK366">
        <f>IF(O366=0.6,'Vehicle Data'!C$6*'Vehicle Data'!D$21*9.81,IF(O366=0.9,'Vehicle Data'!C$6*9.81*'Vehicle Data'!D$20))</f>
        <v>86.131799999999998</v>
      </c>
      <c r="AL366">
        <f t="shared" si="243"/>
        <v>-294.30561076906895</v>
      </c>
      <c r="AN366">
        <f>IF(AG366&gt;0,AG366*'Vehicle Data'!C$6)</f>
        <v>203.59681694578842</v>
      </c>
      <c r="AO366">
        <f t="shared" si="247"/>
        <v>-90.70879382328053</v>
      </c>
      <c r="AP366">
        <f>AO366*'Vehicle Data'!F$3</f>
        <v>-23.185167701230505</v>
      </c>
      <c r="AQ366">
        <f>IF(AE366='Vehicle Data'!I$15,AP366/'Vehicle Data'!G$15,IF(AE366='Vehicle Data'!I$16,AP366/'Vehicle Data'!G$16,IF(AE366='Vehicle Data'!I$14,Data!AP366/'Vehicle Data'!G377)))</f>
        <v>-4.2802763439765821</v>
      </c>
      <c r="AR366">
        <f>IF(Z366&lt;'Vehicle Data'!C$16, Z366*'Vehicle Data'!F$7*'Vehicle Data'!G$14,IF(Z366&lt;'Vehicle Data'!C$15,Z366*'Vehicle Data'!F$7*'Vehicle Data'!G$15,IF(Z366&gt;'Vehicle Data'!C$15,Z366*'Vehicle Data'!F$7*'Vehicle Data'!G$16)))</f>
        <v>95.340533605149488</v>
      </c>
      <c r="AS366">
        <f t="shared" si="265"/>
        <v>5720.4320163089697</v>
      </c>
      <c r="AT366">
        <f t="shared" si="266"/>
        <v>-4</v>
      </c>
      <c r="AU366">
        <f t="shared" si="267"/>
        <v>5500</v>
      </c>
      <c r="AW366" t="e">
        <f>VLOOKUP(AT366,BSFC!A$64:A$82,1,FALSE)</f>
        <v>#N/A</v>
      </c>
      <c r="AX366" t="e" cm="1">
        <f t="array" ref="AX366">_xlfn.XLOOKUP(AT366,BSFC!A$64:A$82,,-1,_xlfn.XLOOKUP(Data!AU366,BSFC!C$63:Q$63,BSFC!B$64:Q$82,,-1))</f>
        <v>#VALUE!</v>
      </c>
      <c r="AY366">
        <f>HLOOKUP(AU366,BSFC!F$63:Q$63,1)</f>
        <v>5500</v>
      </c>
      <c r="AZ366">
        <f>IF(AT366&gt;0,MATCH(AT366,BSFC!A$64:A$83,0),IF(AT366&lt;=0,0))</f>
        <v>0</v>
      </c>
      <c r="BA366">
        <f>MATCH(AU366,BSFC!C$63:Q$63,0)</f>
        <v>11</v>
      </c>
      <c r="BB366" t="b" cm="1">
        <f t="array" ref="BB366">IF(AZ366&gt;0,INDEX(BSFC!C$64:Q$83,Data!AZ366,Data!BA366))</f>
        <v>0</v>
      </c>
      <c r="BC366">
        <f>0.5*'Vehicle Data'!C$6*Data!Z366^2</f>
        <v>26365.21882170943</v>
      </c>
      <c r="BD366">
        <f t="shared" si="248"/>
        <v>2.7951287007683852</v>
      </c>
      <c r="BE366">
        <f t="shared" si="268"/>
        <v>0</v>
      </c>
      <c r="BF366">
        <f t="shared" si="269"/>
        <v>0</v>
      </c>
      <c r="BG366">
        <f t="shared" si="249"/>
        <v>146.80145313196161</v>
      </c>
      <c r="BH366">
        <f t="shared" si="271"/>
        <v>-2553.7160864344542</v>
      </c>
      <c r="BI366" s="148">
        <f t="shared" si="250"/>
        <v>6871.6622130335309</v>
      </c>
      <c r="BO366">
        <f t="shared" si="251"/>
        <v>-442.07718222520265</v>
      </c>
      <c r="BP366">
        <f t="shared" si="252"/>
        <v>667995.53099135251</v>
      </c>
      <c r="BQ366">
        <f t="shared" si="253"/>
        <v>882049.24065445294</v>
      </c>
      <c r="BR366" s="148">
        <f t="shared" si="254"/>
        <v>834070.4873933479</v>
      </c>
      <c r="BS366" s="156" t="b">
        <f t="shared" si="255"/>
        <v>0</v>
      </c>
      <c r="BT366" s="156">
        <f t="shared" si="256"/>
        <v>0</v>
      </c>
      <c r="BU366">
        <f t="shared" si="257"/>
        <v>1189.5625690257148</v>
      </c>
      <c r="BV366">
        <f t="shared" si="258"/>
        <v>1189.5625690257148</v>
      </c>
      <c r="BW366" s="148">
        <f t="shared" si="259"/>
        <v>455.4</v>
      </c>
      <c r="BX366" s="148">
        <f t="shared" si="260"/>
        <v>3129354.9718154697</v>
      </c>
      <c r="BY366" s="148">
        <f t="shared" si="261"/>
        <v>0.15047966498175291</v>
      </c>
      <c r="BZ366">
        <f t="shared" si="244"/>
        <v>121.20516099359349</v>
      </c>
      <c r="CB366">
        <f t="shared" si="262"/>
        <v>1189.5625690257148</v>
      </c>
      <c r="CC366" s="162">
        <f t="shared" si="245"/>
        <v>6683.0434900419814</v>
      </c>
      <c r="CD366">
        <f t="shared" si="270"/>
        <v>-48710.693740131574</v>
      </c>
    </row>
    <row r="367" spans="4:82" x14ac:dyDescent="0.2">
      <c r="D367" s="22">
        <f t="shared" si="235"/>
        <v>-5.481121412768504E-2</v>
      </c>
      <c r="E367" s="23">
        <v>8.5017015999999987</v>
      </c>
      <c r="F367" s="23">
        <f>IF(K367&lt;6,1,IF(Data!K367&lt;9,2,IF(K367&gt;9,3)))</f>
        <v>3</v>
      </c>
      <c r="G367" s="23">
        <v>1114.6249212576568</v>
      </c>
      <c r="H367" s="23">
        <v>221.01666499999999</v>
      </c>
      <c r="I367" s="64">
        <v>36.894316151898465</v>
      </c>
      <c r="J367" s="65">
        <f t="shared" si="236"/>
        <v>-16.307442358513512</v>
      </c>
      <c r="K367" s="65">
        <f t="shared" si="237"/>
        <v>14.757726460759386</v>
      </c>
      <c r="L367" s="65">
        <f t="shared" si="238"/>
        <v>-6.5229769434054052</v>
      </c>
      <c r="M367">
        <f t="shared" si="239"/>
        <v>17.003403199999997</v>
      </c>
      <c r="N367">
        <f t="shared" si="240"/>
        <v>-9.9998399999998711E-2</v>
      </c>
      <c r="O367">
        <f>IF(L367&lt;'Vehicle Data'!F$21,'Vehicle Data'!C$21,IF(L367&gt;'Vehicle Data'!C$21,'Vehicle Data'!C$20))</f>
        <v>0.6</v>
      </c>
      <c r="P367">
        <f>('Vehicle Data'!C$6*9.81*'Vehicle Data'!C$5*SIN(D367))/'Vehicle Data'!C$9</f>
        <v>-36.484214185496413</v>
      </c>
      <c r="Q367" s="107">
        <f>'Vehicle Data'!C$6*9.81*SIN(D367)</f>
        <v>-235.9312517328768</v>
      </c>
      <c r="R367">
        <f t="shared" si="234"/>
        <v>1112.7565273662726</v>
      </c>
      <c r="S367">
        <f>IF(Data!O367=0.6,'Vehicle Data'!E$21,IF(Data!O367 = 0.9,'Vehicle Data'!E$20))+(P367*O367)</f>
        <v>1528.4818714887019</v>
      </c>
      <c r="T367">
        <f>IF(F367=3,'Vehicle Data'!H$16,IF(F367=2,'Vehicle Data'!H$15,IF(F367 = 1,'Vehicle Data'!G$14)))</f>
        <v>466.23005239380637</v>
      </c>
      <c r="U367" s="148">
        <f t="shared" si="241"/>
        <v>396.61804524295655</v>
      </c>
      <c r="V367" s="70" t="s">
        <v>77</v>
      </c>
      <c r="W367" s="99" t="s">
        <v>84</v>
      </c>
      <c r="X367">
        <f>IF(V367="S",'Vehicle Data'!C$14,IF(Data!V367 = "T1",'Vehicle Data'!P$2,IF(Data!V367="T2",'Vehicle Data'!P$3)))</f>
        <v>13.411199999999999</v>
      </c>
      <c r="Z367">
        <f t="shared" ref="Z367:Z371" si="274">SQRT(Z366^2+2*AE366*(U367-U366))</f>
        <v>11.039968010658846</v>
      </c>
      <c r="AB367" t="b">
        <f>IF(AA367=1,'Vehicle Data'!I$14,IF(AA367=2,'Vehicle Data'!I$15,IF(AA367=3,'Vehicle Data'!I$16)))</f>
        <v>0</v>
      </c>
      <c r="AC367">
        <f>IF(Z367&lt;'Vehicle Data'!C$16,'Vehicle Data'!I$15,IF(Z367&lt;'Vehicle Data'!C$15,'Vehicle Data'!I$15,IF(Z366&gt;'Vehicle Data'!C$15,'Vehicle Data'!I$16)))</f>
        <v>0.46202745420001456</v>
      </c>
      <c r="AD367">
        <f>IF(O367=0.6,'Vehicle Data'!F$21,IF(O367=0.9,'Vehicle Data'!F$20))</f>
        <v>3.5315999999999996</v>
      </c>
      <c r="AE367" s="100">
        <f t="shared" si="272"/>
        <v>0.46202745420001456</v>
      </c>
      <c r="AF367" s="158">
        <f t="shared" si="263"/>
        <v>0.17311132767403248</v>
      </c>
      <c r="AG367" s="148">
        <f t="shared" si="246"/>
        <v>0.46371333492990713</v>
      </c>
      <c r="AH367" s="148">
        <f t="shared" si="264"/>
        <v>121.37827232126753</v>
      </c>
      <c r="AJ367">
        <f>(Z367^2)*'Vehicle Data'!C$31</f>
        <v>44.791228426066226</v>
      </c>
      <c r="AK367">
        <f>IF(O367=0.6,'Vehicle Data'!C$6*'Vehicle Data'!D$21*9.81,IF(O367=0.9,'Vehicle Data'!C$6*9.81*'Vehicle Data'!D$20))</f>
        <v>86.131799999999998</v>
      </c>
      <c r="AL367">
        <f t="shared" si="243"/>
        <v>-105.00822330681058</v>
      </c>
      <c r="AN367">
        <f>IF(AG367&gt;0,AG367*'Vehicle Data'!C$6)</f>
        <v>203.57015403422923</v>
      </c>
      <c r="AO367">
        <f t="shared" si="247"/>
        <v>98.561930727418655</v>
      </c>
      <c r="AP367">
        <f>AO367*'Vehicle Data'!F$3</f>
        <v>25.192429493928209</v>
      </c>
      <c r="AQ367">
        <f>IF(AE367='Vehicle Data'!I$15,AP367/'Vehicle Data'!G$15,IF(AE367='Vehicle Data'!I$16,AP367/'Vehicle Data'!G$16,IF(AE367='Vehicle Data'!I$14,Data!AP367/'Vehicle Data'!G378)))</f>
        <v>4.6508423574799487</v>
      </c>
      <c r="AR367">
        <f>IF(Z367&lt;'Vehicle Data'!C$16, Z367*'Vehicle Data'!F$7*'Vehicle Data'!G$14,IF(Z367&lt;'Vehicle Data'!C$15,Z367*'Vehicle Data'!F$7*'Vehicle Data'!G$15,IF(Z367&gt;'Vehicle Data'!C$15,Z367*'Vehicle Data'!F$7*'Vehicle Data'!G$16)))</f>
        <v>96.038853190631627</v>
      </c>
      <c r="AS367">
        <f t="shared" si="265"/>
        <v>5762.3311914378974</v>
      </c>
      <c r="AT367">
        <f t="shared" si="266"/>
        <v>5</v>
      </c>
      <c r="AU367">
        <f t="shared" si="267"/>
        <v>6000</v>
      </c>
      <c r="AW367">
        <f>VLOOKUP(AT367,BSFC!A$64:A$82,1,FALSE)</f>
        <v>5</v>
      </c>
      <c r="AX367" t="e" cm="1">
        <f t="array" ref="AX367">_xlfn.XLOOKUP(AT367,BSFC!A$64:A$82,,-1,_xlfn.XLOOKUP(Data!AU367,BSFC!C$63:Q$63,BSFC!B$64:Q$82,,-1))</f>
        <v>#VALUE!</v>
      </c>
      <c r="AY367">
        <f>HLOOKUP(AU367,BSFC!F$63:Q$63,1)</f>
        <v>6000</v>
      </c>
      <c r="AZ367">
        <f>IF(AT367&gt;0,MATCH(AT367,BSFC!A$64:A$83,0),IF(AT367&lt;=0,0))</f>
        <v>18</v>
      </c>
      <c r="BA367">
        <f>MATCH(AU367,BSFC!C$63:Q$63,0)</f>
        <v>12</v>
      </c>
      <c r="BB367" cm="1">
        <f t="array" ref="BB367">IF(AZ367&gt;0,INDEX(BSFC!C$64:Q$83,Data!AZ367,Data!BA367))</f>
        <v>600</v>
      </c>
      <c r="BC367">
        <f>0.5*'Vehicle Data'!C$6*Data!Z367^2</f>
        <v>26752.856161963358</v>
      </c>
      <c r="BD367">
        <f t="shared" si="248"/>
        <v>8.4827895723044264</v>
      </c>
      <c r="BE367">
        <f t="shared" si="268"/>
        <v>5089.6737433826556</v>
      </c>
      <c r="BF367">
        <f t="shared" si="269"/>
        <v>0.24474449420684288</v>
      </c>
      <c r="BG367">
        <f t="shared" si="249"/>
        <v>147.04619762616846</v>
      </c>
      <c r="BH367">
        <f t="shared" si="271"/>
        <v>2795.128700768385</v>
      </c>
      <c r="BI367" s="148">
        <f t="shared" si="250"/>
        <v>6871.6622130335309</v>
      </c>
      <c r="BO367">
        <f t="shared" si="251"/>
        <v>469.72970620267807</v>
      </c>
      <c r="BP367">
        <f t="shared" si="252"/>
        <v>668465.26069755515</v>
      </c>
      <c r="BQ367">
        <f t="shared" si="253"/>
        <v>882518.97036065557</v>
      </c>
      <c r="BR367" s="148">
        <f t="shared" si="254"/>
        <v>835225.29070224916</v>
      </c>
      <c r="BS367" s="156">
        <f t="shared" si="255"/>
        <v>469.72970620267807</v>
      </c>
      <c r="BT367" s="156">
        <f t="shared" si="256"/>
        <v>2795.128700768385</v>
      </c>
      <c r="BU367">
        <f t="shared" si="257"/>
        <v>1154.8033089012865</v>
      </c>
      <c r="BV367">
        <f t="shared" si="258"/>
        <v>1154.8033089012865</v>
      </c>
      <c r="BW367" s="148">
        <f t="shared" si="259"/>
        <v>455.4</v>
      </c>
      <c r="BX367" s="148">
        <f t="shared" si="260"/>
        <v>3129354.9718154697</v>
      </c>
      <c r="BY367" s="148">
        <f t="shared" si="261"/>
        <v>0.14608261857601273</v>
      </c>
      <c r="BZ367">
        <f t="shared" si="244"/>
        <v>121.37827232126753</v>
      </c>
      <c r="CB367">
        <f t="shared" si="262"/>
        <v>685.07360269860851</v>
      </c>
      <c r="CC367" s="162">
        <f t="shared" si="245"/>
        <v>3957.4163742108435</v>
      </c>
      <c r="CD367">
        <f t="shared" si="270"/>
        <v>-48025.620137432968</v>
      </c>
    </row>
    <row r="368" spans="4:82" x14ac:dyDescent="0.2">
      <c r="D368" s="22">
        <f t="shared" si="235"/>
        <v>-8.84161799070525E-3</v>
      </c>
      <c r="E368" s="23">
        <v>8.4017032</v>
      </c>
      <c r="F368" s="23">
        <f>IF(K368&lt;6,1,IF(Data!K368&lt;9,2,IF(K368&gt;9,3)))</f>
        <v>3</v>
      </c>
      <c r="G368" s="23">
        <v>1116.4502500612507</v>
      </c>
      <c r="H368" s="23">
        <v>221.066665</v>
      </c>
      <c r="I368" s="64">
        <v>36.078944033972604</v>
      </c>
      <c r="J368" s="65">
        <f t="shared" si="236"/>
        <v>-14.538014131482823</v>
      </c>
      <c r="K368" s="65">
        <f t="shared" si="237"/>
        <v>14.431577613589042</v>
      </c>
      <c r="L368" s="65">
        <f t="shared" si="238"/>
        <v>-5.8152056525931366</v>
      </c>
      <c r="M368">
        <f t="shared" si="239"/>
        <v>16.8034064</v>
      </c>
      <c r="N368">
        <f t="shared" si="240"/>
        <v>-1.5802115475887391E-2</v>
      </c>
      <c r="O368">
        <f>IF(L368&lt;'Vehicle Data'!F$21,'Vehicle Data'!C$21,IF(L368&gt;'Vehicle Data'!C$21,'Vehicle Data'!C$20))</f>
        <v>0.6</v>
      </c>
      <c r="P368">
        <f>('Vehicle Data'!C$6*9.81*'Vehicle Data'!C$5*SIN(D368))/'Vehicle Data'!C$9</f>
        <v>-5.8881537394421875</v>
      </c>
      <c r="Q368" s="107">
        <f>'Vehicle Data'!C$6*9.81*SIN(D368)</f>
        <v>-38.076727515059481</v>
      </c>
      <c r="R368">
        <f t="shared" si="234"/>
        <v>1114.6249212576568</v>
      </c>
      <c r="S368">
        <f>IF(Data!O368=0.6,'Vehicle Data'!E$21,IF(Data!O368 = 0.9,'Vehicle Data'!E$20))+(P368*O368)</f>
        <v>1546.8395077563343</v>
      </c>
      <c r="T368">
        <f>IF(F368=3,'Vehicle Data'!H$16,IF(F368=2,'Vehicle Data'!H$15,IF(F368 = 1,'Vehicle Data'!G$14)))</f>
        <v>466.23005239380637</v>
      </c>
      <c r="U368" s="148">
        <f t="shared" si="241"/>
        <v>398.48643913434069</v>
      </c>
      <c r="V368" s="70" t="s">
        <v>77</v>
      </c>
      <c r="W368" s="99" t="s">
        <v>84</v>
      </c>
      <c r="X368">
        <f>IF(V368="S",'Vehicle Data'!C$14,IF(Data!V368 = "T1",'Vehicle Data'!P$2,IF(Data!V368="T2",'Vehicle Data'!P$3)))</f>
        <v>13.411199999999999</v>
      </c>
      <c r="Z368">
        <f t="shared" si="274"/>
        <v>11.117886140023597</v>
      </c>
      <c r="AB368" t="b">
        <f>IF(AA368=1,'Vehicle Data'!I$14,IF(AA368=2,'Vehicle Data'!I$15,IF(AA368=3,'Vehicle Data'!I$16)))</f>
        <v>0</v>
      </c>
      <c r="AC368">
        <f>IF(Z368&lt;'Vehicle Data'!C$16,'Vehicle Data'!I$15,IF(Z368&lt;'Vehicle Data'!C$15,'Vehicle Data'!I$15,IF(Z367&gt;'Vehicle Data'!C$15,'Vehicle Data'!I$16)))</f>
        <v>0.46202745420001456</v>
      </c>
      <c r="AD368">
        <f>IF(O368=0.6,'Vehicle Data'!F$21,IF(O368=0.9,'Vehicle Data'!F$20))</f>
        <v>3.5315999999999996</v>
      </c>
      <c r="AE368" s="100">
        <f t="shared" si="272"/>
        <v>0.46202745420001456</v>
      </c>
      <c r="AF368" s="158">
        <f t="shared" si="263"/>
        <v>0.1680529794830373</v>
      </c>
      <c r="AG368" s="148">
        <f t="shared" si="246"/>
        <v>0.46365217447760393</v>
      </c>
      <c r="AH368" s="148">
        <f t="shared" si="264"/>
        <v>121.54632530075057</v>
      </c>
      <c r="AJ368">
        <f>(Z368^2)*'Vehicle Data'!C$31</f>
        <v>45.425716641779346</v>
      </c>
      <c r="AK368">
        <f>IF(O368=0.6,'Vehicle Data'!C$6*'Vehicle Data'!D$21*9.81,IF(O368=0.9,'Vehicle Data'!C$6*9.81*'Vehicle Data'!D$20))</f>
        <v>86.131799999999998</v>
      </c>
      <c r="AL368">
        <f t="shared" si="243"/>
        <v>93.480789126719856</v>
      </c>
      <c r="AN368">
        <f>IF(AG368&gt;0,AG368*'Vehicle Data'!C$6)</f>
        <v>203.54330459566813</v>
      </c>
      <c r="AO368">
        <f t="shared" si="247"/>
        <v>297.02409372238799</v>
      </c>
      <c r="AP368">
        <f>AO368*'Vehicle Data'!F$3</f>
        <v>75.91935835544237</v>
      </c>
      <c r="AQ368">
        <f>IF(AE368='Vehicle Data'!I$15,AP368/'Vehicle Data'!G$15,IF(AE368='Vehicle Data'!I$16,AP368/'Vehicle Data'!G$16,IF(AE368='Vehicle Data'!I$14,Data!AP368/'Vehicle Data'!G379)))</f>
        <v>14.01567751444103</v>
      </c>
      <c r="AR368">
        <f>IF(Z368&lt;'Vehicle Data'!C$16, Z368*'Vehicle Data'!F$7*'Vehicle Data'!G$14,IF(Z368&lt;'Vehicle Data'!C$15,Z368*'Vehicle Data'!F$7*'Vehicle Data'!G$15,IF(Z368&gt;'Vehicle Data'!C$15,Z368*'Vehicle Data'!F$7*'Vehicle Data'!G$16)))</f>
        <v>96.71667832379552</v>
      </c>
      <c r="AS368">
        <f t="shared" si="265"/>
        <v>5803.000699427731</v>
      </c>
      <c r="AT368">
        <f t="shared" si="266"/>
        <v>14</v>
      </c>
      <c r="AU368">
        <f t="shared" si="267"/>
        <v>6000</v>
      </c>
      <c r="AW368">
        <f>VLOOKUP(AT368,BSFC!A$64:A$82,1,FALSE)</f>
        <v>14</v>
      </c>
      <c r="AX368" t="e" cm="1">
        <f t="array" ref="AX368">_xlfn.XLOOKUP(AT368,BSFC!A$64:A$82,,-1,_xlfn.XLOOKUP(Data!AU368,BSFC!C$63:Q$63,BSFC!B$64:Q$82,,-1))</f>
        <v>#VALUE!</v>
      </c>
      <c r="AY368">
        <f>HLOOKUP(AU368,BSFC!F$63:Q$63,1)</f>
        <v>6000</v>
      </c>
      <c r="AZ368">
        <f>IF(AT368&gt;0,MATCH(AT368,BSFC!A$64:A$83,0),IF(AT368&lt;=0,0))</f>
        <v>9</v>
      </c>
      <c r="BA368">
        <f>MATCH(AU368,BSFC!C$63:Q$63,0)</f>
        <v>12</v>
      </c>
      <c r="BB368" cm="1">
        <f t="array" ref="BB368">IF(AZ368&gt;0,INDEX(BSFC!C$64:Q$83,Data!AZ368,Data!BA368))</f>
        <v>564.5</v>
      </c>
      <c r="BC368">
        <f>0.5*'Vehicle Data'!C$6*Data!Z368^2</f>
        <v>27131.82259284507</v>
      </c>
      <c r="BD368">
        <f t="shared" si="248"/>
        <v>2.8274869989526277</v>
      </c>
      <c r="BE368">
        <f t="shared" si="268"/>
        <v>1596.1164109087583</v>
      </c>
      <c r="BF368">
        <f t="shared" si="269"/>
        <v>7.4508921793052407E-2</v>
      </c>
      <c r="BG368">
        <f t="shared" si="249"/>
        <v>147.1207065479615</v>
      </c>
      <c r="BH368">
        <f t="shared" si="271"/>
        <v>8482.7895723044257</v>
      </c>
      <c r="BI368" s="148">
        <f t="shared" si="250"/>
        <v>6871.6622130335309</v>
      </c>
      <c r="BO368">
        <f t="shared" si="251"/>
        <v>1383.2940116790141</v>
      </c>
      <c r="BP368">
        <f t="shared" si="252"/>
        <v>669848.55470923416</v>
      </c>
      <c r="BQ368">
        <f t="shared" si="253"/>
        <v>883902.26437233458</v>
      </c>
      <c r="BR368" s="148">
        <f t="shared" si="254"/>
        <v>836345.85712778033</v>
      </c>
      <c r="BS368" s="156">
        <f t="shared" si="255"/>
        <v>1383.2940116790141</v>
      </c>
      <c r="BT368" s="156">
        <f t="shared" si="256"/>
        <v>8482.7895723044257</v>
      </c>
      <c r="BU368">
        <f t="shared" si="257"/>
        <v>1120.566425531169</v>
      </c>
      <c r="BV368">
        <f t="shared" si="258"/>
        <v>1120.566425531169</v>
      </c>
      <c r="BW368" s="148">
        <f t="shared" si="259"/>
        <v>455.4</v>
      </c>
      <c r="BX368" s="148">
        <f t="shared" si="260"/>
        <v>3129354.9718154697</v>
      </c>
      <c r="BY368" s="148">
        <f t="shared" si="261"/>
        <v>0.14175165282969285</v>
      </c>
      <c r="BZ368">
        <f t="shared" si="244"/>
        <v>121.54632530075057</v>
      </c>
      <c r="CB368">
        <f t="shared" si="262"/>
        <v>-262.72758614784516</v>
      </c>
      <c r="CC368" s="162">
        <f t="shared" si="245"/>
        <v>-1563.3616669936252</v>
      </c>
      <c r="CD368">
        <f t="shared" si="270"/>
        <v>-48288.347723580817</v>
      </c>
    </row>
    <row r="369" spans="4:82" x14ac:dyDescent="0.2">
      <c r="D369" s="22">
        <f t="shared" si="235"/>
        <v>-4.813391848855228E-2</v>
      </c>
      <c r="E369" s="23">
        <v>8.3859010845241126</v>
      </c>
      <c r="F369" s="23">
        <f>IF(K369&lt;6,1,IF(Data!K369&lt;9,2,IF(K369&gt;9,3)))</f>
        <v>3</v>
      </c>
      <c r="G369" s="23">
        <v>1118.2375158513685</v>
      </c>
      <c r="H369" s="23">
        <v>221.11666499999998</v>
      </c>
      <c r="I369" s="64">
        <v>35.352043327398711</v>
      </c>
      <c r="J369" s="65">
        <f t="shared" si="236"/>
        <v>-15.498825303385956</v>
      </c>
      <c r="K369" s="65">
        <f t="shared" si="237"/>
        <v>14.140817330959484</v>
      </c>
      <c r="L369" s="65">
        <f t="shared" si="238"/>
        <v>-6.1995301213543756</v>
      </c>
      <c r="M369">
        <f t="shared" si="239"/>
        <v>16.771802169048225</v>
      </c>
      <c r="N369">
        <f t="shared" si="240"/>
        <v>-8.4196284524113096E-2</v>
      </c>
      <c r="O369">
        <f>'Vehicle Data'!C$20</f>
        <v>0.9</v>
      </c>
      <c r="P369">
        <f>('Vehicle Data'!C$6*9.81*'Vehicle Data'!C$5*SIN(D369))/'Vehicle Data'!C$9</f>
        <v>-32.043249893553408</v>
      </c>
      <c r="Q369" s="107">
        <f>'Vehicle Data'!C$6*9.81*SIN(D369)</f>
        <v>-207.21301597831206</v>
      </c>
      <c r="R369">
        <f t="shared" si="234"/>
        <v>1116.4502500612507</v>
      </c>
      <c r="S369">
        <f>IF(Data!O369=0.6,'Vehicle Data'!E$21,IF(Data!O369 = 0.9,'Vehicle Data'!E$20))+(P369*O369)</f>
        <v>2296.7196750958019</v>
      </c>
      <c r="T369">
        <f>IF(F369=3,'Vehicle Data'!H$16,IF(F369=2,'Vehicle Data'!H$15,IF(F369 = 1,'Vehicle Data'!G$14)))</f>
        <v>466.23005239380637</v>
      </c>
      <c r="U369" s="148">
        <f t="shared" si="241"/>
        <v>400.31176793793463</v>
      </c>
      <c r="V369" s="70" t="s">
        <v>77</v>
      </c>
      <c r="W369" s="99" t="s">
        <v>84</v>
      </c>
      <c r="X369">
        <f>IF(V369="S",'Vehicle Data'!C$14,IF(Data!V369 = "T1",'Vehicle Data'!P$2,IF(Data!V369="T2",'Vehicle Data'!P$3)))</f>
        <v>13.411199999999999</v>
      </c>
      <c r="Z369">
        <f t="shared" si="274"/>
        <v>11.193484545168841</v>
      </c>
      <c r="AB369" t="b">
        <f>IF(AA369=1,'Vehicle Data'!I$14,IF(AA369=2,'Vehicle Data'!I$15,IF(AA369=3,'Vehicle Data'!I$16)))</f>
        <v>0</v>
      </c>
      <c r="AC369">
        <f>IF(Z369&lt;'Vehicle Data'!C$16,'Vehicle Data'!I$15,IF(Z369&lt;'Vehicle Data'!C$15,'Vehicle Data'!I$15,IF(Z368&gt;'Vehicle Data'!C$15,'Vehicle Data'!I$16)))</f>
        <v>0.46202745420001456</v>
      </c>
      <c r="AD369">
        <f>IF(O369=0.6,'Vehicle Data'!F$21,IF(O369=0.9,'Vehicle Data'!F$20))</f>
        <v>5.2973999999999997</v>
      </c>
      <c r="AE369" s="100">
        <f t="shared" si="272"/>
        <v>0.46202745420001456</v>
      </c>
      <c r="AF369" s="158">
        <f t="shared" si="263"/>
        <v>0.16307065027232898</v>
      </c>
      <c r="AG369" s="148">
        <f t="shared" si="246"/>
        <v>0.46359295813805207</v>
      </c>
      <c r="AH369" s="148">
        <f t="shared" si="264"/>
        <v>121.7093959510229</v>
      </c>
      <c r="AJ369">
        <f>(Z369^2)*'Vehicle Data'!C$31</f>
        <v>46.045580376628152</v>
      </c>
      <c r="AK369">
        <f>IF(O369=0.6,'Vehicle Data'!C$6*'Vehicle Data'!D$21*9.81,IF(O369=0.9,'Vehicle Data'!C$6*9.81*'Vehicle Data'!D$20))</f>
        <v>55.985669999999999</v>
      </c>
      <c r="AL369">
        <f t="shared" si="243"/>
        <v>-105.18176560168391</v>
      </c>
      <c r="AN369">
        <f>IF(AG369&gt;0,AG369*'Vehicle Data'!C$6)</f>
        <v>203.51730862260487</v>
      </c>
      <c r="AO369">
        <f t="shared" si="247"/>
        <v>98.335543020920966</v>
      </c>
      <c r="AP369">
        <f>AO369*'Vehicle Data'!F$3</f>
        <v>25.134564796147398</v>
      </c>
      <c r="AQ369">
        <f>IF(AE369='Vehicle Data'!I$15,AP369/'Vehicle Data'!G$15,IF(AE369='Vehicle Data'!I$16,AP369/'Vehicle Data'!G$16,IF(AE369='Vehicle Data'!I$14,Data!AP369/'Vehicle Data'!G380)))</f>
        <v>4.6401597995509238</v>
      </c>
      <c r="AR369">
        <f>IF(Z369&lt;'Vehicle Data'!C$16, Z369*'Vehicle Data'!F$7*'Vehicle Data'!G$14,IF(Z369&lt;'Vehicle Data'!C$15,Z369*'Vehicle Data'!F$7*'Vehicle Data'!G$15,IF(Z369&gt;'Vehicle Data'!C$15,Z369*'Vehicle Data'!F$7*'Vehicle Data'!G$16)))</f>
        <v>97.374323719704307</v>
      </c>
      <c r="AS369">
        <f t="shared" si="265"/>
        <v>5842.4594231822584</v>
      </c>
      <c r="AT369">
        <f t="shared" si="266"/>
        <v>5</v>
      </c>
      <c r="AU369">
        <f t="shared" si="267"/>
        <v>6000</v>
      </c>
      <c r="AW369">
        <f>VLOOKUP(AT369,BSFC!A$64:A$82,1,FALSE)</f>
        <v>5</v>
      </c>
      <c r="AX369" t="e" cm="1">
        <f t="array" ref="AX369">_xlfn.XLOOKUP(AT369,BSFC!A$64:A$82,,-1,_xlfn.XLOOKUP(Data!AU369,BSFC!C$63:Q$63,BSFC!B$64:Q$82,,-1))</f>
        <v>#VALUE!</v>
      </c>
      <c r="AY369">
        <f>HLOOKUP(AU369,BSFC!F$63:Q$63,1)</f>
        <v>6000</v>
      </c>
      <c r="AZ369">
        <f>IF(AT369&gt;0,MATCH(AT369,BSFC!A$64:A$83,0),IF(AT369&lt;=0,0))</f>
        <v>18</v>
      </c>
      <c r="BA369">
        <f>MATCH(AU369,BSFC!C$63:Q$63,0)</f>
        <v>12</v>
      </c>
      <c r="BB369" cm="1">
        <f t="array" ref="BB369">IF(AZ369&gt;0,INDEX(BSFC!C$64:Q$83,Data!AZ369,Data!BA369))</f>
        <v>600</v>
      </c>
      <c r="BC369">
        <f>0.5*'Vehicle Data'!C$6*Data!Z369^2</f>
        <v>27502.05412971395</v>
      </c>
      <c r="BD369">
        <f t="shared" si="248"/>
        <v>8.8601844589240741</v>
      </c>
      <c r="BE369">
        <f t="shared" si="268"/>
        <v>5316.1106753544445</v>
      </c>
      <c r="BF369">
        <f t="shared" si="269"/>
        <v>0.24080600687492201</v>
      </c>
      <c r="BG369">
        <f t="shared" si="249"/>
        <v>147.36151255483642</v>
      </c>
      <c r="BH369">
        <f t="shared" si="271"/>
        <v>2827.4869989526278</v>
      </c>
      <c r="BI369" s="148">
        <f t="shared" si="250"/>
        <v>6871.6622130335309</v>
      </c>
      <c r="BO369">
        <f t="shared" si="251"/>
        <v>448.51904126789793</v>
      </c>
      <c r="BP369">
        <f t="shared" si="252"/>
        <v>670297.07375050208</v>
      </c>
      <c r="BQ369">
        <f t="shared" si="253"/>
        <v>884350.7834136025</v>
      </c>
      <c r="BR369" s="148">
        <f t="shared" si="254"/>
        <v>837435.89621508587</v>
      </c>
      <c r="BS369" s="156">
        <f t="shared" si="255"/>
        <v>448.51904126789793</v>
      </c>
      <c r="BT369" s="156">
        <f t="shared" si="256"/>
        <v>2827.4869989526278</v>
      </c>
      <c r="BU369">
        <f t="shared" si="257"/>
        <v>1090.0390873055535</v>
      </c>
      <c r="BV369">
        <f t="shared" si="258"/>
        <v>1090.0390873055535</v>
      </c>
      <c r="BW369" s="148">
        <f t="shared" si="259"/>
        <v>455.4</v>
      </c>
      <c r="BX369" s="148">
        <f t="shared" si="260"/>
        <v>3129354.9718154697</v>
      </c>
      <c r="BY369" s="148">
        <f t="shared" si="261"/>
        <v>0.13788994454415252</v>
      </c>
      <c r="BZ369">
        <f t="shared" si="244"/>
        <v>121.7093959510229</v>
      </c>
      <c r="CB369">
        <f t="shared" si="262"/>
        <v>641.52004603765556</v>
      </c>
      <c r="CC369" s="162">
        <f t="shared" si="245"/>
        <v>3934.0006614697604</v>
      </c>
      <c r="CD369">
        <f t="shared" si="270"/>
        <v>-47646.827677543159</v>
      </c>
    </row>
    <row r="370" spans="4:82" x14ac:dyDescent="0.2">
      <c r="D370" s="22">
        <f t="shared" si="235"/>
        <v>0</v>
      </c>
      <c r="E370" s="23">
        <v>8.3017047999999996</v>
      </c>
      <c r="F370" s="23">
        <f>IF(K370&lt;6,1,IF(Data!K370&lt;9,2,IF(K370&gt;9,3)))</f>
        <v>3</v>
      </c>
      <c r="G370" s="23">
        <v>1119.9874005063298</v>
      </c>
      <c r="H370" s="23">
        <v>221.16666499999999</v>
      </c>
      <c r="I370" s="64">
        <v>34.577102062229237</v>
      </c>
      <c r="J370" s="65">
        <f t="shared" si="236"/>
        <v>-16.294258802782636</v>
      </c>
      <c r="K370" s="65">
        <f t="shared" si="237"/>
        <v>13.830840824891695</v>
      </c>
      <c r="L370" s="65">
        <f t="shared" si="238"/>
        <v>-6.5177035211130478</v>
      </c>
      <c r="M370">
        <f t="shared" si="239"/>
        <v>16.603409599999999</v>
      </c>
      <c r="N370">
        <v>0</v>
      </c>
      <c r="O370">
        <f>'Vehicle Data'!C$20</f>
        <v>0.9</v>
      </c>
      <c r="P370">
        <f>('Vehicle Data'!C$6*9.81*'Vehicle Data'!C$5*SIN(D370))/'Vehicle Data'!C$9</f>
        <v>0</v>
      </c>
      <c r="Q370" s="107">
        <f>'Vehicle Data'!C$6*9.81*SIN(D370)</f>
        <v>0</v>
      </c>
      <c r="R370">
        <f t="shared" si="234"/>
        <v>1118.2375158513685</v>
      </c>
      <c r="S370">
        <f>IF(Data!O370=0.6,'Vehicle Data'!E$21,IF(Data!O370 = 0.9,'Vehicle Data'!E$20))+(P370*O370)</f>
        <v>2325.5585999999998</v>
      </c>
      <c r="T370">
        <f>IF(F370=3,'Vehicle Data'!H$16,IF(F370=2,'Vehicle Data'!H$15,IF(F370 = 1,'Vehicle Data'!G$14)))</f>
        <v>466.23005239380637</v>
      </c>
      <c r="U370" s="148">
        <f t="shared" si="241"/>
        <v>402.0990337280524</v>
      </c>
      <c r="V370" s="70" t="s">
        <v>77</v>
      </c>
      <c r="W370" s="99" t="s">
        <v>84</v>
      </c>
      <c r="X370">
        <f>IF(V370="S",'Vehicle Data'!C$14,IF(Data!V370 = "T1",'Vehicle Data'!P$2,IF(Data!V370="T2",'Vehicle Data'!P$3)))</f>
        <v>13.411199999999999</v>
      </c>
      <c r="Z370">
        <f t="shared" si="274"/>
        <v>11.267015043431313</v>
      </c>
      <c r="AB370" t="b">
        <f>IF(AA370=1,'Vehicle Data'!I$14,IF(AA370=2,'Vehicle Data'!I$15,IF(AA370=3,'Vehicle Data'!I$16)))</f>
        <v>0</v>
      </c>
      <c r="AC370">
        <f>IF(Z370&lt;'Vehicle Data'!C$16,'Vehicle Data'!I$15,IF(Z370&lt;'Vehicle Data'!C$15,'Vehicle Data'!I$15,IF(Z369&gt;'Vehicle Data'!C$15,'Vehicle Data'!I$16)))</f>
        <v>0.46202745420001456</v>
      </c>
      <c r="AD370">
        <f>IF(O370=0.6,'Vehicle Data'!F$21,IF(O370=0.9,'Vehicle Data'!F$20))</f>
        <v>5.2973999999999997</v>
      </c>
      <c r="AE370" s="100">
        <f t="shared" si="272"/>
        <v>0.46202745420001456</v>
      </c>
      <c r="AF370" s="158">
        <f t="shared" si="263"/>
        <v>0.15862815335102889</v>
      </c>
      <c r="AG370" s="148">
        <f t="shared" si="246"/>
        <v>0.46354002558269219</v>
      </c>
      <c r="AH370" s="148">
        <f t="shared" si="264"/>
        <v>121.86802410437393</v>
      </c>
      <c r="AJ370">
        <f>(Z370^2)*'Vehicle Data'!C$31</f>
        <v>46.65251828592352</v>
      </c>
      <c r="AK370">
        <f>IF(O370=0.6,'Vehicle Data'!C$6*'Vehicle Data'!D$21*9.81,IF(O370=0.9,'Vehicle Data'!C$6*9.81*'Vehicle Data'!D$20))</f>
        <v>55.985669999999999</v>
      </c>
      <c r="AL370">
        <f t="shared" si="243"/>
        <v>102.63818828592352</v>
      </c>
      <c r="AN370">
        <f>IF(AG370&gt;0,AG370*'Vehicle Data'!C$6)</f>
        <v>203.49407123080186</v>
      </c>
      <c r="AO370">
        <f t="shared" si="247"/>
        <v>306.13225951672541</v>
      </c>
      <c r="AP370">
        <f>AO370*'Vehicle Data'!F$3</f>
        <v>78.247405532475014</v>
      </c>
      <c r="AQ370">
        <f>IF(AE370='Vehicle Data'!I$15,AP370/'Vehicle Data'!G$15,IF(AE370='Vehicle Data'!I$16,AP370/'Vehicle Data'!G$16,IF(AE370='Vehicle Data'!I$14,Data!AP370/'Vehicle Data'!G381)))</f>
        <v>14.445464582963526</v>
      </c>
      <c r="AR370">
        <f>IF(Z370&lt;'Vehicle Data'!C$16, Z370*'Vehicle Data'!F$7*'Vehicle Data'!G$14,IF(Z370&lt;'Vehicle Data'!C$15,Z370*'Vehicle Data'!F$7*'Vehicle Data'!G$15,IF(Z370&gt;'Vehicle Data'!C$15,Z370*'Vehicle Data'!F$7*'Vehicle Data'!G$16)))</f>
        <v>98.013979986900495</v>
      </c>
      <c r="AS370">
        <f t="shared" si="265"/>
        <v>5880.8387992140297</v>
      </c>
      <c r="AT370">
        <f t="shared" si="266"/>
        <v>14</v>
      </c>
      <c r="AU370">
        <f t="shared" si="267"/>
        <v>6000</v>
      </c>
      <c r="AW370">
        <f>VLOOKUP(AT370,BSFC!A$64:A$82,1,FALSE)</f>
        <v>14</v>
      </c>
      <c r="AX370" t="e" cm="1">
        <f t="array" ref="AX370">_xlfn.XLOOKUP(AT370,BSFC!A$64:A$82,,-1,_xlfn.XLOOKUP(Data!AU370,BSFC!C$63:Q$63,BSFC!B$64:Q$82,,-1))</f>
        <v>#VALUE!</v>
      </c>
      <c r="AY370">
        <f>HLOOKUP(AU370,BSFC!F$63:Q$63,1)</f>
        <v>6000</v>
      </c>
      <c r="AZ370">
        <f>IF(AT370&gt;0,MATCH(AT370,BSFC!A$64:A$83,0),IF(AT370&lt;=0,0))</f>
        <v>9</v>
      </c>
      <c r="BA370">
        <f>MATCH(AU370,BSFC!C$63:Q$63,0)</f>
        <v>12</v>
      </c>
      <c r="BB370" cm="1">
        <f t="array" ref="BB370">IF(AZ370&gt;0,INDEX(BSFC!C$64:Q$83,Data!AZ370,Data!BA370))</f>
        <v>564.5</v>
      </c>
      <c r="BC370">
        <f>0.5*'Vehicle Data'!C$6*Data!Z370^2</f>
        <v>27864.565343565198</v>
      </c>
      <c r="BD370">
        <f t="shared" si="248"/>
        <v>8.9330961251709109</v>
      </c>
      <c r="BE370">
        <f t="shared" si="268"/>
        <v>5042.7327626589795</v>
      </c>
      <c r="BF370">
        <f t="shared" si="269"/>
        <v>0.22219982943981281</v>
      </c>
      <c r="BG370">
        <f t="shared" si="249"/>
        <v>147.58371238427623</v>
      </c>
      <c r="BH370">
        <f t="shared" si="271"/>
        <v>8860.1844589240736</v>
      </c>
      <c r="BI370" s="148">
        <f t="shared" si="250"/>
        <v>6871.6622130335309</v>
      </c>
      <c r="BO370">
        <f t="shared" si="251"/>
        <v>1367.3976629099309</v>
      </c>
      <c r="BP370">
        <f t="shared" si="252"/>
        <v>671664.47141341201</v>
      </c>
      <c r="BQ370">
        <f t="shared" si="253"/>
        <v>885718.18107651244</v>
      </c>
      <c r="BR370" s="148">
        <f t="shared" si="254"/>
        <v>838496.40402888705</v>
      </c>
      <c r="BS370" s="156">
        <f t="shared" si="255"/>
        <v>1367.3976629099309</v>
      </c>
      <c r="BT370" s="156">
        <f t="shared" si="256"/>
        <v>8860.1844589240736</v>
      </c>
      <c r="BU370">
        <f t="shared" si="257"/>
        <v>1060.5078138011545</v>
      </c>
      <c r="BV370">
        <f t="shared" si="258"/>
        <v>1060.5078138011545</v>
      </c>
      <c r="BW370" s="148">
        <f t="shared" si="259"/>
        <v>455.4</v>
      </c>
      <c r="BX370" s="148">
        <f t="shared" si="260"/>
        <v>3129354.9718154697</v>
      </c>
      <c r="BY370" s="148">
        <f t="shared" si="261"/>
        <v>0.13415423844584604</v>
      </c>
      <c r="BZ370">
        <f t="shared" si="244"/>
        <v>121.86802410437393</v>
      </c>
      <c r="CB370">
        <f t="shared" si="262"/>
        <v>-306.88984910877639</v>
      </c>
      <c r="CC370" s="162">
        <f t="shared" si="245"/>
        <v>-1934.6493206010744</v>
      </c>
      <c r="CD370">
        <f t="shared" si="270"/>
        <v>-47953.717526651933</v>
      </c>
    </row>
    <row r="371" spans="4:82" x14ac:dyDescent="0.2">
      <c r="D371" s="22">
        <f t="shared" si="235"/>
        <v>0</v>
      </c>
      <c r="E371" s="23">
        <v>8.3175069154760681</v>
      </c>
      <c r="F371" s="23">
        <f>IF(K371&lt;6,1,IF(Data!K371&lt;9,2,IF(K371&gt;9,3)))</f>
        <v>3</v>
      </c>
      <c r="G371" s="23">
        <v>1121.6975334585552</v>
      </c>
      <c r="H371" s="23">
        <v>221.21666499999998</v>
      </c>
      <c r="I371" s="64">
        <v>33.762389122090383</v>
      </c>
      <c r="J371" s="65">
        <f t="shared" si="236"/>
        <v>-16.183639389133631</v>
      </c>
      <c r="K371" s="65">
        <f t="shared" si="237"/>
        <v>13.504955648836154</v>
      </c>
      <c r="L371" s="65">
        <f t="shared" si="238"/>
        <v>-6.473455755653446</v>
      </c>
      <c r="M371">
        <f t="shared" si="239"/>
        <v>16.635013830952136</v>
      </c>
      <c r="N371">
        <v>0</v>
      </c>
      <c r="O371">
        <f>'Vehicle Data'!C$20</f>
        <v>0.9</v>
      </c>
      <c r="P371">
        <f>('Vehicle Data'!C$6*9.81*'Vehicle Data'!C$5*SIN(D371))/'Vehicle Data'!C$9</f>
        <v>0</v>
      </c>
      <c r="Q371" s="107">
        <f>'Vehicle Data'!C$6*9.81*SIN(D371)</f>
        <v>0</v>
      </c>
      <c r="R371">
        <f t="shared" si="234"/>
        <v>1119.9874005063298</v>
      </c>
      <c r="S371">
        <f>IF(Data!O371=0.6,'Vehicle Data'!E$21,IF(Data!O371 = 0.9,'Vehicle Data'!E$20))+(P371*O371)</f>
        <v>2325.5585999999998</v>
      </c>
      <c r="T371">
        <f>IF(F371=3,'Vehicle Data'!H$16,IF(F371=2,'Vehicle Data'!H$15,IF(F371 = 1,'Vehicle Data'!G$14)))</f>
        <v>466.23005239380637</v>
      </c>
      <c r="U371" s="148">
        <f t="shared" si="241"/>
        <v>403.84891838301371</v>
      </c>
      <c r="V371" s="70" t="s">
        <v>77</v>
      </c>
      <c r="W371" s="99" t="s">
        <v>84</v>
      </c>
      <c r="X371">
        <f>IF(V371="S",'Vehicle Data'!C$14,IF(Data!V371 = "T1",'Vehicle Data'!P$2,IF(Data!V371="T2",'Vehicle Data'!P$3)))</f>
        <v>13.411199999999999</v>
      </c>
      <c r="Z371">
        <f t="shared" si="274"/>
        <v>11.338545651601814</v>
      </c>
      <c r="AB371" t="b">
        <f>IF(AA371=1,'Vehicle Data'!I$14,IF(AA371=2,'Vehicle Data'!I$15,IF(AA371=3,'Vehicle Data'!I$16)))</f>
        <v>0</v>
      </c>
      <c r="AC371">
        <f>IF(Z371&lt;'Vehicle Data'!C$16,'Vehicle Data'!I$15,IF(Z371&lt;'Vehicle Data'!C$15,'Vehicle Data'!I$15,IF(Z370&gt;'Vehicle Data'!C$15,'Vehicle Data'!I$16)))</f>
        <v>0.46202745420001456</v>
      </c>
      <c r="AD371">
        <f>IF(O371=0.6,'Vehicle Data'!F$21,IF(O371=0.9,'Vehicle Data'!F$20))</f>
        <v>5.2973999999999997</v>
      </c>
      <c r="AE371" s="100">
        <f t="shared" si="272"/>
        <v>0.46202745420001456</v>
      </c>
      <c r="AF371" s="158">
        <f t="shared" si="263"/>
        <v>0.15433060894490444</v>
      </c>
      <c r="AG371" s="148">
        <f t="shared" si="246"/>
        <v>0.46348944424911731</v>
      </c>
      <c r="AH371" s="148">
        <f t="shared" si="264"/>
        <v>122.02235471331883</v>
      </c>
      <c r="AJ371">
        <f>(Z371^2)*'Vehicle Data'!C$31</f>
        <v>47.246761928845984</v>
      </c>
      <c r="AK371">
        <f>IF(O371=0.6,'Vehicle Data'!C$6*'Vehicle Data'!D$21*9.81,IF(O371=0.9,'Vehicle Data'!C$6*9.81*'Vehicle Data'!D$20))</f>
        <v>55.985669999999999</v>
      </c>
      <c r="AL371">
        <f t="shared" si="243"/>
        <v>103.23243192884598</v>
      </c>
      <c r="AN371">
        <f>IF(AG371&gt;0,AG371*'Vehicle Data'!C$6)</f>
        <v>203.47186602536249</v>
      </c>
      <c r="AO371">
        <f t="shared" si="247"/>
        <v>306.70429795420847</v>
      </c>
      <c r="AP371">
        <f>AO371*'Vehicle Data'!F$3</f>
        <v>78.393618557095678</v>
      </c>
      <c r="AQ371">
        <f>IF(AE371='Vehicle Data'!I$15,AP371/'Vehicle Data'!G$15,IF(AE371='Vehicle Data'!I$16,AP371/'Vehicle Data'!G$16,IF(AE371='Vehicle Data'!I$14,Data!AP371/'Vehicle Data'!G382)))</f>
        <v>14.472457363802109</v>
      </c>
      <c r="AR371">
        <f>IF(Z371&lt;'Vehicle Data'!C$16, Z371*'Vehicle Data'!F$7*'Vehicle Data'!G$14,IF(Z371&lt;'Vehicle Data'!C$15,Z371*'Vehicle Data'!F$7*'Vehicle Data'!G$15,IF(Z371&gt;'Vehicle Data'!C$15,Z371*'Vehicle Data'!F$7*'Vehicle Data'!G$16)))</f>
        <v>98.636238816825625</v>
      </c>
      <c r="AS371">
        <f t="shared" si="265"/>
        <v>5918.1743290095374</v>
      </c>
      <c r="AT371">
        <f t="shared" si="266"/>
        <v>14</v>
      </c>
      <c r="AU371">
        <f t="shared" si="267"/>
        <v>6000</v>
      </c>
      <c r="AW371">
        <f>VLOOKUP(AT371,BSFC!A$64:A$82,1,FALSE)</f>
        <v>14</v>
      </c>
      <c r="AX371" t="e" cm="1">
        <f t="array" ref="AX371">_xlfn.XLOOKUP(AT371,BSFC!A$64:A$82,,-1,_xlfn.XLOOKUP(Data!AU371,BSFC!C$63:Q$63,BSFC!B$64:Q$82,,-1))</f>
        <v>#VALUE!</v>
      </c>
      <c r="AY371">
        <f>HLOOKUP(AU371,BSFC!F$63:Q$63,1)</f>
        <v>6000</v>
      </c>
      <c r="AZ371">
        <f>IF(AT371&gt;0,MATCH(AT371,BSFC!A$64:A$83,0),IF(AT371&lt;=0,0))</f>
        <v>9</v>
      </c>
      <c r="BA371">
        <f>MATCH(AU371,BSFC!C$63:Q$63,0)</f>
        <v>12</v>
      </c>
      <c r="BB371" cm="1">
        <f t="array" ref="BB371">IF(AZ371&gt;0,INDEX(BSFC!C$64:Q$83,Data!AZ371,Data!BA371))</f>
        <v>564.5</v>
      </c>
      <c r="BC371">
        <f>0.5*'Vehicle Data'!C$6*Data!Z371^2</f>
        <v>28219.494539814124</v>
      </c>
      <c r="BD371">
        <f t="shared" si="248"/>
        <v>9.3025482557870713</v>
      </c>
      <c r="BE371">
        <f t="shared" si="268"/>
        <v>5251.288490391802</v>
      </c>
      <c r="BF371">
        <f t="shared" si="269"/>
        <v>0.22512070846320409</v>
      </c>
      <c r="BG371">
        <f t="shared" si="249"/>
        <v>147.80883309273943</v>
      </c>
      <c r="BH371">
        <f t="shared" si="271"/>
        <v>8933.0961251709105</v>
      </c>
      <c r="BI371" s="148">
        <f t="shared" si="250"/>
        <v>6871.6622130335309</v>
      </c>
      <c r="BO371">
        <f t="shared" si="251"/>
        <v>1339.1267506107586</v>
      </c>
      <c r="BP371">
        <f t="shared" si="252"/>
        <v>673003.59816402278</v>
      </c>
      <c r="BQ371">
        <f t="shared" si="253"/>
        <v>887057.30782712321</v>
      </c>
      <c r="BR371" s="148">
        <f t="shared" si="254"/>
        <v>839526.50899604463</v>
      </c>
      <c r="BS371" s="156">
        <f t="shared" si="255"/>
        <v>1339.1267506107586</v>
      </c>
      <c r="BT371" s="156">
        <f t="shared" si="256"/>
        <v>8933.0961251709105</v>
      </c>
      <c r="BU371">
        <f t="shared" si="257"/>
        <v>1030.1049671575397</v>
      </c>
      <c r="BV371">
        <f t="shared" si="258"/>
        <v>1030.1049671575397</v>
      </c>
      <c r="BW371" s="148">
        <f t="shared" si="259"/>
        <v>455.4</v>
      </c>
      <c r="BX371" s="148">
        <f t="shared" si="260"/>
        <v>3129354.9718154697</v>
      </c>
      <c r="BY371" s="148">
        <f t="shared" si="261"/>
        <v>0.13030827834542877</v>
      </c>
      <c r="BZ371">
        <f t="shared" si="244"/>
        <v>122.02235471331883</v>
      </c>
      <c r="CB371">
        <f t="shared" si="262"/>
        <v>-309.02178345321886</v>
      </c>
      <c r="CC371" s="162">
        <f t="shared" si="245"/>
        <v>-2002.3363191908425</v>
      </c>
      <c r="CD371">
        <f t="shared" si="270"/>
        <v>-48262.739310105149</v>
      </c>
    </row>
    <row r="372" spans="4:82" x14ac:dyDescent="0.2">
      <c r="D372" s="22">
        <f t="shared" si="235"/>
        <v>2.3640901921193011E-3</v>
      </c>
      <c r="E372" s="23">
        <v>8.6017071999999999</v>
      </c>
      <c r="F372" s="23">
        <f>IF(K372&lt;6,1,IF(Data!K372&lt;9,2,IF(K372&gt;9,3)))</f>
        <v>3</v>
      </c>
      <c r="G372" s="23">
        <v>1123.3660875459377</v>
      </c>
      <c r="H372" s="23">
        <v>221.26666499999999</v>
      </c>
      <c r="I372" s="64">
        <v>32.953207152633517</v>
      </c>
      <c r="J372" s="65">
        <f t="shared" si="236"/>
        <v>-1.7259380906490898</v>
      </c>
      <c r="K372" s="65">
        <f t="shared" si="237"/>
        <v>13.181282861053408</v>
      </c>
      <c r="L372" s="65">
        <f t="shared" si="238"/>
        <v>-0.69037523625963693</v>
      </c>
      <c r="M372">
        <f t="shared" si="239"/>
        <v>17.2034144</v>
      </c>
      <c r="N372">
        <f t="shared" ref="N372:N373" si="275">E373-E372</f>
        <v>9.9998400000000487E-2</v>
      </c>
      <c r="O372">
        <f>'Vehicle Data'!C$20</f>
        <v>0.9</v>
      </c>
      <c r="P372">
        <f>('Vehicle Data'!C$6*9.81*'Vehicle Data'!C$5*SIN(D372))/'Vehicle Data'!C$9</f>
        <v>1.5744058294107366</v>
      </c>
      <c r="Q372" s="107">
        <f>'Vehicle Data'!C$6*9.81*SIN(D372)</f>
        <v>10.181157696856097</v>
      </c>
      <c r="R372">
        <f t="shared" si="234"/>
        <v>1121.6975334585552</v>
      </c>
      <c r="S372">
        <f>IF(Data!O372=0.6,'Vehicle Data'!E$21,IF(Data!O372 = 0.9,'Vehicle Data'!E$20))+(P372*O372)</f>
        <v>2326.9755652464696</v>
      </c>
      <c r="T372">
        <f>IF(F372=3,'Vehicle Data'!H$16,IF(F372=2,'Vehicle Data'!H$15,IF(F372 = 1,'Vehicle Data'!G$14)))</f>
        <v>466.23005239380637</v>
      </c>
      <c r="U372" s="148">
        <f t="shared" si="241"/>
        <v>405.55905133523913</v>
      </c>
      <c r="V372" s="70" t="s">
        <v>77</v>
      </c>
      <c r="W372" s="99" t="s">
        <v>84</v>
      </c>
      <c r="X372">
        <f>IF(V372="S",'Vehicle Data'!C$14,IF(Data!V372 = "T1",'Vehicle Data'!P$2,IF(Data!V372="T2",'Vehicle Data'!P$3)))</f>
        <v>13.411199999999999</v>
      </c>
      <c r="Z372">
        <f>SQRT(Z371^2+2*AE371*(U372-U371))</f>
        <v>11.408017980437222</v>
      </c>
      <c r="AB372" t="b">
        <f>IF(AA372=1,'Vehicle Data'!I$14,IF(AA372=2,'Vehicle Data'!I$15,IF(AA372=3,'Vehicle Data'!I$16)))</f>
        <v>0</v>
      </c>
      <c r="AC372">
        <f>IF(Z372&lt;'Vehicle Data'!C$16,'Vehicle Data'!I$15,IF(Z372&lt;'Vehicle Data'!C$15,'Vehicle Data'!I$15,IF(Z371&gt;'Vehicle Data'!C$15,'Vehicle Data'!I$16)))</f>
        <v>0.46202745420001456</v>
      </c>
      <c r="AD372">
        <f>IF(O372=0.6,'Vehicle Data'!F$21,IF(O372=0.9,'Vehicle Data'!F$20))</f>
        <v>5.2973999999999997</v>
      </c>
      <c r="AE372" s="100">
        <f t="shared" si="272"/>
        <v>0.46202745420001456</v>
      </c>
      <c r="AF372" s="158">
        <f t="shared" si="263"/>
        <v>0.14990622868564935</v>
      </c>
      <c r="AG372" s="148">
        <f t="shared" si="246"/>
        <v>0.46343857386400006</v>
      </c>
      <c r="AH372" s="148">
        <f t="shared" si="264"/>
        <v>122.17226094200448</v>
      </c>
      <c r="AJ372">
        <f>(Z372^2)*'Vehicle Data'!C$31</f>
        <v>47.827506283927278</v>
      </c>
      <c r="AK372">
        <f>IF(O372=0.6,'Vehicle Data'!C$6*'Vehicle Data'!D$21*9.81,IF(O372=0.9,'Vehicle Data'!C$6*9.81*'Vehicle Data'!D$20))</f>
        <v>55.985669999999999</v>
      </c>
      <c r="AL372">
        <f t="shared" si="243"/>
        <v>113.99433398078338</v>
      </c>
      <c r="AN372">
        <f>IF(AG372&gt;0,AG372*'Vehicle Data'!C$6)</f>
        <v>203.44953392629603</v>
      </c>
      <c r="AO372">
        <f t="shared" si="247"/>
        <v>317.44386790707938</v>
      </c>
      <c r="AP372">
        <f>AO372*'Vehicle Data'!F$3</f>
        <v>81.138652637049489</v>
      </c>
      <c r="AQ372">
        <f>IF(AE372='Vehicle Data'!I$15,AP372/'Vehicle Data'!G$15,IF(AE372='Vehicle Data'!I$16,AP372/'Vehicle Data'!G$16,IF(AE372='Vehicle Data'!I$14,Data!AP372/'Vehicle Data'!G383)))</f>
        <v>14.979225509163086</v>
      </c>
      <c r="AR372">
        <f>IF(Z372&lt;'Vehicle Data'!C$16, Z372*'Vehicle Data'!F$7*'Vehicle Data'!G$14,IF(Z372&lt;'Vehicle Data'!C$15,Z372*'Vehicle Data'!F$7*'Vehicle Data'!G$15,IF(Z372&gt;'Vehicle Data'!C$15,Z372*'Vehicle Data'!F$7*'Vehicle Data'!G$16)))</f>
        <v>99.240592269969071</v>
      </c>
      <c r="AS372">
        <f t="shared" si="265"/>
        <v>5954.4355361981443</v>
      </c>
      <c r="AT372">
        <f t="shared" si="266"/>
        <v>15</v>
      </c>
      <c r="AU372">
        <f t="shared" si="267"/>
        <v>6000</v>
      </c>
      <c r="AW372">
        <f>VLOOKUP(AT372,BSFC!A$64:A$82,1,FALSE)</f>
        <v>15</v>
      </c>
      <c r="AX372" t="e" cm="1">
        <f t="array" ref="AX372">_xlfn.XLOOKUP(AT372,BSFC!A$64:A$82,,-1,_xlfn.XLOOKUP(Data!AU372,BSFC!C$63:Q$63,BSFC!B$64:Q$82,,-1))</f>
        <v>#VALUE!</v>
      </c>
      <c r="AY372">
        <f>HLOOKUP(AU372,BSFC!F$63:Q$63,1)</f>
        <v>6000</v>
      </c>
      <c r="AZ372">
        <f>IF(AT372&gt;0,MATCH(AT372,BSFC!A$64:A$83,0),IF(AT372&lt;=0,0))</f>
        <v>8</v>
      </c>
      <c r="BA372">
        <f>MATCH(AU372,BSFC!C$63:Q$63,0)</f>
        <v>12</v>
      </c>
      <c r="BB372" cm="1">
        <f t="array" ref="BB372">IF(AZ372&gt;0,INDEX(BSFC!C$64:Q$83,Data!AZ372,Data!BA372))</f>
        <v>572.6</v>
      </c>
      <c r="BC372">
        <f>0.5*'Vehicle Data'!C$6*Data!Z372^2</f>
        <v>28566.36089611438</v>
      </c>
      <c r="BD372">
        <f t="shared" si="248"/>
        <v>9.0622313113949371</v>
      </c>
      <c r="BE372">
        <f t="shared" si="268"/>
        <v>5189.0336489047413</v>
      </c>
      <c r="BF372">
        <f t="shared" si="269"/>
        <v>0.21607457356395657</v>
      </c>
      <c r="BG372">
        <f t="shared" si="249"/>
        <v>148.02490766630339</v>
      </c>
      <c r="BH372">
        <f t="shared" si="271"/>
        <v>9302.548255787071</v>
      </c>
      <c r="BI372" s="148">
        <f t="shared" si="250"/>
        <v>6871.6622130335309</v>
      </c>
      <c r="BO372">
        <f t="shared" si="251"/>
        <v>1352.6160772793085</v>
      </c>
      <c r="BP372">
        <f t="shared" si="252"/>
        <v>674356.21424130211</v>
      </c>
      <c r="BQ372">
        <f t="shared" si="253"/>
        <v>888409.92390440253</v>
      </c>
      <c r="BR372" s="148">
        <f t="shared" si="254"/>
        <v>840525.66756328987</v>
      </c>
      <c r="BS372" s="156">
        <f t="shared" si="255"/>
        <v>1352.6160772793085</v>
      </c>
      <c r="BT372" s="156">
        <f t="shared" si="256"/>
        <v>9302.548255787071</v>
      </c>
      <c r="BU372">
        <f t="shared" si="257"/>
        <v>999.15856724523462</v>
      </c>
      <c r="BV372">
        <f t="shared" si="258"/>
        <v>999.15856724523462</v>
      </c>
      <c r="BW372" s="148">
        <f t="shared" si="259"/>
        <v>455.4</v>
      </c>
      <c r="BX372" s="148">
        <f t="shared" si="260"/>
        <v>3129354.9718154697</v>
      </c>
      <c r="BY372" s="148">
        <f t="shared" si="261"/>
        <v>0.12639355875652217</v>
      </c>
      <c r="BZ372">
        <f t="shared" si="244"/>
        <v>122.17226094200448</v>
      </c>
      <c r="CB372">
        <f t="shared" si="262"/>
        <v>-353.45751003407383</v>
      </c>
      <c r="CC372" s="162">
        <f t="shared" si="245"/>
        <v>-2357.8573961410439</v>
      </c>
      <c r="CD372">
        <f t="shared" si="270"/>
        <v>-48616.196820139223</v>
      </c>
    </row>
    <row r="373" spans="4:82" x14ac:dyDescent="0.2">
      <c r="D373" s="22">
        <f t="shared" si="235"/>
        <v>-8.8142243199202283E-5</v>
      </c>
      <c r="E373" s="23">
        <v>8.7017056000000004</v>
      </c>
      <c r="F373" s="23">
        <f>IF(K373&lt;6,1,IF(Data!K373&lt;9,2,IF(K373&gt;9,3)))</f>
        <v>3</v>
      </c>
      <c r="G373" s="23">
        <v>1165.6650207594942</v>
      </c>
      <c r="H373" s="23">
        <v>222.66666499999999</v>
      </c>
      <c r="I373" s="64">
        <v>30.536893825724782</v>
      </c>
      <c r="J373" s="65">
        <f t="shared" si="236"/>
        <v>0.42628544055934409</v>
      </c>
      <c r="K373" s="65">
        <f t="shared" si="237"/>
        <v>12.214757530289912</v>
      </c>
      <c r="L373" s="65">
        <f t="shared" si="238"/>
        <v>0.1705141762237378</v>
      </c>
      <c r="M373">
        <f t="shared" si="239"/>
        <v>17.403411200000001</v>
      </c>
      <c r="N373">
        <f t="shared" si="275"/>
        <v>9.9999199999999178E-2</v>
      </c>
      <c r="O373">
        <f>'Vehicle Data'!C$20</f>
        <v>0.9</v>
      </c>
      <c r="P373">
        <f>('Vehicle Data'!C$6*9.81*'Vehicle Data'!C$5*SIN(D373))/'Vehicle Data'!C$9</f>
        <v>-5.8699871543464968E-2</v>
      </c>
      <c r="Q373" s="107">
        <f>'Vehicle Data'!C$6*9.81*SIN(D373)</f>
        <v>-0.37959250264774008</v>
      </c>
      <c r="R373">
        <f t="shared" si="234"/>
        <v>1123.3660875459377</v>
      </c>
      <c r="S373">
        <f>IF(Data!O373=0.6,'Vehicle Data'!E$21,IF(Data!O373 = 0.9,'Vehicle Data'!E$20))+(P373*O373)</f>
        <v>2325.5057701156106</v>
      </c>
      <c r="T373">
        <f>IF(F373=3,'Vehicle Data'!H$16,IF(F373=2,'Vehicle Data'!H$15,IF(F373 = 1,'Vehicle Data'!G$14)))</f>
        <v>466.23005239380637</v>
      </c>
      <c r="U373" s="148">
        <f t="shared" si="241"/>
        <v>407.22760542262165</v>
      </c>
      <c r="V373" s="70" t="s">
        <v>77</v>
      </c>
      <c r="W373" s="99" t="s">
        <v>84</v>
      </c>
      <c r="X373">
        <f>IF(V373="S",'Vehicle Data'!C$14,IF(Data!V373 = "T1",'Vehicle Data'!P$2,IF(Data!V373="T2",'Vehicle Data'!P$3)))</f>
        <v>13.411199999999999</v>
      </c>
      <c r="Z373">
        <f t="shared" ref="Z373" si="276">SQRT(Z372^2+2*AE372*(U373-U372))</f>
        <v>11.475395846608329</v>
      </c>
      <c r="AB373" t="b">
        <f>IF(AA373=1,'Vehicle Data'!I$14,IF(AA373=2,'Vehicle Data'!I$15,IF(AA373=3,'Vehicle Data'!I$16)))</f>
        <v>0</v>
      </c>
      <c r="AC373">
        <f>IF(Z373&lt;'Vehicle Data'!C$16,'Vehicle Data'!I$15,IF(Z373&lt;'Vehicle Data'!C$15,'Vehicle Data'!I$15,IF(Z372&gt;'Vehicle Data'!C$15,'Vehicle Data'!I$16)))</f>
        <v>0.46202745420001456</v>
      </c>
      <c r="AD373">
        <f>IF(O373=0.6,'Vehicle Data'!F$21,IF(O373=0.9,'Vehicle Data'!F$20))</f>
        <v>5.2973999999999997</v>
      </c>
      <c r="AE373" s="100">
        <f t="shared" si="272"/>
        <v>0.46202745420001456</v>
      </c>
      <c r="AF373" s="158">
        <f t="shared" si="263"/>
        <v>0.14540274772967207</v>
      </c>
      <c r="AG373" s="148">
        <f t="shared" si="246"/>
        <v>0.46338784667517796</v>
      </c>
      <c r="AH373" s="148">
        <f t="shared" si="264"/>
        <v>122.31766368973416</v>
      </c>
      <c r="AJ373">
        <f>(Z373^2)*'Vehicle Data'!C$31</f>
        <v>48.394130864860735</v>
      </c>
      <c r="AK373">
        <f>IF(O373=0.6,'Vehicle Data'!C$6*'Vehicle Data'!D$21*9.81,IF(O373=0.9,'Vehicle Data'!C$6*9.81*'Vehicle Data'!D$20))</f>
        <v>55.985669999999999</v>
      </c>
      <c r="AL373">
        <f t="shared" si="243"/>
        <v>104.00020836221299</v>
      </c>
      <c r="AN373">
        <f>IF(AG373&gt;0,AG373*'Vehicle Data'!C$6)</f>
        <v>203.42726469040312</v>
      </c>
      <c r="AO373">
        <f t="shared" si="247"/>
        <v>307.42747305261611</v>
      </c>
      <c r="AP373">
        <f>AO373*'Vehicle Data'!F$3</f>
        <v>78.578462112248673</v>
      </c>
      <c r="AQ373">
        <f>IF(AE373='Vehicle Data'!I$15,AP373/'Vehicle Data'!G$15,IF(AE373='Vehicle Data'!I$16,AP373/'Vehicle Data'!G$16,IF(AE373='Vehicle Data'!I$14,Data!AP373/'Vehicle Data'!G384)))</f>
        <v>14.506581831075895</v>
      </c>
      <c r="AR373">
        <f>IF(Z373&lt;'Vehicle Data'!C$16, Z373*'Vehicle Data'!F$7*'Vehicle Data'!G$14,IF(Z373&lt;'Vehicle Data'!C$15,Z373*'Vehicle Data'!F$7*'Vehicle Data'!G$15,IF(Z373&gt;'Vehicle Data'!C$15,Z373*'Vehicle Data'!F$7*'Vehicle Data'!G$16)))</f>
        <v>99.826725580433148</v>
      </c>
      <c r="AS373">
        <f t="shared" si="265"/>
        <v>5989.6035348259893</v>
      </c>
      <c r="AT373">
        <f t="shared" si="266"/>
        <v>15</v>
      </c>
      <c r="AU373">
        <f t="shared" si="267"/>
        <v>6000</v>
      </c>
      <c r="AW373">
        <f>VLOOKUP(AT373,BSFC!A$64:A$82,1,FALSE)</f>
        <v>15</v>
      </c>
      <c r="AX373" t="e" cm="1">
        <f t="array" ref="AX373">_xlfn.XLOOKUP(AT373,BSFC!A$64:A$82,,-1,_xlfn.XLOOKUP(Data!AU373,BSFC!C$63:Q$63,BSFC!B$64:Q$82,,-1))</f>
        <v>#VALUE!</v>
      </c>
      <c r="AY373">
        <f>HLOOKUP(AU373,BSFC!F$63:Q$63,1)</f>
        <v>6000</v>
      </c>
      <c r="AZ373">
        <f>IF(AT373&gt;0,MATCH(AT373,BSFC!A$64:A$83,0),IF(AT373&lt;=0,0))</f>
        <v>8</v>
      </c>
      <c r="BA373">
        <f>MATCH(AU373,BSFC!C$63:Q$63,0)</f>
        <v>12</v>
      </c>
      <c r="BB373" cm="1">
        <f t="array" ref="BB373">IF(AZ373&gt;0,INDEX(BSFC!C$64:Q$83,Data!AZ373,Data!BA373))</f>
        <v>572.6</v>
      </c>
      <c r="BC373">
        <f>0.5*'Vehicle Data'!C$6*Data!Z373^2</f>
        <v>28904.793809080074</v>
      </c>
      <c r="BD373">
        <f t="shared" si="248"/>
        <v>5.2536319273318135</v>
      </c>
      <c r="BE373">
        <f t="shared" si="268"/>
        <v>3008.2296415901965</v>
      </c>
      <c r="BF373">
        <f t="shared" si="269"/>
        <v>0.12150134880251699</v>
      </c>
      <c r="BG373">
        <f t="shared" si="249"/>
        <v>148.14640901510592</v>
      </c>
      <c r="BH373">
        <f t="shared" si="271"/>
        <v>9062.2313113949367</v>
      </c>
      <c r="BI373" s="148">
        <f t="shared" si="250"/>
        <v>6871.6622130335309</v>
      </c>
      <c r="BO373">
        <f t="shared" si="251"/>
        <v>-3964.5791345854914</v>
      </c>
      <c r="BP373">
        <f t="shared" si="252"/>
        <v>670391.63510671665</v>
      </c>
      <c r="BQ373">
        <f t="shared" si="253"/>
        <v>888409.92390440253</v>
      </c>
      <c r="BR373" s="148">
        <f t="shared" si="254"/>
        <v>837519.42686013586</v>
      </c>
      <c r="BS373" s="156" t="b">
        <f t="shared" si="255"/>
        <v>0</v>
      </c>
      <c r="BT373" s="156">
        <f t="shared" si="256"/>
        <v>9062.2313113949367</v>
      </c>
      <c r="BU373">
        <f t="shared" si="257"/>
        <v>-3006.2407031540206</v>
      </c>
      <c r="BV373">
        <f t="shared" si="258"/>
        <v>-3006.2407031540206</v>
      </c>
      <c r="BW373" s="148">
        <f t="shared" si="259"/>
        <v>455.4</v>
      </c>
      <c r="BX373" s="148">
        <f t="shared" si="260"/>
        <v>3129354.9718154697</v>
      </c>
      <c r="BY373" s="148">
        <f t="shared" si="261"/>
        <v>-0.38028944894898359</v>
      </c>
      <c r="BZ373">
        <f t="shared" si="244"/>
        <v>122.31766368973416</v>
      </c>
      <c r="CB373">
        <f t="shared" si="262"/>
        <v>-3006.2407031540206</v>
      </c>
      <c r="CC373" s="162">
        <f t="shared" si="245"/>
        <v>-20675.267490426228</v>
      </c>
      <c r="CD373">
        <f t="shared" si="270"/>
        <v>-51622.437523293243</v>
      </c>
    </row>
    <row r="374" spans="4:82" x14ac:dyDescent="0.2">
      <c r="D374" s="22">
        <f t="shared" si="235"/>
        <v>0</v>
      </c>
      <c r="E374" s="23">
        <v>8.8017047999999996</v>
      </c>
      <c r="F374" s="23">
        <f>IF(K374&lt;6,1,IF(Data!K374&lt;9,2,IF(K374&gt;9,3)))</f>
        <v>3</v>
      </c>
      <c r="G374" s="23">
        <v>31.144313095141932</v>
      </c>
      <c r="H374" s="23">
        <v>229.44999799999999</v>
      </c>
      <c r="I374" s="64">
        <v>33.428529922090519</v>
      </c>
      <c r="J374" s="65">
        <f t="shared" si="236"/>
        <v>-4.6358693474891943</v>
      </c>
      <c r="K374" s="65">
        <f t="shared" si="237"/>
        <v>13.371411968836208</v>
      </c>
      <c r="L374" s="65">
        <f t="shared" si="238"/>
        <v>-1.8543477389956848</v>
      </c>
      <c r="M374">
        <f t="shared" si="239"/>
        <v>17.603409599999999</v>
      </c>
      <c r="N374">
        <f t="shared" si="240"/>
        <v>0</v>
      </c>
      <c r="O374">
        <f>'Vehicle Data'!C$20</f>
        <v>0.9</v>
      </c>
      <c r="P374">
        <f>('Vehicle Data'!C$6*9.81*'Vehicle Data'!C$5*SIN(D374))/'Vehicle Data'!C$9</f>
        <v>0</v>
      </c>
      <c r="Q374" s="107">
        <f>'Vehicle Data'!C$6*9.81*SIN(D374)</f>
        <v>0</v>
      </c>
      <c r="R374">
        <f t="shared" ref="R374:R384" si="277">G$354+G374</f>
        <v>1118.3787725479808</v>
      </c>
      <c r="S374">
        <f>IF(Data!O374=0.6,'Vehicle Data'!E$21,IF(Data!O374 = 0.9,'Vehicle Data'!E$20))+(P374*O374)</f>
        <v>2325.5585999999998</v>
      </c>
      <c r="T374">
        <f>IF(F374=3,'Vehicle Data'!H$16,IF(F374=2,'Vehicle Data'!H$15,IF(F374 = 1,'Vehicle Data'!G$14)))</f>
        <v>466.23005239380637</v>
      </c>
      <c r="U374" s="148">
        <f t="shared" si="241"/>
        <v>402.24029042466475</v>
      </c>
      <c r="V374" s="70" t="s">
        <v>77</v>
      </c>
      <c r="W374" s="99" t="s">
        <v>84</v>
      </c>
      <c r="X374">
        <f>IF(V374="S",'Vehicle Data'!C$14,IF(Data!V374 = "T1",'Vehicle Data'!P$2,IF(Data!V374="T2",'Vehicle Data'!P$3)))</f>
        <v>13.411199999999999</v>
      </c>
      <c r="Z374">
        <v>11.4</v>
      </c>
      <c r="AB374" t="b">
        <f>IF(AA374=1,'Vehicle Data'!I$14,IF(AA374=2,'Vehicle Data'!I$15,IF(AA374=3,'Vehicle Data'!I$16)))</f>
        <v>0</v>
      </c>
      <c r="AC374">
        <f>IF(Z374&lt;'Vehicle Data'!C$16,'Vehicle Data'!I$15,IF(Z374&lt;'Vehicle Data'!C$15,'Vehicle Data'!I$15,IF(Z373&gt;'Vehicle Data'!C$15,'Vehicle Data'!I$16)))</f>
        <v>0.46202745420001456</v>
      </c>
      <c r="AD374">
        <f>IF(O374=0.6,'Vehicle Data'!F$21,IF(O374=0.9,'Vehicle Data'!F$20))</f>
        <v>5.2973999999999997</v>
      </c>
      <c r="AE374" s="100">
        <f t="shared" si="242"/>
        <v>0.46202745420001456</v>
      </c>
      <c r="AF374" s="158">
        <f t="shared" si="263"/>
        <v>-0.43748377175060532</v>
      </c>
      <c r="AG374" s="148">
        <f t="shared" si="246"/>
        <v>0.17233975629914169</v>
      </c>
      <c r="AH374" s="148">
        <f t="shared" si="264"/>
        <v>121.88017991798355</v>
      </c>
      <c r="AJ374">
        <f>(Z374^2)*'Vehicle Data'!C$31</f>
        <v>47.760300000000015</v>
      </c>
      <c r="AK374">
        <f>IF(O374=0.6,'Vehicle Data'!C$6*'Vehicle Data'!D$21*9.81,IF(O374=0.9,'Vehicle Data'!C$6*9.81*'Vehicle Data'!D$20))</f>
        <v>55.985669999999999</v>
      </c>
      <c r="AL374">
        <f t="shared" si="243"/>
        <v>103.74597000000001</v>
      </c>
      <c r="AN374">
        <f>IF(AG374&gt;0,AG374*'Vehicle Data'!C$6)</f>
        <v>75.657153015323203</v>
      </c>
      <c r="AO374">
        <f t="shared" si="247"/>
        <v>179.40312301532322</v>
      </c>
      <c r="AP374">
        <f>AO374*'Vehicle Data'!F$3</f>
        <v>45.855438242716616</v>
      </c>
      <c r="AQ374">
        <f>IF(AE374='Vehicle Data'!I$15,AP374/'Vehicle Data'!G$15,IF(AE374='Vehicle Data'!I$16,AP374/'Vehicle Data'!G$16,IF(AE374='Vehicle Data'!I$14,Data!AP374/'Vehicle Data'!G385)))</f>
        <v>8.4654961345206132</v>
      </c>
      <c r="AR374">
        <f>IF(Z374&lt;'Vehicle Data'!C$16, Z374*'Vehicle Data'!F$7*'Vehicle Data'!G$14,IF(Z374&lt;'Vehicle Data'!C$15,Z374*'Vehicle Data'!F$7*'Vehicle Data'!G$15,IF(Z374&gt;'Vehicle Data'!C$15,Z374*'Vehicle Data'!F$7*'Vehicle Data'!G$16)))</f>
        <v>99.170842281078521</v>
      </c>
      <c r="AS374">
        <f t="shared" si="265"/>
        <v>5950.2505368647116</v>
      </c>
      <c r="AT374">
        <f t="shared" si="266"/>
        <v>8</v>
      </c>
      <c r="AU374">
        <f t="shared" si="267"/>
        <v>6000</v>
      </c>
      <c r="AW374">
        <f>VLOOKUP(AT374,BSFC!A$64:A$82,1,FALSE)</f>
        <v>8</v>
      </c>
      <c r="AX374" t="e" cm="1">
        <f t="array" ref="AX374">_xlfn.XLOOKUP(AT374,BSFC!A$64:A$82,,-1,_xlfn.XLOOKUP(Data!AU374,BSFC!C$63:Q$63,BSFC!B$64:Q$82,,-1))</f>
        <v>#VALUE!</v>
      </c>
      <c r="AY374">
        <f>HLOOKUP(AU374,BSFC!F$63:Q$63,1)</f>
        <v>6000</v>
      </c>
      <c r="AZ374">
        <f>IF(AT374&gt;0,MATCH(AT374,BSFC!A$64:A$83,0),IF(AT374&lt;=0,0))</f>
        <v>15</v>
      </c>
      <c r="BA374">
        <f>MATCH(AU374,BSFC!C$63:Q$63,0)</f>
        <v>12</v>
      </c>
      <c r="BB374" cm="1">
        <f t="array" ref="BB374">IF(AZ374&gt;0,INDEX(BSFC!C$64:Q$83,Data!AZ374,Data!BA374))</f>
        <v>513.9</v>
      </c>
      <c r="BC374">
        <f>0.5*'Vehicle Data'!C$6*Data!Z374^2</f>
        <v>28526.22</v>
      </c>
      <c r="BD374">
        <f t="shared" si="248"/>
        <v>3.0380917074529141</v>
      </c>
      <c r="BE374">
        <f t="shared" si="268"/>
        <v>1561.2753284600526</v>
      </c>
      <c r="BF374">
        <f t="shared" si="269"/>
        <v>-0.18973128317663027</v>
      </c>
      <c r="BG374">
        <f t="shared" si="249"/>
        <v>147.95667773192929</v>
      </c>
      <c r="BH374">
        <f t="shared" si="271"/>
        <v>5253.6319273318131</v>
      </c>
      <c r="BI374" s="148">
        <f t="shared" si="250"/>
        <v>6871.6622130335309</v>
      </c>
      <c r="BO374">
        <f t="shared" si="251"/>
        <v>798.90850867956578</v>
      </c>
      <c r="BP374">
        <f t="shared" si="252"/>
        <v>671190.54361539625</v>
      </c>
      <c r="BQ374">
        <f t="shared" si="253"/>
        <v>889208.83241308213</v>
      </c>
      <c r="BR374" s="148">
        <f t="shared" si="254"/>
        <v>838564.38575461111</v>
      </c>
      <c r="BS374" s="156">
        <f t="shared" si="255"/>
        <v>798.90850867956578</v>
      </c>
      <c r="BT374" s="156">
        <f t="shared" si="256"/>
        <v>5253.6319273318131</v>
      </c>
      <c r="BU374">
        <f t="shared" si="257"/>
        <v>1044.9588944752147</v>
      </c>
      <c r="BV374">
        <f t="shared" si="258"/>
        <v>1044.9588944752147</v>
      </c>
      <c r="BW374" s="148">
        <f t="shared" si="259"/>
        <v>455.4</v>
      </c>
      <c r="BX374" s="148">
        <f t="shared" si="260"/>
        <v>3129354.9718154697</v>
      </c>
      <c r="BY374" s="148">
        <f t="shared" si="261"/>
        <v>0.13218730015111463</v>
      </c>
      <c r="BZ374">
        <f t="shared" si="244"/>
        <v>121.88017991798355</v>
      </c>
      <c r="CB374">
        <f t="shared" si="262"/>
        <v>246.05038579564894</v>
      </c>
      <c r="CC374" s="162">
        <f t="shared" si="245"/>
        <v>-562.42174380793506</v>
      </c>
      <c r="CD374">
        <f t="shared" si="270"/>
        <v>-51376.387137497593</v>
      </c>
    </row>
    <row r="375" spans="4:82" x14ac:dyDescent="0.2">
      <c r="D375" s="22">
        <f t="shared" si="235"/>
        <v>0</v>
      </c>
      <c r="E375" s="23">
        <v>8.8017047999999996</v>
      </c>
      <c r="F375" s="23">
        <f>IF(K375&lt;6,1,IF(Data!K375&lt;9,2,IF(K375&gt;9,3)))</f>
        <v>3</v>
      </c>
      <c r="G375" s="23">
        <v>32.877886578195707</v>
      </c>
      <c r="H375" s="23">
        <v>229.49999799999998</v>
      </c>
      <c r="I375" s="64">
        <v>33.196736454716138</v>
      </c>
      <c r="J375" s="65">
        <f t="shared" si="236"/>
        <v>-5.0250274495718319</v>
      </c>
      <c r="K375" s="65">
        <f t="shared" si="237"/>
        <v>13.278694581886455</v>
      </c>
      <c r="L375" s="65">
        <f t="shared" si="238"/>
        <v>-2.0100109798287185</v>
      </c>
      <c r="M375">
        <f t="shared" si="239"/>
        <v>17.603409599999999</v>
      </c>
      <c r="N375">
        <f t="shared" si="240"/>
        <v>0</v>
      </c>
      <c r="O375">
        <f>'Vehicle Data'!C$20</f>
        <v>0.9</v>
      </c>
      <c r="P375">
        <f>('Vehicle Data'!C$6*9.81*'Vehicle Data'!C$5*SIN(D375))/'Vehicle Data'!C$9</f>
        <v>0</v>
      </c>
      <c r="Q375" s="107">
        <f>'Vehicle Data'!C$6*9.81*SIN(D375)</f>
        <v>0</v>
      </c>
      <c r="R375">
        <f t="shared" si="277"/>
        <v>1120.1123460310346</v>
      </c>
      <c r="S375">
        <f>IF(Data!O375=0.6,'Vehicle Data'!E$21,IF(Data!O375 = 0.9,'Vehicle Data'!E$20))+(P375*O375)</f>
        <v>2325.5585999999998</v>
      </c>
      <c r="T375">
        <f>IF(F375=3,'Vehicle Data'!H$16,IF(F375=2,'Vehicle Data'!H$15,IF(F375 = 1,'Vehicle Data'!G$14)))</f>
        <v>466.23005239380637</v>
      </c>
      <c r="U375" s="148">
        <f t="shared" si="241"/>
        <v>403.97386390771851</v>
      </c>
      <c r="V375" s="70" t="s">
        <v>77</v>
      </c>
      <c r="W375" s="99" t="s">
        <v>84</v>
      </c>
      <c r="X375">
        <f>IF(V375="S",'Vehicle Data'!C$14,IF(Data!V375 = "T1",'Vehicle Data'!P$2,IF(Data!V375="T2",'Vehicle Data'!P$3)))</f>
        <v>13.411199999999999</v>
      </c>
      <c r="Z375">
        <v>11.4</v>
      </c>
      <c r="AB375" t="b">
        <f>IF(AA375=1,'Vehicle Data'!I$14,IF(AA375=2,'Vehicle Data'!I$15,IF(AA375=3,'Vehicle Data'!I$16)))</f>
        <v>0</v>
      </c>
      <c r="AC375">
        <f>IF(Z375&lt;'Vehicle Data'!C$16,'Vehicle Data'!I$15,IF(Z375&lt;'Vehicle Data'!C$15,'Vehicle Data'!I$15,IF(Z374&gt;'Vehicle Data'!C$15,'Vehicle Data'!I$16)))</f>
        <v>0.46202745420001456</v>
      </c>
      <c r="AD375">
        <f>IF(O375=0.6,'Vehicle Data'!F$21,IF(O375=0.9,'Vehicle Data'!F$20))</f>
        <v>5.2973999999999997</v>
      </c>
      <c r="AE375" s="100">
        <f t="shared" si="242"/>
        <v>0.46202745420001456</v>
      </c>
      <c r="AF375" s="158">
        <f t="shared" si="263"/>
        <v>0.15206784939068071</v>
      </c>
      <c r="AG375" s="148">
        <f t="shared" si="246"/>
        <v>0</v>
      </c>
      <c r="AH375" s="148">
        <f t="shared" si="264"/>
        <v>122.03224776737423</v>
      </c>
      <c r="AJ375">
        <f>(Z375^2)*'Vehicle Data'!C$31</f>
        <v>47.760300000000015</v>
      </c>
      <c r="AK375">
        <f>IF(O375=0.6,'Vehicle Data'!C$6*'Vehicle Data'!D$21*9.81,IF(O375=0.9,'Vehicle Data'!C$6*9.81*'Vehicle Data'!D$20))</f>
        <v>55.985669999999999</v>
      </c>
      <c r="AL375">
        <f t="shared" si="243"/>
        <v>103.74597000000001</v>
      </c>
      <c r="AN375" t="b">
        <f>IF(AG375&gt;0,AG375*'Vehicle Data'!C$6)</f>
        <v>0</v>
      </c>
      <c r="AO375">
        <f t="shared" si="247"/>
        <v>103.74597000000001</v>
      </c>
      <c r="AP375">
        <f>AO375*'Vehicle Data'!F$3</f>
        <v>26.517469932000004</v>
      </c>
      <c r="AQ375">
        <f>IF(AE375='Vehicle Data'!I$15,AP375/'Vehicle Data'!G$15,IF(AE375='Vehicle Data'!I$16,AP375/'Vehicle Data'!G$16,IF(AE375='Vehicle Data'!I$14,Data!AP375/'Vehicle Data'!G386)))</f>
        <v>4.8954616466296264</v>
      </c>
      <c r="AR375">
        <f>IF(Z375&lt;'Vehicle Data'!C$16, Z375*'Vehicle Data'!F$7*'Vehicle Data'!G$14,IF(Z375&lt;'Vehicle Data'!C$15,Z375*'Vehicle Data'!F$7*'Vehicle Data'!G$15,IF(Z375&gt;'Vehicle Data'!C$15,Z375*'Vehicle Data'!F$7*'Vehicle Data'!G$16)))</f>
        <v>99.170842281078521</v>
      </c>
      <c r="AS375">
        <f t="shared" si="265"/>
        <v>5950.2505368647116</v>
      </c>
      <c r="AT375">
        <f t="shared" si="266"/>
        <v>5</v>
      </c>
      <c r="AU375">
        <f t="shared" si="267"/>
        <v>6000</v>
      </c>
      <c r="AW375">
        <f>VLOOKUP(AT375,BSFC!A$64:A$82,1,FALSE)</f>
        <v>5</v>
      </c>
      <c r="AX375" t="e" cm="1">
        <f t="array" ref="AX375">_xlfn.XLOOKUP(AT375,BSFC!A$64:A$82,,-1,_xlfn.XLOOKUP(Data!AU375,BSFC!C$63:Q$63,BSFC!B$64:Q$82,,-1))</f>
        <v>#VALUE!</v>
      </c>
      <c r="AY375">
        <f>HLOOKUP(AU375,BSFC!F$63:Q$63,1)</f>
        <v>6000</v>
      </c>
      <c r="AZ375">
        <f>IF(AT375&gt;0,MATCH(AT375,BSFC!A$64:A$83,0),IF(AT375&lt;=0,0))</f>
        <v>18</v>
      </c>
      <c r="BA375">
        <f>MATCH(AU375,BSFC!C$63:Q$63,0)</f>
        <v>12</v>
      </c>
      <c r="BB375" cm="1">
        <f t="array" ref="BB375">IF(AZ375&gt;0,INDEX(BSFC!C$64:Q$83,Data!AZ375,Data!BA375))</f>
        <v>600</v>
      </c>
      <c r="BC375">
        <f>0.5*'Vehicle Data'!C$6*Data!Z375^2</f>
        <v>28526.22</v>
      </c>
      <c r="BD375">
        <f t="shared" si="248"/>
        <v>5.3337978389014662</v>
      </c>
      <c r="BE375">
        <f t="shared" si="268"/>
        <v>3200.2787033408799</v>
      </c>
      <c r="BF375">
        <f t="shared" si="269"/>
        <v>0.13518319440773441</v>
      </c>
      <c r="BG375">
        <f t="shared" si="249"/>
        <v>148.09186092633703</v>
      </c>
      <c r="BH375">
        <f t="shared" si="271"/>
        <v>3038.0917074529143</v>
      </c>
      <c r="BI375" s="148">
        <f t="shared" si="250"/>
        <v>6871.6622130335309</v>
      </c>
      <c r="BO375">
        <f t="shared" si="251"/>
        <v>465.25584099528442</v>
      </c>
      <c r="BP375">
        <f t="shared" si="252"/>
        <v>671655.79945639148</v>
      </c>
      <c r="BQ375">
        <f t="shared" si="253"/>
        <v>889674.08825407736</v>
      </c>
      <c r="BR375" s="148">
        <f t="shared" si="254"/>
        <v>839616.71770829032</v>
      </c>
      <c r="BS375" s="156">
        <f t="shared" si="255"/>
        <v>465.25584099528442</v>
      </c>
      <c r="BT375" s="156">
        <f t="shared" si="256"/>
        <v>3038.0917074529143</v>
      </c>
      <c r="BU375">
        <f t="shared" si="257"/>
        <v>1052.3319536791773</v>
      </c>
      <c r="BV375">
        <f t="shared" si="258"/>
        <v>1052.3319536791773</v>
      </c>
      <c r="BW375" s="148">
        <f t="shared" si="259"/>
        <v>455.4</v>
      </c>
      <c r="BX375" s="148">
        <f t="shared" si="260"/>
        <v>3129354.9718154697</v>
      </c>
      <c r="BY375" s="148">
        <f t="shared" si="261"/>
        <v>0.13311999214041592</v>
      </c>
      <c r="BZ375">
        <f t="shared" si="244"/>
        <v>122.03224776737423</v>
      </c>
      <c r="CB375">
        <f t="shared" si="262"/>
        <v>587.07611268389292</v>
      </c>
      <c r="CC375" s="162">
        <f t="shared" si="245"/>
        <v>3860.6195526290535</v>
      </c>
      <c r="CD375">
        <f t="shared" si="270"/>
        <v>-50789.311024813702</v>
      </c>
    </row>
    <row r="376" spans="4:82" x14ac:dyDescent="0.2">
      <c r="D376" s="22">
        <f t="shared" si="235"/>
        <v>0</v>
      </c>
      <c r="E376" s="23">
        <v>8.8017047999999996</v>
      </c>
      <c r="F376" s="23">
        <f>IF(K376&lt;6,1,IF(Data!K376&lt;9,2,IF(K376&gt;9,3)))</f>
        <v>3</v>
      </c>
      <c r="G376" s="23">
        <v>34.608377790936125</v>
      </c>
      <c r="H376" s="23">
        <v>229.54999799999999</v>
      </c>
      <c r="I376" s="64">
        <v>32.945485082237489</v>
      </c>
      <c r="J376" s="65">
        <f t="shared" si="236"/>
        <v>-4.7430634936666269</v>
      </c>
      <c r="K376" s="65">
        <f t="shared" si="237"/>
        <v>13.178194032894996</v>
      </c>
      <c r="L376" s="65">
        <f t="shared" si="238"/>
        <v>-1.8972253974666791</v>
      </c>
      <c r="M376">
        <f t="shared" si="239"/>
        <v>17.603409599999999</v>
      </c>
      <c r="N376">
        <v>0</v>
      </c>
      <c r="O376">
        <f>'Vehicle Data'!C$20</f>
        <v>0.9</v>
      </c>
      <c r="P376">
        <f>('Vehicle Data'!C$6*9.81*'Vehicle Data'!C$5*SIN(D376))/'Vehicle Data'!C$9</f>
        <v>0</v>
      </c>
      <c r="Q376" s="107">
        <f>'Vehicle Data'!C$6*9.81*SIN(D376)</f>
        <v>0</v>
      </c>
      <c r="R376">
        <f t="shared" si="277"/>
        <v>1121.842837243775</v>
      </c>
      <c r="S376">
        <f>IF(Data!O376=0.6,'Vehicle Data'!E$21,IF(Data!O376 = 0.9,'Vehicle Data'!E$20))+(P376*O376)</f>
        <v>2325.5585999999998</v>
      </c>
      <c r="T376">
        <f>IF(F376=3,'Vehicle Data'!H$16,IF(F376=2,'Vehicle Data'!H$15,IF(F376 = 1,'Vehicle Data'!G$14)))</f>
        <v>466.23005239380637</v>
      </c>
      <c r="U376" s="148">
        <f t="shared" si="241"/>
        <v>405.7043551204589</v>
      </c>
      <c r="V376" s="70" t="s">
        <v>77</v>
      </c>
      <c r="W376" s="99" t="s">
        <v>84</v>
      </c>
      <c r="X376">
        <f>IF(V376="S",'Vehicle Data'!C$14,IF(Data!V376 = "T1",'Vehicle Data'!P$2,IF(Data!V376="T2",'Vehicle Data'!P$3)))</f>
        <v>13.411199999999999</v>
      </c>
      <c r="Z376">
        <v>11.3</v>
      </c>
      <c r="AB376" t="b">
        <f>IF(AA376=1,'Vehicle Data'!I$14,IF(AA376=2,'Vehicle Data'!I$15,IF(AA376=3,'Vehicle Data'!I$16)))</f>
        <v>0</v>
      </c>
      <c r="AC376">
        <f>IF(Z376&lt;'Vehicle Data'!C$16,'Vehicle Data'!I$15,IF(Z376&lt;'Vehicle Data'!C$15,'Vehicle Data'!I$15,IF(Z375&gt;'Vehicle Data'!C$15,'Vehicle Data'!I$16)))</f>
        <v>0.46202745420001456</v>
      </c>
      <c r="AD376">
        <f>IF(O376=0.6,'Vehicle Data'!F$21,IF(O376=0.9,'Vehicle Data'!F$20))</f>
        <v>5.2973999999999997</v>
      </c>
      <c r="AE376" s="100">
        <f t="shared" si="242"/>
        <v>0.46202745420001456</v>
      </c>
      <c r="AF376" s="158">
        <f t="shared" si="263"/>
        <v>0.15314081528676013</v>
      </c>
      <c r="AG376" s="148">
        <f t="shared" si="246"/>
        <v>-0.65299378100310534</v>
      </c>
      <c r="AH376" s="148">
        <f t="shared" si="264"/>
        <v>122.18538858266099</v>
      </c>
      <c r="AJ376">
        <f>(Z376^2)*'Vehicle Data'!C$31</f>
        <v>46.926075000000019</v>
      </c>
      <c r="AK376">
        <f>IF(O376=0.6,'Vehicle Data'!C$6*'Vehicle Data'!D$21*9.81,IF(O376=0.9,'Vehicle Data'!C$6*9.81*'Vehicle Data'!D$20))</f>
        <v>55.985669999999999</v>
      </c>
      <c r="AL376">
        <f t="shared" si="243"/>
        <v>102.91174500000002</v>
      </c>
      <c r="AN376">
        <f>IF(AG376&lt;0,AG376*'Vehicle Data'!C$6)</f>
        <v>-286.66426986036322</v>
      </c>
      <c r="AO376">
        <f t="shared" si="247"/>
        <v>-183.7525248603632</v>
      </c>
      <c r="AP376">
        <f>AO376*'Vehicle Data'!F$3</f>
        <v>-46.967145354308833</v>
      </c>
      <c r="AQ376">
        <f>IF(AE376='Vehicle Data'!I$15,AP376/'Vehicle Data'!G$15,IF(AE376='Vehicle Data'!I$16,AP376/'Vehicle Data'!G$16,IF(AE376='Vehicle Data'!I$14,Data!AP376/'Vehicle Data'!G387)))</f>
        <v>-8.6707313828697625</v>
      </c>
      <c r="AR376">
        <f>IF(Z376&lt;'Vehicle Data'!C$16, Z376*'Vehicle Data'!F$7*'Vehicle Data'!G$14,IF(Z376&lt;'Vehicle Data'!C$15,Z376*'Vehicle Data'!F$7*'Vehicle Data'!G$15,IF(Z376&gt;'Vehicle Data'!C$15,Z376*'Vehicle Data'!F$7*'Vehicle Data'!G$16)))</f>
        <v>98.300922611946248</v>
      </c>
      <c r="AS376">
        <f t="shared" si="265"/>
        <v>5898.0553567167753</v>
      </c>
      <c r="AT376">
        <f t="shared" si="266"/>
        <v>-9</v>
      </c>
      <c r="AU376">
        <f t="shared" si="267"/>
        <v>6000</v>
      </c>
      <c r="AW376" t="e">
        <f>VLOOKUP(AT376,BSFC!A$64:A$82,1,FALSE)</f>
        <v>#N/A</v>
      </c>
      <c r="AX376" t="e" cm="1">
        <f t="array" ref="AX376">_xlfn.XLOOKUP(AT376,BSFC!A$64:A$82,,-1,_xlfn.XLOOKUP(Data!AU376,BSFC!C$63:Q$63,BSFC!B$64:Q$82,,-1))</f>
        <v>#VALUE!</v>
      </c>
      <c r="AY376">
        <f>HLOOKUP(AU376,BSFC!F$63:Q$63,1)</f>
        <v>6000</v>
      </c>
      <c r="AZ376">
        <f>IF(AT376&gt;0,MATCH(AT376,BSFC!A$64:A$83,0),IF(AT376&lt;=0,0))</f>
        <v>0</v>
      </c>
      <c r="BA376">
        <f>MATCH(AU376,BSFC!C$63:Q$63,0)</f>
        <v>12</v>
      </c>
      <c r="BB376" t="b" cm="1">
        <f t="array" ref="BB376">IF(AZ376&gt;0,INDEX(BSFC!C$64:Q$83,Data!AZ376,Data!BA376))</f>
        <v>0</v>
      </c>
      <c r="BC376">
        <f>0.5*'Vehicle Data'!C$6*Data!Z376^2</f>
        <v>28027.955000000002</v>
      </c>
      <c r="BD376">
        <f t="shared" si="248"/>
        <v>20.935476271447197</v>
      </c>
      <c r="BE376">
        <v>0</v>
      </c>
      <c r="BF376">
        <f t="shared" si="269"/>
        <v>0</v>
      </c>
      <c r="BG376">
        <f t="shared" si="249"/>
        <v>148.09186092633703</v>
      </c>
      <c r="BH376">
        <f t="shared" si="271"/>
        <v>-5333.7978389014661</v>
      </c>
      <c r="BI376" s="148">
        <f t="shared" si="250"/>
        <v>6871.6622130335309</v>
      </c>
      <c r="BO376">
        <f t="shared" si="251"/>
        <v>-834.90854686923944</v>
      </c>
      <c r="BP376">
        <f t="shared" si="252"/>
        <v>670820.89090952219</v>
      </c>
      <c r="BQ376">
        <f t="shared" si="253"/>
        <v>889674.08825407736</v>
      </c>
      <c r="BR376" s="148">
        <f t="shared" si="254"/>
        <v>840692.35080990812</v>
      </c>
      <c r="BS376" s="156" t="b">
        <f t="shared" si="255"/>
        <v>0</v>
      </c>
      <c r="BT376" s="156">
        <f t="shared" si="256"/>
        <v>0</v>
      </c>
      <c r="BU376">
        <f t="shared" si="257"/>
        <v>1075.6331016178347</v>
      </c>
      <c r="BV376">
        <f t="shared" si="258"/>
        <v>1075.6331016178347</v>
      </c>
      <c r="BW376" s="148">
        <f t="shared" si="259"/>
        <v>455.4</v>
      </c>
      <c r="BX376" s="148">
        <f t="shared" si="260"/>
        <v>3129354.9718154697</v>
      </c>
      <c r="BY376" s="148">
        <f t="shared" si="261"/>
        <v>0.13606758735465607</v>
      </c>
      <c r="BZ376">
        <f t="shared" si="244"/>
        <v>122.18538858266099</v>
      </c>
      <c r="CB376">
        <f t="shared" si="262"/>
        <v>1075.6331016178347</v>
      </c>
      <c r="CC376" s="162">
        <f t="shared" si="245"/>
        <v>7023.8172599752452</v>
      </c>
      <c r="CD376">
        <f t="shared" si="270"/>
        <v>-49713.677923195864</v>
      </c>
    </row>
    <row r="377" spans="4:82" x14ac:dyDescent="0.2">
      <c r="D377" s="22">
        <f t="shared" si="235"/>
        <v>0</v>
      </c>
      <c r="E377" s="23">
        <v>8.7017056000000004</v>
      </c>
      <c r="F377" s="23">
        <f>IF(K377&lt;6,1,IF(Data!K377&lt;9,2,IF(K377&gt;9,3)))</f>
        <v>3</v>
      </c>
      <c r="G377" s="23">
        <v>36.330226704777466</v>
      </c>
      <c r="H377" s="23">
        <v>229.599998</v>
      </c>
      <c r="I377" s="64">
        <v>32.708331907554104</v>
      </c>
      <c r="J377" s="65">
        <f t="shared" si="236"/>
        <v>-3.9667126827300363</v>
      </c>
      <c r="K377" s="65">
        <f t="shared" si="237"/>
        <v>13.083332763021641</v>
      </c>
      <c r="L377" s="65">
        <f t="shared" si="238"/>
        <v>-1.5866850730919861</v>
      </c>
      <c r="M377">
        <f t="shared" si="239"/>
        <v>17.403411200000001</v>
      </c>
      <c r="N377">
        <f t="shared" si="240"/>
        <v>0</v>
      </c>
      <c r="O377">
        <f>'Vehicle Data'!C$20</f>
        <v>0.9</v>
      </c>
      <c r="P377">
        <f>('Vehicle Data'!C$6*9.81*'Vehicle Data'!C$5*SIN(D377))/'Vehicle Data'!C$9</f>
        <v>0</v>
      </c>
      <c r="Q377" s="107">
        <f>'Vehicle Data'!C$6*9.81*SIN(D377)</f>
        <v>0</v>
      </c>
      <c r="R377">
        <f t="shared" si="277"/>
        <v>1123.5646861576163</v>
      </c>
      <c r="S377">
        <f>IF(Data!O377=0.6,'Vehicle Data'!E$21,IF(Data!O377 = 0.9,'Vehicle Data'!E$20))+(P377*O377)</f>
        <v>2325.5585999999998</v>
      </c>
      <c r="T377">
        <f>IF(F377=3,'Vehicle Data'!H$16,IF(F377=2,'Vehicle Data'!H$15,IF(F377 = 1,'Vehicle Data'!G$14)))</f>
        <v>466.23005239380637</v>
      </c>
      <c r="U377" s="148">
        <f t="shared" si="241"/>
        <v>407.42620403430021</v>
      </c>
      <c r="V377" s="70" t="s">
        <v>77</v>
      </c>
      <c r="W377" s="99" t="s">
        <v>84</v>
      </c>
      <c r="X377">
        <f>IF(V377="S",'Vehicle Data'!C$14,IF(Data!V377 = "T1",'Vehicle Data'!P$2,IF(Data!V377="T2",'Vehicle Data'!P$3)))</f>
        <v>13.411199999999999</v>
      </c>
      <c r="Z377">
        <v>11</v>
      </c>
      <c r="AB377" t="b">
        <f>IF(AA377=1,'Vehicle Data'!I$14,IF(AA377=2,'Vehicle Data'!I$15,IF(AA377=3,'Vehicle Data'!I$16)))</f>
        <v>0</v>
      </c>
      <c r="AC377">
        <f>IF(Z377&lt;'Vehicle Data'!C$16,'Vehicle Data'!I$15,IF(Z377&lt;'Vehicle Data'!C$15,'Vehicle Data'!I$15,IF(Z376&gt;'Vehicle Data'!C$15,'Vehicle Data'!I$16)))</f>
        <v>0.46202745420001456</v>
      </c>
      <c r="AD377">
        <f>IF(O377=0.6,'Vehicle Data'!F$21,IF(O377=0.9,'Vehicle Data'!F$20))</f>
        <v>5.2973999999999997</v>
      </c>
      <c r="AE377" s="100">
        <f t="shared" si="242"/>
        <v>0.46202745420001456</v>
      </c>
      <c r="AF377" s="158">
        <f t="shared" si="263"/>
        <v>0.1565317194401194</v>
      </c>
      <c r="AG377" s="148">
        <f t="shared" si="246"/>
        <v>-1.9165444618703276</v>
      </c>
      <c r="AH377" s="148">
        <f t="shared" si="264"/>
        <v>122.34192030210112</v>
      </c>
      <c r="AJ377">
        <f>(Z377^2)*'Vehicle Data'!C$31</f>
        <v>44.467500000000015</v>
      </c>
      <c r="AK377">
        <f>IF(O377=0.6,'Vehicle Data'!C$6*'Vehicle Data'!D$21*9.81,IF(O377=0.9,'Vehicle Data'!C$6*9.81*'Vehicle Data'!D$20))</f>
        <v>55.985669999999999</v>
      </c>
      <c r="AL377">
        <f t="shared" si="243"/>
        <v>100.45317000000001</v>
      </c>
      <c r="AN377">
        <f>IF(AG377&lt;0,AG377*'Vehicle Data'!C$6)</f>
        <v>-841.36301876107382</v>
      </c>
      <c r="AO377">
        <f t="shared" si="247"/>
        <v>-740.90984876107382</v>
      </c>
      <c r="AP377">
        <f>AO377*'Vehicle Data'!F$3</f>
        <v>-189.37655734333046</v>
      </c>
      <c r="AQ377">
        <f>IF(AE377='Vehicle Data'!I$15,AP377/'Vehicle Data'!G$15,IF(AE377='Vehicle Data'!I$16,AP377/'Vehicle Data'!G$16,IF(AE377='Vehicle Data'!I$14,Data!AP377/'Vehicle Data'!G388)))</f>
        <v>-34.961317034483301</v>
      </c>
      <c r="AR377">
        <f>IF(Z377&lt;'Vehicle Data'!C$16, Z377*'Vehicle Data'!F$7*'Vehicle Data'!G$14,IF(Z377&lt;'Vehicle Data'!C$15,Z377*'Vehicle Data'!F$7*'Vehicle Data'!G$15,IF(Z377&gt;'Vehicle Data'!C$15,Z377*'Vehicle Data'!F$7*'Vehicle Data'!G$16)))</f>
        <v>95.69116360454943</v>
      </c>
      <c r="AS377">
        <f t="shared" si="265"/>
        <v>5741.4698162729655</v>
      </c>
      <c r="AT377">
        <f t="shared" si="266"/>
        <v>-35</v>
      </c>
      <c r="AU377">
        <f t="shared" si="267"/>
        <v>5500</v>
      </c>
      <c r="AW377" t="e">
        <f>VLOOKUP(AT377,BSFC!A$64:A$82,1,FALSE)</f>
        <v>#N/A</v>
      </c>
      <c r="AX377" t="e" cm="1">
        <f t="array" ref="AX377">_xlfn.XLOOKUP(AT377,BSFC!A$64:A$82,,-1,_xlfn.XLOOKUP(Data!AU377,BSFC!C$63:Q$63,BSFC!B$64:Q$82,,-1))</f>
        <v>#VALUE!</v>
      </c>
      <c r="AY377">
        <f>HLOOKUP(AU377,BSFC!F$63:Q$63,1)</f>
        <v>5500</v>
      </c>
      <c r="AZ377">
        <f>IF(AT377&gt;0,MATCH(AT377,BSFC!A$64:A$83,0),IF(AT377&lt;=0,0))</f>
        <v>0</v>
      </c>
      <c r="BA377">
        <f>MATCH(AU377,BSFC!C$63:Q$63,0)</f>
        <v>11</v>
      </c>
      <c r="BB377" t="b" cm="1">
        <f t="array" ref="BB377">IF(AZ377&gt;0,INDEX(BSFC!C$64:Q$83,Data!AZ377,Data!BA377))</f>
        <v>0</v>
      </c>
      <c r="BC377">
        <f>0.5*'Vehicle Data'!C$6*Data!Z377^2</f>
        <v>26559.5</v>
      </c>
      <c r="BD377">
        <f t="shared" si="248"/>
        <v>33.544949317904177</v>
      </c>
      <c r="BE377">
        <v>0</v>
      </c>
      <c r="BF377">
        <f t="shared" si="269"/>
        <v>0</v>
      </c>
      <c r="BG377">
        <f t="shared" si="249"/>
        <v>148.09186092633703</v>
      </c>
      <c r="BH377">
        <f t="shared" si="271"/>
        <v>-20935.476271447198</v>
      </c>
      <c r="BI377" s="148">
        <f t="shared" si="250"/>
        <v>6871.6622130335309</v>
      </c>
      <c r="BO377">
        <f t="shared" si="251"/>
        <v>-3428.8566668064341</v>
      </c>
      <c r="BP377">
        <f t="shared" si="252"/>
        <v>667392.0342427158</v>
      </c>
      <c r="BQ377">
        <f t="shared" si="253"/>
        <v>889674.08825407736</v>
      </c>
      <c r="BR377" s="148">
        <f t="shared" si="254"/>
        <v>841817.80620847177</v>
      </c>
      <c r="BS377" s="156" t="b">
        <f t="shared" si="255"/>
        <v>0</v>
      </c>
      <c r="BT377" s="156">
        <f t="shared" si="256"/>
        <v>0</v>
      </c>
      <c r="BU377">
        <f t="shared" si="257"/>
        <v>1125.4553985636708</v>
      </c>
      <c r="BV377">
        <f t="shared" si="258"/>
        <v>1125.4553985636708</v>
      </c>
      <c r="BW377" s="148">
        <f t="shared" si="259"/>
        <v>455.4</v>
      </c>
      <c r="BX377" s="148">
        <f t="shared" si="260"/>
        <v>3129354.9718154697</v>
      </c>
      <c r="BY377" s="148">
        <f t="shared" si="261"/>
        <v>0.14237010791830432</v>
      </c>
      <c r="BZ377">
        <f t="shared" si="244"/>
        <v>122.34192030210112</v>
      </c>
      <c r="CB377">
        <f t="shared" si="262"/>
        <v>1125.4553985636708</v>
      </c>
      <c r="CC377" s="162">
        <f t="shared" si="245"/>
        <v>7189.9510373306302</v>
      </c>
      <c r="CD377">
        <f t="shared" si="270"/>
        <v>-48588.22252463219</v>
      </c>
    </row>
    <row r="378" spans="4:82" x14ac:dyDescent="0.2">
      <c r="D378" s="22">
        <f t="shared" si="235"/>
        <v>0</v>
      </c>
      <c r="E378" s="23">
        <v>8.7017056000000004</v>
      </c>
      <c r="F378" s="23">
        <f>IF(K378&lt;6,1,IF(Data!K378&lt;9,2,IF(K378&gt;9,3)))</f>
        <v>3</v>
      </c>
      <c r="G378" s="23">
        <v>38.049938954675909</v>
      </c>
      <c r="H378" s="23">
        <v>229.64999799999998</v>
      </c>
      <c r="I378" s="64">
        <v>32.50999627341767</v>
      </c>
      <c r="J378" s="65">
        <f t="shared" si="236"/>
        <v>-3.0430864777457787</v>
      </c>
      <c r="K378" s="65">
        <f t="shared" si="237"/>
        <v>13.003998509367069</v>
      </c>
      <c r="L378" s="65">
        <f t="shared" si="238"/>
        <v>-1.2172345910983116</v>
      </c>
      <c r="M378">
        <f t="shared" si="239"/>
        <v>17.403411200000001</v>
      </c>
      <c r="N378">
        <f t="shared" si="240"/>
        <v>0</v>
      </c>
      <c r="O378">
        <f>'Vehicle Data'!C$20</f>
        <v>0.9</v>
      </c>
      <c r="P378">
        <f>('Vehicle Data'!C$6*9.81*'Vehicle Data'!C$5*SIN(D378))/'Vehicle Data'!C$9</f>
        <v>0</v>
      </c>
      <c r="Q378" s="107">
        <f>'Vehicle Data'!C$6*9.81*SIN(D378)</f>
        <v>0</v>
      </c>
      <c r="R378">
        <f t="shared" si="277"/>
        <v>1125.2843984075148</v>
      </c>
      <c r="S378">
        <f>IF(Data!O378=0.6,'Vehicle Data'!E$21,IF(Data!O378 = 0.9,'Vehicle Data'!E$20))+(P378*O378)</f>
        <v>2325.5585999999998</v>
      </c>
      <c r="T378">
        <f>IF(F378=3,'Vehicle Data'!H$16,IF(F378=2,'Vehicle Data'!H$15,IF(F378 = 1,'Vehicle Data'!G$14)))</f>
        <v>466.23005239380637</v>
      </c>
      <c r="U378" s="148">
        <f t="shared" si="241"/>
        <v>409.14591628419873</v>
      </c>
      <c r="V378" s="70" t="s">
        <v>77</v>
      </c>
      <c r="W378" s="99" t="s">
        <v>84</v>
      </c>
      <c r="X378">
        <f>IF(V378="S",'Vehicle Data'!C$14,IF(Data!V378 = "T1",'Vehicle Data'!P$2,IF(Data!V378="T2",'Vehicle Data'!P$3)))</f>
        <v>13.411199999999999</v>
      </c>
      <c r="Z378" s="146">
        <v>10.5</v>
      </c>
      <c r="AB378" t="b">
        <f>IF(AA378=1,'Vehicle Data'!I$14,IF(AA378=2,'Vehicle Data'!I$15,IF(AA378=3,'Vehicle Data'!I$16)))</f>
        <v>0</v>
      </c>
      <c r="AC378">
        <f>IF(Z378&lt;'Vehicle Data'!C$16,'Vehicle Data'!I$15,IF(Z378&lt;'Vehicle Data'!C$15,'Vehicle Data'!I$15,IF(Z377&gt;'Vehicle Data'!C$15,'Vehicle Data'!I$16)))</f>
        <v>0.46202745420001456</v>
      </c>
      <c r="AD378">
        <f>IF(O378=0.6,'Vehicle Data'!F$21,IF(O378=0.9,'Vehicle Data'!F$20))</f>
        <v>5.2973999999999997</v>
      </c>
      <c r="AE378" s="100">
        <f t="shared" si="242"/>
        <v>0.46202745420001456</v>
      </c>
      <c r="AF378" s="158">
        <f t="shared" si="263"/>
        <v>0.16378211903795437</v>
      </c>
      <c r="AG378" s="148">
        <f t="shared" si="246"/>
        <v>-3.0528363104407723</v>
      </c>
      <c r="AH378" s="148">
        <f t="shared" si="264"/>
        <v>122.50570242113908</v>
      </c>
      <c r="AJ378">
        <f>(Z378^2)*'Vehicle Data'!C$31</f>
        <v>40.516875000000013</v>
      </c>
      <c r="AK378">
        <f>IF(O378=0.6,'Vehicle Data'!C$6*'Vehicle Data'!D$21*9.81,IF(O378=0.9,'Vehicle Data'!C$6*9.81*'Vehicle Data'!D$20))</f>
        <v>55.985669999999999</v>
      </c>
      <c r="AL378">
        <f t="shared" si="243"/>
        <v>96.502545000000012</v>
      </c>
      <c r="AN378">
        <f>IF(AG378&lt;0,AG378*'Vehicle Data'!C$6)</f>
        <v>-1340.1951402834991</v>
      </c>
      <c r="AO378">
        <f t="shared" si="247"/>
        <v>-1243.692595283499</v>
      </c>
      <c r="AP378">
        <f>AO378*'Vehicle Data'!F$3</f>
        <v>-317.88782735446233</v>
      </c>
      <c r="AQ378">
        <f>IF(AE378='Vehicle Data'!I$15,AP378/'Vehicle Data'!G$15,IF(AE378='Vehicle Data'!I$16,AP378/'Vehicle Data'!G$16,IF(AE378='Vehicle Data'!I$14,Data!AP378/'Vehicle Data'!G389)))</f>
        <v>-58.686129209718992</v>
      </c>
      <c r="AR378">
        <f>IF(Z378&lt;'Vehicle Data'!C$16, Z378*'Vehicle Data'!F$7*'Vehicle Data'!G$14,IF(Z378&lt;'Vehicle Data'!C$15,Z378*'Vehicle Data'!F$7*'Vehicle Data'!G$15,IF(Z378&gt;'Vehicle Data'!C$15,Z378*'Vehicle Data'!F$7*'Vehicle Data'!G$16)))</f>
        <v>91.34156525888811</v>
      </c>
      <c r="AS378">
        <f t="shared" si="265"/>
        <v>5480.4939155332868</v>
      </c>
      <c r="AT378">
        <f t="shared" si="266"/>
        <v>-59</v>
      </c>
      <c r="AU378">
        <f t="shared" si="267"/>
        <v>5500</v>
      </c>
      <c r="AW378" t="e">
        <f>VLOOKUP(AT378,BSFC!A$64:A$82,1,FALSE)</f>
        <v>#N/A</v>
      </c>
      <c r="AX378" t="e" cm="1">
        <f t="array" ref="AX378">_xlfn.XLOOKUP(AT378,BSFC!A$64:A$82,,-1,_xlfn.XLOOKUP(Data!AU378,BSFC!C$63:Q$63,BSFC!B$64:Q$82,,-1))</f>
        <v>#VALUE!</v>
      </c>
      <c r="AY378">
        <f>HLOOKUP(AU378,BSFC!F$63:Q$63,1)</f>
        <v>5500</v>
      </c>
      <c r="AZ378">
        <f>IF(AT378&gt;0,MATCH(AT378,BSFC!A$64:A$83,0),IF(AT378&lt;=0,0))</f>
        <v>0</v>
      </c>
      <c r="BA378">
        <f>MATCH(AU378,BSFC!C$63:Q$63,0)</f>
        <v>11</v>
      </c>
      <c r="BB378" t="b" cm="1">
        <f t="array" ref="BB378">IF(AZ378&gt;0,INDEX(BSFC!C$64:Q$83,Data!AZ378,Data!BA378))</f>
        <v>0</v>
      </c>
      <c r="BC378">
        <f>0.5*'Vehicle Data'!C$6*Data!Z378^2</f>
        <v>24199.875</v>
      </c>
      <c r="BD378">
        <f t="shared" si="248"/>
        <v>11.428824764748496</v>
      </c>
      <c r="BE378">
        <v>0</v>
      </c>
      <c r="BF378">
        <f t="shared" si="269"/>
        <v>0</v>
      </c>
      <c r="BG378">
        <f t="shared" si="249"/>
        <v>148.09186092633703</v>
      </c>
      <c r="BH378">
        <f t="shared" si="271"/>
        <v>-33544.949317904175</v>
      </c>
      <c r="BI378" s="148">
        <f t="shared" si="250"/>
        <v>6871.6622130335309</v>
      </c>
      <c r="BO378">
        <f t="shared" si="251"/>
        <v>-5589.4477827256651</v>
      </c>
      <c r="BP378">
        <f t="shared" si="252"/>
        <v>661802.58645999013</v>
      </c>
      <c r="BQ378">
        <f t="shared" si="253"/>
        <v>889674.08825407736</v>
      </c>
      <c r="BR378" s="148">
        <f t="shared" si="254"/>
        <v>842962.80114515452</v>
      </c>
      <c r="BS378" s="156" t="b">
        <f t="shared" si="255"/>
        <v>0</v>
      </c>
      <c r="BT378" s="156">
        <f t="shared" si="256"/>
        <v>0</v>
      </c>
      <c r="BU378">
        <f t="shared" si="257"/>
        <v>1144.9949366827577</v>
      </c>
      <c r="BV378">
        <f t="shared" si="258"/>
        <v>1144.9949366827577</v>
      </c>
      <c r="BW378" s="148">
        <f t="shared" si="259"/>
        <v>455.4</v>
      </c>
      <c r="BX378" s="148">
        <f t="shared" si="260"/>
        <v>3129354.9718154697</v>
      </c>
      <c r="BY378" s="148">
        <f t="shared" si="261"/>
        <v>0.14484185949036882</v>
      </c>
      <c r="BZ378">
        <f t="shared" si="244"/>
        <v>122.50570242113908</v>
      </c>
      <c r="CB378">
        <f t="shared" si="262"/>
        <v>1144.9949366827577</v>
      </c>
      <c r="CC378" s="162">
        <f t="shared" si="245"/>
        <v>6990.9642359516229</v>
      </c>
      <c r="CD378">
        <f t="shared" si="270"/>
        <v>-47443.227587949434</v>
      </c>
    </row>
    <row r="379" spans="4:82" x14ac:dyDescent="0.2">
      <c r="D379" s="22">
        <f t="shared" si="235"/>
        <v>0</v>
      </c>
      <c r="E379" s="23">
        <v>8.7017056000000004</v>
      </c>
      <c r="F379" s="23">
        <f>IF(K379&lt;6,1,IF(Data!K379&lt;9,2,IF(K379&gt;9,3)))</f>
        <v>3</v>
      </c>
      <c r="G379" s="23">
        <v>39.766182780727874</v>
      </c>
      <c r="H379" s="23">
        <v>229.69999799999999</v>
      </c>
      <c r="I379" s="64">
        <v>32.357841949530346</v>
      </c>
      <c r="J379" s="65">
        <f t="shared" si="236"/>
        <v>-1.7229468746421808</v>
      </c>
      <c r="K379" s="65">
        <f t="shared" si="237"/>
        <v>12.943136779812139</v>
      </c>
      <c r="L379" s="65">
        <f t="shared" si="238"/>
        <v>-0.68917874985688654</v>
      </c>
      <c r="M379">
        <f t="shared" si="239"/>
        <v>17.403411200000001</v>
      </c>
      <c r="N379">
        <f t="shared" si="240"/>
        <v>0</v>
      </c>
      <c r="O379">
        <f>'Vehicle Data'!C$20</f>
        <v>0.9</v>
      </c>
      <c r="P379">
        <f>('Vehicle Data'!C$6*9.81*'Vehicle Data'!C$5*SIN(D379))/'Vehicle Data'!C$9</f>
        <v>0</v>
      </c>
      <c r="Q379" s="107">
        <f>'Vehicle Data'!C$6*9.81*SIN(D379)</f>
        <v>0</v>
      </c>
      <c r="R379">
        <f t="shared" si="277"/>
        <v>1127.0006422335666</v>
      </c>
      <c r="S379">
        <f>IF(Data!O379=0.6,'Vehicle Data'!E$21,IF(Data!O379 = 0.9,'Vehicle Data'!E$20))+(P379*O379)</f>
        <v>2325.5585999999998</v>
      </c>
      <c r="T379">
        <f>IF(F379=3,'Vehicle Data'!H$16,IF(F379=2,'Vehicle Data'!H$15,IF(F379 = 1,'Vehicle Data'!G$14)))</f>
        <v>466.23005239380637</v>
      </c>
      <c r="U379" s="148">
        <f t="shared" si="241"/>
        <v>410.86216011025056</v>
      </c>
      <c r="V379" s="70" t="s">
        <v>77</v>
      </c>
      <c r="W379" s="99" t="s">
        <v>84</v>
      </c>
      <c r="X379">
        <f>IF(V379="S",'Vehicle Data'!C$14,IF(Data!V379 = "T1",'Vehicle Data'!P$2,IF(Data!V379="T2",'Vehicle Data'!P$3)))</f>
        <v>13.411199999999999</v>
      </c>
      <c r="Z379">
        <v>10.3</v>
      </c>
      <c r="AB379" t="b">
        <f>IF(AA379=1,'Vehicle Data'!I$14,IF(AA379=2,'Vehicle Data'!I$15,IF(AA379=3,'Vehicle Data'!I$16)))</f>
        <v>0</v>
      </c>
      <c r="AC379">
        <f>IF(Z379&lt;'Vehicle Data'!C$16,'Vehicle Data'!I$15,IF(Z379&lt;'Vehicle Data'!C$15,'Vehicle Data'!I$15,IF(Z378&gt;'Vehicle Data'!C$15,'Vehicle Data'!I$16)))</f>
        <v>0.46202745420001456</v>
      </c>
      <c r="AD379">
        <f>IF(O379=0.6,'Vehicle Data'!F$21,IF(O379=0.9,'Vehicle Data'!F$20))</f>
        <v>5.2973999999999997</v>
      </c>
      <c r="AE379" s="100">
        <f t="shared" si="242"/>
        <v>0.46202745420001456</v>
      </c>
      <c r="AF379" s="158">
        <f t="shared" si="263"/>
        <v>0.16662561417978863</v>
      </c>
      <c r="AG379" s="148">
        <f t="shared" si="246"/>
        <v>-1.2002956507287035</v>
      </c>
      <c r="AH379" s="148">
        <f t="shared" si="264"/>
        <v>122.67232803531887</v>
      </c>
      <c r="AJ379">
        <f>(Z379^2)*'Vehicle Data'!C$31</f>
        <v>38.988075000000016</v>
      </c>
      <c r="AK379">
        <f>IF(O379=0.6,'Vehicle Data'!C$6*'Vehicle Data'!D$21*9.81,IF(O379=0.9,'Vehicle Data'!C$6*9.81*'Vehicle Data'!D$20))</f>
        <v>55.985669999999999</v>
      </c>
      <c r="AL379">
        <f t="shared" si="243"/>
        <v>94.973745000000008</v>
      </c>
      <c r="AN379">
        <f>IF(AG379&lt;0,AG379*'Vehicle Data'!C$6)</f>
        <v>-526.92979066990085</v>
      </c>
      <c r="AO379">
        <f t="shared" si="247"/>
        <v>-431.95604566990085</v>
      </c>
      <c r="AP379">
        <f>AO379*'Vehicle Data'!F$3</f>
        <v>-110.40796527322665</v>
      </c>
      <c r="AQ379">
        <f>IF(AE379='Vehicle Data'!I$15,AP379/'Vehicle Data'!G$15,IF(AE379='Vehicle Data'!I$16,AP379/'Vehicle Data'!G$16,IF(AE379='Vehicle Data'!I$14,Data!AP379/'Vehicle Data'!G390)))</f>
        <v>-20.382712259635671</v>
      </c>
      <c r="AR379">
        <f>IF(Z379&lt;'Vehicle Data'!C$16, Z379*'Vehicle Data'!F$7*'Vehicle Data'!G$14,IF(Z379&lt;'Vehicle Data'!C$15,Z379*'Vehicle Data'!F$7*'Vehicle Data'!G$15,IF(Z379&gt;'Vehicle Data'!C$15,Z379*'Vehicle Data'!F$7*'Vehicle Data'!G$16)))</f>
        <v>89.601725920623579</v>
      </c>
      <c r="AS379">
        <f t="shared" si="265"/>
        <v>5376.1035552374151</v>
      </c>
      <c r="AT379">
        <f t="shared" si="266"/>
        <v>-20</v>
      </c>
      <c r="AU379">
        <f t="shared" si="267"/>
        <v>5500</v>
      </c>
      <c r="AW379" t="e">
        <f>VLOOKUP(AT379,BSFC!A$64:A$82,1,FALSE)</f>
        <v>#N/A</v>
      </c>
      <c r="AX379" t="e" cm="1">
        <f t="array" ref="AX379">_xlfn.XLOOKUP(AT379,BSFC!A$64:A$82,,-1,_xlfn.XLOOKUP(Data!AU379,BSFC!C$63:Q$63,BSFC!B$64:Q$82,,-1))</f>
        <v>#VALUE!</v>
      </c>
      <c r="AY379">
        <f>HLOOKUP(AU379,BSFC!F$63:Q$63,1)</f>
        <v>5500</v>
      </c>
      <c r="AZ379">
        <f>IF(AT379&gt;0,MATCH(AT379,BSFC!A$64:A$83,0),IF(AT379&lt;=0,0))</f>
        <v>0</v>
      </c>
      <c r="BA379">
        <f>MATCH(AU379,BSFC!C$63:Q$63,0)</f>
        <v>11</v>
      </c>
      <c r="BB379" t="b" cm="1">
        <f t="array" ref="BB379">IF(AZ379&gt;0,INDEX(BSFC!C$64:Q$83,Data!AZ379,Data!BA379))</f>
        <v>0</v>
      </c>
      <c r="BC379">
        <f>0.5*'Vehicle Data'!C$6*Data!Z379^2</f>
        <v>23286.755000000005</v>
      </c>
      <c r="BD379">
        <f t="shared" si="248"/>
        <v>17.327401417140226</v>
      </c>
      <c r="BE379">
        <v>0</v>
      </c>
      <c r="BF379">
        <f t="shared" si="269"/>
        <v>0</v>
      </c>
      <c r="BG379">
        <f t="shared" si="249"/>
        <v>148.09186092633703</v>
      </c>
      <c r="BH379">
        <f t="shared" si="271"/>
        <v>-11428.824764748497</v>
      </c>
      <c r="BI379" s="148">
        <f t="shared" si="250"/>
        <v>6871.6622130335309</v>
      </c>
      <c r="BO379">
        <f t="shared" si="251"/>
        <v>-1961.7113228927635</v>
      </c>
      <c r="BP379">
        <f t="shared" si="252"/>
        <v>659840.87513709732</v>
      </c>
      <c r="BQ379">
        <f t="shared" si="253"/>
        <v>889674.08825407736</v>
      </c>
      <c r="BR379" s="148">
        <f t="shared" si="254"/>
        <v>844142.29403684544</v>
      </c>
      <c r="BS379" s="156" t="b">
        <f t="shared" si="255"/>
        <v>0</v>
      </c>
      <c r="BT379" s="156">
        <f t="shared" si="256"/>
        <v>0</v>
      </c>
      <c r="BU379">
        <f t="shared" si="257"/>
        <v>1179.4928916909394</v>
      </c>
      <c r="BV379">
        <f t="shared" si="258"/>
        <v>1179.4928916909394</v>
      </c>
      <c r="BW379" s="148">
        <f t="shared" si="259"/>
        <v>455.4</v>
      </c>
      <c r="BX379" s="148">
        <f t="shared" si="260"/>
        <v>3129354.9718154697</v>
      </c>
      <c r="BY379" s="148">
        <f t="shared" si="261"/>
        <v>0.14920585079890381</v>
      </c>
      <c r="BZ379">
        <f t="shared" si="244"/>
        <v>122.67232803531887</v>
      </c>
      <c r="CB379">
        <f t="shared" si="262"/>
        <v>1179.4928916909394</v>
      </c>
      <c r="CC379" s="162">
        <f t="shared" si="245"/>
        <v>7078.7009398101191</v>
      </c>
      <c r="CD379">
        <f t="shared" si="270"/>
        <v>-46263.734696258492</v>
      </c>
    </row>
    <row r="380" spans="4:82" x14ac:dyDescent="0.2">
      <c r="D380" s="22">
        <f t="shared" si="235"/>
        <v>0</v>
      </c>
      <c r="E380" s="23">
        <v>8.7017056000000004</v>
      </c>
      <c r="F380" s="23">
        <f>IF(K380&lt;6,1,IF(Data!K380&lt;9,2,IF(K380&gt;9,3)))</f>
        <v>3</v>
      </c>
      <c r="G380" s="23">
        <v>41.482642139649364</v>
      </c>
      <c r="H380" s="23">
        <v>229.74999799999998</v>
      </c>
      <c r="I380" s="64">
        <v>32.271694605798267</v>
      </c>
      <c r="J380" s="65">
        <f t="shared" si="236"/>
        <v>-1.0815698946511914</v>
      </c>
      <c r="K380" s="65">
        <f t="shared" si="237"/>
        <v>12.908677842319307</v>
      </c>
      <c r="L380" s="65">
        <f t="shared" si="238"/>
        <v>-0.43262795786046238</v>
      </c>
      <c r="M380">
        <f t="shared" si="239"/>
        <v>17.403411200000001</v>
      </c>
      <c r="N380">
        <f t="shared" si="240"/>
        <v>0</v>
      </c>
      <c r="O380">
        <f>'Vehicle Data'!C$20</f>
        <v>0.9</v>
      </c>
      <c r="P380">
        <f>('Vehicle Data'!C$6*9.81*'Vehicle Data'!C$5*SIN(D380))/'Vehicle Data'!C$9</f>
        <v>0</v>
      </c>
      <c r="Q380" s="107">
        <f>'Vehicle Data'!C$6*9.81*SIN(D380)</f>
        <v>0</v>
      </c>
      <c r="R380">
        <f t="shared" si="277"/>
        <v>1128.7171015924882</v>
      </c>
      <c r="S380">
        <f>IF(Data!O380=0.6,'Vehicle Data'!E$21,IF(Data!O380 = 0.9,'Vehicle Data'!E$20))+(P380*O380)</f>
        <v>2325.5585999999998</v>
      </c>
      <c r="T380">
        <f>IF(F380=3,'Vehicle Data'!H$16,IF(F380=2,'Vehicle Data'!H$15,IF(F380 = 1,'Vehicle Data'!G$14)))</f>
        <v>466.23005239380637</v>
      </c>
      <c r="U380" s="148">
        <f t="shared" si="241"/>
        <v>412.57861946917217</v>
      </c>
      <c r="V380" s="70" t="s">
        <v>77</v>
      </c>
      <c r="W380" s="99" t="s">
        <v>84</v>
      </c>
      <c r="X380">
        <f>IF(V380="S",'Vehicle Data'!C$14,IF(Data!V380 = "T1",'Vehicle Data'!P$2,IF(Data!V380="T2",'Vehicle Data'!P$3)))</f>
        <v>13.411199999999999</v>
      </c>
      <c r="Z380">
        <v>10</v>
      </c>
      <c r="AB380" t="b">
        <f>IF(AA380=1,'Vehicle Data'!I$14,IF(AA380=2,'Vehicle Data'!I$15,IF(AA380=3,'Vehicle Data'!I$16)))</f>
        <v>0</v>
      </c>
      <c r="AC380">
        <f>IF(Z380&lt;'Vehicle Data'!C$16,'Vehicle Data'!I$15,IF(Z380&lt;'Vehicle Data'!C$15,'Vehicle Data'!I$15,IF(Z379&gt;'Vehicle Data'!C$15,'Vehicle Data'!I$16)))</f>
        <v>0.46202745420001456</v>
      </c>
      <c r="AD380">
        <f>IF(O380=0.6,'Vehicle Data'!F$21,IF(O380=0.9,'Vehicle Data'!F$20))</f>
        <v>5.2973999999999997</v>
      </c>
      <c r="AE380" s="100">
        <f t="shared" si="242"/>
        <v>0.46202745420001456</v>
      </c>
      <c r="AF380" s="158">
        <f t="shared" si="263"/>
        <v>0.17164593589216109</v>
      </c>
      <c r="AG380" s="148">
        <f t="shared" si="246"/>
        <v>-1.7477838810496498</v>
      </c>
      <c r="AH380" s="148">
        <f t="shared" si="264"/>
        <v>122.84397397121103</v>
      </c>
      <c r="AJ380">
        <f>(Z380^2)*'Vehicle Data'!C$31</f>
        <v>36.750000000000007</v>
      </c>
      <c r="AK380">
        <f>IF(O380=0.6,'Vehicle Data'!C$6*'Vehicle Data'!D$21*9.81,IF(O380=0.9,'Vehicle Data'!C$6*9.81*'Vehicle Data'!D$20))</f>
        <v>55.985669999999999</v>
      </c>
      <c r="AL380">
        <f t="shared" si="243"/>
        <v>92.735669999999999</v>
      </c>
      <c r="AN380">
        <f>IF(AG380&lt;0,AG380*'Vehicle Data'!C$6)</f>
        <v>-767.27712378079627</v>
      </c>
      <c r="AO380">
        <f t="shared" si="247"/>
        <v>-674.54145378079625</v>
      </c>
      <c r="AP380">
        <f>AO380*'Vehicle Data'!F$3</f>
        <v>-172.41279558637152</v>
      </c>
      <c r="AQ380">
        <f>IF(AE380='Vehicle Data'!I$15,AP380/'Vehicle Data'!G$15,IF(AE380='Vehicle Data'!I$16,AP380/'Vehicle Data'!G$16,IF(AE380='Vehicle Data'!I$14,Data!AP380/'Vehicle Data'!G391)))</f>
        <v>-31.829591222152324</v>
      </c>
      <c r="AR380">
        <f>IF(Z380&lt;'Vehicle Data'!C$16, Z380*'Vehicle Data'!F$7*'Vehicle Data'!G$14,IF(Z380&lt;'Vehicle Data'!C$15,Z380*'Vehicle Data'!F$7*'Vehicle Data'!G$15,IF(Z380&gt;'Vehicle Data'!C$15,Z380*'Vehicle Data'!F$7*'Vehicle Data'!G$16)))</f>
        <v>86.991966913226761</v>
      </c>
      <c r="AS380">
        <f t="shared" si="265"/>
        <v>5219.5180147936053</v>
      </c>
      <c r="AT380">
        <f t="shared" si="266"/>
        <v>-32</v>
      </c>
      <c r="AU380">
        <f t="shared" si="267"/>
        <v>5000</v>
      </c>
      <c r="AW380" t="e">
        <f>VLOOKUP(AT380,BSFC!A$64:A$82,1,FALSE)</f>
        <v>#N/A</v>
      </c>
      <c r="AX380" t="e" cm="1">
        <f t="array" ref="AX380">_xlfn.XLOOKUP(AT380,BSFC!A$64:A$82,,-1,_xlfn.XLOOKUP(Data!AU380,BSFC!C$63:Q$63,BSFC!B$64:Q$82,,-1))</f>
        <v>#VALUE!</v>
      </c>
      <c r="AY380">
        <f>HLOOKUP(AU380,BSFC!F$63:Q$63,1)</f>
        <v>5000</v>
      </c>
      <c r="AZ380">
        <f>IF(AT380&gt;0,MATCH(AT380,BSFC!A$64:A$83,0),IF(AT380&lt;=0,0))</f>
        <v>0</v>
      </c>
      <c r="BA380">
        <f>MATCH(AU380,BSFC!C$63:Q$63,0)</f>
        <v>10</v>
      </c>
      <c r="BB380" t="b" cm="1">
        <f t="array" ref="BB380">IF(AZ380&gt;0,INDEX(BSFC!C$64:Q$83,Data!AZ380,Data!BA380))</f>
        <v>0</v>
      </c>
      <c r="BC380">
        <f>0.5*'Vehicle Data'!C$6*Data!Z380^2</f>
        <v>21950</v>
      </c>
      <c r="BD380">
        <f t="shared" si="248"/>
        <v>27.394268188332322</v>
      </c>
      <c r="BE380">
        <v>0</v>
      </c>
      <c r="BF380">
        <f t="shared" si="269"/>
        <v>0</v>
      </c>
      <c r="BG380">
        <f t="shared" si="249"/>
        <v>148.09186092633703</v>
      </c>
      <c r="BH380">
        <f t="shared" si="271"/>
        <v>-17327.401417140227</v>
      </c>
      <c r="BI380" s="148">
        <f t="shared" si="250"/>
        <v>6871.6622130335309</v>
      </c>
      <c r="BO380">
        <f t="shared" si="251"/>
        <v>-3138.8223959672164</v>
      </c>
      <c r="BP380">
        <f t="shared" si="252"/>
        <v>656702.05274113012</v>
      </c>
      <c r="BQ380">
        <f t="shared" si="253"/>
        <v>889674.08825407736</v>
      </c>
      <c r="BR380" s="148">
        <f t="shared" si="254"/>
        <v>845387.08122290648</v>
      </c>
      <c r="BS380" s="156" t="b">
        <f t="shared" si="255"/>
        <v>0</v>
      </c>
      <c r="BT380" s="156">
        <f t="shared" si="256"/>
        <v>0</v>
      </c>
      <c r="BU380">
        <f t="shared" si="257"/>
        <v>1244.7871860609955</v>
      </c>
      <c r="BV380">
        <f t="shared" si="258"/>
        <v>1244.7871860609955</v>
      </c>
      <c r="BW380" s="148">
        <f t="shared" si="259"/>
        <v>455.4</v>
      </c>
      <c r="BX380" s="148">
        <f t="shared" si="260"/>
        <v>3129354.9718154697</v>
      </c>
      <c r="BY380" s="148">
        <f t="shared" si="261"/>
        <v>0.15746557903671593</v>
      </c>
      <c r="BZ380">
        <f t="shared" si="244"/>
        <v>122.84397397121103</v>
      </c>
      <c r="CB380">
        <f t="shared" si="262"/>
        <v>1244.7871860609955</v>
      </c>
      <c r="CC380" s="162">
        <f t="shared" si="245"/>
        <v>7252.0632637819672</v>
      </c>
      <c r="CD380">
        <f t="shared" si="270"/>
        <v>-45018.947510197497</v>
      </c>
    </row>
    <row r="381" spans="4:82" x14ac:dyDescent="0.2">
      <c r="D381" s="22">
        <f t="shared" si="235"/>
        <v>0</v>
      </c>
      <c r="E381" s="23">
        <v>8.7017056000000004</v>
      </c>
      <c r="F381" s="23">
        <f>IF(K381&lt;6,1,IF(Data!K381&lt;9,2,IF(K381&gt;9,3)))</f>
        <v>3</v>
      </c>
      <c r="G381" s="23">
        <v>43.203547198857727</v>
      </c>
      <c r="H381" s="23">
        <v>229.79999799999999</v>
      </c>
      <c r="I381" s="64">
        <v>32.217616111065695</v>
      </c>
      <c r="J381" s="65">
        <f t="shared" si="236"/>
        <v>-1.5752973850538126</v>
      </c>
      <c r="K381" s="65">
        <f t="shared" si="237"/>
        <v>12.887046444426279</v>
      </c>
      <c r="L381" s="65">
        <f t="shared" si="238"/>
        <v>-0.63011895402155349</v>
      </c>
      <c r="M381">
        <f t="shared" si="239"/>
        <v>17.403411200000001</v>
      </c>
      <c r="N381">
        <f t="shared" si="240"/>
        <v>0</v>
      </c>
      <c r="O381">
        <f>'Vehicle Data'!C$20</f>
        <v>0.9</v>
      </c>
      <c r="P381">
        <f>('Vehicle Data'!C$6*9.81*'Vehicle Data'!C$5*SIN(D381))/'Vehicle Data'!C$9</f>
        <v>0</v>
      </c>
      <c r="Q381" s="107">
        <f>'Vehicle Data'!C$6*9.81*SIN(D381)</f>
        <v>0</v>
      </c>
      <c r="R381">
        <f t="shared" si="277"/>
        <v>1130.4380066516965</v>
      </c>
      <c r="S381">
        <f>IF(Data!O381=0.6,'Vehicle Data'!E$21,IF(Data!O381 = 0.9,'Vehicle Data'!E$20))+(P381*O381)</f>
        <v>2325.5585999999998</v>
      </c>
      <c r="T381">
        <f>IF(F381=3,'Vehicle Data'!H$16,IF(F381=2,'Vehicle Data'!H$15,IF(F381 = 1,'Vehicle Data'!G$14)))</f>
        <v>466.23005239380637</v>
      </c>
      <c r="U381" s="148">
        <f t="shared" si="241"/>
        <v>414.2995245283804</v>
      </c>
      <c r="V381" s="70" t="s">
        <v>77</v>
      </c>
      <c r="W381" s="99" t="s">
        <v>84</v>
      </c>
      <c r="X381">
        <f>IF(V381="S",'Vehicle Data'!C$14,IF(Data!V381 = "T1",'Vehicle Data'!P$2,IF(Data!V381="T2",'Vehicle Data'!P$3)))</f>
        <v>13.411199999999999</v>
      </c>
      <c r="Z381" s="28">
        <v>9.5</v>
      </c>
      <c r="AB381" t="b">
        <f>IF(AA381=1,'Vehicle Data'!I$14,IF(AA381=2,'Vehicle Data'!I$15,IF(AA381=3,'Vehicle Data'!I$16)))</f>
        <v>0</v>
      </c>
      <c r="AC381">
        <f>IF(Z381&lt;'Vehicle Data'!C$16,'Vehicle Data'!I$15,IF(Z381&lt;'Vehicle Data'!C$15,'Vehicle Data'!I$15,IF(Z380&gt;'Vehicle Data'!C$15,'Vehicle Data'!I$16)))</f>
        <v>0.46202745420001456</v>
      </c>
      <c r="AD381">
        <f>IF(O381=0.6,'Vehicle Data'!F$21,IF(O381=0.9,'Vehicle Data'!F$20))</f>
        <v>5.2973999999999997</v>
      </c>
      <c r="AE381" s="100">
        <f t="shared" si="242"/>
        <v>0.46202745420001456</v>
      </c>
      <c r="AF381" s="158">
        <f t="shared" si="263"/>
        <v>0.18114790096928787</v>
      </c>
      <c r="AG381" s="148">
        <f t="shared" si="246"/>
        <v>-2.760175510312818</v>
      </c>
      <c r="AH381" s="148">
        <f t="shared" si="264"/>
        <v>123.02512187218032</v>
      </c>
      <c r="AJ381">
        <f>(Z381^2)*'Vehicle Data'!C$31</f>
        <v>33.166875000000012</v>
      </c>
      <c r="AK381">
        <f>IF(O381=0.6,'Vehicle Data'!C$6*'Vehicle Data'!D$21*9.81,IF(O381=0.9,'Vehicle Data'!C$6*9.81*'Vehicle Data'!D$20))</f>
        <v>55.985669999999999</v>
      </c>
      <c r="AL381">
        <f t="shared" si="243"/>
        <v>89.152545000000003</v>
      </c>
      <c r="AN381">
        <f>IF(AG381&lt;0,AG381*'Vehicle Data'!C$6)</f>
        <v>-1211.7170490273272</v>
      </c>
      <c r="AO381">
        <f t="shared" si="247"/>
        <v>-1122.5645040273273</v>
      </c>
      <c r="AP381">
        <f>AO381*'Vehicle Data'!F$3</f>
        <v>-286.92748722938484</v>
      </c>
      <c r="AQ381">
        <f>IF(AE381='Vehicle Data'!I$15,AP381/'Vehicle Data'!G$15,IF(AE381='Vehicle Data'!I$16,AP381/'Vehicle Data'!G$16,IF(AE381='Vehicle Data'!I$14,Data!AP381/'Vehicle Data'!G392)))</f>
        <v>-52.97045731350903</v>
      </c>
      <c r="AR381">
        <f>IF(Z381&lt;'Vehicle Data'!C$16, Z381*'Vehicle Data'!F$7*'Vehicle Data'!G$14,IF(Z381&lt;'Vehicle Data'!C$15,Z381*'Vehicle Data'!F$7*'Vehicle Data'!G$15,IF(Z381&gt;'Vehicle Data'!C$15,Z381*'Vehicle Data'!F$7*'Vehicle Data'!G$16)))</f>
        <v>82.642368567565427</v>
      </c>
      <c r="AS381">
        <f t="shared" si="265"/>
        <v>4958.5421140539256</v>
      </c>
      <c r="AT381">
        <f t="shared" si="266"/>
        <v>-53</v>
      </c>
      <c r="AU381">
        <f t="shared" si="267"/>
        <v>5000</v>
      </c>
      <c r="AW381" t="e">
        <f>VLOOKUP(AT381,BSFC!A$64:A$82,1,FALSE)</f>
        <v>#N/A</v>
      </c>
      <c r="AX381" t="e" cm="1">
        <f t="array" ref="AX381">_xlfn.XLOOKUP(AT381,BSFC!A$64:A$82,,-1,_xlfn.XLOOKUP(Data!AU381,BSFC!C$63:Q$63,BSFC!B$64:Q$82,,-1))</f>
        <v>#VALUE!</v>
      </c>
      <c r="AY381">
        <f>HLOOKUP(AU381,BSFC!F$63:Q$63,1)</f>
        <v>5000</v>
      </c>
      <c r="AZ381">
        <f>IF(AT381&gt;0,MATCH(AT381,BSFC!A$64:A$83,0),IF(AT381&lt;=0,0))</f>
        <v>0</v>
      </c>
      <c r="BA381">
        <f>MATCH(AU381,BSFC!C$63:Q$63,0)</f>
        <v>10</v>
      </c>
      <c r="BB381" t="b" cm="1">
        <f t="array" ref="BB381">IF(AZ381&gt;0,INDEX(BSFC!C$64:Q$83,Data!AZ381,Data!BA381))</f>
        <v>0</v>
      </c>
      <c r="BC381">
        <f>0.5*'Vehicle Data'!C$6*Data!Z381^2</f>
        <v>19809.875</v>
      </c>
      <c r="BD381">
        <f t="shared" si="248"/>
        <v>0</v>
      </c>
      <c r="BE381">
        <v>0</v>
      </c>
      <c r="BF381">
        <f t="shared" si="269"/>
        <v>0</v>
      </c>
      <c r="BG381">
        <f t="shared" si="249"/>
        <v>148.09186092633703</v>
      </c>
      <c r="BH381">
        <f t="shared" si="271"/>
        <v>-27394.268188332324</v>
      </c>
      <c r="BI381" s="148">
        <f t="shared" si="250"/>
        <v>6871.6622130335309</v>
      </c>
      <c r="BO381">
        <f t="shared" si="251"/>
        <v>-5244.6998097660926</v>
      </c>
      <c r="BP381">
        <f t="shared" si="252"/>
        <v>651457.35293136397</v>
      </c>
      <c r="BQ381">
        <f t="shared" si="253"/>
        <v>889674.08825407736</v>
      </c>
      <c r="BR381" s="148">
        <f t="shared" si="254"/>
        <v>846702.67780149379</v>
      </c>
      <c r="BS381" s="156" t="b">
        <f t="shared" si="255"/>
        <v>0</v>
      </c>
      <c r="BT381" s="156">
        <f t="shared" si="256"/>
        <v>0</v>
      </c>
      <c r="BU381">
        <f t="shared" si="257"/>
        <v>1315.5965785873325</v>
      </c>
      <c r="BV381">
        <f t="shared" si="258"/>
        <v>1315.5965785873325</v>
      </c>
      <c r="BW381" s="148">
        <f t="shared" si="259"/>
        <v>455.4</v>
      </c>
      <c r="BX381" s="148">
        <f t="shared" si="260"/>
        <v>3129354.9718154697</v>
      </c>
      <c r="BY381" s="148">
        <f t="shared" si="261"/>
        <v>0.16642296719129754</v>
      </c>
      <c r="BZ381">
        <f t="shared" si="244"/>
        <v>123.02512187218032</v>
      </c>
      <c r="CB381">
        <f t="shared" si="262"/>
        <v>1315.5965785873325</v>
      </c>
      <c r="CC381" s="162">
        <f t="shared" si="245"/>
        <v>7262.5549153359661</v>
      </c>
      <c r="CD381">
        <f t="shared" si="270"/>
        <v>-43703.350931610163</v>
      </c>
    </row>
    <row r="382" spans="4:82" x14ac:dyDescent="0.2">
      <c r="D382" s="22">
        <f t="shared" si="235"/>
        <v>0</v>
      </c>
      <c r="E382" s="23">
        <v>8.7017056000000004</v>
      </c>
      <c r="F382" s="23">
        <f>IF(K382&lt;6,1,IF(Data!K382&lt;9,2,IF(K382&gt;9,3)))</f>
        <v>3</v>
      </c>
      <c r="G382" s="23">
        <v>44.926619265006131</v>
      </c>
      <c r="H382" s="23">
        <v>229.849998</v>
      </c>
      <c r="I382" s="64">
        <v>32.138851241812986</v>
      </c>
      <c r="J382" s="65">
        <f t="shared" si="236"/>
        <v>-1.1634309906090994</v>
      </c>
      <c r="K382" s="65">
        <f t="shared" si="237"/>
        <v>12.855540496725194</v>
      </c>
      <c r="L382" s="65">
        <f t="shared" si="238"/>
        <v>-0.46537239624361842</v>
      </c>
      <c r="M382">
        <f t="shared" si="239"/>
        <v>17.403411200000001</v>
      </c>
      <c r="N382">
        <f t="shared" si="240"/>
        <v>0</v>
      </c>
      <c r="O382">
        <f>'Vehicle Data'!C$20</f>
        <v>0.9</v>
      </c>
      <c r="P382">
        <f>('Vehicle Data'!C$6*9.81*'Vehicle Data'!C$5*SIN(D382))/'Vehicle Data'!C$9</f>
        <v>0</v>
      </c>
      <c r="Q382" s="107">
        <f>'Vehicle Data'!C$6*9.81*SIN(D382)</f>
        <v>0</v>
      </c>
      <c r="R382">
        <f t="shared" si="277"/>
        <v>1132.1610787178449</v>
      </c>
      <c r="S382">
        <f>IF(Data!O382=0.6,'Vehicle Data'!E$21,IF(Data!O382 = 0.9,'Vehicle Data'!E$20))+(P382*O382)</f>
        <v>2325.5585999999998</v>
      </c>
      <c r="T382">
        <f>IF(F382=3,'Vehicle Data'!H$16,IF(F382=2,'Vehicle Data'!H$15,IF(F382 = 1,'Vehicle Data'!G$14)))</f>
        <v>466.23005239380637</v>
      </c>
      <c r="U382" s="148">
        <f t="shared" si="241"/>
        <v>416.02259659452886</v>
      </c>
      <c r="V382" s="70" t="s">
        <v>77</v>
      </c>
      <c r="W382" s="99" t="s">
        <v>84</v>
      </c>
      <c r="X382">
        <f>IF(V382="S",'Vehicle Data'!C$14,IF(Data!V382 = "T1",'Vehicle Data'!P$2,IF(Data!V382="T2",'Vehicle Data'!P$3)))</f>
        <v>13.411199999999999</v>
      </c>
      <c r="Z382" s="28">
        <v>9</v>
      </c>
      <c r="AB382" t="b">
        <f>IF(AA382=1,'Vehicle Data'!I$14,IF(AA382=2,'Vehicle Data'!I$15,IF(AA382=3,'Vehicle Data'!I$16)))</f>
        <v>0</v>
      </c>
      <c r="AC382">
        <f>IF(Z382&lt;'Vehicle Data'!C$16,'Vehicle Data'!I$15,IF(Z382&lt;'Vehicle Data'!C$15,'Vehicle Data'!I$15,IF(Z381&gt;'Vehicle Data'!C$15,'Vehicle Data'!I$16)))</f>
        <v>0.46202745420001456</v>
      </c>
      <c r="AD382">
        <f>IF(O382=0.6,'Vehicle Data'!F$21,IF(O382=0.9,'Vehicle Data'!F$20))</f>
        <v>5.2973999999999997</v>
      </c>
      <c r="AE382" s="100">
        <f t="shared" si="242"/>
        <v>0.46202745420001456</v>
      </c>
      <c r="AF382" s="158">
        <f t="shared" si="263"/>
        <v>0.19145245179427345</v>
      </c>
      <c r="AG382" s="148">
        <f t="shared" si="246"/>
        <v>-2.6116145043536889</v>
      </c>
      <c r="AH382" s="148">
        <f t="shared" si="264"/>
        <v>123.2165743239746</v>
      </c>
      <c r="AJ382">
        <f>(Z382^2)*'Vehicle Data'!C$31</f>
        <v>29.767500000000009</v>
      </c>
      <c r="AK382">
        <f>IF(O382=0.6,'Vehicle Data'!C$6*'Vehicle Data'!D$21*9.81,IF(O382=0.9,'Vehicle Data'!C$6*9.81*'Vehicle Data'!D$20))</f>
        <v>55.985669999999999</v>
      </c>
      <c r="AL382">
        <f t="shared" si="243"/>
        <v>85.753170000000011</v>
      </c>
      <c r="AN382">
        <f>IF(AG382&lt;0,AG382*'Vehicle Data'!C$6)</f>
        <v>-1146.4987674112695</v>
      </c>
      <c r="AO382">
        <f t="shared" si="247"/>
        <v>-1060.7455974112695</v>
      </c>
      <c r="AP382">
        <f>AO382*'Vehicle Data'!F$3</f>
        <v>-271.1265746983205</v>
      </c>
      <c r="AQ382">
        <f>IF(AE382='Vehicle Data'!I$15,AP382/'Vehicle Data'!G$15,IF(AE382='Vehicle Data'!I$16,AP382/'Vehicle Data'!G$16,IF(AE382='Vehicle Data'!I$14,Data!AP382/'Vehicle Data'!G393)))</f>
        <v>-50.053408233188236</v>
      </c>
      <c r="AR382" t="b">
        <f>IF(Z382&lt;'Vehicle Data'!C$16, Z382*'Vehicle Data'!F$7*'Vehicle Data'!G$14,IF(Z382&lt;'Vehicle Data'!C$15,Z382*'Vehicle Data'!F$7*'Vehicle Data'!G$15,IF(Z382&gt;'Vehicle Data'!C$15,Z382*'Vehicle Data'!F$7*'Vehicle Data'!G$16)))</f>
        <v>0</v>
      </c>
      <c r="AS382">
        <f t="shared" si="265"/>
        <v>0</v>
      </c>
      <c r="AT382">
        <f t="shared" si="266"/>
        <v>-50</v>
      </c>
      <c r="AU382">
        <v>6500</v>
      </c>
      <c r="AW382" t="e">
        <f>VLOOKUP(AT382,BSFC!A$64:A$82,1,FALSE)</f>
        <v>#N/A</v>
      </c>
      <c r="AX382" t="e" cm="1">
        <f t="array" ref="AX382">_xlfn.XLOOKUP(AT382,BSFC!A$64:A$82,,-1,_xlfn.XLOOKUP(Data!AU382,BSFC!C$63:Q$63,BSFC!B$64:Q$82,,-1))</f>
        <v>#VALUE!</v>
      </c>
      <c r="AY382">
        <f>HLOOKUP(AU382,BSFC!F$63:Q$63,1)</f>
        <v>6500</v>
      </c>
      <c r="AZ382">
        <f>IF(AT382&gt;0,MATCH(AT382,BSFC!A$64:A$83,0),IF(AT382&lt;=0,0))</f>
        <v>0</v>
      </c>
      <c r="BA382">
        <f>MATCH(AU382,BSFC!C$63:Q$63,0)</f>
        <v>13</v>
      </c>
      <c r="BB382" t="b" cm="1">
        <f t="array" ref="BB382">IF(AZ382&gt;0,INDEX(BSFC!C$64:Q$83,Data!AZ382,Data!BA382))</f>
        <v>0</v>
      </c>
      <c r="BC382">
        <f>0.5*'Vehicle Data'!C$6*Data!Z382^2</f>
        <v>17779.5</v>
      </c>
      <c r="BD382">
        <f t="shared" si="248"/>
        <v>8.0542420747805643</v>
      </c>
      <c r="BE382">
        <v>0</v>
      </c>
      <c r="BF382">
        <f t="shared" si="269"/>
        <v>0</v>
      </c>
      <c r="BG382">
        <f t="shared" si="249"/>
        <v>148.09186092633703</v>
      </c>
      <c r="BH382">
        <f t="shared" si="271"/>
        <v>0</v>
      </c>
      <c r="BI382" s="148">
        <f t="shared" si="250"/>
        <v>6871.6622130335309</v>
      </c>
      <c r="BO382">
        <f t="shared" si="251"/>
        <v>0</v>
      </c>
      <c r="BP382">
        <f t="shared" si="252"/>
        <v>651457.35293136397</v>
      </c>
      <c r="BQ382">
        <f t="shared" si="253"/>
        <v>889674.08825407736</v>
      </c>
      <c r="BR382" s="148">
        <f t="shared" si="254"/>
        <v>848071.56583753182</v>
      </c>
      <c r="BS382" s="156" t="b">
        <f t="shared" si="255"/>
        <v>0</v>
      </c>
      <c r="BT382" s="156">
        <f t="shared" si="256"/>
        <v>0</v>
      </c>
      <c r="BU382">
        <f t="shared" si="257"/>
        <v>1368.8880360379958</v>
      </c>
      <c r="BV382">
        <f t="shared" si="258"/>
        <v>1368.8880360379958</v>
      </c>
      <c r="BW382" s="148">
        <f t="shared" si="259"/>
        <v>455.4</v>
      </c>
      <c r="BX382" s="148">
        <f t="shared" si="260"/>
        <v>3129354.9718154697</v>
      </c>
      <c r="BY382" s="148">
        <f t="shared" si="261"/>
        <v>0.17316433655880645</v>
      </c>
      <c r="BZ382">
        <f t="shared" si="244"/>
        <v>123.2165743239746</v>
      </c>
      <c r="CB382">
        <f t="shared" si="262"/>
        <v>1368.8880360379958</v>
      </c>
      <c r="CC382" s="162">
        <f t="shared" si="245"/>
        <v>7150.0156995060124</v>
      </c>
      <c r="CD382">
        <f t="shared" si="270"/>
        <v>-42334.462895572164</v>
      </c>
    </row>
    <row r="383" spans="4:82" x14ac:dyDescent="0.2">
      <c r="D383" s="22">
        <f t="shared" si="235"/>
        <v>0</v>
      </c>
      <c r="E383" s="23">
        <v>8.7017056000000004</v>
      </c>
      <c r="F383" s="23">
        <f>IF(K383&lt;6,1,IF(Data!K383&lt;9,2,IF(K383&gt;9,3)))</f>
        <v>3</v>
      </c>
      <c r="G383" s="23">
        <v>46.67964703960854</v>
      </c>
      <c r="H383" s="23">
        <v>229.89999799999998</v>
      </c>
      <c r="I383" s="64">
        <v>32.080679692282551</v>
      </c>
      <c r="J383" s="65">
        <f t="shared" si="236"/>
        <v>-0.26434950428716447</v>
      </c>
      <c r="K383" s="65">
        <f t="shared" si="237"/>
        <v>12.832271876913021</v>
      </c>
      <c r="L383" s="65">
        <f t="shared" si="238"/>
        <v>-0.10573980171487291</v>
      </c>
      <c r="M383">
        <f t="shared" si="239"/>
        <v>17.403411200000001</v>
      </c>
      <c r="N383">
        <f t="shared" si="240"/>
        <v>0</v>
      </c>
      <c r="O383">
        <f>'Vehicle Data'!C$20</f>
        <v>0.9</v>
      </c>
      <c r="P383">
        <f>('Vehicle Data'!C$6*9.81*'Vehicle Data'!C$5*SIN(D383))/'Vehicle Data'!C$9</f>
        <v>0</v>
      </c>
      <c r="Q383" s="107">
        <f>'Vehicle Data'!C$6*9.81*SIN(D383)</f>
        <v>0</v>
      </c>
      <c r="R383">
        <f t="shared" si="277"/>
        <v>1133.9141064924474</v>
      </c>
      <c r="S383">
        <f>IF(Data!O383=0.6,'Vehicle Data'!E$21,IF(Data!O383 = 0.9,'Vehicle Data'!E$20))+(P383*O383)</f>
        <v>2325.5585999999998</v>
      </c>
      <c r="T383">
        <f>IF(F383=3,'Vehicle Data'!H$16,IF(F383=2,'Vehicle Data'!H$15,IF(F383 = 1,'Vehicle Data'!G$14)))</f>
        <v>466.23005239380637</v>
      </c>
      <c r="U383" s="148">
        <f t="shared" si="241"/>
        <v>417.77562436913138</v>
      </c>
      <c r="V383" s="70" t="s">
        <v>77</v>
      </c>
      <c r="W383" s="99" t="s">
        <v>84</v>
      </c>
      <c r="X383">
        <f>IF(V383="S",'Vehicle Data'!C$14,IF(Data!V383 = "T1",'Vehicle Data'!P$2,IF(Data!V383="T2",'Vehicle Data'!P$3)))</f>
        <v>13.411199999999999</v>
      </c>
      <c r="Z383">
        <v>8.8000000000000007</v>
      </c>
      <c r="AB383" t="b">
        <f>IF(AA383=1,'Vehicle Data'!I$14,IF(AA383=2,'Vehicle Data'!I$15,IF(AA383=3,'Vehicle Data'!I$16)))</f>
        <v>0</v>
      </c>
      <c r="AC383">
        <f>IF(Z383&lt;'Vehicle Data'!C$16,'Vehicle Data'!I$15,IF(Z383&lt;'Vehicle Data'!C$15,'Vehicle Data'!I$15,IF(Z382&gt;'Vehicle Data'!C$15,'Vehicle Data'!I$16)))</f>
        <v>0.98256251041858167</v>
      </c>
      <c r="AD383">
        <f>IF(O383=0.6,'Vehicle Data'!F$21,IF(O383=0.9,'Vehicle Data'!F$20))</f>
        <v>5.2973999999999997</v>
      </c>
      <c r="AE383" s="100">
        <f t="shared" si="242"/>
        <v>0.98256251041858167</v>
      </c>
      <c r="AF383" s="158">
        <f t="shared" si="263"/>
        <v>0.19920770165937668</v>
      </c>
      <c r="AG383" s="148">
        <f t="shared" si="246"/>
        <v>-1.003977247536229</v>
      </c>
      <c r="AH383" s="148">
        <f t="shared" si="264"/>
        <v>123.41578202563397</v>
      </c>
      <c r="AJ383">
        <f>(Z383^2)*'Vehicle Data'!C$31</f>
        <v>28.459200000000013</v>
      </c>
      <c r="AK383">
        <f>IF(O383=0.6,'Vehicle Data'!C$6*'Vehicle Data'!D$21*9.81,IF(O383=0.9,'Vehicle Data'!C$6*9.81*'Vehicle Data'!D$20))</f>
        <v>55.985669999999999</v>
      </c>
      <c r="AL383">
        <f t="shared" si="243"/>
        <v>84.444870000000009</v>
      </c>
      <c r="AN383">
        <f>IF(AG383&lt;0,AG383*'Vehicle Data'!C$6)</f>
        <v>-440.74601166840449</v>
      </c>
      <c r="AO383">
        <f t="shared" si="247"/>
        <v>-356.30114166840451</v>
      </c>
      <c r="AP383">
        <f>AO383*'Vehicle Data'!F$3</f>
        <v>-91.070571810444193</v>
      </c>
      <c r="AQ383">
        <f>IF(AE383='Vehicle Data'!I$15,AP383/'Vehicle Data'!G$15,IF(AE383='Vehicle Data'!I$16,AP383/'Vehicle Data'!G$16,IF(AE383='Vehicle Data'!I$14,Data!AP383/'Vehicle Data'!G394)))</f>
        <v>-11.28273794021046</v>
      </c>
      <c r="AR383">
        <f>IF(Z383&lt;'Vehicle Data'!C$16, Z383*'Vehicle Data'!F$7*'Vehicle Data'!G$14,IF(Z383&lt;'Vehicle Data'!C$15,Z383*'Vehicle Data'!F$7*'Vehicle Data'!G$15,IF(Z383&gt;'Vehicle Data'!C$15,Z383*'Vehicle Data'!F$7*'Vehicle Data'!G$16)))</f>
        <v>114.07407407407409</v>
      </c>
      <c r="AS383">
        <f t="shared" si="265"/>
        <v>6844.4444444444453</v>
      </c>
      <c r="AT383">
        <v>4</v>
      </c>
      <c r="AU383">
        <f t="shared" si="267"/>
        <v>7000</v>
      </c>
      <c r="AW383">
        <f>VLOOKUP(AT383,BSFC!A$64:A$82,1,FALSE)</f>
        <v>4</v>
      </c>
      <c r="AX383" t="e" cm="1">
        <f t="array" ref="AX383">_xlfn.XLOOKUP(AT383,BSFC!A$64:A$82,,-1,_xlfn.XLOOKUP(Data!AU383,BSFC!C$63:Q$63,BSFC!B$64:Q$82,,-1))</f>
        <v>#VALUE!</v>
      </c>
      <c r="AY383">
        <f>HLOOKUP(AU383,BSFC!F$63:Q$63,1)</f>
        <v>7000</v>
      </c>
      <c r="AZ383">
        <f>IF(AT383&gt;0,MATCH(AT383,BSFC!A$64:A$83,0),IF(AT383&lt;=0,0))</f>
        <v>19</v>
      </c>
      <c r="BA383">
        <f>MATCH(AU383,BSFC!C$63:Q$63,0)</f>
        <v>14</v>
      </c>
      <c r="BB383" cm="1">
        <f t="array" ref="BB383">IF(AZ383&gt;0,INDEX(BSFC!C$64:Q$83,Data!AZ383,Data!BA383))</f>
        <v>650</v>
      </c>
      <c r="BC383">
        <f>0.5*'Vehicle Data'!C$6*Data!Z383^2</f>
        <v>16998.080000000002</v>
      </c>
      <c r="BD383">
        <f t="shared" si="248"/>
        <v>7.6986673002517536</v>
      </c>
      <c r="BE383">
        <f t="shared" si="268"/>
        <v>5004.13374516364</v>
      </c>
      <c r="BF383">
        <f t="shared" si="269"/>
        <v>0.27690610615838268</v>
      </c>
      <c r="BG383">
        <f t="shared" si="249"/>
        <v>148.36876703249541</v>
      </c>
      <c r="BH383">
        <f t="shared" si="271"/>
        <v>-8054.2420747805636</v>
      </c>
      <c r="BI383" s="148">
        <f t="shared" si="250"/>
        <v>6871.6622130335309</v>
      </c>
      <c r="BO383">
        <f t="shared" si="251"/>
        <v>-1643.29878013438</v>
      </c>
      <c r="BP383">
        <f t="shared" si="252"/>
        <v>649814.05415122956</v>
      </c>
      <c r="BQ383">
        <f t="shared" si="253"/>
        <v>889674.08825407736</v>
      </c>
      <c r="BR383" s="148">
        <f t="shared" si="254"/>
        <v>849473.58405691606</v>
      </c>
      <c r="BS383" s="156" t="b">
        <f t="shared" si="255"/>
        <v>0</v>
      </c>
      <c r="BT383" s="156">
        <f t="shared" si="256"/>
        <v>0</v>
      </c>
      <c r="BU383">
        <f t="shared" si="257"/>
        <v>1402.0182193842454</v>
      </c>
      <c r="BV383">
        <f t="shared" si="258"/>
        <v>1402.0182193842454</v>
      </c>
      <c r="BW383" s="148">
        <f t="shared" si="259"/>
        <v>455.4</v>
      </c>
      <c r="BX383" s="148">
        <f t="shared" si="260"/>
        <v>3129354.9718154697</v>
      </c>
      <c r="BY383" s="148">
        <f t="shared" si="261"/>
        <v>0.17735530475210701</v>
      </c>
      <c r="BZ383">
        <f t="shared" si="244"/>
        <v>123.41578202563397</v>
      </c>
      <c r="CB383">
        <f t="shared" si="262"/>
        <v>1402.0182193842454</v>
      </c>
      <c r="CC383" s="162">
        <f t="shared" si="245"/>
        <v>7037.9719644652687</v>
      </c>
      <c r="CD383">
        <f t="shared" si="270"/>
        <v>-40932.444676187915</v>
      </c>
    </row>
    <row r="384" spans="4:82" ht="16" thickBot="1" x14ac:dyDescent="0.25">
      <c r="D384" s="22">
        <f t="shared" si="235"/>
        <v>-3.0802483079967163E-4</v>
      </c>
      <c r="E384" s="23">
        <v>8.7017056000000004</v>
      </c>
      <c r="F384" s="23">
        <f>IF(K384&lt;6,1,IF(Data!K384&lt;9,2,IF(K384&gt;9,3)))</f>
        <v>3</v>
      </c>
      <c r="G384" s="23">
        <v>48.434296251532302</v>
      </c>
      <c r="H384" s="23">
        <v>229.94999799999999</v>
      </c>
      <c r="I384" s="64">
        <v>32.06746221706819</v>
      </c>
      <c r="J384" s="65">
        <f t="shared" si="236"/>
        <v>-1.3655588739686406</v>
      </c>
      <c r="K384" s="65">
        <f t="shared" si="237"/>
        <v>12.826984886827276</v>
      </c>
      <c r="L384" s="65">
        <f t="shared" si="238"/>
        <v>-0.54622354958745623</v>
      </c>
      <c r="M384">
        <f t="shared" si="239"/>
        <v>17.403411200000001</v>
      </c>
      <c r="N384">
        <f t="shared" si="240"/>
        <v>-0.30000240000000034</v>
      </c>
      <c r="O384">
        <f>'Vehicle Data'!C$20</f>
        <v>0.9</v>
      </c>
      <c r="P384">
        <f>('Vehicle Data'!C$6*9.81*'Vehicle Data'!C$5*SIN(D384))/'Vehicle Data'!C$9</f>
        <v>-0.20513453120052796</v>
      </c>
      <c r="Q384" s="107">
        <f>'Vehicle Data'!C$6*9.81*SIN(D384)</f>
        <v>-1.3265366350967474</v>
      </c>
      <c r="R384">
        <f t="shared" si="277"/>
        <v>1135.6687557043711</v>
      </c>
      <c r="S384">
        <f>IF(Data!O384=0.6,'Vehicle Data'!E$21,IF(Data!O384 = 0.9,'Vehicle Data'!E$20))+(P384*O384)</f>
        <v>2325.3739789219194</v>
      </c>
      <c r="T384">
        <f>IF(F384=3,'Vehicle Data'!H$16,IF(F384=2,'Vehicle Data'!H$15,IF(F384 = 1,'Vehicle Data'!G$14)))</f>
        <v>466.23005239380637</v>
      </c>
      <c r="U384" s="148">
        <f t="shared" si="241"/>
        <v>419.53027358105498</v>
      </c>
      <c r="V384" s="70" t="s">
        <v>77</v>
      </c>
      <c r="W384" s="99" t="s">
        <v>84</v>
      </c>
      <c r="X384">
        <f>IF(V384="S",'Vehicle Data'!C$14,IF(Data!V384 = "T1",'Vehicle Data'!P$2,IF(Data!V384="T2",'Vehicle Data'!P$3)))</f>
        <v>13.411199999999999</v>
      </c>
      <c r="Z384">
        <v>8.6</v>
      </c>
      <c r="AB384" t="b">
        <f>IF(AA384=1,'Vehicle Data'!I$14,IF(AA384=2,'Vehicle Data'!I$15,IF(AA384=3,'Vehicle Data'!I$16)))</f>
        <v>0</v>
      </c>
      <c r="AC384">
        <f>IF(Z384&lt;'Vehicle Data'!C$16,'Vehicle Data'!I$15,IF(Z384&lt;'Vehicle Data'!C$15,'Vehicle Data'!I$15,IF(Z383&gt;'Vehicle Data'!C$15,'Vehicle Data'!I$16)))</f>
        <v>0.98256251041858167</v>
      </c>
      <c r="AD384">
        <f>IF(O384=0.6,'Vehicle Data'!F$21,IF(O384=0.9,'Vehicle Data'!F$20))</f>
        <v>5.2973999999999997</v>
      </c>
      <c r="AE384" s="100">
        <f t="shared" si="242"/>
        <v>0.98256251041858167</v>
      </c>
      <c r="AF384" s="158">
        <f t="shared" si="263"/>
        <v>0.20402897813065191</v>
      </c>
      <c r="AG384" s="148">
        <f t="shared" si="246"/>
        <v>-0.98025291226979117</v>
      </c>
      <c r="AH384" s="148">
        <f t="shared" si="264"/>
        <v>123.61981100376462</v>
      </c>
      <c r="AJ384">
        <f>(Z384^2)*'Vehicle Data'!C$31</f>
        <v>27.180300000000006</v>
      </c>
      <c r="AK384">
        <f>IF(O384=0.6,'Vehicle Data'!C$6*'Vehicle Data'!D$21*9.81,IF(O384=0.9,'Vehicle Data'!C$6*9.81*'Vehicle Data'!D$20))</f>
        <v>55.985669999999999</v>
      </c>
      <c r="AL384">
        <f t="shared" si="243"/>
        <v>81.839433364903257</v>
      </c>
      <c r="AN384">
        <f>IF(AG384&lt;0,AG384*'Vehicle Data'!C$6)</f>
        <v>-430.3310284864383</v>
      </c>
      <c r="AO384">
        <f t="shared" si="247"/>
        <v>-348.49159512153506</v>
      </c>
      <c r="AP384">
        <f>AO384*'Vehicle Data'!F$3</f>
        <v>-89.074451713064363</v>
      </c>
      <c r="AQ384">
        <f>IF(AE384='Vehicle Data'!I$15,AP384/'Vehicle Data'!G$15,IF(AE384='Vehicle Data'!I$16,AP384/'Vehicle Data'!G$16,IF(AE384='Vehicle Data'!I$14,Data!AP384/'Vehicle Data'!G395)))</f>
        <v>-11.035438516168178</v>
      </c>
      <c r="AR384">
        <f>IF(Z384&lt;'Vehicle Data'!C$16, Z384*'Vehicle Data'!F$7*'Vehicle Data'!G$14,IF(Z384&lt;'Vehicle Data'!C$15,Z384*'Vehicle Data'!F$7*'Vehicle Data'!G$15,IF(Z384&gt;'Vehicle Data'!C$15,Z384*'Vehicle Data'!F$7*'Vehicle Data'!G$16)))</f>
        <v>111.48148148148148</v>
      </c>
      <c r="AS384">
        <f t="shared" si="265"/>
        <v>6688.8888888888887</v>
      </c>
      <c r="AT384">
        <v>4</v>
      </c>
      <c r="AU384">
        <f t="shared" si="267"/>
        <v>6500</v>
      </c>
      <c r="AW384">
        <f>VLOOKUP(AT384,BSFC!A$64:A$82,1,FALSE)</f>
        <v>4</v>
      </c>
      <c r="AX384" t="e" cm="1">
        <f t="array" ref="AX384">_xlfn.XLOOKUP(AT384,BSFC!A$64:A$82,,-1,_xlfn.XLOOKUP(Data!AU384,BSFC!C$63:Q$63,BSFC!B$64:Q$82,,-1))</f>
        <v>#VALUE!</v>
      </c>
      <c r="AY384">
        <f>HLOOKUP(AU384,BSFC!F$63:Q$63,1)</f>
        <v>6500</v>
      </c>
      <c r="AZ384">
        <f>IF(AT384&gt;0,MATCH(AT384,BSFC!A$64:A$83,0),IF(AT384&lt;=0,0))</f>
        <v>19</v>
      </c>
      <c r="BA384">
        <f>MATCH(AU384,BSFC!C$63:Q$63,0)</f>
        <v>13</v>
      </c>
      <c r="BB384" cm="1">
        <f t="array" ref="BB384">IF(AZ384&gt;0,INDEX(BSFC!C$64:Q$83,Data!AZ384,Data!BA384))</f>
        <v>650</v>
      </c>
      <c r="BC384">
        <f>0.5*'Vehicle Data'!C$6*Data!Z384^2</f>
        <v>16234.22</v>
      </c>
      <c r="BD384">
        <f t="shared" si="248"/>
        <v>13.465906457145509</v>
      </c>
      <c r="BE384">
        <f t="shared" si="268"/>
        <v>8752.8391971445817</v>
      </c>
      <c r="BF384">
        <f t="shared" si="269"/>
        <v>0.4960646769820346</v>
      </c>
      <c r="BG384">
        <f t="shared" si="249"/>
        <v>148.86483170947744</v>
      </c>
      <c r="BH384">
        <f t="shared" si="271"/>
        <v>-7698.6673002517537</v>
      </c>
      <c r="BI384" s="148">
        <f t="shared" si="250"/>
        <v>6871.6622130335309</v>
      </c>
      <c r="BO384">
        <f t="shared" si="251"/>
        <v>-1231.7867680402805</v>
      </c>
      <c r="BP384">
        <f t="shared" si="252"/>
        <v>648582.26738318929</v>
      </c>
      <c r="BQ384">
        <f t="shared" si="253"/>
        <v>889674.08825407736</v>
      </c>
      <c r="BR384" s="148">
        <f t="shared" si="254"/>
        <v>850573.05001100141</v>
      </c>
      <c r="BS384" s="156" t="b">
        <f t="shared" si="255"/>
        <v>0</v>
      </c>
      <c r="BT384" s="156">
        <f t="shared" si="256"/>
        <v>0</v>
      </c>
      <c r="BU384">
        <f t="shared" si="257"/>
        <v>1099.465954085365</v>
      </c>
      <c r="BV384">
        <f t="shared" si="258"/>
        <v>1099.465954085365</v>
      </c>
      <c r="BW384" s="148">
        <f t="shared" si="259"/>
        <v>455.4</v>
      </c>
      <c r="BX384" s="148">
        <f t="shared" si="260"/>
        <v>3129354.9718154697</v>
      </c>
      <c r="BY384" s="148">
        <f t="shared" si="261"/>
        <v>0.13908244319179866</v>
      </c>
      <c r="BZ384">
        <f t="shared" si="244"/>
        <v>123.61981100376462</v>
      </c>
      <c r="CB384">
        <f t="shared" si="262"/>
        <v>1099.465954085365</v>
      </c>
      <c r="CC384" s="162">
        <f t="shared" si="245"/>
        <v>5388.7735171683062</v>
      </c>
      <c r="CD384">
        <f t="shared" si="270"/>
        <v>-39832.978722102547</v>
      </c>
    </row>
    <row r="385" spans="4:82" x14ac:dyDescent="0.2">
      <c r="D385" s="22">
        <f t="shared" si="235"/>
        <v>4.2415328728376389E-2</v>
      </c>
      <c r="E385" s="23">
        <v>8.4017032</v>
      </c>
      <c r="F385" s="23">
        <f>IF(K385&lt;6,1,IF(Data!K385&lt;9,2,IF(K385&gt;9,3)))</f>
        <v>3</v>
      </c>
      <c r="G385" s="23">
        <v>1022.3895581216832</v>
      </c>
      <c r="H385" s="23">
        <v>219.01666499999999</v>
      </c>
      <c r="I385" s="64">
        <v>46.997572117272377</v>
      </c>
      <c r="J385" s="65">
        <f t="shared" si="236"/>
        <v>1.3397314169050185</v>
      </c>
      <c r="K385" s="65">
        <f t="shared" si="237"/>
        <v>18.79902884690895</v>
      </c>
      <c r="L385" s="65">
        <f t="shared" si="238"/>
        <v>0.53589256676199315</v>
      </c>
      <c r="M385">
        <f t="shared" si="239"/>
        <v>16.8034064</v>
      </c>
      <c r="N385">
        <f t="shared" si="240"/>
        <v>9.9998399999998711E-2</v>
      </c>
      <c r="O385">
        <f>IF(L385&lt;'Vehicle Data'!F$21,'Vehicle Data'!C$21,IF(L385&gt;'Vehicle Data'!C$21,'Vehicle Data'!C$20))</f>
        <v>0.6</v>
      </c>
      <c r="P385">
        <f>('Vehicle Data'!C$6*9.81*'Vehicle Data'!C$5*SIN(D385))/'Vehicle Data'!C$9</f>
        <v>28.238762545357893</v>
      </c>
      <c r="Q385" s="107">
        <f>'Vehicle Data'!C$6*9.81*SIN(D385)</f>
        <v>182.61066445998102</v>
      </c>
      <c r="R385" s="101">
        <f t="shared" ref="R385:R431" si="278">G384</f>
        <v>48.434296251532302</v>
      </c>
      <c r="S385" s="101">
        <f>IF(Data!O385=0.6,'Vehicle Data'!E$21,IF(Data!O385 = 0.9,'Vehicle Data'!E$20))+(P385*O385)</f>
        <v>1567.3156575272144</v>
      </c>
      <c r="T385" s="101">
        <f>IF(F385=3,'Vehicle Data'!H$16,IF(F385=2,'Vehicle Data'!H$15,IF(F385 = 1,'Vehicle Data'!G$14)))</f>
        <v>466.23005239380637</v>
      </c>
      <c r="U385" s="148">
        <f t="shared" si="241"/>
        <v>-667.70418587178381</v>
      </c>
      <c r="V385" s="102" t="s">
        <v>77</v>
      </c>
      <c r="W385" s="103" t="s">
        <v>84</v>
      </c>
      <c r="X385" s="101">
        <f>IF(V385="S",'Vehicle Data'!C$14,IF(Data!V385 = "T1",'Vehicle Data'!P$2,IF(Data!V385="T2",'Vehicle Data'!P$3)))</f>
        <v>13.411199999999999</v>
      </c>
      <c r="Y385" s="101"/>
      <c r="Z385" s="104">
        <v>8.3000000000000007</v>
      </c>
      <c r="AA385" s="101"/>
      <c r="AB385" s="101" t="b">
        <f>IF(AA385=1,'Vehicle Data'!I$14,IF(AA385=2,'Vehicle Data'!I$15,IF(AA385=3,'Vehicle Data'!I$16)))</f>
        <v>0</v>
      </c>
      <c r="AC385" s="101">
        <f>IF(Z385&lt;'Vehicle Data'!C$16,'Vehicle Data'!I$15,IF(Z385&lt;'Vehicle Data'!C$15,'Vehicle Data'!I$15,IF(Z384&gt;'Vehicle Data'!C$15,'Vehicle Data'!I$16)))</f>
        <v>0.98256251041858167</v>
      </c>
      <c r="AD385">
        <f>IF(O385=0.6,'Vehicle Data'!F$21,IF(O385=0.9,'Vehicle Data'!F$20))</f>
        <v>3.5315999999999996</v>
      </c>
      <c r="AE385" s="101">
        <f>(Data!H$15-Data!Q385)/'Vehicle Data'!C$6</f>
        <v>6.5845103735806293E-2</v>
      </c>
      <c r="AF385" s="158">
        <v>0.16</v>
      </c>
      <c r="AG385" s="148">
        <f t="shared" si="246"/>
        <v>-1.8749999999999933</v>
      </c>
      <c r="AH385" s="148">
        <f t="shared" si="264"/>
        <v>123.77981100376462</v>
      </c>
      <c r="AI385" s="101"/>
      <c r="AJ385" s="101">
        <f>(Z385^2)*'Vehicle Data'!C$31</f>
        <v>25.317075000000013</v>
      </c>
      <c r="AK385" s="101">
        <f>IF(O385=0.6,'Vehicle Data'!C$6*'Vehicle Data'!D$21*9.81,IF(O385=0.9,'Vehicle Data'!C$6*9.81*'Vehicle Data'!D$20))</f>
        <v>86.131799999999998</v>
      </c>
      <c r="AL385" s="101">
        <f t="shared" si="243"/>
        <v>294.05953945998101</v>
      </c>
      <c r="AM385" s="101"/>
      <c r="AN385">
        <f>IF(AG385&lt;0,AG385*'Vehicle Data'!C$6)</f>
        <v>-823.12499999999704</v>
      </c>
      <c r="AO385" s="101">
        <f t="shared" si="247"/>
        <v>-529.06546054001603</v>
      </c>
      <c r="AP385" s="101">
        <f>AO385*'Vehicle Data'!F$3</f>
        <v>-135.22913171402809</v>
      </c>
      <c r="AQ385">
        <v>20</v>
      </c>
      <c r="AR385">
        <f>IF(Z385&lt;'Vehicle Data'!C$16, Z385*'Vehicle Data'!F$7*'Vehicle Data'!G$14,IF(Z385&lt;'Vehicle Data'!C$15,Z385*'Vehicle Data'!F$7*'Vehicle Data'!G$15,IF(Z385&gt;'Vehicle Data'!C$15,Z385*'Vehicle Data'!F$7*'Vehicle Data'!G$16)))</f>
        <v>107.59259259259261</v>
      </c>
      <c r="AS385">
        <f t="shared" si="265"/>
        <v>6455.5555555555566</v>
      </c>
      <c r="AT385">
        <f t="shared" si="266"/>
        <v>20</v>
      </c>
      <c r="AU385">
        <f t="shared" si="267"/>
        <v>6500</v>
      </c>
      <c r="AW385">
        <f>VLOOKUP(AT385,BSFC!A$64:A$82,1,FALSE)</f>
        <v>20</v>
      </c>
      <c r="AX385" t="e" cm="1">
        <f t="array" ref="AX385">_xlfn.XLOOKUP(AT385,BSFC!A$64:A$82,,-1,_xlfn.XLOOKUP(Data!AU385,BSFC!C$63:Q$63,BSFC!B$64:Q$82,,-1))</f>
        <v>#VALUE!</v>
      </c>
      <c r="AY385">
        <f>HLOOKUP(AU385,BSFC!F$63:Q$63,1)</f>
        <v>6500</v>
      </c>
      <c r="AZ385">
        <f>IF(AT385&gt;0,MATCH(AT385,BSFC!A$64:A$83,0),IF(AT385&lt;=0,0))</f>
        <v>3</v>
      </c>
      <c r="BA385">
        <f>MATCH(AU385,BSFC!C$63:Q$63,0)</f>
        <v>13</v>
      </c>
      <c r="BB385" cm="1">
        <f t="array" ref="BB385">IF(AZ385&gt;0,INDEX(BSFC!C$64:Q$83,Data!AZ385,Data!BA385))</f>
        <v>494.7</v>
      </c>
      <c r="BC385">
        <f>0.5*'Vehicle Data'!C$6*Data!Z385^2</f>
        <v>15121.355000000003</v>
      </c>
      <c r="BD385">
        <f t="shared" si="248"/>
        <v>13.465906457145509</v>
      </c>
      <c r="BE385">
        <f t="shared" si="268"/>
        <v>6661.5839243498831</v>
      </c>
      <c r="BF385">
        <f t="shared" si="269"/>
        <v>0.29607039663777257</v>
      </c>
      <c r="BG385">
        <f t="shared" si="249"/>
        <v>149.1609021061152</v>
      </c>
      <c r="BH385">
        <f t="shared" si="271"/>
        <v>13465.906457145509</v>
      </c>
      <c r="BI385" s="148">
        <f t="shared" si="250"/>
        <v>6871.6622130335309</v>
      </c>
      <c r="BO385">
        <f t="shared" si="251"/>
        <v>3231.8175497149223</v>
      </c>
      <c r="BP385">
        <f t="shared" si="252"/>
        <v>651814.08493290422</v>
      </c>
      <c r="BQ385">
        <f t="shared" si="253"/>
        <v>892905.9058037923</v>
      </c>
      <c r="BR385" s="148">
        <f t="shared" si="254"/>
        <v>852222.24894212943</v>
      </c>
      <c r="BS385" s="156">
        <f t="shared" si="255"/>
        <v>3231.8175497149223</v>
      </c>
      <c r="BT385" s="156">
        <f t="shared" si="256"/>
        <v>13465.906457145509</v>
      </c>
      <c r="BU385">
        <f t="shared" si="257"/>
        <v>1649.1989311280474</v>
      </c>
      <c r="BV385">
        <f t="shared" si="258"/>
        <v>1649.1989311280474</v>
      </c>
      <c r="BW385" s="148">
        <f t="shared" si="259"/>
        <v>455.4</v>
      </c>
      <c r="BX385" s="148">
        <f t="shared" si="260"/>
        <v>3129354.9718154697</v>
      </c>
      <c r="BY385" s="148">
        <f t="shared" si="261"/>
        <v>0.20862366478769798</v>
      </c>
      <c r="BZ385">
        <f t="shared" si="244"/>
        <v>123.77981100376462</v>
      </c>
      <c r="CB385">
        <f t="shared" si="262"/>
        <v>-1582.6186185868748</v>
      </c>
      <c r="CC385" s="162">
        <f t="shared" si="245"/>
        <v>-9891.3663661681785</v>
      </c>
      <c r="CD385">
        <f t="shared" si="270"/>
        <v>-41415.597340689419</v>
      </c>
    </row>
    <row r="386" spans="4:82" x14ac:dyDescent="0.2">
      <c r="D386" s="22">
        <f t="shared" si="235"/>
        <v>4.9062920242046774E-2</v>
      </c>
      <c r="E386" s="23">
        <v>8.5017015999999987</v>
      </c>
      <c r="F386" s="23">
        <f>IF(K386&lt;6,1,IF(Data!K386&lt;9,2,IF(K386&gt;9,3)))</f>
        <v>3</v>
      </c>
      <c r="G386" s="23">
        <v>1024.7478656757876</v>
      </c>
      <c r="H386" s="23">
        <v>219.066665</v>
      </c>
      <c r="I386" s="64">
        <v>47.064558688117643</v>
      </c>
      <c r="J386" s="65">
        <f t="shared" si="236"/>
        <v>1.4354312780726908</v>
      </c>
      <c r="K386" s="65">
        <f t="shared" si="237"/>
        <v>18.825823475247056</v>
      </c>
      <c r="L386" s="65">
        <f t="shared" si="238"/>
        <v>0.57417251122911894</v>
      </c>
      <c r="M386">
        <f t="shared" si="239"/>
        <v>17.003403199999997</v>
      </c>
      <c r="N386">
        <f t="shared" si="240"/>
        <v>0.11580771547588853</v>
      </c>
      <c r="O386">
        <f>IF(L386&lt;'Vehicle Data'!F$21,'Vehicle Data'!C$21,IF(L386&gt;'Vehicle Data'!C$21,'Vehicle Data'!C$20))</f>
        <v>0.6</v>
      </c>
      <c r="P386">
        <f>('Vehicle Data'!C$6*9.81*'Vehicle Data'!C$5*SIN(D386))/'Vehicle Data'!C$9</f>
        <v>32.661204407245584</v>
      </c>
      <c r="Q386" s="107">
        <f>'Vehicle Data'!C$6*9.81*SIN(D386)</f>
        <v>211.20912183352144</v>
      </c>
      <c r="R386" s="101">
        <f t="shared" si="278"/>
        <v>1022.3895581216832</v>
      </c>
      <c r="S386" s="101">
        <f>IF(Data!O386=0.6,'Vehicle Data'!E$21,IF(Data!O386 = 0.9,'Vehicle Data'!E$20))+(P386*O386)</f>
        <v>1569.9691226443472</v>
      </c>
      <c r="T386" s="101">
        <f>IF(F386=3,'Vehicle Data'!H$16,IF(F386=2,'Vehicle Data'!H$15,IF(F386 = 1,'Vehicle Data'!G$14)))</f>
        <v>466.23005239380637</v>
      </c>
      <c r="U386" s="148">
        <f t="shared" si="241"/>
        <v>306.25107599836713</v>
      </c>
      <c r="V386" s="102" t="s">
        <v>77</v>
      </c>
      <c r="W386" s="103" t="s">
        <v>84</v>
      </c>
      <c r="X386" s="101">
        <f>IF(V386="S",'Vehicle Data'!C$14,IF(Data!V386 = "T1",'Vehicle Data'!P$2,IF(Data!V386="T2",'Vehicle Data'!P$3)))</f>
        <v>13.411199999999999</v>
      </c>
      <c r="Y386" s="101"/>
      <c r="Z386" s="105">
        <v>8.3000000000000007</v>
      </c>
      <c r="AA386" s="101"/>
      <c r="AB386" s="101" t="b">
        <f>IF(AA386=1,'Vehicle Data'!I$14,IF(AA386=2,'Vehicle Data'!I$15,IF(AA386=3,'Vehicle Data'!I$16)))</f>
        <v>0</v>
      </c>
      <c r="AC386" s="101">
        <f>IF(Z386&lt;'Vehicle Data'!C$16,'Vehicle Data'!I$15,IF(Z386&lt;'Vehicle Data'!C$15,'Vehicle Data'!I$15,IF(Z385&gt;'Vehicle Data'!C$15,'Vehicle Data'!I$16)))</f>
        <v>0.98256251041858167</v>
      </c>
      <c r="AD386">
        <f>IF(O386=0.6,'Vehicle Data'!F$21,IF(O386=0.9,'Vehicle Data'!F$20))</f>
        <v>3.5315999999999996</v>
      </c>
      <c r="AE386" s="101">
        <f>(Data!H$15-Data!Q386)/'Vehicle Data'!C$6</f>
        <v>7.0055390997392393E-4</v>
      </c>
      <c r="AF386" s="158">
        <v>0.24</v>
      </c>
      <c r="AG386" s="148">
        <f t="shared" si="246"/>
        <v>0</v>
      </c>
      <c r="AH386" s="148">
        <f t="shared" si="264"/>
        <v>124.01981100376462</v>
      </c>
      <c r="AI386" s="101"/>
      <c r="AJ386" s="101">
        <f>(Z386^2)*'Vehicle Data'!C$31</f>
        <v>25.317075000000013</v>
      </c>
      <c r="AK386" s="101">
        <f>IF(O386=0.6,'Vehicle Data'!C$6*'Vehicle Data'!D$21*9.81,IF(O386=0.9,'Vehicle Data'!C$6*9.81*'Vehicle Data'!D$20))</f>
        <v>86.131799999999998</v>
      </c>
      <c r="AL386" s="101">
        <f t="shared" si="243"/>
        <v>322.65799683352145</v>
      </c>
      <c r="AM386" s="101"/>
      <c r="AN386" t="b">
        <f>IF(AG386&gt;0,AG386*'Vehicle Data'!C$6)</f>
        <v>0</v>
      </c>
      <c r="AO386" s="101">
        <f t="shared" si="247"/>
        <v>322.65799683352145</v>
      </c>
      <c r="AP386" s="101">
        <f>AO386*'Vehicle Data'!F$3</f>
        <v>82.471383990648079</v>
      </c>
      <c r="AQ386">
        <v>20</v>
      </c>
      <c r="AR386">
        <f>IF(Z386&lt;'Vehicle Data'!C$16, Z386*'Vehicle Data'!F$7*'Vehicle Data'!G$14,IF(Z386&lt;'Vehicle Data'!C$15,Z386*'Vehicle Data'!F$7*'Vehicle Data'!G$15,IF(Z386&gt;'Vehicle Data'!C$15,Z386*'Vehicle Data'!F$7*'Vehicle Data'!G$16)))</f>
        <v>107.59259259259261</v>
      </c>
      <c r="AS386">
        <f t="shared" si="265"/>
        <v>6455.5555555555566</v>
      </c>
      <c r="AT386">
        <f t="shared" si="266"/>
        <v>20</v>
      </c>
      <c r="AU386">
        <f t="shared" si="267"/>
        <v>6500</v>
      </c>
      <c r="AW386">
        <f>VLOOKUP(AT386,BSFC!A$64:A$82,1,FALSE)</f>
        <v>20</v>
      </c>
      <c r="AX386" t="e" cm="1">
        <f t="array" ref="AX386">_xlfn.XLOOKUP(AT386,BSFC!A$64:A$82,,-1,_xlfn.XLOOKUP(Data!AU386,BSFC!C$63:Q$63,BSFC!B$64:Q$82,,-1))</f>
        <v>#VALUE!</v>
      </c>
      <c r="AY386">
        <f>HLOOKUP(AU386,BSFC!F$63:Q$63,1)</f>
        <v>6500</v>
      </c>
      <c r="AZ386">
        <f>IF(AT386&gt;0,MATCH(AT386,BSFC!A$64:A$83,0),IF(AT386&lt;=0,0))</f>
        <v>3</v>
      </c>
      <c r="BA386">
        <f>MATCH(AU386,BSFC!C$63:Q$63,0)</f>
        <v>13</v>
      </c>
      <c r="BB386" cm="1">
        <f t="array" ref="BB386">IF(AZ386&gt;0,INDEX(BSFC!C$64:Q$83,Data!AZ386,Data!BA386))</f>
        <v>494.7</v>
      </c>
      <c r="BC386">
        <f>0.5*'Vehicle Data'!C$6*Data!Z386^2</f>
        <v>15121.355000000003</v>
      </c>
      <c r="BD386">
        <f t="shared" si="248"/>
        <v>13.465906457145509</v>
      </c>
      <c r="BE386">
        <f t="shared" si="268"/>
        <v>6661.5839243498831</v>
      </c>
      <c r="BF386">
        <f t="shared" si="269"/>
        <v>0.44410559495665886</v>
      </c>
      <c r="BG386">
        <f t="shared" si="249"/>
        <v>149.60500770107186</v>
      </c>
      <c r="BH386">
        <f t="shared" si="271"/>
        <v>13465.906457145509</v>
      </c>
      <c r="BI386" s="148">
        <f t="shared" si="250"/>
        <v>6871.6622130335309</v>
      </c>
      <c r="BO386">
        <f t="shared" si="251"/>
        <v>3826.1143278011168</v>
      </c>
      <c r="BP386">
        <f t="shared" si="252"/>
        <v>655640.19926070538</v>
      </c>
      <c r="BQ386">
        <f t="shared" si="253"/>
        <v>896732.02013159345</v>
      </c>
      <c r="BR386" s="148">
        <f t="shared" si="254"/>
        <v>854174.7179669789</v>
      </c>
      <c r="BS386" s="156">
        <f t="shared" si="255"/>
        <v>3826.1143278011168</v>
      </c>
      <c r="BT386" s="156">
        <f t="shared" si="256"/>
        <v>13465.906457145509</v>
      </c>
      <c r="BU386">
        <f t="shared" si="257"/>
        <v>1952.4690248494737</v>
      </c>
      <c r="BV386">
        <f t="shared" si="258"/>
        <v>1952.4690248494737</v>
      </c>
      <c r="BW386" s="148">
        <f t="shared" si="259"/>
        <v>455.4</v>
      </c>
      <c r="BX386" s="148">
        <f t="shared" si="260"/>
        <v>3129354.9718154697</v>
      </c>
      <c r="BY386" s="148">
        <f t="shared" si="261"/>
        <v>0.2469873316434584</v>
      </c>
      <c r="BZ386">
        <f t="shared" si="244"/>
        <v>124.01981100376462</v>
      </c>
      <c r="CB386">
        <f t="shared" si="262"/>
        <v>-1873.6453029516431</v>
      </c>
      <c r="CC386" s="162">
        <f t="shared" si="245"/>
        <v>-7806.8554289653457</v>
      </c>
      <c r="CD386">
        <f t="shared" si="270"/>
        <v>-43289.242643641061</v>
      </c>
    </row>
    <row r="387" spans="4:82" x14ac:dyDescent="0.2">
      <c r="D387" s="22">
        <f t="shared" ref="D387:D431" si="279">ASIN((N387)/(G388-G387))</f>
        <v>0.12049093976819797</v>
      </c>
      <c r="E387" s="23">
        <v>8.6175093154758873</v>
      </c>
      <c r="F387" s="23">
        <f>IF(K387&lt;6,1,IF(Data!K387&lt;9,2,IF(K387&gt;9,3)))</f>
        <v>3</v>
      </c>
      <c r="G387" s="23">
        <v>1027.109204736628</v>
      </c>
      <c r="H387" s="23">
        <v>219.11666499999998</v>
      </c>
      <c r="I387" s="64">
        <v>47.136330252021253</v>
      </c>
      <c r="J387" s="65">
        <f t="shared" ref="J387:J431" si="280">(I388-I387)/(H388-H387)</f>
        <v>1.6751852609225637</v>
      </c>
      <c r="K387" s="65">
        <f t="shared" ref="K387:K431" si="281">I387/2.5</f>
        <v>18.854532100808502</v>
      </c>
      <c r="L387" s="65">
        <f t="shared" ref="L387:L431" si="282">(K388-K387)/(H388-H387)</f>
        <v>0.67007410436899706</v>
      </c>
      <c r="M387">
        <f t="shared" ref="M387:M431" si="283">2*E387</f>
        <v>17.235018630951775</v>
      </c>
      <c r="N387">
        <f t="shared" ref="N387:N427" si="284">E388-E387</f>
        <v>0.28419388452411276</v>
      </c>
      <c r="O387">
        <f>IF(L387&lt;'Vehicle Data'!F$21,'Vehicle Data'!C$21,IF(L387&gt;'Vehicle Data'!C$21,'Vehicle Data'!C$20))</f>
        <v>0.6</v>
      </c>
      <c r="P387">
        <f>('Vehicle Data'!C$6*9.81*'Vehicle Data'!C$5*SIN(D387))/'Vehicle Data'!C$9</f>
        <v>80.049031598978715</v>
      </c>
      <c r="Q387" s="107">
        <f>'Vehicle Data'!C$6*9.81*SIN(D387)</f>
        <v>517.65040434006244</v>
      </c>
      <c r="R387" s="101">
        <f t="shared" si="278"/>
        <v>1024.7478656757876</v>
      </c>
      <c r="S387" s="101">
        <f>IF(Data!O387=0.6,'Vehicle Data'!E$21,IF(Data!O387 = 0.9,'Vehicle Data'!E$20))+(P387*O387)</f>
        <v>1598.4018189593869</v>
      </c>
      <c r="T387" s="101">
        <f>IF(F387=3,'Vehicle Data'!H$16,IF(F387=2,'Vehicle Data'!H$15,IF(F387 = 1,'Vehicle Data'!G$14)))</f>
        <v>466.23005239380637</v>
      </c>
      <c r="U387" s="148">
        <f t="shared" ref="U387:U431" si="285">R387-R$2</f>
        <v>308.60938355247151</v>
      </c>
      <c r="V387" s="102" t="s">
        <v>77</v>
      </c>
      <c r="W387" s="103" t="s">
        <v>84</v>
      </c>
      <c r="X387" s="101">
        <f>IF(V387="S",'Vehicle Data'!C$14,IF(Data!V387 = "T1",'Vehicle Data'!P$2,IF(Data!V387="T2",'Vehicle Data'!P$3)))</f>
        <v>13.411199999999999</v>
      </c>
      <c r="Y387" s="101"/>
      <c r="Z387" s="105">
        <v>8.3000000000000007</v>
      </c>
      <c r="AA387" s="101"/>
      <c r="AB387" s="101" t="b">
        <f>IF(AA387=1,'Vehicle Data'!I$14,IF(AA387=2,'Vehicle Data'!I$15,IF(AA387=3,'Vehicle Data'!I$16)))</f>
        <v>0</v>
      </c>
      <c r="AC387" s="101">
        <f>IF(Z387&lt;'Vehicle Data'!C$16,'Vehicle Data'!I$15,IF(Z387&lt;'Vehicle Data'!C$15,'Vehicle Data'!I$15,IF(Z386&gt;'Vehicle Data'!C$15,'Vehicle Data'!I$16)))</f>
        <v>0.98256251041858167</v>
      </c>
      <c r="AD387">
        <f>IF(O387=0.6,'Vehicle Data'!F$21,IF(O387=0.9,'Vehicle Data'!F$20))</f>
        <v>3.5315999999999996</v>
      </c>
      <c r="AE387" s="101">
        <f>(Data!H$15-Data!Q387)/'Vehicle Data'!C$6</f>
        <v>-0.6973433697951309</v>
      </c>
      <c r="AF387" s="158">
        <f t="shared" si="263"/>
        <v>0.28413344025354037</v>
      </c>
      <c r="AG387" s="148">
        <f t="shared" si="246"/>
        <v>0</v>
      </c>
      <c r="AH387" s="148">
        <f t="shared" si="264"/>
        <v>124.30394444401816</v>
      </c>
      <c r="AI387" s="101"/>
      <c r="AJ387" s="101">
        <f>(Z387^2)*'Vehicle Data'!C$31</f>
        <v>25.317075000000013</v>
      </c>
      <c r="AK387" s="101">
        <f>IF(O387=0.6,'Vehicle Data'!C$6*'Vehicle Data'!D$21*9.81,IF(O387=0.9,'Vehicle Data'!C$6*9.81*'Vehicle Data'!D$20))</f>
        <v>86.131799999999998</v>
      </c>
      <c r="AL387" s="101">
        <f t="shared" ref="AL387:AL431" si="286">AJ387+AK387+Q387</f>
        <v>629.09927934006248</v>
      </c>
      <c r="AM387" s="101"/>
      <c r="AN387" t="b">
        <f>IF(AG387&gt;0,AG387*'Vehicle Data'!C$6)</f>
        <v>0</v>
      </c>
      <c r="AO387" s="101">
        <f t="shared" si="247"/>
        <v>629.09927934006248</v>
      </c>
      <c r="AP387" s="101">
        <f>AO387*'Vehicle Data'!F$3</f>
        <v>160.79777579931996</v>
      </c>
      <c r="AQ387">
        <v>20</v>
      </c>
      <c r="AR387">
        <f>IF(Z387&lt;'Vehicle Data'!C$16, Z387*'Vehicle Data'!F$7*'Vehicle Data'!G$14,IF(Z387&lt;'Vehicle Data'!C$15,Z387*'Vehicle Data'!F$7*'Vehicle Data'!G$15,IF(Z387&gt;'Vehicle Data'!C$15,Z387*'Vehicle Data'!F$7*'Vehicle Data'!G$16)))</f>
        <v>107.59259259259261</v>
      </c>
      <c r="AS387">
        <f t="shared" si="265"/>
        <v>6455.5555555555566</v>
      </c>
      <c r="AT387">
        <f t="shared" si="266"/>
        <v>20</v>
      </c>
      <c r="AU387">
        <f t="shared" si="267"/>
        <v>6500</v>
      </c>
      <c r="AW387">
        <f>VLOOKUP(AT387,BSFC!A$64:A$82,1,FALSE)</f>
        <v>20</v>
      </c>
      <c r="AX387" t="e" cm="1">
        <f t="array" ref="AX387">_xlfn.XLOOKUP(AT387,BSFC!A$64:A$82,,-1,_xlfn.XLOOKUP(Data!AU387,BSFC!C$63:Q$63,BSFC!B$64:Q$82,,-1))</f>
        <v>#VALUE!</v>
      </c>
      <c r="AY387">
        <f>HLOOKUP(AU387,BSFC!F$63:Q$63,1)</f>
        <v>6500</v>
      </c>
      <c r="AZ387">
        <f>IF(AT387&gt;0,MATCH(AT387,BSFC!A$64:A$83,0),IF(AT387&lt;=0,0))</f>
        <v>3</v>
      </c>
      <c r="BA387">
        <f>MATCH(AU387,BSFC!C$63:Q$63,0)</f>
        <v>13</v>
      </c>
      <c r="BB387" cm="1">
        <f t="array" ref="BB387">IF(AZ387&gt;0,INDEX(BSFC!C$64:Q$83,Data!AZ387,Data!BA387))</f>
        <v>494.7</v>
      </c>
      <c r="BC387">
        <f>0.5*'Vehicle Data'!C$6*Data!Z387^2</f>
        <v>15121.355000000003</v>
      </c>
      <c r="BD387">
        <f t="shared" si="248"/>
        <v>13.465906457145509</v>
      </c>
      <c r="BE387">
        <f t="shared" si="268"/>
        <v>6661.5839243498831</v>
      </c>
      <c r="BF387">
        <f t="shared" si="269"/>
        <v>0.52577187721200347</v>
      </c>
      <c r="BG387">
        <f t="shared" si="249"/>
        <v>150.13077957828386</v>
      </c>
      <c r="BH387">
        <f t="shared" si="271"/>
        <v>13465.906457145509</v>
      </c>
      <c r="BI387" s="148">
        <f t="shared" si="250"/>
        <v>6871.6622130335309</v>
      </c>
      <c r="BO387">
        <f t="shared" si="251"/>
        <v>3831.0326393833157</v>
      </c>
      <c r="BP387">
        <f t="shared" si="252"/>
        <v>659471.23190008872</v>
      </c>
      <c r="BQ387">
        <f t="shared" si="253"/>
        <v>900563.05277097679</v>
      </c>
      <c r="BR387" s="148">
        <f t="shared" si="254"/>
        <v>856129.69680993527</v>
      </c>
      <c r="BS387" s="156">
        <f t="shared" si="255"/>
        <v>3831.0326393833157</v>
      </c>
      <c r="BT387" s="156">
        <f t="shared" si="256"/>
        <v>13465.906457145509</v>
      </c>
      <c r="BU387">
        <f t="shared" si="257"/>
        <v>1954.9788429563259</v>
      </c>
      <c r="BV387">
        <f t="shared" si="258"/>
        <v>1954.9788429563259</v>
      </c>
      <c r="BW387" s="148">
        <f t="shared" si="259"/>
        <v>455.4</v>
      </c>
      <c r="BX387" s="148">
        <f t="shared" si="260"/>
        <v>3129354.9718154697</v>
      </c>
      <c r="BY387" s="148">
        <f t="shared" si="261"/>
        <v>0.24730482363397518</v>
      </c>
      <c r="BZ387">
        <f t="shared" ref="BZ387:BZ450" si="287">AH387</f>
        <v>124.30394444401816</v>
      </c>
      <c r="CB387">
        <f t="shared" si="262"/>
        <v>-1876.0537964269897</v>
      </c>
      <c r="CC387" s="162">
        <f t="shared" ref="CC387:CC450" si="288">CB387/(BZ387-BZ386)</f>
        <v>-6602.7208721118141</v>
      </c>
      <c r="CD387">
        <f t="shared" si="270"/>
        <v>-45165.29644006805</v>
      </c>
    </row>
    <row r="388" spans="4:82" x14ac:dyDescent="0.2">
      <c r="D388" s="22">
        <f t="shared" si="279"/>
        <v>9.1254125943258782E-2</v>
      </c>
      <c r="E388" s="23">
        <v>8.9017032</v>
      </c>
      <c r="F388" s="23">
        <f>IF(K388&lt;6,1,IF(Data!K388&lt;9,2,IF(K388&gt;9,3)))</f>
        <v>3</v>
      </c>
      <c r="G388" s="23">
        <v>1029.4735543650477</v>
      </c>
      <c r="H388" s="23">
        <v>219.16666499999999</v>
      </c>
      <c r="I388" s="64">
        <v>47.2200895150674</v>
      </c>
      <c r="J388" s="65">
        <f t="shared" si="280"/>
        <v>1.7482084246637719</v>
      </c>
      <c r="K388" s="65">
        <f t="shared" si="281"/>
        <v>18.888035806026959</v>
      </c>
      <c r="L388" s="65">
        <f t="shared" si="282"/>
        <v>0.69928336986552297</v>
      </c>
      <c r="M388">
        <f t="shared" si="283"/>
        <v>17.8034064</v>
      </c>
      <c r="N388">
        <f t="shared" si="284"/>
        <v>0.21580611547597783</v>
      </c>
      <c r="O388">
        <f>IF(L388&lt;'Vehicle Data'!F$21,'Vehicle Data'!C$21,IF(L388&gt;'Vehicle Data'!C$21,'Vehicle Data'!C$20))</f>
        <v>0.6</v>
      </c>
      <c r="P388">
        <f>('Vehicle Data'!C$6*9.81*'Vehicle Data'!C$5*SIN(D388))/'Vehicle Data'!C$9</f>
        <v>60.687974584678031</v>
      </c>
      <c r="Q388" s="107">
        <f>'Vehicle Data'!C$6*9.81*SIN(D388)</f>
        <v>392.44890231425126</v>
      </c>
      <c r="R388" s="101">
        <f t="shared" si="278"/>
        <v>1027.109204736628</v>
      </c>
      <c r="S388" s="101">
        <f>IF(Data!O388=0.6,'Vehicle Data'!E$21,IF(Data!O388 = 0.9,'Vehicle Data'!E$20))+(P388*O388)</f>
        <v>1586.7851847508066</v>
      </c>
      <c r="T388" s="101">
        <f>IF(F388=3,'Vehicle Data'!H$16,IF(F388=2,'Vehicle Data'!H$15,IF(F388 = 1,'Vehicle Data'!G$14)))</f>
        <v>466.23005239380637</v>
      </c>
      <c r="U388" s="148">
        <f t="shared" si="285"/>
        <v>310.97072261331198</v>
      </c>
      <c r="V388" s="102" t="s">
        <v>77</v>
      </c>
      <c r="W388" s="103" t="s">
        <v>84</v>
      </c>
      <c r="X388" s="101">
        <f>IF(V388="S",'Vehicle Data'!C$14,IF(Data!V388 = "T1",'Vehicle Data'!P$2,IF(Data!V388="T2",'Vehicle Data'!P$3)))</f>
        <v>13.411199999999999</v>
      </c>
      <c r="Y388" s="101"/>
      <c r="Z388" s="105">
        <v>8.3000000000000007</v>
      </c>
      <c r="AA388" s="101"/>
      <c r="AB388" s="101" t="b">
        <f>IF(AA388=1,'Vehicle Data'!I$14,IF(AA388=2,'Vehicle Data'!I$15,IF(AA388=3,'Vehicle Data'!I$16)))</f>
        <v>0</v>
      </c>
      <c r="AC388" s="101">
        <f>IF(Z388&lt;'Vehicle Data'!C$16,'Vehicle Data'!I$15,IF(Z388&lt;'Vehicle Data'!C$15,'Vehicle Data'!I$15,IF(Z387&gt;'Vehicle Data'!C$15,'Vehicle Data'!I$16)))</f>
        <v>0.98256251041858167</v>
      </c>
      <c r="AD388">
        <f>IF(O388=0.6,'Vehicle Data'!F$21,IF(O388=0.9,'Vehicle Data'!F$20))</f>
        <v>3.5315999999999996</v>
      </c>
      <c r="AE388" s="101">
        <f>(Data!H$15-Data!Q388)/'Vehicle Data'!C$6</f>
        <v>-0.41214632645615323</v>
      </c>
      <c r="AF388" s="158">
        <f t="shared" si="263"/>
        <v>0.28449868202897161</v>
      </c>
      <c r="AG388" s="148">
        <f t="shared" ref="AG388:AG451" si="289">(Z388-Z387)/AF388</f>
        <v>0</v>
      </c>
      <c r="AH388" s="148">
        <f t="shared" si="264"/>
        <v>124.58844312604712</v>
      </c>
      <c r="AI388" s="101"/>
      <c r="AJ388" s="101">
        <f>(Z388^2)*'Vehicle Data'!C$31</f>
        <v>25.317075000000013</v>
      </c>
      <c r="AK388" s="101">
        <f>IF(O388=0.6,'Vehicle Data'!C$6*'Vehicle Data'!D$21*9.81,IF(O388=0.9,'Vehicle Data'!C$6*9.81*'Vehicle Data'!D$20))</f>
        <v>86.131799999999998</v>
      </c>
      <c r="AL388" s="101">
        <f t="shared" si="286"/>
        <v>503.89777731425124</v>
      </c>
      <c r="AM388" s="101"/>
      <c r="AN388" t="b">
        <f>IF(AG388&gt;0,AG388*'Vehicle Data'!C$6)</f>
        <v>0</v>
      </c>
      <c r="AO388" s="101">
        <f t="shared" ref="AO388:AO431" si="290">AN388+AL388</f>
        <v>503.89777731425124</v>
      </c>
      <c r="AP388" s="101">
        <f>AO388*'Vehicle Data'!F$3</f>
        <v>128.79627188152261</v>
      </c>
      <c r="AQ388">
        <v>20</v>
      </c>
      <c r="AR388">
        <f>IF(Z388&lt;'Vehicle Data'!C$16, Z388*'Vehicle Data'!F$7*'Vehicle Data'!G$14,IF(Z388&lt;'Vehicle Data'!C$15,Z388*'Vehicle Data'!F$7*'Vehicle Data'!G$15,IF(Z388&gt;'Vehicle Data'!C$15,Z388*'Vehicle Data'!F$7*'Vehicle Data'!G$16)))</f>
        <v>107.59259259259261</v>
      </c>
      <c r="AS388">
        <f t="shared" si="265"/>
        <v>6455.5555555555566</v>
      </c>
      <c r="AT388">
        <f t="shared" si="266"/>
        <v>20</v>
      </c>
      <c r="AU388">
        <f t="shared" si="267"/>
        <v>6500</v>
      </c>
      <c r="AW388">
        <f>VLOOKUP(AT388,BSFC!A$64:A$82,1,FALSE)</f>
        <v>20</v>
      </c>
      <c r="AX388" t="e" cm="1">
        <f t="array" ref="AX388">_xlfn.XLOOKUP(AT388,BSFC!A$64:A$82,,-1,_xlfn.XLOOKUP(Data!AU388,BSFC!C$63:Q$63,BSFC!B$64:Q$82,,-1))</f>
        <v>#VALUE!</v>
      </c>
      <c r="AY388">
        <f>HLOOKUP(AU388,BSFC!F$63:Q$63,1)</f>
        <v>6500</v>
      </c>
      <c r="AZ388">
        <f>IF(AT388&gt;0,MATCH(AT388,BSFC!A$64:A$83,0),IF(AT388&lt;=0,0))</f>
        <v>3</v>
      </c>
      <c r="BA388">
        <f>MATCH(AU388,BSFC!C$63:Q$63,0)</f>
        <v>13</v>
      </c>
      <c r="BB388" cm="1">
        <f t="array" ref="BB388">IF(AZ388&gt;0,INDEX(BSFC!C$64:Q$83,Data!AZ388,Data!BA388))</f>
        <v>494.7</v>
      </c>
      <c r="BC388">
        <f>0.5*'Vehicle Data'!C$6*Data!Z388^2</f>
        <v>15121.355000000003</v>
      </c>
      <c r="BD388">
        <f t="shared" ref="BD388:BD451" si="291">ABS(AQ389*(AS389/9.588))/1000</f>
        <v>13.465906457145509</v>
      </c>
      <c r="BE388">
        <f t="shared" si="268"/>
        <v>6661.5839243498831</v>
      </c>
      <c r="BF388">
        <f t="shared" si="269"/>
        <v>0.52644773519525723</v>
      </c>
      <c r="BG388">
        <f t="shared" ref="BG388:BG451" si="292">BG387+BF388</f>
        <v>150.65722731347913</v>
      </c>
      <c r="BH388">
        <f t="shared" si="271"/>
        <v>13465.906457145509</v>
      </c>
      <c r="BI388" s="148">
        <f t="shared" ref="BI388:BI451" si="293">BM$9</f>
        <v>6871.6622130335309</v>
      </c>
      <c r="BO388">
        <f t="shared" ref="BO388:BO451" si="294">BH388*AF389</f>
        <v>3835.9169793115061</v>
      </c>
      <c r="BP388">
        <f t="shared" ref="BP388:BP451" si="295">BP387+BO388</f>
        <v>663307.14887940022</v>
      </c>
      <c r="BQ388">
        <f t="shared" ref="BQ388:BQ451" si="296">IF(BO388&gt;0,BQ387+BO388,IF(BO388&lt;=0,BQ387))</f>
        <v>904398.96975028829</v>
      </c>
      <c r="BR388" s="148">
        <f t="shared" ref="BR388:BR451" si="297">(BM$9*AF389)+BR387</f>
        <v>858087.16813523776</v>
      </c>
      <c r="BS388" s="156">
        <f t="shared" ref="BS388:BS451" si="298">IF(BO388&gt;0,BO388)</f>
        <v>3835.9169793115061</v>
      </c>
      <c r="BT388" s="156">
        <f t="shared" ref="BT388:BT451" si="299">IF(BH388&gt;=0,BH388, IF(BH388&lt;0,0))</f>
        <v>13465.906457145509</v>
      </c>
      <c r="BU388">
        <f t="shared" ref="BU388:BU451" si="300">BI388*AF389</f>
        <v>1957.4713253025363</v>
      </c>
      <c r="BV388">
        <f t="shared" ref="BV388:BV451" si="301">BM$9*AF389</f>
        <v>1957.4713253025363</v>
      </c>
      <c r="BW388" s="148">
        <f t="shared" ref="BW388:BW451" si="302">BN$9</f>
        <v>455.4</v>
      </c>
      <c r="BX388" s="148">
        <f t="shared" ref="BX388:BX451" si="303">BW388*BI388</f>
        <v>3129354.9718154697</v>
      </c>
      <c r="BY388" s="148">
        <f t="shared" ref="BY388:BY451" si="304">((BX388/3600)*AF389)/1000</f>
        <v>0.2476201226507708</v>
      </c>
      <c r="BZ388">
        <f t="shared" si="287"/>
        <v>124.58844312604712</v>
      </c>
      <c r="CB388">
        <f t="shared" ref="CB388:CB451" si="305">BU388-BS388</f>
        <v>-1878.4456540089698</v>
      </c>
      <c r="CC388" s="162">
        <f t="shared" si="288"/>
        <v>-6602.6515153335804</v>
      </c>
      <c r="CD388">
        <f t="shared" si="270"/>
        <v>-47043.742094077017</v>
      </c>
    </row>
    <row r="389" spans="4:82" x14ac:dyDescent="0.2">
      <c r="D389" s="22">
        <f t="shared" si="279"/>
        <v>0.1268297731488181</v>
      </c>
      <c r="E389" s="23">
        <v>9.1175093154759779</v>
      </c>
      <c r="F389" s="23">
        <f>IF(K389&lt;6,1,IF(Data!K389&lt;9,2,IF(K389&gt;9,3)))</f>
        <v>3</v>
      </c>
      <c r="G389" s="23">
        <v>1031.8417313515729</v>
      </c>
      <c r="H389" s="23">
        <v>219.21666499999998</v>
      </c>
      <c r="I389" s="64">
        <v>47.307499936300559</v>
      </c>
      <c r="J389" s="65">
        <f t="shared" si="280"/>
        <v>1.5682777950178903</v>
      </c>
      <c r="K389" s="65">
        <f t="shared" si="281"/>
        <v>18.922999974520224</v>
      </c>
      <c r="L389" s="65">
        <f t="shared" si="282"/>
        <v>0.62731111800715611</v>
      </c>
      <c r="M389">
        <f t="shared" si="283"/>
        <v>18.235018630951956</v>
      </c>
      <c r="N389">
        <f t="shared" si="284"/>
        <v>0.29999599999990956</v>
      </c>
      <c r="O389">
        <f>IF(L389&lt;'Vehicle Data'!F$21,'Vehicle Data'!C$21,IF(L389&gt;'Vehicle Data'!C$21,'Vehicle Data'!C$20))</f>
        <v>0.6</v>
      </c>
      <c r="P389">
        <f>('Vehicle Data'!C$6*9.81*'Vehicle Data'!C$5*SIN(D389))/'Vehicle Data'!C$9</f>
        <v>84.238245862304268</v>
      </c>
      <c r="Q389" s="107">
        <f>'Vehicle Data'!C$6*9.81*SIN(D389)</f>
        <v>544.74065657623419</v>
      </c>
      <c r="R389" s="101">
        <f t="shared" si="278"/>
        <v>1029.4735543650477</v>
      </c>
      <c r="S389" s="101">
        <f>IF(Data!O389=0.6,'Vehicle Data'!E$21,IF(Data!O389 = 0.9,'Vehicle Data'!E$20))+(P389*O389)</f>
        <v>1600.9153475173823</v>
      </c>
      <c r="T389" s="101">
        <f>IF(F389=3,'Vehicle Data'!H$16,IF(F389=2,'Vehicle Data'!H$15,IF(F389 = 1,'Vehicle Data'!G$14)))</f>
        <v>466.23005239380637</v>
      </c>
      <c r="U389" s="148">
        <f t="shared" si="285"/>
        <v>313.33507224173161</v>
      </c>
      <c r="V389" s="102" t="s">
        <v>77</v>
      </c>
      <c r="W389" s="103" t="s">
        <v>84</v>
      </c>
      <c r="X389" s="101">
        <f>IF(V389="S",'Vehicle Data'!C$14,IF(Data!V389 = "T1",'Vehicle Data'!P$2,IF(Data!V389="T2",'Vehicle Data'!P$3)))</f>
        <v>13.411199999999999</v>
      </c>
      <c r="Y389" s="101"/>
      <c r="Z389" s="105">
        <v>8.3000000000000007</v>
      </c>
      <c r="AA389" s="101"/>
      <c r="AB389" s="101" t="b">
        <f>IF(AA389=1,'Vehicle Data'!I$14,IF(AA389=2,'Vehicle Data'!I$15,IF(AA389=3,'Vehicle Data'!I$16)))</f>
        <v>0</v>
      </c>
      <c r="AC389" s="101">
        <f>IF(Z389&lt;'Vehicle Data'!C$16,'Vehicle Data'!I$15,IF(Z389&lt;'Vehicle Data'!C$15,'Vehicle Data'!I$15,IF(Z388&gt;'Vehicle Data'!C$15,'Vehicle Data'!I$16)))</f>
        <v>0.98256251041858167</v>
      </c>
      <c r="AD389">
        <f>IF(O389=0.6,'Vehicle Data'!F$21,IF(O389=0.9,'Vehicle Data'!F$20))</f>
        <v>3.5315999999999996</v>
      </c>
      <c r="AE389" s="101">
        <f>(Data!H$15-Data!Q389)/'Vehicle Data'!C$6</f>
        <v>-0.75905237261101188</v>
      </c>
      <c r="AF389" s="158">
        <f t="shared" ref="AF389:AF431" si="306">(U389-U388)/Z389</f>
        <v>0.28486140101441343</v>
      </c>
      <c r="AG389" s="148">
        <f t="shared" si="289"/>
        <v>0</v>
      </c>
      <c r="AH389" s="148">
        <f t="shared" ref="AH389:AH452" si="307">AH388+AF389</f>
        <v>124.87330452706153</v>
      </c>
      <c r="AI389" s="101"/>
      <c r="AJ389" s="101">
        <f>(Z389^2)*'Vehicle Data'!C$31</f>
        <v>25.317075000000013</v>
      </c>
      <c r="AK389" s="101">
        <f>IF(O389=0.6,'Vehicle Data'!C$6*'Vehicle Data'!D$21*9.81,IF(O389=0.9,'Vehicle Data'!C$6*9.81*'Vehicle Data'!D$20))</f>
        <v>86.131799999999998</v>
      </c>
      <c r="AL389" s="101">
        <f t="shared" si="286"/>
        <v>656.18953157623423</v>
      </c>
      <c r="AM389" s="101"/>
      <c r="AN389" t="b">
        <f>IF(AG389&gt;0,AG389*'Vehicle Data'!C$6)</f>
        <v>0</v>
      </c>
      <c r="AO389" s="101">
        <f t="shared" si="290"/>
        <v>656.18953157623423</v>
      </c>
      <c r="AP389" s="101">
        <f>AO389*'Vehicle Data'!F$3</f>
        <v>167.72204427088548</v>
      </c>
      <c r="AQ389">
        <v>20</v>
      </c>
      <c r="AR389">
        <f>IF(Z389&lt;'Vehicle Data'!C$16, Z389*'Vehicle Data'!F$7*'Vehicle Data'!G$14,IF(Z389&lt;'Vehicle Data'!C$15,Z389*'Vehicle Data'!F$7*'Vehicle Data'!G$15,IF(Z389&gt;'Vehicle Data'!C$15,Z389*'Vehicle Data'!F$7*'Vehicle Data'!G$16)))</f>
        <v>107.59259259259261</v>
      </c>
      <c r="AS389">
        <f t="shared" ref="AS389:AS431" si="308">AR389*60</f>
        <v>6455.5555555555566</v>
      </c>
      <c r="AT389">
        <f t="shared" ref="AT389:AT431" si="309">ROUND(AQ389,0)</f>
        <v>20</v>
      </c>
      <c r="AU389">
        <f t="shared" ref="AU389:AU431" si="310">MROUND(AS389,500)</f>
        <v>6500</v>
      </c>
      <c r="AW389">
        <f>VLOOKUP(AT389,BSFC!A$64:A$82,1,FALSE)</f>
        <v>20</v>
      </c>
      <c r="AX389" t="e" cm="1">
        <f t="array" ref="AX389">_xlfn.XLOOKUP(AT389,BSFC!A$64:A$82,,-1,_xlfn.XLOOKUP(Data!AU389,BSFC!C$63:Q$63,BSFC!B$64:Q$82,,-1))</f>
        <v>#VALUE!</v>
      </c>
      <c r="AY389">
        <f>HLOOKUP(AU389,BSFC!F$63:Q$63,1)</f>
        <v>6500</v>
      </c>
      <c r="AZ389">
        <f>IF(AT389&gt;0,MATCH(AT389,BSFC!A$64:A$83,0),IF(AT389&lt;=0,0))</f>
        <v>3</v>
      </c>
      <c r="BA389">
        <f>MATCH(AU389,BSFC!C$63:Q$63,0)</f>
        <v>13</v>
      </c>
      <c r="BB389" cm="1">
        <f t="array" ref="BB389">IF(AZ389&gt;0,INDEX(BSFC!C$64:Q$83,Data!AZ389,Data!BA389))</f>
        <v>494.7</v>
      </c>
      <c r="BC389">
        <f>0.5*'Vehicle Data'!C$6*Data!Z389^2</f>
        <v>15121.355000000003</v>
      </c>
      <c r="BD389">
        <f t="shared" si="291"/>
        <v>13.465906457145509</v>
      </c>
      <c r="BE389">
        <f t="shared" ref="BE389:BE429" si="311">BB389*BD389</f>
        <v>6661.5839243498831</v>
      </c>
      <c r="BF389">
        <f t="shared" ref="BF389:BF431" si="312">(BE389/3600)*AF389</f>
        <v>0.52711892490705614</v>
      </c>
      <c r="BG389">
        <f t="shared" si="292"/>
        <v>151.18434623838618</v>
      </c>
      <c r="BH389">
        <f t="shared" si="271"/>
        <v>13465.906457145509</v>
      </c>
      <c r="BI389" s="148">
        <f t="shared" si="293"/>
        <v>6871.6622130335309</v>
      </c>
      <c r="BO389">
        <f t="shared" si="294"/>
        <v>3842.1264788570202</v>
      </c>
      <c r="BP389">
        <f t="shared" si="295"/>
        <v>667149.27535825723</v>
      </c>
      <c r="BQ389">
        <f t="shared" si="296"/>
        <v>908241.0962291453</v>
      </c>
      <c r="BR389" s="148">
        <f t="shared" si="297"/>
        <v>860047.80817283783</v>
      </c>
      <c r="BS389" s="156">
        <f t="shared" si="298"/>
        <v>3842.1264788570202</v>
      </c>
      <c r="BT389" s="156">
        <f t="shared" si="299"/>
        <v>13465.906457145509</v>
      </c>
      <c r="BU389">
        <f t="shared" si="300"/>
        <v>1960.6400376001116</v>
      </c>
      <c r="BV389">
        <f t="shared" si="301"/>
        <v>1960.6400376001116</v>
      </c>
      <c r="BW389" s="148">
        <f t="shared" si="302"/>
        <v>455.4</v>
      </c>
      <c r="BX389" s="148">
        <f t="shared" si="303"/>
        <v>3129354.9718154697</v>
      </c>
      <c r="BY389" s="148">
        <f t="shared" si="304"/>
        <v>0.24802096475641408</v>
      </c>
      <c r="BZ389">
        <f t="shared" si="287"/>
        <v>124.87330452706153</v>
      </c>
      <c r="CB389">
        <f t="shared" si="305"/>
        <v>-1881.4864412569086</v>
      </c>
      <c r="CC389" s="162">
        <f t="shared" si="288"/>
        <v>-6604.9188642505105</v>
      </c>
      <c r="CD389">
        <f t="shared" ref="CD389:CD452" si="313">CB389+CD388</f>
        <v>-48925.228535333925</v>
      </c>
    </row>
    <row r="390" spans="4:82" x14ac:dyDescent="0.2">
      <c r="D390" s="22">
        <f t="shared" si="279"/>
        <v>0.12666005135049033</v>
      </c>
      <c r="E390" s="23">
        <v>9.4175053154758874</v>
      </c>
      <c r="F390" s="23">
        <f>IF(K390&lt;6,1,IF(Data!K390&lt;9,2,IF(K390&gt;9,3)))</f>
        <v>3</v>
      </c>
      <c r="G390" s="23">
        <v>1034.2134283380981</v>
      </c>
      <c r="H390" s="23">
        <v>219.26666499999999</v>
      </c>
      <c r="I390" s="64">
        <v>47.385913826051471</v>
      </c>
      <c r="J390" s="65">
        <f t="shared" si="280"/>
        <v>1.5120651498572473</v>
      </c>
      <c r="K390" s="65">
        <f t="shared" si="281"/>
        <v>18.954365530420588</v>
      </c>
      <c r="L390" s="65">
        <f t="shared" si="282"/>
        <v>0.60482605994288463</v>
      </c>
      <c r="M390">
        <f t="shared" si="283"/>
        <v>18.835010630951775</v>
      </c>
      <c r="N390">
        <f t="shared" si="284"/>
        <v>0.30000252641903735</v>
      </c>
      <c r="O390">
        <f>IF(L390&lt;'Vehicle Data'!F$21,'Vehicle Data'!C$21,IF(L390&gt;'Vehicle Data'!C$21,'Vehicle Data'!C$20))</f>
        <v>0.6</v>
      </c>
      <c r="P390">
        <f>('Vehicle Data'!C$6*9.81*'Vehicle Data'!C$5*SIN(D390))/'Vehicle Data'!C$9</f>
        <v>84.126123307636263</v>
      </c>
      <c r="Q390" s="107">
        <f>'Vehicle Data'!C$6*9.81*SIN(D390)</f>
        <v>544.01559738938113</v>
      </c>
      <c r="R390" s="101">
        <f t="shared" si="278"/>
        <v>1031.8417313515729</v>
      </c>
      <c r="S390" s="101">
        <f>IF(Data!O390=0.6,'Vehicle Data'!E$21,IF(Data!O390 = 0.9,'Vehicle Data'!E$20))+(P390*O390)</f>
        <v>1600.8480739845816</v>
      </c>
      <c r="T390" s="101">
        <f>IF(F390=3,'Vehicle Data'!H$16,IF(F390=2,'Vehicle Data'!H$15,IF(F390 = 1,'Vehicle Data'!G$14)))</f>
        <v>466.23005239380637</v>
      </c>
      <c r="U390" s="148">
        <f t="shared" si="285"/>
        <v>315.70324922825682</v>
      </c>
      <c r="V390" s="102" t="s">
        <v>77</v>
      </c>
      <c r="W390" s="103" t="s">
        <v>84</v>
      </c>
      <c r="X390" s="101">
        <f>IF(V390="S",'Vehicle Data'!C$14,IF(Data!V390 = "T1",'Vehicle Data'!P$2,IF(Data!V390="T2",'Vehicle Data'!P$3)))</f>
        <v>13.411199999999999</v>
      </c>
      <c r="Y390" s="101"/>
      <c r="Z390" s="105">
        <v>8.3000000000000007</v>
      </c>
      <c r="AA390" s="101"/>
      <c r="AB390" s="101" t="b">
        <f>IF(AA390=1,'Vehicle Data'!I$14,IF(AA390=2,'Vehicle Data'!I$15,IF(AA390=3,'Vehicle Data'!I$16)))</f>
        <v>0</v>
      </c>
      <c r="AC390" s="101">
        <f>IF(Z390&lt;'Vehicle Data'!C$16,'Vehicle Data'!I$15,IF(Z390&lt;'Vehicle Data'!C$15,'Vehicle Data'!I$15,IF(Z389&gt;'Vehicle Data'!C$15,'Vehicle Data'!I$16)))</f>
        <v>0.98256251041858167</v>
      </c>
      <c r="AD390">
        <f>IF(O390=0.6,'Vehicle Data'!F$21,IF(O390=0.9,'Vehicle Data'!F$20))</f>
        <v>3.5315999999999996</v>
      </c>
      <c r="AE390" s="101">
        <f>(Data!H$15-Data!Q390)/'Vehicle Data'!C$6</f>
        <v>-0.75740075715120991</v>
      </c>
      <c r="AF390" s="158">
        <f t="shared" si="306"/>
        <v>0.28532252849701367</v>
      </c>
      <c r="AG390" s="148">
        <f t="shared" si="289"/>
        <v>0</v>
      </c>
      <c r="AH390" s="148">
        <f t="shared" si="307"/>
        <v>125.15862705555855</v>
      </c>
      <c r="AI390" s="101"/>
      <c r="AJ390" s="101">
        <f>(Z390^2)*'Vehicle Data'!C$31</f>
        <v>25.317075000000013</v>
      </c>
      <c r="AK390" s="101">
        <f>IF(O390=0.6,'Vehicle Data'!C$6*'Vehicle Data'!D$21*9.81,IF(O390=0.9,'Vehicle Data'!C$6*9.81*'Vehicle Data'!D$20))</f>
        <v>86.131799999999998</v>
      </c>
      <c r="AL390" s="101">
        <f t="shared" si="286"/>
        <v>655.46447238938117</v>
      </c>
      <c r="AM390" s="101"/>
      <c r="AN390" t="b">
        <f>IF(AG390&gt;0,AG390*'Vehicle Data'!C$6)</f>
        <v>0</v>
      </c>
      <c r="AO390" s="101">
        <f t="shared" si="290"/>
        <v>655.46447238938117</v>
      </c>
      <c r="AP390" s="101">
        <f>AO390*'Vehicle Data'!F$3</f>
        <v>167.53671914272581</v>
      </c>
      <c r="AQ390">
        <v>20</v>
      </c>
      <c r="AR390">
        <f>IF(Z390&lt;'Vehicle Data'!C$16, Z390*'Vehicle Data'!F$7*'Vehicle Data'!G$14,IF(Z390&lt;'Vehicle Data'!C$15,Z390*'Vehicle Data'!F$7*'Vehicle Data'!G$15,IF(Z390&gt;'Vehicle Data'!C$15,Z390*'Vehicle Data'!F$7*'Vehicle Data'!G$16)))</f>
        <v>107.59259259259261</v>
      </c>
      <c r="AS390">
        <f t="shared" si="308"/>
        <v>6455.5555555555566</v>
      </c>
      <c r="AT390">
        <f t="shared" si="309"/>
        <v>20</v>
      </c>
      <c r="AU390">
        <f t="shared" si="310"/>
        <v>6500</v>
      </c>
      <c r="AW390">
        <f>VLOOKUP(AT390,BSFC!A$64:A$82,1,FALSE)</f>
        <v>20</v>
      </c>
      <c r="AX390" t="e" cm="1">
        <f t="array" ref="AX390">_xlfn.XLOOKUP(AT390,BSFC!A$64:A$82,,-1,_xlfn.XLOOKUP(Data!AU390,BSFC!C$63:Q$63,BSFC!B$64:Q$82,,-1))</f>
        <v>#VALUE!</v>
      </c>
      <c r="AY390">
        <f>HLOOKUP(AU390,BSFC!F$63:Q$63,1)</f>
        <v>6500</v>
      </c>
      <c r="AZ390">
        <f>IF(AT390&gt;0,MATCH(AT390,BSFC!A$64:A$83,0),IF(AT390&lt;=0,0))</f>
        <v>3</v>
      </c>
      <c r="BA390">
        <f>MATCH(AU390,BSFC!C$63:Q$63,0)</f>
        <v>13</v>
      </c>
      <c r="BB390" cm="1">
        <f t="array" ref="BB390">IF(AZ390&gt;0,INDEX(BSFC!C$64:Q$83,Data!AZ390,Data!BA390))</f>
        <v>494.7</v>
      </c>
      <c r="BC390">
        <f>0.5*'Vehicle Data'!C$6*Data!Z390^2</f>
        <v>15121.355000000003</v>
      </c>
      <c r="BD390">
        <f t="shared" si="291"/>
        <v>13.465906457145509</v>
      </c>
      <c r="BE390">
        <f t="shared" si="311"/>
        <v>6661.5839243498831</v>
      </c>
      <c r="BF390">
        <f t="shared" si="312"/>
        <v>0.52797221363626878</v>
      </c>
      <c r="BG390">
        <f t="shared" si="292"/>
        <v>151.71231845202246</v>
      </c>
      <c r="BH390">
        <f t="shared" si="271"/>
        <v>13465.906457145509</v>
      </c>
      <c r="BI390" s="148">
        <f t="shared" si="293"/>
        <v>6871.6622130335309</v>
      </c>
      <c r="BO390">
        <f t="shared" si="294"/>
        <v>3847.8373211135126</v>
      </c>
      <c r="BP390">
        <f t="shared" si="295"/>
        <v>670997.1126793708</v>
      </c>
      <c r="BQ390">
        <f t="shared" si="296"/>
        <v>912088.93355025887</v>
      </c>
      <c r="BR390" s="148">
        <f t="shared" si="297"/>
        <v>862011.36245754512</v>
      </c>
      <c r="BS390" s="156">
        <f t="shared" si="298"/>
        <v>3847.8373211135126</v>
      </c>
      <c r="BT390" s="156">
        <f t="shared" si="299"/>
        <v>13465.906457145509</v>
      </c>
      <c r="BU390">
        <f t="shared" si="300"/>
        <v>1963.5542847073095</v>
      </c>
      <c r="BV390">
        <f t="shared" si="301"/>
        <v>1963.5542847073095</v>
      </c>
      <c r="BW390" s="148">
        <f t="shared" si="302"/>
        <v>455.4</v>
      </c>
      <c r="BX390" s="148">
        <f t="shared" si="303"/>
        <v>3129354.9718154697</v>
      </c>
      <c r="BY390" s="148">
        <f t="shared" si="304"/>
        <v>0.24838961701547463</v>
      </c>
      <c r="BZ390">
        <f t="shared" si="287"/>
        <v>125.15862705555855</v>
      </c>
      <c r="CB390">
        <f t="shared" si="305"/>
        <v>-1884.2830364062031</v>
      </c>
      <c r="CC390" s="162">
        <f t="shared" si="288"/>
        <v>-6604.0457664943469</v>
      </c>
      <c r="CD390">
        <f t="shared" si="313"/>
        <v>-50809.511571740128</v>
      </c>
    </row>
    <row r="391" spans="4:82" x14ac:dyDescent="0.2">
      <c r="D391" s="22">
        <f t="shared" si="279"/>
        <v>8.4203435663086926E-2</v>
      </c>
      <c r="E391" s="23">
        <v>9.7175078418949248</v>
      </c>
      <c r="F391" s="23">
        <f>IF(K391&lt;6,1,IF(Data!K391&lt;9,2,IF(K391&gt;9,3)))</f>
        <v>3</v>
      </c>
      <c r="G391" s="23">
        <v>1036.5883379665186</v>
      </c>
      <c r="H391" s="23">
        <v>219.316665</v>
      </c>
      <c r="I391" s="64">
        <v>47.461517083544351</v>
      </c>
      <c r="J391" s="65">
        <f t="shared" si="280"/>
        <v>1.5093780383831219</v>
      </c>
      <c r="K391" s="65">
        <f t="shared" si="281"/>
        <v>18.98460683341774</v>
      </c>
      <c r="L391" s="65">
        <f t="shared" si="282"/>
        <v>0.60375121535329146</v>
      </c>
      <c r="M391">
        <f t="shared" si="283"/>
        <v>19.43501568378985</v>
      </c>
      <c r="N391">
        <f t="shared" si="284"/>
        <v>0.19999747358096087</v>
      </c>
      <c r="O391">
        <f>IF(L391&lt;'Vehicle Data'!F$21,'Vehicle Data'!C$21,IF(L391&gt;'Vehicle Data'!C$21,'Vehicle Data'!C$20))</f>
        <v>0.6</v>
      </c>
      <c r="P391">
        <f>('Vehicle Data'!C$6*9.81*'Vehicle Data'!C$5*SIN(D391))/'Vehicle Data'!C$9</f>
        <v>56.010511124743715</v>
      </c>
      <c r="Q391" s="107">
        <f>'Vehicle Data'!C$6*9.81*SIN(D391)</f>
        <v>362.20130527334265</v>
      </c>
      <c r="R391" s="101">
        <f t="shared" si="278"/>
        <v>1034.2134283380981</v>
      </c>
      <c r="S391" s="101">
        <f>IF(Data!O391=0.6,'Vehicle Data'!E$21,IF(Data!O391 = 0.9,'Vehicle Data'!E$20))+(P391*O391)</f>
        <v>1583.9787066748461</v>
      </c>
      <c r="T391" s="101">
        <f>IF(F391=3,'Vehicle Data'!H$16,IF(F391=2,'Vehicle Data'!H$15,IF(F391 = 1,'Vehicle Data'!G$14)))</f>
        <v>466.23005239380637</v>
      </c>
      <c r="U391" s="148">
        <f t="shared" si="285"/>
        <v>318.07494621478202</v>
      </c>
      <c r="V391" s="102" t="s">
        <v>77</v>
      </c>
      <c r="W391" s="103" t="s">
        <v>84</v>
      </c>
      <c r="X391" s="101">
        <f>IF(V391="S",'Vehicle Data'!C$14,IF(Data!V391 = "T1",'Vehicle Data'!P$2,IF(Data!V391="T2",'Vehicle Data'!P$3)))</f>
        <v>13.411199999999999</v>
      </c>
      <c r="Y391" s="101"/>
      <c r="Z391" s="105">
        <v>8.3000000000000007</v>
      </c>
      <c r="AA391" s="101"/>
      <c r="AB391" s="101" t="b">
        <f>IF(AA391=1,'Vehicle Data'!I$14,IF(AA391=2,'Vehicle Data'!I$15,IF(AA391=3,'Vehicle Data'!I$16)))</f>
        <v>0</v>
      </c>
      <c r="AC391" s="101">
        <f>IF(Z391&lt;'Vehicle Data'!C$16,'Vehicle Data'!I$15,IF(Z391&lt;'Vehicle Data'!C$15,'Vehicle Data'!I$15,IF(Z390&gt;'Vehicle Data'!C$15,'Vehicle Data'!I$16)))</f>
        <v>0.98256251041858167</v>
      </c>
      <c r="AD391">
        <f>IF(O391=0.6,'Vehicle Data'!F$21,IF(O391=0.9,'Vehicle Data'!F$20))</f>
        <v>3.5315999999999996</v>
      </c>
      <c r="AE391" s="101">
        <f>(Data!H$15-Data!Q391)/'Vehicle Data'!C$6</f>
        <v>-0.34324519424451633</v>
      </c>
      <c r="AF391" s="158">
        <f t="shared" si="306"/>
        <v>0.28574662488255348</v>
      </c>
      <c r="AG391" s="148">
        <f t="shared" si="289"/>
        <v>0</v>
      </c>
      <c r="AH391" s="148">
        <f t="shared" si="307"/>
        <v>125.4443736804411</v>
      </c>
      <c r="AI391" s="101"/>
      <c r="AJ391" s="101">
        <f>(Z391^2)*'Vehicle Data'!C$31</f>
        <v>25.317075000000013</v>
      </c>
      <c r="AK391" s="101">
        <f>IF(O391=0.6,'Vehicle Data'!C$6*'Vehicle Data'!D$21*9.81,IF(O391=0.9,'Vehicle Data'!C$6*9.81*'Vehicle Data'!D$20))</f>
        <v>86.131799999999998</v>
      </c>
      <c r="AL391" s="101">
        <f t="shared" si="286"/>
        <v>473.6501802733427</v>
      </c>
      <c r="AM391" s="101"/>
      <c r="AN391" t="b">
        <f>IF(AG391&gt;0,AG391*'Vehicle Data'!C$6)</f>
        <v>0</v>
      </c>
      <c r="AO391" s="101">
        <f t="shared" si="290"/>
        <v>473.6501802733427</v>
      </c>
      <c r="AP391" s="101">
        <f>AO391*'Vehicle Data'!F$3</f>
        <v>121.06498607786639</v>
      </c>
      <c r="AQ391">
        <v>20</v>
      </c>
      <c r="AR391">
        <f>IF(Z391&lt;'Vehicle Data'!C$16, Z391*'Vehicle Data'!F$7*'Vehicle Data'!G$14,IF(Z391&lt;'Vehicle Data'!C$15,Z391*'Vehicle Data'!F$7*'Vehicle Data'!G$15,IF(Z391&gt;'Vehicle Data'!C$15,Z391*'Vehicle Data'!F$7*'Vehicle Data'!G$16)))</f>
        <v>107.59259259259261</v>
      </c>
      <c r="AS391">
        <f t="shared" si="308"/>
        <v>6455.5555555555566</v>
      </c>
      <c r="AT391">
        <f t="shared" si="309"/>
        <v>20</v>
      </c>
      <c r="AU391">
        <f t="shared" si="310"/>
        <v>6500</v>
      </c>
      <c r="AW391">
        <f>VLOOKUP(AT391,BSFC!A$64:A$82,1,FALSE)</f>
        <v>20</v>
      </c>
      <c r="AX391" t="e" cm="1">
        <f t="array" ref="AX391">_xlfn.XLOOKUP(AT391,BSFC!A$64:A$82,,-1,_xlfn.XLOOKUP(Data!AU391,BSFC!C$63:Q$63,BSFC!B$64:Q$82,,-1))</f>
        <v>#VALUE!</v>
      </c>
      <c r="AY391">
        <f>HLOOKUP(AU391,BSFC!F$63:Q$63,1)</f>
        <v>6500</v>
      </c>
      <c r="AZ391">
        <f>IF(AT391&gt;0,MATCH(AT391,BSFC!A$64:A$83,0),IF(AT391&lt;=0,0))</f>
        <v>3</v>
      </c>
      <c r="BA391">
        <f>MATCH(AU391,BSFC!C$63:Q$63,0)</f>
        <v>13</v>
      </c>
      <c r="BB391" cm="1">
        <f t="array" ref="BB391">IF(AZ391&gt;0,INDEX(BSFC!C$64:Q$83,Data!AZ391,Data!BA391))</f>
        <v>494.7</v>
      </c>
      <c r="BC391">
        <f>0.5*'Vehicle Data'!C$6*Data!Z391^2</f>
        <v>15121.355000000003</v>
      </c>
      <c r="BD391">
        <f t="shared" si="291"/>
        <v>13.465906457145509</v>
      </c>
      <c r="BE391">
        <f t="shared" si="311"/>
        <v>6661.5839243498831</v>
      </c>
      <c r="BF391">
        <f t="shared" si="312"/>
        <v>0.52875697854301518</v>
      </c>
      <c r="BG391">
        <f t="shared" si="292"/>
        <v>152.24107543056547</v>
      </c>
      <c r="BH391">
        <f t="shared" si="271"/>
        <v>13465.906457145509</v>
      </c>
      <c r="BI391" s="148">
        <f t="shared" si="293"/>
        <v>6871.6622130335309</v>
      </c>
      <c r="BO391">
        <f t="shared" si="294"/>
        <v>3853.0495060824592</v>
      </c>
      <c r="BP391">
        <f t="shared" si="295"/>
        <v>674850.16218545323</v>
      </c>
      <c r="BQ391">
        <f t="shared" si="296"/>
        <v>915941.9830563413</v>
      </c>
      <c r="BR391" s="148">
        <f t="shared" si="297"/>
        <v>863977.57652417</v>
      </c>
      <c r="BS391" s="156">
        <f t="shared" si="298"/>
        <v>3853.0495060824592</v>
      </c>
      <c r="BT391" s="156">
        <f t="shared" si="299"/>
        <v>13465.906457145509</v>
      </c>
      <c r="BU391">
        <f t="shared" si="300"/>
        <v>1966.2140666248833</v>
      </c>
      <c r="BV391">
        <f t="shared" si="301"/>
        <v>1966.2140666248833</v>
      </c>
      <c r="BW391" s="148">
        <f t="shared" si="302"/>
        <v>455.4</v>
      </c>
      <c r="BX391" s="148">
        <f t="shared" si="303"/>
        <v>3129354.9718154697</v>
      </c>
      <c r="BY391" s="148">
        <f t="shared" si="304"/>
        <v>0.24872607942804772</v>
      </c>
      <c r="BZ391">
        <f t="shared" si="287"/>
        <v>125.4443736804411</v>
      </c>
      <c r="CB391">
        <f t="shared" si="305"/>
        <v>-1886.8354394575758</v>
      </c>
      <c r="CC391" s="162">
        <f t="shared" si="288"/>
        <v>-6603.176643759577</v>
      </c>
      <c r="CD391">
        <f t="shared" si="313"/>
        <v>-52696.3470111977</v>
      </c>
    </row>
    <row r="392" spans="4:82" x14ac:dyDescent="0.2">
      <c r="D392" s="22">
        <f t="shared" si="279"/>
        <v>0.11964539312235034</v>
      </c>
      <c r="E392" s="23">
        <v>9.9175053154758857</v>
      </c>
      <c r="F392" s="23">
        <f>IF(K392&lt;6,1,IF(Data!K392&lt;9,2,IF(K392&gt;9,3)))</f>
        <v>3</v>
      </c>
      <c r="G392" s="23">
        <v>1038.9663170273589</v>
      </c>
      <c r="H392" s="23">
        <v>219.36666499999998</v>
      </c>
      <c r="I392" s="64">
        <v>47.536985985463481</v>
      </c>
      <c r="J392" s="65">
        <f t="shared" si="280"/>
        <v>1.5135701037153493</v>
      </c>
      <c r="K392" s="65">
        <f t="shared" si="281"/>
        <v>19.014794394185394</v>
      </c>
      <c r="L392" s="65">
        <f t="shared" si="282"/>
        <v>0.60542804148611129</v>
      </c>
      <c r="M392">
        <f t="shared" si="283"/>
        <v>19.835010630951771</v>
      </c>
      <c r="N392">
        <f t="shared" si="284"/>
        <v>0.28420028452411472</v>
      </c>
      <c r="O392">
        <f>IF(L392&lt;'Vehicle Data'!F$21,'Vehicle Data'!C$21,IF(L392&gt;'Vehicle Data'!C$21,'Vehicle Data'!C$20))</f>
        <v>0.6</v>
      </c>
      <c r="P392">
        <f>('Vehicle Data'!C$6*9.81*'Vehicle Data'!C$5*SIN(D392))/'Vehicle Data'!C$9</f>
        <v>79.489979109089504</v>
      </c>
      <c r="Q392" s="107">
        <f>'Vehicle Data'!C$6*9.81*SIN(D392)</f>
        <v>514.03519823877878</v>
      </c>
      <c r="R392" s="101">
        <f t="shared" si="278"/>
        <v>1036.5883379665186</v>
      </c>
      <c r="S392" s="101">
        <f>IF(Data!O392=0.6,'Vehicle Data'!E$21,IF(Data!O392 = 0.9,'Vehicle Data'!E$20))+(P392*O392)</f>
        <v>1598.0663874654535</v>
      </c>
      <c r="T392" s="101">
        <f>IF(F392=3,'Vehicle Data'!H$16,IF(F392=2,'Vehicle Data'!H$15,IF(F392 = 1,'Vehicle Data'!G$14)))</f>
        <v>466.23005239380637</v>
      </c>
      <c r="U392" s="148">
        <f t="shared" si="285"/>
        <v>320.4498558432025</v>
      </c>
      <c r="V392" s="102" t="s">
        <v>77</v>
      </c>
      <c r="W392" s="103" t="s">
        <v>84</v>
      </c>
      <c r="X392" s="101">
        <f>IF(V392="S",'Vehicle Data'!C$14,IF(Data!V392 = "T1",'Vehicle Data'!P$2,IF(Data!V392="T2",'Vehicle Data'!P$3)))</f>
        <v>13.411199999999999</v>
      </c>
      <c r="Y392" s="101"/>
      <c r="Z392" s="105">
        <v>8.3000000000000007</v>
      </c>
      <c r="AA392" s="101"/>
      <c r="AB392" s="101" t="b">
        <f>IF(AA392=1,'Vehicle Data'!I$14,IF(AA392=2,'Vehicle Data'!I$15,IF(AA392=3,'Vehicle Data'!I$16)))</f>
        <v>0</v>
      </c>
      <c r="AC392" s="101">
        <f>IF(Z392&lt;'Vehicle Data'!C$16,'Vehicle Data'!I$15,IF(Z392&lt;'Vehicle Data'!C$15,'Vehicle Data'!I$15,IF(Z391&gt;'Vehicle Data'!C$15,'Vehicle Data'!I$16)))</f>
        <v>0.98256251041858167</v>
      </c>
      <c r="AD392">
        <f>IF(O392=0.6,'Vehicle Data'!F$21,IF(O392=0.9,'Vehicle Data'!F$20))</f>
        <v>3.5315999999999996</v>
      </c>
      <c r="AE392" s="101">
        <f>(Data!H$15-Data!Q392)/'Vehicle Data'!C$6</f>
        <v>-0.68910827617033887</v>
      </c>
      <c r="AF392" s="158">
        <f t="shared" si="306"/>
        <v>0.28613369017114243</v>
      </c>
      <c r="AG392" s="148">
        <f t="shared" si="289"/>
        <v>0</v>
      </c>
      <c r="AH392" s="148">
        <f t="shared" si="307"/>
        <v>125.73050737061224</v>
      </c>
      <c r="AI392" s="101"/>
      <c r="AJ392" s="101">
        <f>(Z392^2)*'Vehicle Data'!C$31</f>
        <v>25.317075000000013</v>
      </c>
      <c r="AK392" s="101">
        <f>IF(O392=0.6,'Vehicle Data'!C$6*'Vehicle Data'!D$21*9.81,IF(O392=0.9,'Vehicle Data'!C$6*9.81*'Vehicle Data'!D$20))</f>
        <v>86.131799999999998</v>
      </c>
      <c r="AL392" s="101">
        <f t="shared" si="286"/>
        <v>625.48407323877882</v>
      </c>
      <c r="AM392" s="101"/>
      <c r="AN392" t="b">
        <f>IF(AG392&gt;0,AG392*'Vehicle Data'!C$6)</f>
        <v>0</v>
      </c>
      <c r="AO392" s="101">
        <f t="shared" si="290"/>
        <v>625.48407323877882</v>
      </c>
      <c r="AP392" s="101">
        <f>AO392*'Vehicle Data'!F$3</f>
        <v>159.87372911983186</v>
      </c>
      <c r="AQ392">
        <v>20</v>
      </c>
      <c r="AR392">
        <f>IF(Z392&lt;'Vehicle Data'!C$16, Z392*'Vehicle Data'!F$7*'Vehicle Data'!G$14,IF(Z392&lt;'Vehicle Data'!C$15,Z392*'Vehicle Data'!F$7*'Vehicle Data'!G$15,IF(Z392&gt;'Vehicle Data'!C$15,Z392*'Vehicle Data'!F$7*'Vehicle Data'!G$16)))</f>
        <v>107.59259259259261</v>
      </c>
      <c r="AS392">
        <f t="shared" si="308"/>
        <v>6455.5555555555566</v>
      </c>
      <c r="AT392">
        <f t="shared" si="309"/>
        <v>20</v>
      </c>
      <c r="AU392">
        <f t="shared" si="310"/>
        <v>6500</v>
      </c>
      <c r="AW392">
        <f>VLOOKUP(AT392,BSFC!A$64:A$82,1,FALSE)</f>
        <v>20</v>
      </c>
      <c r="AX392" t="e" cm="1">
        <f t="array" ref="AX392">_xlfn.XLOOKUP(AT392,BSFC!A$64:A$82,,-1,_xlfn.XLOOKUP(Data!AU392,BSFC!C$63:Q$63,BSFC!B$64:Q$82,,-1))</f>
        <v>#VALUE!</v>
      </c>
      <c r="AY392">
        <f>HLOOKUP(AU392,BSFC!F$63:Q$63,1)</f>
        <v>6500</v>
      </c>
      <c r="AZ392">
        <f>IF(AT392&gt;0,MATCH(AT392,BSFC!A$64:A$83,0),IF(AT392&lt;=0,0))</f>
        <v>3</v>
      </c>
      <c r="BA392">
        <f>MATCH(AU392,BSFC!C$63:Q$63,0)</f>
        <v>13</v>
      </c>
      <c r="BB392" cm="1">
        <f t="array" ref="BB392">IF(AZ392&gt;0,INDEX(BSFC!C$64:Q$83,Data!AZ392,Data!BA392))</f>
        <v>494.7</v>
      </c>
      <c r="BC392">
        <f>0.5*'Vehicle Data'!C$6*Data!Z392^2</f>
        <v>15121.355000000003</v>
      </c>
      <c r="BD392">
        <f t="shared" si="291"/>
        <v>13.465906457145509</v>
      </c>
      <c r="BE392">
        <f t="shared" si="311"/>
        <v>6661.5839243498831</v>
      </c>
      <c r="BF392">
        <f t="shared" si="312"/>
        <v>0.52947321962749794</v>
      </c>
      <c r="BG392">
        <f t="shared" si="292"/>
        <v>152.77054865019298</v>
      </c>
      <c r="BH392">
        <f t="shared" si="271"/>
        <v>13465.906457145509</v>
      </c>
      <c r="BI392" s="148">
        <f t="shared" si="293"/>
        <v>6871.6622130335309</v>
      </c>
      <c r="BO392">
        <f t="shared" si="294"/>
        <v>3858.0293482320553</v>
      </c>
      <c r="BP392">
        <f t="shared" si="295"/>
        <v>678708.19153368531</v>
      </c>
      <c r="BQ392">
        <f t="shared" si="296"/>
        <v>919800.01240457338</v>
      </c>
      <c r="BR392" s="148">
        <f t="shared" si="297"/>
        <v>865946.33180799661</v>
      </c>
      <c r="BS392" s="156">
        <f t="shared" si="298"/>
        <v>3858.0293482320553</v>
      </c>
      <c r="BT392" s="156">
        <f t="shared" si="299"/>
        <v>13465.906457145509</v>
      </c>
      <c r="BU392">
        <f t="shared" si="300"/>
        <v>1968.7552838266477</v>
      </c>
      <c r="BV392">
        <f t="shared" si="301"/>
        <v>1968.7552838266477</v>
      </c>
      <c r="BW392" s="148">
        <f t="shared" si="302"/>
        <v>455.4</v>
      </c>
      <c r="BX392" s="148">
        <f t="shared" si="303"/>
        <v>3129354.9718154697</v>
      </c>
      <c r="BY392" s="148">
        <f t="shared" si="304"/>
        <v>0.24904754340407093</v>
      </c>
      <c r="BZ392">
        <f t="shared" si="287"/>
        <v>125.73050737061224</v>
      </c>
      <c r="CB392">
        <f t="shared" si="305"/>
        <v>-1889.2740644054077</v>
      </c>
      <c r="CC392" s="162">
        <f t="shared" si="288"/>
        <v>-6602.766920859277</v>
      </c>
      <c r="CD392">
        <f t="shared" si="313"/>
        <v>-54585.621075603107</v>
      </c>
    </row>
    <row r="393" spans="4:82" x14ac:dyDescent="0.2">
      <c r="D393" s="22">
        <f t="shared" si="279"/>
        <v>8.39845225348754E-2</v>
      </c>
      <c r="E393" s="23">
        <v>10.2017056</v>
      </c>
      <c r="F393" s="23">
        <f>IF(K393&lt;6,1,IF(Data!K393&lt;9,2,IF(K393&gt;9,3)))</f>
        <v>3</v>
      </c>
      <c r="G393" s="23">
        <v>1041.3473487300948</v>
      </c>
      <c r="H393" s="23">
        <v>219.41666499999999</v>
      </c>
      <c r="I393" s="64">
        <v>47.612664490649266</v>
      </c>
      <c r="J393" s="65">
        <f t="shared" si="280"/>
        <v>1.6143492494900435</v>
      </c>
      <c r="K393" s="65">
        <f t="shared" si="281"/>
        <v>19.045065796259706</v>
      </c>
      <c r="L393" s="65">
        <f t="shared" si="282"/>
        <v>0.645739699795989</v>
      </c>
      <c r="M393">
        <f t="shared" si="283"/>
        <v>20.403411200000001</v>
      </c>
      <c r="N393">
        <f t="shared" si="284"/>
        <v>0.19999759999999966</v>
      </c>
      <c r="O393">
        <f>IF(L393&lt;'Vehicle Data'!F$21,'Vehicle Data'!C$21,IF(L393&gt;'Vehicle Data'!C$21,'Vehicle Data'!C$20))</f>
        <v>0.6</v>
      </c>
      <c r="P393">
        <f>('Vehicle Data'!C$6*9.81*'Vehicle Data'!C$5*SIN(D393))/'Vehicle Data'!C$9</f>
        <v>55.865237282212533</v>
      </c>
      <c r="Q393" s="107">
        <f>'Vehicle Data'!C$6*9.81*SIN(D393)</f>
        <v>361.26186775830769</v>
      </c>
      <c r="R393" s="101">
        <f t="shared" si="278"/>
        <v>1038.9663170273589</v>
      </c>
      <c r="S393" s="101">
        <f>IF(Data!O393=0.6,'Vehicle Data'!E$21,IF(Data!O393 = 0.9,'Vehicle Data'!E$20))+(P393*O393)</f>
        <v>1583.8915423693272</v>
      </c>
      <c r="T393" s="101">
        <f>IF(F393=3,'Vehicle Data'!H$16,IF(F393=2,'Vehicle Data'!H$15,IF(F393 = 1,'Vehicle Data'!G$14)))</f>
        <v>466.23005239380637</v>
      </c>
      <c r="U393" s="148">
        <f t="shared" si="285"/>
        <v>322.82783490404279</v>
      </c>
      <c r="V393" s="102" t="s">
        <v>77</v>
      </c>
      <c r="W393" s="103" t="s">
        <v>84</v>
      </c>
      <c r="X393" s="101">
        <f>IF(V393="S",'Vehicle Data'!C$14,IF(Data!V393 = "T1",'Vehicle Data'!P$2,IF(Data!V393="T2",'Vehicle Data'!P$3)))</f>
        <v>13.411199999999999</v>
      </c>
      <c r="Y393" s="101"/>
      <c r="Z393" s="105">
        <v>8.3000000000000007</v>
      </c>
      <c r="AA393" s="101"/>
      <c r="AB393" s="101" t="b">
        <f>IF(AA393=1,'Vehicle Data'!I$14,IF(AA393=2,'Vehicle Data'!I$15,IF(AA393=3,'Vehicle Data'!I$16)))</f>
        <v>0</v>
      </c>
      <c r="AC393" s="101">
        <f>IF(Z393&lt;'Vehicle Data'!C$16,'Vehicle Data'!I$15,IF(Z393&lt;'Vehicle Data'!C$15,'Vehicle Data'!I$15,IF(Z392&gt;'Vehicle Data'!C$15,'Vehicle Data'!I$16)))</f>
        <v>0.98256251041858167</v>
      </c>
      <c r="AD393">
        <f>IF(O393=0.6,'Vehicle Data'!F$21,IF(O393=0.9,'Vehicle Data'!F$20))</f>
        <v>3.5315999999999996</v>
      </c>
      <c r="AE393" s="101">
        <f>(Data!H$15-Data!Q393)/'Vehicle Data'!C$6</f>
        <v>-0.34110524546311549</v>
      </c>
      <c r="AF393" s="158">
        <f t="shared" si="306"/>
        <v>0.28650350130605889</v>
      </c>
      <c r="AG393" s="148">
        <f t="shared" si="289"/>
        <v>0</v>
      </c>
      <c r="AH393" s="148">
        <f t="shared" si="307"/>
        <v>126.0170108719183</v>
      </c>
      <c r="AI393" s="101"/>
      <c r="AJ393" s="101">
        <f>(Z393^2)*'Vehicle Data'!C$31</f>
        <v>25.317075000000013</v>
      </c>
      <c r="AK393" s="101">
        <f>IF(O393=0.6,'Vehicle Data'!C$6*'Vehicle Data'!D$21*9.81,IF(O393=0.9,'Vehicle Data'!C$6*9.81*'Vehicle Data'!D$20))</f>
        <v>86.131799999999998</v>
      </c>
      <c r="AL393" s="101">
        <f t="shared" si="286"/>
        <v>472.71074275830767</v>
      </c>
      <c r="AM393" s="101"/>
      <c r="AN393" t="b">
        <f>IF(AG393&gt;0,AG393*'Vehicle Data'!C$6)</f>
        <v>0</v>
      </c>
      <c r="AO393" s="101">
        <f t="shared" si="290"/>
        <v>472.71074275830767</v>
      </c>
      <c r="AP393" s="101">
        <f>AO393*'Vehicle Data'!F$3</f>
        <v>120.82486584902344</v>
      </c>
      <c r="AQ393">
        <v>20</v>
      </c>
      <c r="AR393">
        <f>IF(Z393&lt;'Vehicle Data'!C$16, Z393*'Vehicle Data'!F$7*'Vehicle Data'!G$14,IF(Z393&lt;'Vehicle Data'!C$15,Z393*'Vehicle Data'!F$7*'Vehicle Data'!G$15,IF(Z393&gt;'Vehicle Data'!C$15,Z393*'Vehicle Data'!F$7*'Vehicle Data'!G$16)))</f>
        <v>107.59259259259261</v>
      </c>
      <c r="AS393">
        <f t="shared" si="308"/>
        <v>6455.5555555555566</v>
      </c>
      <c r="AT393">
        <f t="shared" si="309"/>
        <v>20</v>
      </c>
      <c r="AU393">
        <f t="shared" si="310"/>
        <v>6500</v>
      </c>
      <c r="AW393">
        <f>VLOOKUP(AT393,BSFC!A$64:A$82,1,FALSE)</f>
        <v>20</v>
      </c>
      <c r="AX393" t="e" cm="1">
        <f t="array" ref="AX393">_xlfn.XLOOKUP(AT393,BSFC!A$64:A$82,,-1,_xlfn.XLOOKUP(Data!AU393,BSFC!C$63:Q$63,BSFC!B$64:Q$82,,-1))</f>
        <v>#VALUE!</v>
      </c>
      <c r="AY393">
        <f>HLOOKUP(AU393,BSFC!F$63:Q$63,1)</f>
        <v>6500</v>
      </c>
      <c r="AZ393">
        <f>IF(AT393&gt;0,MATCH(AT393,BSFC!A$64:A$83,0),IF(AT393&lt;=0,0))</f>
        <v>3</v>
      </c>
      <c r="BA393">
        <f>MATCH(AU393,BSFC!C$63:Q$63,0)</f>
        <v>13</v>
      </c>
      <c r="BB393" cm="1">
        <f t="array" ref="BB393">IF(AZ393&gt;0,INDEX(BSFC!C$64:Q$83,Data!AZ393,Data!BA393))</f>
        <v>494.7</v>
      </c>
      <c r="BC393">
        <f>0.5*'Vehicle Data'!C$6*Data!Z393^2</f>
        <v>15121.355000000003</v>
      </c>
      <c r="BD393">
        <f t="shared" si="291"/>
        <v>13.465906457145509</v>
      </c>
      <c r="BE393">
        <f t="shared" si="311"/>
        <v>6661.5839243498831</v>
      </c>
      <c r="BF393">
        <f t="shared" si="312"/>
        <v>0.53015753293622159</v>
      </c>
      <c r="BG393">
        <f t="shared" si="292"/>
        <v>153.30070618312919</v>
      </c>
      <c r="BH393">
        <f t="shared" si="271"/>
        <v>13465.906457145509</v>
      </c>
      <c r="BI393" s="148">
        <f t="shared" si="293"/>
        <v>6871.6622130335309</v>
      </c>
      <c r="BO393">
        <f t="shared" si="294"/>
        <v>3862.9819494627254</v>
      </c>
      <c r="BP393">
        <f t="shared" si="295"/>
        <v>682571.17348314798</v>
      </c>
      <c r="BQ393">
        <f t="shared" si="296"/>
        <v>923662.99435403605</v>
      </c>
      <c r="BR393" s="148">
        <f t="shared" si="297"/>
        <v>867917.61440796359</v>
      </c>
      <c r="BS393" s="156">
        <f t="shared" si="298"/>
        <v>3862.9819494627254</v>
      </c>
      <c r="BT393" s="156">
        <f t="shared" si="299"/>
        <v>13465.906457145509</v>
      </c>
      <c r="BU393">
        <f t="shared" si="300"/>
        <v>1971.2825999669556</v>
      </c>
      <c r="BV393">
        <f t="shared" si="301"/>
        <v>1971.2825999669556</v>
      </c>
      <c r="BW393" s="148">
        <f t="shared" si="302"/>
        <v>455.4</v>
      </c>
      <c r="BX393" s="148">
        <f t="shared" si="303"/>
        <v>3129354.9718154697</v>
      </c>
      <c r="BY393" s="148">
        <f t="shared" si="304"/>
        <v>0.24936724889581985</v>
      </c>
      <c r="BZ393">
        <f t="shared" si="287"/>
        <v>126.0170108719183</v>
      </c>
      <c r="CB393">
        <f t="shared" si="305"/>
        <v>-1891.6993494957699</v>
      </c>
      <c r="CC393" s="162">
        <f t="shared" si="288"/>
        <v>-6602.7093591256316</v>
      </c>
      <c r="CD393">
        <f t="shared" si="313"/>
        <v>-56477.320425098878</v>
      </c>
    </row>
    <row r="394" spans="4:82" x14ac:dyDescent="0.2">
      <c r="D394" s="22">
        <f t="shared" si="279"/>
        <v>9.0517733112231255E-2</v>
      </c>
      <c r="E394" s="23">
        <v>10.4017032</v>
      </c>
      <c r="F394" s="23">
        <f>IF(K394&lt;6,1,IF(Data!K394&lt;9,2,IF(K394&gt;9,3)))</f>
        <v>3</v>
      </c>
      <c r="G394" s="23">
        <v>1043.7315130747254</v>
      </c>
      <c r="H394" s="23">
        <v>219.46666499999998</v>
      </c>
      <c r="I394" s="64">
        <v>47.69338195312374</v>
      </c>
      <c r="J394" s="65">
        <f t="shared" si="280"/>
        <v>1.6545321290320705</v>
      </c>
      <c r="K394" s="65">
        <f t="shared" si="281"/>
        <v>19.077352781249495</v>
      </c>
      <c r="L394" s="65">
        <f t="shared" si="282"/>
        <v>0.66181285161284242</v>
      </c>
      <c r="M394">
        <f t="shared" si="283"/>
        <v>20.8034064</v>
      </c>
      <c r="N394">
        <f t="shared" si="284"/>
        <v>0.21580611547588724</v>
      </c>
      <c r="O394">
        <f>IF(L394&lt;'Vehicle Data'!F$21,'Vehicle Data'!C$21,IF(L394&gt;'Vehicle Data'!C$21,'Vehicle Data'!C$20))</f>
        <v>0.6</v>
      </c>
      <c r="P394">
        <f>('Vehicle Data'!C$6*9.81*'Vehicle Data'!C$5*SIN(D394))/'Vehicle Data'!C$9</f>
        <v>60.199584960645986</v>
      </c>
      <c r="Q394" s="107">
        <f>'Vehicle Data'!C$6*9.81*SIN(D394)</f>
        <v>389.29064941217734</v>
      </c>
      <c r="R394" s="101">
        <f t="shared" si="278"/>
        <v>1041.3473487300948</v>
      </c>
      <c r="S394" s="101">
        <f>IF(Data!O394=0.6,'Vehicle Data'!E$21,IF(Data!O394 = 0.9,'Vehicle Data'!E$20))+(P394*O394)</f>
        <v>1586.4921509763874</v>
      </c>
      <c r="T394" s="101">
        <f>IF(F394=3,'Vehicle Data'!H$16,IF(F394=2,'Vehicle Data'!H$15,IF(F394 = 1,'Vehicle Data'!G$14)))</f>
        <v>466.23005239380637</v>
      </c>
      <c r="U394" s="148">
        <f t="shared" si="285"/>
        <v>325.20886660677877</v>
      </c>
      <c r="V394" s="102" t="s">
        <v>77</v>
      </c>
      <c r="W394" s="103" t="s">
        <v>84</v>
      </c>
      <c r="X394" s="101">
        <f>IF(V394="S",'Vehicle Data'!C$14,IF(Data!V394 = "T1",'Vehicle Data'!P$2,IF(Data!V394="T2",'Vehicle Data'!P$3)))</f>
        <v>13.411199999999999</v>
      </c>
      <c r="Y394" s="101"/>
      <c r="Z394" s="105">
        <v>8.3000000000000007</v>
      </c>
      <c r="AA394" s="101"/>
      <c r="AB394" s="101" t="b">
        <f>IF(AA394=1,'Vehicle Data'!I$14,IF(AA394=2,'Vehicle Data'!I$15,IF(AA394=3,'Vehicle Data'!I$16)))</f>
        <v>0</v>
      </c>
      <c r="AC394" s="101">
        <f>IF(Z394&lt;'Vehicle Data'!C$16,'Vehicle Data'!I$15,IF(Z394&lt;'Vehicle Data'!C$15,'Vehicle Data'!I$15,IF(Z393&gt;'Vehicle Data'!C$15,'Vehicle Data'!I$16)))</f>
        <v>0.98256251041858167</v>
      </c>
      <c r="AD394">
        <f>IF(O394=0.6,'Vehicle Data'!F$21,IF(O394=0.9,'Vehicle Data'!F$20))</f>
        <v>3.5315999999999996</v>
      </c>
      <c r="AE394" s="101">
        <f>(Data!H$15-Data!Q394)/'Vehicle Data'!C$6</f>
        <v>-0.40495212850154294</v>
      </c>
      <c r="AF394" s="158">
        <f t="shared" si="306"/>
        <v>0.28687128948626284</v>
      </c>
      <c r="AG394" s="148">
        <f t="shared" si="289"/>
        <v>0</v>
      </c>
      <c r="AH394" s="148">
        <f t="shared" si="307"/>
        <v>126.30388216140456</v>
      </c>
      <c r="AI394" s="101"/>
      <c r="AJ394" s="101">
        <f>(Z394^2)*'Vehicle Data'!C$31</f>
        <v>25.317075000000013</v>
      </c>
      <c r="AK394" s="101">
        <f>IF(O394=0.6,'Vehicle Data'!C$6*'Vehicle Data'!D$21*9.81,IF(O394=0.9,'Vehicle Data'!C$6*9.81*'Vehicle Data'!D$20))</f>
        <v>86.131799999999998</v>
      </c>
      <c r="AL394" s="101">
        <f t="shared" si="286"/>
        <v>500.73952441217739</v>
      </c>
      <c r="AM394" s="101"/>
      <c r="AN394" t="b">
        <f>IF(AG394&gt;0,AG394*'Vehicle Data'!C$6)</f>
        <v>0</v>
      </c>
      <c r="AO394" s="101">
        <f t="shared" si="290"/>
        <v>500.73952441217739</v>
      </c>
      <c r="AP394" s="101">
        <f>AO394*'Vehicle Data'!F$3</f>
        <v>127.98902243975253</v>
      </c>
      <c r="AQ394">
        <v>20</v>
      </c>
      <c r="AR394">
        <f>IF(Z394&lt;'Vehicle Data'!C$16, Z394*'Vehicle Data'!F$7*'Vehicle Data'!G$14,IF(Z394&lt;'Vehicle Data'!C$15,Z394*'Vehicle Data'!F$7*'Vehicle Data'!G$15,IF(Z394&gt;'Vehicle Data'!C$15,Z394*'Vehicle Data'!F$7*'Vehicle Data'!G$16)))</f>
        <v>107.59259259259261</v>
      </c>
      <c r="AS394">
        <f t="shared" si="308"/>
        <v>6455.5555555555566</v>
      </c>
      <c r="AT394">
        <f t="shared" si="309"/>
        <v>20</v>
      </c>
      <c r="AU394">
        <f t="shared" si="310"/>
        <v>6500</v>
      </c>
      <c r="AW394">
        <f>VLOOKUP(AT394,BSFC!A$64:A$82,1,FALSE)</f>
        <v>20</v>
      </c>
      <c r="AX394" t="e" cm="1">
        <f t="array" ref="AX394">_xlfn.XLOOKUP(AT394,BSFC!A$64:A$82,,-1,_xlfn.XLOOKUP(Data!AU394,BSFC!C$63:Q$63,BSFC!B$64:Q$82,,-1))</f>
        <v>#VALUE!</v>
      </c>
      <c r="AY394">
        <f>HLOOKUP(AU394,BSFC!F$63:Q$63,1)</f>
        <v>6500</v>
      </c>
      <c r="AZ394">
        <f>IF(AT394&gt;0,MATCH(AT394,BSFC!A$64:A$83,0),IF(AT394&lt;=0,0))</f>
        <v>3</v>
      </c>
      <c r="BA394">
        <f>MATCH(AU394,BSFC!C$63:Q$63,0)</f>
        <v>13</v>
      </c>
      <c r="BB394" cm="1">
        <f t="array" ref="BB394">IF(AZ394&gt;0,INDEX(BSFC!C$64:Q$83,Data!AZ394,Data!BA394))</f>
        <v>494.7</v>
      </c>
      <c r="BC394">
        <f>0.5*'Vehicle Data'!C$6*Data!Z394^2</f>
        <v>15121.355000000003</v>
      </c>
      <c r="BD394">
        <f t="shared" si="291"/>
        <v>13.465906457145509</v>
      </c>
      <c r="BE394">
        <f t="shared" si="311"/>
        <v>6661.5839243498831</v>
      </c>
      <c r="BF394">
        <f t="shared" si="312"/>
        <v>0.53083810288866951</v>
      </c>
      <c r="BG394">
        <f t="shared" si="292"/>
        <v>153.83154428601787</v>
      </c>
      <c r="BH394">
        <f t="shared" si="271"/>
        <v>13465.906457145509</v>
      </c>
      <c r="BI394" s="148">
        <f t="shared" si="293"/>
        <v>6871.6622130335309</v>
      </c>
      <c r="BO394">
        <f t="shared" si="294"/>
        <v>3868.0643425610574</v>
      </c>
      <c r="BP394">
        <f t="shared" si="295"/>
        <v>686439.23782570905</v>
      </c>
      <c r="BQ394">
        <f t="shared" si="296"/>
        <v>927531.05869659712</v>
      </c>
      <c r="BR394" s="148">
        <f t="shared" si="297"/>
        <v>869891.49055695871</v>
      </c>
      <c r="BS394" s="156">
        <f t="shared" si="298"/>
        <v>3868.0643425610574</v>
      </c>
      <c r="BT394" s="156">
        <f t="shared" si="299"/>
        <v>13465.906457145509</v>
      </c>
      <c r="BU394">
        <f t="shared" si="300"/>
        <v>1973.8761489951428</v>
      </c>
      <c r="BV394">
        <f t="shared" si="301"/>
        <v>1973.8761489951428</v>
      </c>
      <c r="BW394" s="148">
        <f t="shared" si="302"/>
        <v>455.4</v>
      </c>
      <c r="BX394" s="148">
        <f t="shared" si="303"/>
        <v>3129354.9718154697</v>
      </c>
      <c r="BY394" s="148">
        <f t="shared" si="304"/>
        <v>0.24969533284788553</v>
      </c>
      <c r="BZ394">
        <f t="shared" si="287"/>
        <v>126.30388216140456</v>
      </c>
      <c r="CB394">
        <f t="shared" si="305"/>
        <v>-1894.1881935659146</v>
      </c>
      <c r="CC394" s="162">
        <f t="shared" si="288"/>
        <v>-6602.9200655043578</v>
      </c>
      <c r="CD394">
        <f t="shared" si="313"/>
        <v>-58371.50861866479</v>
      </c>
    </row>
    <row r="395" spans="4:82" x14ac:dyDescent="0.2">
      <c r="D395" s="22">
        <f t="shared" si="279"/>
        <v>7.7118916197572301E-2</v>
      </c>
      <c r="E395" s="23">
        <v>10.617509315475887</v>
      </c>
      <c r="F395" s="23">
        <f>IF(K395&lt;6,1,IF(Data!K395&lt;9,2,IF(K395&gt;9,3)))</f>
        <v>3</v>
      </c>
      <c r="G395" s="23">
        <v>1046.1189027031448</v>
      </c>
      <c r="H395" s="23">
        <v>219.51666499999999</v>
      </c>
      <c r="I395" s="64">
        <v>47.776108559575363</v>
      </c>
      <c r="J395" s="65">
        <f t="shared" si="280"/>
        <v>1.6119607088608376</v>
      </c>
      <c r="K395" s="65">
        <f t="shared" si="281"/>
        <v>19.110443423830144</v>
      </c>
      <c r="L395" s="65">
        <f t="shared" si="282"/>
        <v>0.64478428354433504</v>
      </c>
      <c r="M395">
        <f t="shared" si="283"/>
        <v>21.235018630951775</v>
      </c>
      <c r="N395">
        <f t="shared" si="284"/>
        <v>0.18419548452411227</v>
      </c>
      <c r="O395">
        <f>IF(L395&lt;'Vehicle Data'!F$21,'Vehicle Data'!C$21,IF(L395&gt;'Vehicle Data'!C$21,'Vehicle Data'!C$20))</f>
        <v>0.6</v>
      </c>
      <c r="P395">
        <f>('Vehicle Data'!C$6*9.81*'Vehicle Data'!C$5*SIN(D395))/'Vehicle Data'!C$9</f>
        <v>51.307801120126392</v>
      </c>
      <c r="Q395" s="107">
        <f>'Vehicle Data'!C$6*9.81*SIN(D395)</f>
        <v>331.79044724348398</v>
      </c>
      <c r="R395" s="101">
        <f t="shared" si="278"/>
        <v>1043.7315130747254</v>
      </c>
      <c r="S395" s="101">
        <f>IF(Data!O395=0.6,'Vehicle Data'!E$21,IF(Data!O395 = 0.9,'Vehicle Data'!E$20))+(P395*O395)</f>
        <v>1581.1570806720756</v>
      </c>
      <c r="T395" s="101">
        <f>IF(F395=3,'Vehicle Data'!H$16,IF(F395=2,'Vehicle Data'!H$15,IF(F395 = 1,'Vehicle Data'!G$14)))</f>
        <v>466.23005239380637</v>
      </c>
      <c r="U395" s="148">
        <f t="shared" si="285"/>
        <v>327.59303095140933</v>
      </c>
      <c r="V395" s="102" t="s">
        <v>77</v>
      </c>
      <c r="W395" s="103" t="s">
        <v>84</v>
      </c>
      <c r="X395" s="101">
        <f>IF(V395="S",'Vehicle Data'!C$14,IF(Data!V395 = "T1",'Vehicle Data'!P$2,IF(Data!V395="T2",'Vehicle Data'!P$3)))</f>
        <v>13.411199999999999</v>
      </c>
      <c r="Y395" s="101"/>
      <c r="Z395" s="105">
        <v>8.3000000000000007</v>
      </c>
      <c r="AA395" s="101"/>
      <c r="AB395" s="101" t="b">
        <f>IF(AA395=1,'Vehicle Data'!I$14,IF(AA395=2,'Vehicle Data'!I$15,IF(AA395=3,'Vehicle Data'!I$16)))</f>
        <v>0</v>
      </c>
      <c r="AC395" s="101">
        <f>IF(Z395&lt;'Vehicle Data'!C$16,'Vehicle Data'!I$15,IF(Z395&lt;'Vehicle Data'!C$15,'Vehicle Data'!I$15,IF(Z394&gt;'Vehicle Data'!C$15,'Vehicle Data'!I$16)))</f>
        <v>0.98256251041858167</v>
      </c>
      <c r="AD395">
        <f>IF(O395=0.6,'Vehicle Data'!F$21,IF(O395=0.9,'Vehicle Data'!F$20))</f>
        <v>3.5315999999999996</v>
      </c>
      <c r="AE395" s="101">
        <f>(Data!H$15-Data!Q395)/'Vehicle Data'!C$6</f>
        <v>-0.27397216911955352</v>
      </c>
      <c r="AF395" s="158">
        <f t="shared" si="306"/>
        <v>0.28724871622054965</v>
      </c>
      <c r="AG395" s="148">
        <f t="shared" si="289"/>
        <v>0</v>
      </c>
      <c r="AH395" s="148">
        <f t="shared" si="307"/>
        <v>126.5911308776251</v>
      </c>
      <c r="AI395" s="101"/>
      <c r="AJ395" s="101">
        <f>(Z395^2)*'Vehicle Data'!C$31</f>
        <v>25.317075000000013</v>
      </c>
      <c r="AK395" s="101">
        <f>IF(O395=0.6,'Vehicle Data'!C$6*'Vehicle Data'!D$21*9.81,IF(O395=0.9,'Vehicle Data'!C$6*9.81*'Vehicle Data'!D$20))</f>
        <v>86.131799999999998</v>
      </c>
      <c r="AL395" s="101">
        <f t="shared" si="286"/>
        <v>443.23932224348403</v>
      </c>
      <c r="AM395" s="101"/>
      <c r="AN395" t="b">
        <f>IF(AG395&gt;0,AG395*'Vehicle Data'!C$6)</f>
        <v>0</v>
      </c>
      <c r="AO395" s="101">
        <f t="shared" si="290"/>
        <v>443.23932224348403</v>
      </c>
      <c r="AP395" s="101">
        <f>AO395*'Vehicle Data'!F$3</f>
        <v>113.29197076543451</v>
      </c>
      <c r="AQ395">
        <v>20</v>
      </c>
      <c r="AR395">
        <f>IF(Z395&lt;'Vehicle Data'!C$16, Z395*'Vehicle Data'!F$7*'Vehicle Data'!G$14,IF(Z395&lt;'Vehicle Data'!C$15,Z395*'Vehicle Data'!F$7*'Vehicle Data'!G$15,IF(Z395&gt;'Vehicle Data'!C$15,Z395*'Vehicle Data'!F$7*'Vehicle Data'!G$16)))</f>
        <v>107.59259259259261</v>
      </c>
      <c r="AS395">
        <f t="shared" si="308"/>
        <v>6455.5555555555566</v>
      </c>
      <c r="AT395">
        <f t="shared" si="309"/>
        <v>20</v>
      </c>
      <c r="AU395">
        <f t="shared" si="310"/>
        <v>6500</v>
      </c>
      <c r="AW395">
        <f>VLOOKUP(AT395,BSFC!A$64:A$82,1,FALSE)</f>
        <v>20</v>
      </c>
      <c r="AX395" t="e" cm="1">
        <f t="array" ref="AX395">_xlfn.XLOOKUP(AT395,BSFC!A$64:A$82,,-1,_xlfn.XLOOKUP(Data!AU395,BSFC!C$63:Q$63,BSFC!B$64:Q$82,,-1))</f>
        <v>#VALUE!</v>
      </c>
      <c r="AY395">
        <f>HLOOKUP(AU395,BSFC!F$63:Q$63,1)</f>
        <v>6500</v>
      </c>
      <c r="AZ395">
        <f>IF(AT395&gt;0,MATCH(AT395,BSFC!A$64:A$83,0),IF(AT395&lt;=0,0))</f>
        <v>3</v>
      </c>
      <c r="BA395">
        <f>MATCH(AU395,BSFC!C$63:Q$63,0)</f>
        <v>13</v>
      </c>
      <c r="BB395" cm="1">
        <f t="array" ref="BB395">IF(AZ395&gt;0,INDEX(BSFC!C$64:Q$83,Data!AZ395,Data!BA395))</f>
        <v>494.7</v>
      </c>
      <c r="BC395">
        <f>0.5*'Vehicle Data'!C$6*Data!Z395^2</f>
        <v>15121.355000000003</v>
      </c>
      <c r="BD395">
        <f t="shared" si="291"/>
        <v>13.465906457145509</v>
      </c>
      <c r="BE395">
        <f t="shared" si="311"/>
        <v>6661.5839243498831</v>
      </c>
      <c r="BF395">
        <f t="shared" si="312"/>
        <v>0.5315365084069319</v>
      </c>
      <c r="BG395">
        <f t="shared" si="292"/>
        <v>154.3630807944248</v>
      </c>
      <c r="BH395">
        <f t="shared" si="271"/>
        <v>13465.906457145509</v>
      </c>
      <c r="BI395" s="148">
        <f t="shared" si="293"/>
        <v>6871.6622130335309</v>
      </c>
      <c r="BO395">
        <f t="shared" si="294"/>
        <v>3873.2970377175388</v>
      </c>
      <c r="BP395">
        <f t="shared" si="295"/>
        <v>690312.53486342658</v>
      </c>
      <c r="BQ395">
        <f t="shared" si="296"/>
        <v>931404.35573431465</v>
      </c>
      <c r="BR395" s="148">
        <f t="shared" si="297"/>
        <v>871868.03695423563</v>
      </c>
      <c r="BS395" s="156">
        <f t="shared" si="298"/>
        <v>3873.2970377175388</v>
      </c>
      <c r="BT395" s="156">
        <f t="shared" si="299"/>
        <v>13465.906457145509</v>
      </c>
      <c r="BU395">
        <f t="shared" si="300"/>
        <v>1976.5463972768719</v>
      </c>
      <c r="BV395">
        <f t="shared" si="301"/>
        <v>1976.5463972768719</v>
      </c>
      <c r="BW395" s="148">
        <f t="shared" si="302"/>
        <v>455.4</v>
      </c>
      <c r="BX395" s="148">
        <f t="shared" si="303"/>
        <v>3129354.9718154697</v>
      </c>
      <c r="BY395" s="148">
        <f t="shared" si="304"/>
        <v>0.25003311925552429</v>
      </c>
      <c r="BZ395">
        <f t="shared" si="287"/>
        <v>126.5911308776251</v>
      </c>
      <c r="CB395">
        <f t="shared" si="305"/>
        <v>-1896.750640440667</v>
      </c>
      <c r="CC395" s="162">
        <f t="shared" si="288"/>
        <v>-6603.1648997322791</v>
      </c>
      <c r="CD395">
        <f t="shared" si="313"/>
        <v>-60268.259259105456</v>
      </c>
    </row>
    <row r="396" spans="4:82" x14ac:dyDescent="0.2">
      <c r="D396" s="22">
        <f t="shared" si="279"/>
        <v>8.3626532506466691E-2</v>
      </c>
      <c r="E396" s="23">
        <v>10.8017048</v>
      </c>
      <c r="F396" s="23">
        <f>IF(K396&lt;6,1,IF(Data!K396&lt;9,2,IF(K396&gt;9,3)))</f>
        <v>3</v>
      </c>
      <c r="G396" s="23">
        <v>1048.5097323315656</v>
      </c>
      <c r="H396" s="23">
        <v>219.566665</v>
      </c>
      <c r="I396" s="64">
        <v>47.856706595018423</v>
      </c>
      <c r="J396" s="65">
        <f t="shared" si="280"/>
        <v>1.6314679559003644</v>
      </c>
      <c r="K396" s="65">
        <f t="shared" si="281"/>
        <v>19.142682638007368</v>
      </c>
      <c r="L396" s="65">
        <f t="shared" si="282"/>
        <v>0.65258718236017421</v>
      </c>
      <c r="M396">
        <f t="shared" si="283"/>
        <v>21.603409599999999</v>
      </c>
      <c r="N396">
        <f t="shared" si="284"/>
        <v>0.1999967999999992</v>
      </c>
      <c r="O396">
        <f>IF(L396&lt;'Vehicle Data'!F$21,'Vehicle Data'!C$21,IF(L396&gt;'Vehicle Data'!C$21,'Vehicle Data'!C$20))</f>
        <v>0.6</v>
      </c>
      <c r="P396">
        <f>('Vehicle Data'!C$6*9.81*'Vehicle Data'!C$5*SIN(D396))/'Vehicle Data'!C$9</f>
        <v>55.627664279577644</v>
      </c>
      <c r="Q396" s="107">
        <f>'Vehicle Data'!C$6*9.81*SIN(D396)</f>
        <v>359.7255623412687</v>
      </c>
      <c r="R396" s="101">
        <f t="shared" si="278"/>
        <v>1046.1189027031448</v>
      </c>
      <c r="S396" s="101">
        <f>IF(Data!O396=0.6,'Vehicle Data'!E$21,IF(Data!O396 = 0.9,'Vehicle Data'!E$20))+(P396*O396)</f>
        <v>1583.7489985677464</v>
      </c>
      <c r="T396" s="101">
        <f>IF(F396=3,'Vehicle Data'!H$16,IF(F396=2,'Vehicle Data'!H$15,IF(F396 = 1,'Vehicle Data'!G$14)))</f>
        <v>466.23005239380637</v>
      </c>
      <c r="U396" s="148">
        <f t="shared" si="285"/>
        <v>329.98042057982877</v>
      </c>
      <c r="V396" s="102" t="s">
        <v>77</v>
      </c>
      <c r="W396" s="103" t="s">
        <v>84</v>
      </c>
      <c r="X396" s="101">
        <f>IF(V396="S",'Vehicle Data'!C$14,IF(Data!V396 = "T1",'Vehicle Data'!P$2,IF(Data!V396="T2",'Vehicle Data'!P$3)))</f>
        <v>13.411199999999999</v>
      </c>
      <c r="Y396" s="101"/>
      <c r="Z396" s="105">
        <v>8.3000000000000007</v>
      </c>
      <c r="AA396" s="101"/>
      <c r="AB396" s="101" t="b">
        <f>IF(AA396=1,'Vehicle Data'!I$14,IF(AA396=2,'Vehicle Data'!I$15,IF(AA396=3,'Vehicle Data'!I$16)))</f>
        <v>0</v>
      </c>
      <c r="AC396" s="101">
        <f>IF(Z396&lt;'Vehicle Data'!C$16,'Vehicle Data'!I$15,IF(Z396&lt;'Vehicle Data'!C$15,'Vehicle Data'!I$15,IF(Z395&gt;'Vehicle Data'!C$15,'Vehicle Data'!I$16)))</f>
        <v>0.98256251041858167</v>
      </c>
      <c r="AD396">
        <f>IF(O396=0.6,'Vehicle Data'!F$21,IF(O396=0.9,'Vehicle Data'!F$20))</f>
        <v>3.5315999999999996</v>
      </c>
      <c r="AE396" s="101">
        <f>(Data!H$15-Data!Q396)/'Vehicle Data'!C$6</f>
        <v>-0.33760568870448454</v>
      </c>
      <c r="AF396" s="158">
        <f t="shared" si="306"/>
        <v>0.28763730462884834</v>
      </c>
      <c r="AG396" s="148">
        <f t="shared" si="289"/>
        <v>0</v>
      </c>
      <c r="AH396" s="148">
        <f t="shared" si="307"/>
        <v>126.87876818225395</v>
      </c>
      <c r="AI396" s="101"/>
      <c r="AJ396" s="101">
        <f>(Z396^2)*'Vehicle Data'!C$31</f>
        <v>25.317075000000013</v>
      </c>
      <c r="AK396" s="101">
        <f>IF(O396=0.6,'Vehicle Data'!C$6*'Vehicle Data'!D$21*9.81,IF(O396=0.9,'Vehicle Data'!C$6*9.81*'Vehicle Data'!D$20))</f>
        <v>86.131799999999998</v>
      </c>
      <c r="AL396" s="101">
        <f t="shared" si="286"/>
        <v>471.17443734126869</v>
      </c>
      <c r="AM396" s="101"/>
      <c r="AN396" t="b">
        <f>IF(AG396&gt;0,AG396*'Vehicle Data'!C$6)</f>
        <v>0</v>
      </c>
      <c r="AO396" s="101">
        <f t="shared" si="290"/>
        <v>471.17443734126869</v>
      </c>
      <c r="AP396" s="101">
        <f>AO396*'Vehicle Data'!F$3</f>
        <v>120.43218618442828</v>
      </c>
      <c r="AQ396">
        <v>20</v>
      </c>
      <c r="AR396">
        <f>IF(Z396&lt;'Vehicle Data'!C$16, Z396*'Vehicle Data'!F$7*'Vehicle Data'!G$14,IF(Z396&lt;'Vehicle Data'!C$15,Z396*'Vehicle Data'!F$7*'Vehicle Data'!G$15,IF(Z396&gt;'Vehicle Data'!C$15,Z396*'Vehicle Data'!F$7*'Vehicle Data'!G$16)))</f>
        <v>107.59259259259261</v>
      </c>
      <c r="AS396">
        <f t="shared" si="308"/>
        <v>6455.5555555555566</v>
      </c>
      <c r="AT396">
        <f t="shared" si="309"/>
        <v>20</v>
      </c>
      <c r="AU396">
        <f t="shared" si="310"/>
        <v>6500</v>
      </c>
      <c r="AW396">
        <f>VLOOKUP(AT396,BSFC!A$64:A$82,1,FALSE)</f>
        <v>20</v>
      </c>
      <c r="AX396" t="e" cm="1">
        <f t="array" ref="AX396">_xlfn.XLOOKUP(AT396,BSFC!A$64:A$82,,-1,_xlfn.XLOOKUP(Data!AU396,BSFC!C$63:Q$63,BSFC!B$64:Q$82,,-1))</f>
        <v>#VALUE!</v>
      </c>
      <c r="AY396">
        <f>HLOOKUP(AU396,BSFC!F$63:Q$63,1)</f>
        <v>6500</v>
      </c>
      <c r="AZ396">
        <f>IF(AT396&gt;0,MATCH(AT396,BSFC!A$64:A$83,0),IF(AT396&lt;=0,0))</f>
        <v>3</v>
      </c>
      <c r="BA396">
        <f>MATCH(AU396,BSFC!C$63:Q$63,0)</f>
        <v>13</v>
      </c>
      <c r="BB396" cm="1">
        <f t="array" ref="BB396">IF(AZ396&gt;0,INDEX(BSFC!C$64:Q$83,Data!AZ396,Data!BA396))</f>
        <v>494.7</v>
      </c>
      <c r="BC396">
        <f>0.5*'Vehicle Data'!C$6*Data!Z396^2</f>
        <v>15121.355000000003</v>
      </c>
      <c r="BD396">
        <f t="shared" si="291"/>
        <v>13.465906457145509</v>
      </c>
      <c r="BE396">
        <f t="shared" si="311"/>
        <v>6661.5839243498831</v>
      </c>
      <c r="BF396">
        <f t="shared" si="312"/>
        <v>0.53225556793301843</v>
      </c>
      <c r="BG396">
        <f t="shared" si="292"/>
        <v>154.89533636235782</v>
      </c>
      <c r="BH396">
        <f t="shared" si="271"/>
        <v>13465.906457145509</v>
      </c>
      <c r="BI396" s="148">
        <f t="shared" si="293"/>
        <v>6871.6622130335309</v>
      </c>
      <c r="BO396">
        <f t="shared" si="294"/>
        <v>3878.8780881067369</v>
      </c>
      <c r="BP396">
        <f t="shared" si="295"/>
        <v>694191.41295153333</v>
      </c>
      <c r="BQ396">
        <f t="shared" si="296"/>
        <v>935283.2338224214</v>
      </c>
      <c r="BR396" s="148">
        <f t="shared" si="297"/>
        <v>873847.43136573199</v>
      </c>
      <c r="BS396" s="156">
        <f t="shared" si="298"/>
        <v>3878.8780881067369</v>
      </c>
      <c r="BT396" s="156">
        <f t="shared" si="299"/>
        <v>13465.906457145509</v>
      </c>
      <c r="BU396">
        <f t="shared" si="300"/>
        <v>1979.3944114963781</v>
      </c>
      <c r="BV396">
        <f t="shared" si="301"/>
        <v>1979.3944114963781</v>
      </c>
      <c r="BW396" s="148">
        <f t="shared" si="302"/>
        <v>455.4</v>
      </c>
      <c r="BX396" s="148">
        <f t="shared" si="303"/>
        <v>3129354.9718154697</v>
      </c>
      <c r="BY396" s="148">
        <f t="shared" si="304"/>
        <v>0.25039339305429176</v>
      </c>
      <c r="BZ396">
        <f t="shared" si="287"/>
        <v>126.87876818225395</v>
      </c>
      <c r="CB396">
        <f t="shared" si="305"/>
        <v>-1899.4836766103588</v>
      </c>
      <c r="CC396" s="162">
        <f t="shared" si="288"/>
        <v>-6603.745919053762</v>
      </c>
      <c r="CD396">
        <f t="shared" si="313"/>
        <v>-62167.742935715818</v>
      </c>
    </row>
    <row r="397" spans="4:82" x14ac:dyDescent="0.2">
      <c r="D397" s="22">
        <f t="shared" si="279"/>
        <v>4.8314625047584658E-2</v>
      </c>
      <c r="E397" s="23">
        <v>11.001701599999999</v>
      </c>
      <c r="F397" s="23">
        <f>IF(K397&lt;6,1,IF(Data!K397&lt;9,2,IF(K397&gt;9,3)))</f>
        <v>3</v>
      </c>
      <c r="G397" s="23">
        <v>1050.90406931809</v>
      </c>
      <c r="H397" s="23">
        <v>219.61666499999998</v>
      </c>
      <c r="I397" s="64">
        <v>47.938279992813413</v>
      </c>
      <c r="J397" s="65">
        <f t="shared" si="280"/>
        <v>1.612882005716247</v>
      </c>
      <c r="K397" s="65">
        <f t="shared" si="281"/>
        <v>19.175311997125366</v>
      </c>
      <c r="L397" s="65">
        <f t="shared" si="282"/>
        <v>0.64515280228647043</v>
      </c>
      <c r="M397">
        <f t="shared" si="283"/>
        <v>22.003403199999997</v>
      </c>
      <c r="N397">
        <f t="shared" si="284"/>
        <v>0.11580771547588853</v>
      </c>
      <c r="O397">
        <f>IF(L397&lt;'Vehicle Data'!F$21,'Vehicle Data'!C$21,IF(L397&gt;'Vehicle Data'!C$21,'Vehicle Data'!C$20))</f>
        <v>0.6</v>
      </c>
      <c r="P397">
        <f>('Vehicle Data'!C$6*9.81*'Vehicle Data'!C$5*SIN(D397))/'Vehicle Data'!C$9</f>
        <v>32.163454684879788</v>
      </c>
      <c r="Q397" s="107">
        <f>'Vehicle Data'!C$6*9.81*SIN(D397)</f>
        <v>207.99034029555594</v>
      </c>
      <c r="R397" s="101">
        <f t="shared" si="278"/>
        <v>1048.5097323315656</v>
      </c>
      <c r="S397" s="101">
        <f>IF(Data!O397=0.6,'Vehicle Data'!E$21,IF(Data!O397 = 0.9,'Vehicle Data'!E$20))+(P397*O397)</f>
        <v>1569.6704728109275</v>
      </c>
      <c r="T397" s="101">
        <f>IF(F397=3,'Vehicle Data'!H$16,IF(F397=2,'Vehicle Data'!H$15,IF(F397 = 1,'Vehicle Data'!G$14)))</f>
        <v>466.23005239380637</v>
      </c>
      <c r="U397" s="148">
        <f t="shared" si="285"/>
        <v>332.37125020824953</v>
      </c>
      <c r="V397" s="102" t="s">
        <v>77</v>
      </c>
      <c r="W397" s="103" t="s">
        <v>84</v>
      </c>
      <c r="X397" s="101">
        <f>IF(V397="S",'Vehicle Data'!C$14,IF(Data!V397 = "T1",'Vehicle Data'!P$2,IF(Data!V397="T2",'Vehicle Data'!P$3)))</f>
        <v>13.411199999999999</v>
      </c>
      <c r="Y397" s="101"/>
      <c r="Z397" s="105">
        <v>8.3000000000000007</v>
      </c>
      <c r="AA397" s="101"/>
      <c r="AB397" s="101" t="b">
        <f>IF(AA397=1,'Vehicle Data'!I$14,IF(AA397=2,'Vehicle Data'!I$15,IF(AA397=3,'Vehicle Data'!I$16)))</f>
        <v>0</v>
      </c>
      <c r="AC397" s="101">
        <f>IF(Z397&lt;'Vehicle Data'!C$16,'Vehicle Data'!I$15,IF(Z397&lt;'Vehicle Data'!C$15,'Vehicle Data'!I$15,IF(Z396&gt;'Vehicle Data'!C$15,'Vehicle Data'!I$16)))</f>
        <v>0.98256251041858167</v>
      </c>
      <c r="AD397">
        <f>IF(O397=0.6,'Vehicle Data'!F$21,IF(O397=0.9,'Vehicle Data'!F$20))</f>
        <v>3.5315999999999996</v>
      </c>
      <c r="AE397" s="101">
        <f>(Data!H$15-Data!Q397)/'Vehicle Data'!C$6</f>
        <v>8.0326303062506852E-3</v>
      </c>
      <c r="AF397" s="158">
        <f t="shared" si="306"/>
        <v>0.28805176246033259</v>
      </c>
      <c r="AG397" s="148">
        <f t="shared" si="289"/>
        <v>0</v>
      </c>
      <c r="AH397" s="148">
        <f t="shared" si="307"/>
        <v>127.16681994471428</v>
      </c>
      <c r="AI397" s="101"/>
      <c r="AJ397" s="101">
        <f>(Z397^2)*'Vehicle Data'!C$31</f>
        <v>25.317075000000013</v>
      </c>
      <c r="AK397" s="101">
        <f>IF(O397=0.6,'Vehicle Data'!C$6*'Vehicle Data'!D$21*9.81,IF(O397=0.9,'Vehicle Data'!C$6*9.81*'Vehicle Data'!D$20))</f>
        <v>86.131799999999998</v>
      </c>
      <c r="AL397" s="101">
        <f t="shared" si="286"/>
        <v>319.43921529555598</v>
      </c>
      <c r="AM397" s="101"/>
      <c r="AN397" t="b">
        <f>IF(AG397&gt;0,AG397*'Vehicle Data'!C$6)</f>
        <v>0</v>
      </c>
      <c r="AO397" s="101">
        <f t="shared" si="290"/>
        <v>319.43921529555598</v>
      </c>
      <c r="AP397" s="101">
        <f>AO397*'Vehicle Data'!F$3</f>
        <v>81.648663429544101</v>
      </c>
      <c r="AQ397">
        <v>20</v>
      </c>
      <c r="AR397">
        <f>IF(Z397&lt;'Vehicle Data'!C$16, Z397*'Vehicle Data'!F$7*'Vehicle Data'!G$14,IF(Z397&lt;'Vehicle Data'!C$15,Z397*'Vehicle Data'!F$7*'Vehicle Data'!G$15,IF(Z397&gt;'Vehicle Data'!C$15,Z397*'Vehicle Data'!F$7*'Vehicle Data'!G$16)))</f>
        <v>107.59259259259261</v>
      </c>
      <c r="AS397">
        <f t="shared" si="308"/>
        <v>6455.5555555555566</v>
      </c>
      <c r="AT397">
        <f t="shared" si="309"/>
        <v>20</v>
      </c>
      <c r="AU397">
        <f t="shared" si="310"/>
        <v>6500</v>
      </c>
      <c r="AW397">
        <f>VLOOKUP(AT397,BSFC!A$64:A$82,1,FALSE)</f>
        <v>20</v>
      </c>
      <c r="AX397" t="e" cm="1">
        <f t="array" ref="AX397">_xlfn.XLOOKUP(AT397,BSFC!A$64:A$82,,-1,_xlfn.XLOOKUP(Data!AU397,BSFC!C$63:Q$63,BSFC!B$64:Q$82,,-1))</f>
        <v>#VALUE!</v>
      </c>
      <c r="AY397">
        <f>HLOOKUP(AU397,BSFC!F$63:Q$63,1)</f>
        <v>6500</v>
      </c>
      <c r="AZ397">
        <f>IF(AT397&gt;0,MATCH(AT397,BSFC!A$64:A$83,0),IF(AT397&lt;=0,0))</f>
        <v>3</v>
      </c>
      <c r="BA397">
        <f>MATCH(AU397,BSFC!C$63:Q$63,0)</f>
        <v>13</v>
      </c>
      <c r="BB397" cm="1">
        <f t="array" ref="BB397">IF(AZ397&gt;0,INDEX(BSFC!C$64:Q$83,Data!AZ397,Data!BA397))</f>
        <v>494.7</v>
      </c>
      <c r="BC397">
        <f>0.5*'Vehicle Data'!C$6*Data!Z397^2</f>
        <v>15121.355000000003</v>
      </c>
      <c r="BD397">
        <f t="shared" si="291"/>
        <v>13.465906457145509</v>
      </c>
      <c r="BE397">
        <f t="shared" si="311"/>
        <v>6661.5839243498831</v>
      </c>
      <c r="BF397">
        <f t="shared" si="312"/>
        <v>0.53302249727400075</v>
      </c>
      <c r="BG397">
        <f t="shared" si="292"/>
        <v>155.42835885963183</v>
      </c>
      <c r="BH397">
        <f t="shared" si="271"/>
        <v>13465.906457145509</v>
      </c>
      <c r="BI397" s="148">
        <f t="shared" si="293"/>
        <v>6871.6622130335309</v>
      </c>
      <c r="BO397">
        <f t="shared" si="294"/>
        <v>3884.5684201712693</v>
      </c>
      <c r="BP397">
        <f t="shared" si="295"/>
        <v>698075.98137170461</v>
      </c>
      <c r="BQ397">
        <f t="shared" si="296"/>
        <v>939167.80224259268</v>
      </c>
      <c r="BR397" s="148">
        <f t="shared" si="297"/>
        <v>875829.72955796914</v>
      </c>
      <c r="BS397" s="156">
        <f t="shared" si="298"/>
        <v>3884.5684201712693</v>
      </c>
      <c r="BT397" s="156">
        <f t="shared" si="299"/>
        <v>13465.906457145509</v>
      </c>
      <c r="BU397">
        <f t="shared" si="300"/>
        <v>1982.2981922371621</v>
      </c>
      <c r="BV397">
        <f t="shared" si="301"/>
        <v>1982.2981922371621</v>
      </c>
      <c r="BW397" s="148">
        <f t="shared" si="302"/>
        <v>455.4</v>
      </c>
      <c r="BX397" s="148">
        <f t="shared" si="303"/>
        <v>3129354.9718154697</v>
      </c>
      <c r="BY397" s="148">
        <f t="shared" si="304"/>
        <v>0.25076072131800098</v>
      </c>
      <c r="BZ397">
        <f t="shared" si="287"/>
        <v>127.16681994471428</v>
      </c>
      <c r="CB397">
        <f t="shared" si="305"/>
        <v>-1902.2702279341072</v>
      </c>
      <c r="CC397" s="162">
        <f t="shared" si="288"/>
        <v>-6603.9180308646901</v>
      </c>
      <c r="CD397">
        <f t="shared" si="313"/>
        <v>-64070.013163649928</v>
      </c>
    </row>
    <row r="398" spans="4:82" x14ac:dyDescent="0.2">
      <c r="D398" s="22">
        <f t="shared" si="279"/>
        <v>4.1651209028775893E-2</v>
      </c>
      <c r="E398" s="23">
        <v>11.117509315475887</v>
      </c>
      <c r="F398" s="23">
        <f>IF(K398&lt;6,1,IF(Data!K398&lt;9,2,IF(K398&gt;9,3)))</f>
        <v>3</v>
      </c>
      <c r="G398" s="23">
        <v>1053.3019515884041</v>
      </c>
      <c r="H398" s="23">
        <v>219.66666499999999</v>
      </c>
      <c r="I398" s="64">
        <v>48.018924093099244</v>
      </c>
      <c r="J398" s="65">
        <f t="shared" si="280"/>
        <v>1.616747093508178</v>
      </c>
      <c r="K398" s="65">
        <f t="shared" si="281"/>
        <v>19.207569637239697</v>
      </c>
      <c r="L398" s="65">
        <f t="shared" si="282"/>
        <v>0.6466988374032997</v>
      </c>
      <c r="M398">
        <f t="shared" si="283"/>
        <v>22.235018630951775</v>
      </c>
      <c r="N398">
        <f t="shared" si="284"/>
        <v>9.9998526419128098E-2</v>
      </c>
      <c r="O398">
        <f>IF(L398&lt;'Vehicle Data'!F$21,'Vehicle Data'!C$21,IF(L398&gt;'Vehicle Data'!C$21,'Vehicle Data'!C$20))</f>
        <v>0.6</v>
      </c>
      <c r="P398">
        <f>('Vehicle Data'!C$6*9.81*'Vehicle Data'!C$5*SIN(D398))/'Vehicle Data'!C$9</f>
        <v>27.730333128335385</v>
      </c>
      <c r="Q398" s="107">
        <f>'Vehicle Data'!C$6*9.81*SIN(D398)</f>
        <v>179.3228208965688</v>
      </c>
      <c r="R398" s="101">
        <f t="shared" si="278"/>
        <v>1050.90406931809</v>
      </c>
      <c r="S398" s="101">
        <f>IF(Data!O398=0.6,'Vehicle Data'!E$21,IF(Data!O398 = 0.9,'Vehicle Data'!E$20))+(P398*O398)</f>
        <v>1567.0105998770009</v>
      </c>
      <c r="T398" s="101">
        <f>IF(F398=3,'Vehicle Data'!H$16,IF(F398=2,'Vehicle Data'!H$15,IF(F398 = 1,'Vehicle Data'!G$14)))</f>
        <v>466.23005239380637</v>
      </c>
      <c r="U398" s="148">
        <f t="shared" si="285"/>
        <v>334.76558719477396</v>
      </c>
      <c r="V398" s="102" t="s">
        <v>77</v>
      </c>
      <c r="W398" s="103" t="s">
        <v>84</v>
      </c>
      <c r="X398" s="101">
        <f>IF(V398="S",'Vehicle Data'!C$14,IF(Data!V398 = "T1",'Vehicle Data'!P$2,IF(Data!V398="T2",'Vehicle Data'!P$3)))</f>
        <v>13.411199999999999</v>
      </c>
      <c r="Y398" s="101"/>
      <c r="Z398" s="105">
        <v>8.3000000000000007</v>
      </c>
      <c r="AA398" s="101"/>
      <c r="AB398" s="101" t="b">
        <f>IF(AA398=1,'Vehicle Data'!I$14,IF(AA398=2,'Vehicle Data'!I$15,IF(AA398=3,'Vehicle Data'!I$16)))</f>
        <v>0</v>
      </c>
      <c r="AC398" s="101">
        <f>IF(Z398&lt;'Vehicle Data'!C$16,'Vehicle Data'!I$15,IF(Z398&lt;'Vehicle Data'!C$15,'Vehicle Data'!I$15,IF(Z397&gt;'Vehicle Data'!C$15,'Vehicle Data'!I$16)))</f>
        <v>0.98256251041858167</v>
      </c>
      <c r="AD398">
        <f>IF(O398=0.6,'Vehicle Data'!F$21,IF(O398=0.9,'Vehicle Data'!F$20))</f>
        <v>3.5315999999999996</v>
      </c>
      <c r="AE398" s="101">
        <f>(Data!H$15-Data!Q398)/'Vehicle Data'!C$6</f>
        <v>7.3334496818749859E-2</v>
      </c>
      <c r="AF398" s="158">
        <f t="shared" si="306"/>
        <v>0.28847433572583397</v>
      </c>
      <c r="AG398" s="148">
        <f t="shared" si="289"/>
        <v>0</v>
      </c>
      <c r="AH398" s="148">
        <f t="shared" si="307"/>
        <v>127.45529428044011</v>
      </c>
      <c r="AI398" s="101"/>
      <c r="AJ398" s="101">
        <f>(Z398^2)*'Vehicle Data'!C$31</f>
        <v>25.317075000000013</v>
      </c>
      <c r="AK398" s="101">
        <f>IF(O398=0.6,'Vehicle Data'!C$6*'Vehicle Data'!D$21*9.81,IF(O398=0.9,'Vehicle Data'!C$6*9.81*'Vehicle Data'!D$20))</f>
        <v>86.131799999999998</v>
      </c>
      <c r="AL398" s="101">
        <f t="shared" si="286"/>
        <v>290.77169589656881</v>
      </c>
      <c r="AM398" s="101"/>
      <c r="AN398" t="b">
        <f>IF(AG398&gt;0,AG398*'Vehicle Data'!C$6)</f>
        <v>0</v>
      </c>
      <c r="AO398" s="101">
        <f t="shared" si="290"/>
        <v>290.77169589656881</v>
      </c>
      <c r="AP398" s="101">
        <f>AO398*'Vehicle Data'!F$3</f>
        <v>74.321245471162982</v>
      </c>
      <c r="AQ398">
        <v>20</v>
      </c>
      <c r="AR398">
        <f>IF(Z398&lt;'Vehicle Data'!C$16, Z398*'Vehicle Data'!F$7*'Vehicle Data'!G$14,IF(Z398&lt;'Vehicle Data'!C$15,Z398*'Vehicle Data'!F$7*'Vehicle Data'!G$15,IF(Z398&gt;'Vehicle Data'!C$15,Z398*'Vehicle Data'!F$7*'Vehicle Data'!G$16)))</f>
        <v>107.59259259259261</v>
      </c>
      <c r="AS398">
        <f t="shared" si="308"/>
        <v>6455.5555555555566</v>
      </c>
      <c r="AT398">
        <f t="shared" si="309"/>
        <v>20</v>
      </c>
      <c r="AU398">
        <f t="shared" si="310"/>
        <v>6500</v>
      </c>
      <c r="AW398">
        <f>VLOOKUP(AT398,BSFC!A$64:A$82,1,FALSE)</f>
        <v>20</v>
      </c>
      <c r="AX398" t="e" cm="1">
        <f t="array" ref="AX398">_xlfn.XLOOKUP(AT398,BSFC!A$64:A$82,,-1,_xlfn.XLOOKUP(Data!AU398,BSFC!C$63:Q$63,BSFC!B$64:Q$82,,-1))</f>
        <v>#VALUE!</v>
      </c>
      <c r="AY398">
        <f>HLOOKUP(AU398,BSFC!F$63:Q$63,1)</f>
        <v>6500</v>
      </c>
      <c r="AZ398">
        <f>IF(AT398&gt;0,MATCH(AT398,BSFC!A$64:A$83,0),IF(AT398&lt;=0,0))</f>
        <v>3</v>
      </c>
      <c r="BA398">
        <f>MATCH(AU398,BSFC!C$63:Q$63,0)</f>
        <v>13</v>
      </c>
      <c r="BB398" cm="1">
        <f t="array" ref="BB398">IF(AZ398&gt;0,INDEX(BSFC!C$64:Q$83,Data!AZ398,Data!BA398))</f>
        <v>494.7</v>
      </c>
      <c r="BC398">
        <f>0.5*'Vehicle Data'!C$6*Data!Z398^2</f>
        <v>15121.355000000003</v>
      </c>
      <c r="BD398">
        <f t="shared" si="291"/>
        <v>13.465906457145509</v>
      </c>
      <c r="BE398">
        <f t="shared" si="311"/>
        <v>6661.5839243498831</v>
      </c>
      <c r="BF398">
        <f t="shared" si="312"/>
        <v>0.53380444373853519</v>
      </c>
      <c r="BG398">
        <f t="shared" si="292"/>
        <v>155.96216330337037</v>
      </c>
      <c r="BH398">
        <f t="shared" si="271"/>
        <v>13465.906457145509</v>
      </c>
      <c r="BI398" s="148">
        <f t="shared" si="293"/>
        <v>6871.6622130335309</v>
      </c>
      <c r="BO398">
        <f t="shared" si="294"/>
        <v>3890.3202828068875</v>
      </c>
      <c r="BP398">
        <f t="shared" si="295"/>
        <v>701966.30165451148</v>
      </c>
      <c r="BQ398">
        <f t="shared" si="296"/>
        <v>943058.12252539955</v>
      </c>
      <c r="BR398" s="148">
        <f t="shared" si="297"/>
        <v>877814.96293004393</v>
      </c>
      <c r="BS398" s="156">
        <f t="shared" si="298"/>
        <v>3890.3202828068875</v>
      </c>
      <c r="BT398" s="156">
        <f t="shared" si="299"/>
        <v>13465.906457145509</v>
      </c>
      <c r="BU398">
        <f t="shared" si="300"/>
        <v>1985.2333720747411</v>
      </c>
      <c r="BV398">
        <f t="shared" si="301"/>
        <v>1985.2333720747411</v>
      </c>
      <c r="BW398" s="148">
        <f t="shared" si="302"/>
        <v>455.4</v>
      </c>
      <c r="BX398" s="148">
        <f t="shared" si="303"/>
        <v>3129354.9718154697</v>
      </c>
      <c r="BY398" s="148">
        <f t="shared" si="304"/>
        <v>0.25113202156745468</v>
      </c>
      <c r="BZ398">
        <f t="shared" si="287"/>
        <v>127.45529428044011</v>
      </c>
      <c r="CB398">
        <f t="shared" si="305"/>
        <v>-1905.0869107321464</v>
      </c>
      <c r="CC398" s="162">
        <f t="shared" si="288"/>
        <v>-6604.0083113068313</v>
      </c>
      <c r="CD398">
        <f t="shared" si="313"/>
        <v>-65975.100074382077</v>
      </c>
    </row>
    <row r="399" spans="4:82" x14ac:dyDescent="0.2">
      <c r="D399" s="22">
        <f t="shared" si="279"/>
        <v>7.6649926927881112E-2</v>
      </c>
      <c r="E399" s="23">
        <v>11.217507841895015</v>
      </c>
      <c r="F399" s="23">
        <f>IF(K399&lt;6,1,IF(Data!K399&lt;9,2,IF(K399&gt;9,3)))</f>
        <v>3</v>
      </c>
      <c r="G399" s="23">
        <v>1055.703501216824</v>
      </c>
      <c r="H399" s="23">
        <v>219.71666499999998</v>
      </c>
      <c r="I399" s="64">
        <v>48.099761447774625</v>
      </c>
      <c r="J399" s="65">
        <f t="shared" si="280"/>
        <v>1.757489287055618</v>
      </c>
      <c r="K399" s="65">
        <f t="shared" si="281"/>
        <v>19.239904579109851</v>
      </c>
      <c r="L399" s="65">
        <f t="shared" si="282"/>
        <v>0.70299571482221879</v>
      </c>
      <c r="M399">
        <f t="shared" si="283"/>
        <v>22.435015683790031</v>
      </c>
      <c r="N399">
        <f t="shared" si="284"/>
        <v>0.18419535810498466</v>
      </c>
      <c r="O399">
        <f>IF(L399&lt;'Vehicle Data'!F$21,'Vehicle Data'!C$21,IF(L399&gt;'Vehicle Data'!C$21,'Vehicle Data'!C$20))</f>
        <v>0.6</v>
      </c>
      <c r="P399">
        <f>('Vehicle Data'!C$6*9.81*'Vehicle Data'!C$5*SIN(D399))/'Vehicle Data'!C$9</f>
        <v>50.996392174361247</v>
      </c>
      <c r="Q399" s="107">
        <f>'Vehicle Data'!C$6*9.81*SIN(D399)</f>
        <v>329.77666939420271</v>
      </c>
      <c r="R399" s="101">
        <f t="shared" si="278"/>
        <v>1053.3019515884041</v>
      </c>
      <c r="S399" s="101">
        <f>IF(Data!O399=0.6,'Vehicle Data'!E$21,IF(Data!O399 = 0.9,'Vehicle Data'!E$20))+(P399*O399)</f>
        <v>1580.9702353046164</v>
      </c>
      <c r="T399" s="101">
        <f>IF(F399=3,'Vehicle Data'!H$16,IF(F399=2,'Vehicle Data'!H$15,IF(F399 = 1,'Vehicle Data'!G$14)))</f>
        <v>466.23005239380637</v>
      </c>
      <c r="U399" s="148">
        <f t="shared" si="285"/>
        <v>337.16346946508804</v>
      </c>
      <c r="V399" s="102" t="s">
        <v>77</v>
      </c>
      <c r="W399" s="103" t="s">
        <v>84</v>
      </c>
      <c r="X399" s="101">
        <f>IF(V399="S",'Vehicle Data'!C$14,IF(Data!V399 = "T1",'Vehicle Data'!P$2,IF(Data!V399="T2",'Vehicle Data'!P$3)))</f>
        <v>13.411199999999999</v>
      </c>
      <c r="Y399" s="101"/>
      <c r="Z399" s="105">
        <v>8.3000000000000007</v>
      </c>
      <c r="AA399" s="101"/>
      <c r="AB399" s="101" t="b">
        <f>IF(AA399=1,'Vehicle Data'!I$14,IF(AA399=2,'Vehicle Data'!I$15,IF(AA399=3,'Vehicle Data'!I$16)))</f>
        <v>0</v>
      </c>
      <c r="AC399" s="101">
        <f>IF(Z399&lt;'Vehicle Data'!C$16,'Vehicle Data'!I$15,IF(Z399&lt;'Vehicle Data'!C$15,'Vehicle Data'!I$15,IF(Z398&gt;'Vehicle Data'!C$15,'Vehicle Data'!I$16)))</f>
        <v>0.98256251041858167</v>
      </c>
      <c r="AD399">
        <f>IF(O399=0.6,'Vehicle Data'!F$21,IF(O399=0.9,'Vehicle Data'!F$20))</f>
        <v>3.5315999999999996</v>
      </c>
      <c r="AE399" s="101">
        <f>(Data!H$15-Data!Q399)/'Vehicle Data'!C$6</f>
        <v>-0.26938497584100846</v>
      </c>
      <c r="AF399" s="158">
        <f t="shared" si="306"/>
        <v>0.28890147835109453</v>
      </c>
      <c r="AG399" s="148">
        <f t="shared" si="289"/>
        <v>0</v>
      </c>
      <c r="AH399" s="148">
        <f t="shared" si="307"/>
        <v>127.74419575879121</v>
      </c>
      <c r="AI399" s="101"/>
      <c r="AJ399" s="101">
        <f>(Z399^2)*'Vehicle Data'!C$31</f>
        <v>25.317075000000013</v>
      </c>
      <c r="AK399" s="101">
        <f>IF(O399=0.6,'Vehicle Data'!C$6*'Vehicle Data'!D$21*9.81,IF(O399=0.9,'Vehicle Data'!C$6*9.81*'Vehicle Data'!D$20))</f>
        <v>86.131799999999998</v>
      </c>
      <c r="AL399" s="101">
        <f t="shared" si="286"/>
        <v>441.22554439420276</v>
      </c>
      <c r="AM399" s="101"/>
      <c r="AN399" t="b">
        <f>IF(AG399&gt;0,AG399*'Vehicle Data'!C$6)</f>
        <v>0</v>
      </c>
      <c r="AO399" s="101">
        <f t="shared" si="290"/>
        <v>441.22554439420276</v>
      </c>
      <c r="AP399" s="101">
        <f>AO399*'Vehicle Data'!F$3</f>
        <v>112.77724914715822</v>
      </c>
      <c r="AQ399">
        <v>20</v>
      </c>
      <c r="AR399">
        <f>IF(Z399&lt;'Vehicle Data'!C$16, Z399*'Vehicle Data'!F$7*'Vehicle Data'!G$14,IF(Z399&lt;'Vehicle Data'!C$15,Z399*'Vehicle Data'!F$7*'Vehicle Data'!G$15,IF(Z399&gt;'Vehicle Data'!C$15,Z399*'Vehicle Data'!F$7*'Vehicle Data'!G$16)))</f>
        <v>107.59259259259261</v>
      </c>
      <c r="AS399">
        <f t="shared" si="308"/>
        <v>6455.5555555555566</v>
      </c>
      <c r="AT399">
        <f t="shared" si="309"/>
        <v>20</v>
      </c>
      <c r="AU399">
        <f t="shared" si="310"/>
        <v>6500</v>
      </c>
      <c r="AW399">
        <f>VLOOKUP(AT399,BSFC!A$64:A$82,1,FALSE)</f>
        <v>20</v>
      </c>
      <c r="AX399" t="e" cm="1">
        <f t="array" ref="AX399">_xlfn.XLOOKUP(AT399,BSFC!A$64:A$82,,-1,_xlfn.XLOOKUP(Data!AU399,BSFC!C$63:Q$63,BSFC!B$64:Q$82,,-1))</f>
        <v>#VALUE!</v>
      </c>
      <c r="AY399">
        <f>HLOOKUP(AU399,BSFC!F$63:Q$63,1)</f>
        <v>6500</v>
      </c>
      <c r="AZ399">
        <f>IF(AT399&gt;0,MATCH(AT399,BSFC!A$64:A$83,0),IF(AT399&lt;=0,0))</f>
        <v>3</v>
      </c>
      <c r="BA399">
        <f>MATCH(AU399,BSFC!C$63:Q$63,0)</f>
        <v>13</v>
      </c>
      <c r="BB399" cm="1">
        <f t="array" ref="BB399">IF(AZ399&gt;0,INDEX(BSFC!C$64:Q$83,Data!AZ399,Data!BA399))</f>
        <v>494.7</v>
      </c>
      <c r="BC399">
        <f>0.5*'Vehicle Data'!C$6*Data!Z399^2</f>
        <v>15121.355000000003</v>
      </c>
      <c r="BD399">
        <f t="shared" si="291"/>
        <v>13.465906457145509</v>
      </c>
      <c r="BE399">
        <f t="shared" si="311"/>
        <v>6661.5839243498831</v>
      </c>
      <c r="BF399">
        <f t="shared" si="312"/>
        <v>0.53459484552904646</v>
      </c>
      <c r="BG399">
        <f t="shared" si="292"/>
        <v>156.49675814889943</v>
      </c>
      <c r="BH399">
        <f t="shared" si="271"/>
        <v>13465.906457145509</v>
      </c>
      <c r="BI399" s="148">
        <f t="shared" si="293"/>
        <v>6871.6622130335309</v>
      </c>
      <c r="BO399">
        <f t="shared" si="294"/>
        <v>3896.2701986137545</v>
      </c>
      <c r="BP399">
        <f t="shared" si="295"/>
        <v>705862.57185312524</v>
      </c>
      <c r="BQ399">
        <f t="shared" si="296"/>
        <v>946954.39272401331</v>
      </c>
      <c r="BR399" s="148">
        <f t="shared" si="297"/>
        <v>879803.23254863883</v>
      </c>
      <c r="BS399" s="156">
        <f t="shared" si="298"/>
        <v>3896.2701986137545</v>
      </c>
      <c r="BT399" s="156">
        <f t="shared" si="299"/>
        <v>13465.906457145509</v>
      </c>
      <c r="BU399">
        <f t="shared" si="300"/>
        <v>1988.2696185948616</v>
      </c>
      <c r="BV399">
        <f t="shared" si="301"/>
        <v>1988.2696185948616</v>
      </c>
      <c r="BW399" s="148">
        <f t="shared" si="302"/>
        <v>455.4</v>
      </c>
      <c r="BX399" s="148">
        <f t="shared" si="303"/>
        <v>3129354.9718154697</v>
      </c>
      <c r="BY399" s="148">
        <f t="shared" si="304"/>
        <v>0.25151610675225</v>
      </c>
      <c r="BZ399">
        <f t="shared" si="287"/>
        <v>127.74419575879121</v>
      </c>
      <c r="CB399">
        <f t="shared" si="305"/>
        <v>-1908.0005800188928</v>
      </c>
      <c r="CC399" s="162">
        <f t="shared" si="288"/>
        <v>-6604.3295829042409</v>
      </c>
      <c r="CD399">
        <f t="shared" si="313"/>
        <v>-67883.100654400972</v>
      </c>
    </row>
    <row r="400" spans="4:82" x14ac:dyDescent="0.2">
      <c r="D400" s="22">
        <f t="shared" si="279"/>
        <v>0</v>
      </c>
      <c r="E400" s="23">
        <v>11.4017032</v>
      </c>
      <c r="F400" s="23">
        <f>IF(K400&lt;6,1,IF(Data!K400&lt;9,2,IF(K400&gt;9,3)))</f>
        <v>3</v>
      </c>
      <c r="G400" s="23">
        <v>1058.1089287709276</v>
      </c>
      <c r="H400" s="23">
        <v>219.76666499999999</v>
      </c>
      <c r="I400" s="64">
        <v>48.187635912127426</v>
      </c>
      <c r="J400" s="65">
        <f t="shared" si="280"/>
        <v>1.8680885259291828</v>
      </c>
      <c r="K400" s="65">
        <f t="shared" si="281"/>
        <v>19.27505436485097</v>
      </c>
      <c r="L400" s="65">
        <f t="shared" si="282"/>
        <v>0.7472354103717016</v>
      </c>
      <c r="M400">
        <f t="shared" si="283"/>
        <v>22.8034064</v>
      </c>
      <c r="N400">
        <f t="shared" si="284"/>
        <v>0</v>
      </c>
      <c r="O400">
        <f>IF(L400&lt;'Vehicle Data'!F$21,'Vehicle Data'!C$21,IF(L400&gt;'Vehicle Data'!C$21,'Vehicle Data'!C$20))</f>
        <v>0.6</v>
      </c>
      <c r="P400">
        <f>('Vehicle Data'!C$6*9.81*'Vehicle Data'!C$5*SIN(D400))/'Vehicle Data'!C$9</f>
        <v>0</v>
      </c>
      <c r="Q400" s="107">
        <f>'Vehicle Data'!C$6*9.81*SIN(D400)</f>
        <v>0</v>
      </c>
      <c r="R400" s="101">
        <f t="shared" si="278"/>
        <v>1055.703501216824</v>
      </c>
      <c r="S400" s="101">
        <f>IF(Data!O400=0.6,'Vehicle Data'!E$21,IF(Data!O400 = 0.9,'Vehicle Data'!E$20))+(P400*O400)</f>
        <v>1550.3723999999997</v>
      </c>
      <c r="T400" s="101">
        <f>IF(F400=3,'Vehicle Data'!H$16,IF(F400=2,'Vehicle Data'!H$15,IF(F400 = 1,'Vehicle Data'!G$14)))</f>
        <v>466.23005239380637</v>
      </c>
      <c r="U400" s="148">
        <f t="shared" si="285"/>
        <v>339.56501909350789</v>
      </c>
      <c r="V400" s="102" t="s">
        <v>77</v>
      </c>
      <c r="W400" s="103" t="s">
        <v>84</v>
      </c>
      <c r="X400" s="101">
        <f>IF(V400="S",'Vehicle Data'!C$14,IF(Data!V400 = "T1",'Vehicle Data'!P$2,IF(Data!V400="T2",'Vehicle Data'!P$3)))</f>
        <v>13.411199999999999</v>
      </c>
      <c r="Y400" s="101"/>
      <c r="Z400" s="105">
        <v>8.3000000000000007</v>
      </c>
      <c r="AA400" s="101"/>
      <c r="AB400" s="101" t="b">
        <f>IF(AA400=1,'Vehicle Data'!I$14,IF(AA400=2,'Vehicle Data'!I$15,IF(AA400=3,'Vehicle Data'!I$16)))</f>
        <v>0</v>
      </c>
      <c r="AC400" s="101">
        <f>IF(Z400&lt;'Vehicle Data'!C$16,'Vehicle Data'!I$15,IF(Z400&lt;'Vehicle Data'!C$15,'Vehicle Data'!I$15,IF(Z399&gt;'Vehicle Data'!C$15,'Vehicle Data'!I$16)))</f>
        <v>0.98256251041858167</v>
      </c>
      <c r="AD400">
        <f>IF(O400=0.6,'Vehicle Data'!F$21,IF(O400=0.9,'Vehicle Data'!F$20))</f>
        <v>3.5315999999999996</v>
      </c>
      <c r="AE400" s="101">
        <f>(Data!H$15-Data!Q400)/'Vehicle Data'!C$6</f>
        <v>0.48181472665148062</v>
      </c>
      <c r="AF400" s="158">
        <f t="shared" si="306"/>
        <v>0.28934332872528229</v>
      </c>
      <c r="AG400" s="148">
        <f t="shared" si="289"/>
        <v>0</v>
      </c>
      <c r="AH400" s="148">
        <f t="shared" si="307"/>
        <v>128.03353908751649</v>
      </c>
      <c r="AI400" s="101"/>
      <c r="AJ400" s="101">
        <f>(Z400^2)*'Vehicle Data'!C$31</f>
        <v>25.317075000000013</v>
      </c>
      <c r="AK400" s="101">
        <f>IF(O400=0.6,'Vehicle Data'!C$6*'Vehicle Data'!D$21*9.81,IF(O400=0.9,'Vehicle Data'!C$6*9.81*'Vehicle Data'!D$20))</f>
        <v>86.131799999999998</v>
      </c>
      <c r="AL400" s="101">
        <f t="shared" si="286"/>
        <v>111.44887500000002</v>
      </c>
      <c r="AM400" s="101"/>
      <c r="AN400" t="b">
        <f>IF(AG400&gt;0,AG400*'Vehicle Data'!C$6)</f>
        <v>0</v>
      </c>
      <c r="AO400" s="101">
        <f t="shared" si="290"/>
        <v>111.44887500000002</v>
      </c>
      <c r="AP400" s="101">
        <f>AO400*'Vehicle Data'!F$3</f>
        <v>28.486332450000003</v>
      </c>
      <c r="AQ400">
        <v>20</v>
      </c>
      <c r="AR400">
        <f>IF(Z400&lt;'Vehicle Data'!C$16, Z400*'Vehicle Data'!F$7*'Vehicle Data'!G$14,IF(Z400&lt;'Vehicle Data'!C$15,Z400*'Vehicle Data'!F$7*'Vehicle Data'!G$15,IF(Z400&gt;'Vehicle Data'!C$15,Z400*'Vehicle Data'!F$7*'Vehicle Data'!G$16)))</f>
        <v>107.59259259259261</v>
      </c>
      <c r="AS400">
        <f t="shared" si="308"/>
        <v>6455.5555555555566</v>
      </c>
      <c r="AT400">
        <f t="shared" si="309"/>
        <v>20</v>
      </c>
      <c r="AU400">
        <f t="shared" si="310"/>
        <v>6500</v>
      </c>
      <c r="AW400">
        <f>VLOOKUP(AT400,BSFC!A$64:A$82,1,FALSE)</f>
        <v>20</v>
      </c>
      <c r="AX400" t="e" cm="1">
        <f t="array" ref="AX400">_xlfn.XLOOKUP(AT400,BSFC!A$64:A$82,,-1,_xlfn.XLOOKUP(Data!AU400,BSFC!C$63:Q$63,BSFC!B$64:Q$82,,-1))</f>
        <v>#VALUE!</v>
      </c>
      <c r="AY400">
        <f>HLOOKUP(AU400,BSFC!F$63:Q$63,1)</f>
        <v>6500</v>
      </c>
      <c r="AZ400">
        <f>IF(AT400&gt;0,MATCH(AT400,BSFC!A$64:A$83,0),IF(AT400&lt;=0,0))</f>
        <v>3</v>
      </c>
      <c r="BA400">
        <f>MATCH(AU400,BSFC!C$63:Q$63,0)</f>
        <v>13</v>
      </c>
      <c r="BB400" cm="1">
        <f t="array" ref="BB400">IF(AZ400&gt;0,INDEX(BSFC!C$64:Q$83,Data!AZ400,Data!BA400))</f>
        <v>494.7</v>
      </c>
      <c r="BC400">
        <f>0.5*'Vehicle Data'!C$6*Data!Z400^2</f>
        <v>15121.355000000003</v>
      </c>
      <c r="BD400">
        <f t="shared" si="291"/>
        <v>13.465906457145509</v>
      </c>
      <c r="BE400">
        <f t="shared" si="311"/>
        <v>6661.5839243498831</v>
      </c>
      <c r="BF400">
        <f t="shared" si="312"/>
        <v>0.53541246312617341</v>
      </c>
      <c r="BG400">
        <f t="shared" si="292"/>
        <v>157.0321706120256</v>
      </c>
      <c r="BH400">
        <f t="shared" si="271"/>
        <v>13465.906457145509</v>
      </c>
      <c r="BI400" s="148">
        <f t="shared" si="293"/>
        <v>6871.6622130335309</v>
      </c>
      <c r="BO400">
        <f t="shared" si="294"/>
        <v>3902.5617389156755</v>
      </c>
      <c r="BP400">
        <f t="shared" si="295"/>
        <v>709765.13359204086</v>
      </c>
      <c r="BQ400">
        <f t="shared" si="296"/>
        <v>950856.95446292893</v>
      </c>
      <c r="BR400" s="148">
        <f t="shared" si="297"/>
        <v>881794.71274499106</v>
      </c>
      <c r="BS400" s="156">
        <f t="shared" si="298"/>
        <v>3902.5617389156755</v>
      </c>
      <c r="BT400" s="156">
        <f t="shared" si="299"/>
        <v>13465.906457145509</v>
      </c>
      <c r="BU400">
        <f t="shared" si="300"/>
        <v>1991.480196352258</v>
      </c>
      <c r="BV400">
        <f t="shared" si="301"/>
        <v>1991.480196352258</v>
      </c>
      <c r="BW400" s="148">
        <f t="shared" si="302"/>
        <v>455.4</v>
      </c>
      <c r="BX400" s="148">
        <f t="shared" si="303"/>
        <v>3129354.9718154697</v>
      </c>
      <c r="BY400" s="148">
        <f t="shared" si="304"/>
        <v>0.25192224483856063</v>
      </c>
      <c r="BZ400">
        <f t="shared" si="287"/>
        <v>128.03353908751649</v>
      </c>
      <c r="CB400">
        <f t="shared" si="305"/>
        <v>-1911.0815425634175</v>
      </c>
      <c r="CC400" s="162">
        <f t="shared" si="288"/>
        <v>-6604.8923643161324</v>
      </c>
      <c r="CD400">
        <f t="shared" si="313"/>
        <v>-69794.182196964393</v>
      </c>
    </row>
    <row r="401" spans="4:82" x14ac:dyDescent="0.2">
      <c r="D401" s="22">
        <f t="shared" si="279"/>
        <v>4.142616122772616E-2</v>
      </c>
      <c r="E401" s="23">
        <v>11.4017032</v>
      </c>
      <c r="F401" s="23">
        <f>IF(K401&lt;6,1,IF(Data!K401&lt;9,2,IF(K401&gt;9,3)))</f>
        <v>3</v>
      </c>
      <c r="G401" s="23">
        <v>1060.5186889669269</v>
      </c>
      <c r="H401" s="23">
        <v>219.816665</v>
      </c>
      <c r="I401" s="64">
        <v>48.281040338423907</v>
      </c>
      <c r="J401" s="65">
        <f t="shared" si="280"/>
        <v>1.9321061135158342</v>
      </c>
      <c r="K401" s="65">
        <f t="shared" si="281"/>
        <v>19.312416135369563</v>
      </c>
      <c r="L401" s="65">
        <f t="shared" si="282"/>
        <v>0.77284244540633362</v>
      </c>
      <c r="M401">
        <f t="shared" si="283"/>
        <v>22.8034064</v>
      </c>
      <c r="N401">
        <f t="shared" si="284"/>
        <v>9.9998399999998711E-2</v>
      </c>
      <c r="O401">
        <f>IF(L401&lt;'Vehicle Data'!F$21,'Vehicle Data'!C$21,IF(L401&gt;'Vehicle Data'!C$21,'Vehicle Data'!C$20))</f>
        <v>0.6</v>
      </c>
      <c r="P401">
        <f>('Vehicle Data'!C$6*9.81*'Vehicle Data'!C$5*SIN(D401))/'Vehicle Data'!C$9</f>
        <v>27.580587884242512</v>
      </c>
      <c r="Q401" s="107">
        <f>'Vehicle Data'!C$6*9.81*SIN(D401)</f>
        <v>178.35446831810157</v>
      </c>
      <c r="R401" s="101">
        <f t="shared" si="278"/>
        <v>1058.1089287709276</v>
      </c>
      <c r="S401" s="101">
        <f>IF(Data!O401=0.6,'Vehicle Data'!E$21,IF(Data!O401 = 0.9,'Vehicle Data'!E$20))+(P401*O401)</f>
        <v>1566.9207527305452</v>
      </c>
      <c r="T401" s="101">
        <f>IF(F401=3,'Vehicle Data'!H$16,IF(F401=2,'Vehicle Data'!H$15,IF(F401 = 1,'Vehicle Data'!G$14)))</f>
        <v>466.23005239380637</v>
      </c>
      <c r="U401" s="148">
        <f t="shared" si="285"/>
        <v>341.97044664761154</v>
      </c>
      <c r="V401" s="102" t="s">
        <v>77</v>
      </c>
      <c r="W401" s="103" t="s">
        <v>84</v>
      </c>
      <c r="X401" s="101">
        <f>IF(V401="S",'Vehicle Data'!C$14,IF(Data!V401 = "T1",'Vehicle Data'!P$2,IF(Data!V401="T2",'Vehicle Data'!P$3)))</f>
        <v>13.411199999999999</v>
      </c>
      <c r="Y401" s="101"/>
      <c r="Z401" s="105">
        <v>8.3000000000000007</v>
      </c>
      <c r="AA401" s="101"/>
      <c r="AB401" s="101" t="b">
        <f>IF(AA401=1,'Vehicle Data'!I$14,IF(AA401=2,'Vehicle Data'!I$15,IF(AA401=3,'Vehicle Data'!I$16)))</f>
        <v>0</v>
      </c>
      <c r="AC401" s="101">
        <f>IF(Z401&lt;'Vehicle Data'!C$16,'Vehicle Data'!I$15,IF(Z401&lt;'Vehicle Data'!C$15,'Vehicle Data'!I$15,IF(Z400&gt;'Vehicle Data'!C$15,'Vehicle Data'!I$16)))</f>
        <v>0.98256251041858167</v>
      </c>
      <c r="AD401">
        <f>IF(O401=0.6,'Vehicle Data'!F$21,IF(O401=0.9,'Vehicle Data'!F$20))</f>
        <v>3.5315999999999996</v>
      </c>
      <c r="AE401" s="101">
        <f>(Data!H$15-Data!Q401)/'Vehicle Data'!C$6</f>
        <v>7.5540311348287981E-2</v>
      </c>
      <c r="AF401" s="158">
        <f t="shared" si="306"/>
        <v>0.28981054868718709</v>
      </c>
      <c r="AG401" s="148">
        <f t="shared" si="289"/>
        <v>0</v>
      </c>
      <c r="AH401" s="148">
        <f t="shared" si="307"/>
        <v>128.32334963620369</v>
      </c>
      <c r="AI401" s="101"/>
      <c r="AJ401" s="101">
        <f>(Z401^2)*'Vehicle Data'!C$31</f>
        <v>25.317075000000013</v>
      </c>
      <c r="AK401" s="101">
        <f>IF(O401=0.6,'Vehicle Data'!C$6*'Vehicle Data'!D$21*9.81,IF(O401=0.9,'Vehicle Data'!C$6*9.81*'Vehicle Data'!D$20))</f>
        <v>86.131799999999998</v>
      </c>
      <c r="AL401" s="101">
        <f t="shared" si="286"/>
        <v>289.80334331810161</v>
      </c>
      <c r="AM401" s="101"/>
      <c r="AN401" t="b">
        <f>IF(AG401&gt;0,AG401*'Vehicle Data'!C$6)</f>
        <v>0</v>
      </c>
      <c r="AO401" s="101">
        <f t="shared" si="290"/>
        <v>289.80334331810161</v>
      </c>
      <c r="AP401" s="101">
        <f>AO401*'Vehicle Data'!F$3</f>
        <v>74.073734552106771</v>
      </c>
      <c r="AQ401">
        <v>20</v>
      </c>
      <c r="AR401">
        <f>IF(Z401&lt;'Vehicle Data'!C$16, Z401*'Vehicle Data'!F$7*'Vehicle Data'!G$14,IF(Z401&lt;'Vehicle Data'!C$15,Z401*'Vehicle Data'!F$7*'Vehicle Data'!G$15,IF(Z401&gt;'Vehicle Data'!C$15,Z401*'Vehicle Data'!F$7*'Vehicle Data'!G$16)))</f>
        <v>107.59259259259261</v>
      </c>
      <c r="AS401">
        <f t="shared" si="308"/>
        <v>6455.5555555555566</v>
      </c>
      <c r="AT401">
        <f t="shared" si="309"/>
        <v>20</v>
      </c>
      <c r="AU401">
        <f t="shared" si="310"/>
        <v>6500</v>
      </c>
      <c r="AW401">
        <f>VLOOKUP(AT401,BSFC!A$64:A$82,1,FALSE)</f>
        <v>20</v>
      </c>
      <c r="AX401" t="e" cm="1">
        <f t="array" ref="AX401">_xlfn.XLOOKUP(AT401,BSFC!A$64:A$82,,-1,_xlfn.XLOOKUP(Data!AU401,BSFC!C$63:Q$63,BSFC!B$64:Q$82,,-1))</f>
        <v>#VALUE!</v>
      </c>
      <c r="AY401">
        <f>HLOOKUP(AU401,BSFC!F$63:Q$63,1)</f>
        <v>6500</v>
      </c>
      <c r="AZ401">
        <f>IF(AT401&gt;0,MATCH(AT401,BSFC!A$64:A$83,0),IF(AT401&lt;=0,0))</f>
        <v>3</v>
      </c>
      <c r="BA401">
        <f>MATCH(AU401,BSFC!C$63:Q$63,0)</f>
        <v>13</v>
      </c>
      <c r="BB401" cm="1">
        <f t="array" ref="BB401">IF(AZ401&gt;0,INDEX(BSFC!C$64:Q$83,Data!AZ401,Data!BA401))</f>
        <v>494.7</v>
      </c>
      <c r="BC401">
        <f>0.5*'Vehicle Data'!C$6*Data!Z401^2</f>
        <v>15121.355000000003</v>
      </c>
      <c r="BD401">
        <f t="shared" si="291"/>
        <v>13.465906457145509</v>
      </c>
      <c r="BE401">
        <f t="shared" si="311"/>
        <v>6661.5839243498831</v>
      </c>
      <c r="BF401">
        <f t="shared" si="312"/>
        <v>0.53627702562266233</v>
      </c>
      <c r="BG401">
        <f t="shared" si="292"/>
        <v>157.56844763764826</v>
      </c>
      <c r="BH401">
        <f t="shared" si="271"/>
        <v>13465.906457145509</v>
      </c>
      <c r="BI401" s="148">
        <f t="shared" si="293"/>
        <v>6871.6622130335309</v>
      </c>
      <c r="BO401">
        <f t="shared" si="294"/>
        <v>3909.5910100577303</v>
      </c>
      <c r="BP401">
        <f t="shared" si="295"/>
        <v>713674.72460209858</v>
      </c>
      <c r="BQ401">
        <f t="shared" si="296"/>
        <v>954766.54547298665</v>
      </c>
      <c r="BR401" s="148">
        <f t="shared" si="297"/>
        <v>883789.77998370444</v>
      </c>
      <c r="BS401" s="156">
        <f t="shared" si="298"/>
        <v>3909.5910100577303</v>
      </c>
      <c r="BT401" s="156">
        <f t="shared" si="299"/>
        <v>13465.906457145509</v>
      </c>
      <c r="BU401">
        <f t="shared" si="300"/>
        <v>1995.0672387133307</v>
      </c>
      <c r="BV401">
        <f t="shared" si="301"/>
        <v>1995.0672387133307</v>
      </c>
      <c r="BW401" s="148">
        <f t="shared" si="302"/>
        <v>455.4</v>
      </c>
      <c r="BX401" s="148">
        <f t="shared" si="303"/>
        <v>3129354.9718154697</v>
      </c>
      <c r="BY401" s="148">
        <f t="shared" si="304"/>
        <v>0.25237600569723628</v>
      </c>
      <c r="BZ401">
        <f t="shared" si="287"/>
        <v>128.32334963620369</v>
      </c>
      <c r="CB401">
        <f t="shared" si="305"/>
        <v>-1914.5237713443996</v>
      </c>
      <c r="CC401" s="162">
        <f t="shared" si="288"/>
        <v>-6606.1217578756796</v>
      </c>
      <c r="CD401">
        <f t="shared" si="313"/>
        <v>-71708.705968308786</v>
      </c>
    </row>
    <row r="402" spans="4:82" x14ac:dyDescent="0.2">
      <c r="D402" s="22">
        <f t="shared" si="279"/>
        <v>0</v>
      </c>
      <c r="E402" s="23">
        <v>11.501701599999999</v>
      </c>
      <c r="F402" s="23">
        <f>IF(K402&lt;6,1,IF(Data!K402&lt;9,2,IF(K402&gt;9,3)))</f>
        <v>3</v>
      </c>
      <c r="G402" s="23">
        <v>1062.9332744467138</v>
      </c>
      <c r="H402" s="23">
        <v>219.86666499999998</v>
      </c>
      <c r="I402" s="64">
        <v>48.377645644099665</v>
      </c>
      <c r="J402" s="65">
        <f t="shared" si="280"/>
        <v>1.8949605291949423</v>
      </c>
      <c r="K402" s="65">
        <f t="shared" si="281"/>
        <v>19.351058257639867</v>
      </c>
      <c r="L402" s="65">
        <f t="shared" si="282"/>
        <v>0.75798421167793428</v>
      </c>
      <c r="M402">
        <f t="shared" si="283"/>
        <v>23.003403199999997</v>
      </c>
      <c r="N402">
        <f t="shared" si="284"/>
        <v>0</v>
      </c>
      <c r="O402">
        <f>IF(L402&lt;'Vehicle Data'!F$21,'Vehicle Data'!C$21,IF(L402&gt;'Vehicle Data'!C$21,'Vehicle Data'!C$20))</f>
        <v>0.6</v>
      </c>
      <c r="P402">
        <f>('Vehicle Data'!C$6*9.81*'Vehicle Data'!C$5*SIN(D402))/'Vehicle Data'!C$9</f>
        <v>0</v>
      </c>
      <c r="Q402" s="107">
        <f>'Vehicle Data'!C$6*9.81*SIN(D402)</f>
        <v>0</v>
      </c>
      <c r="R402" s="101">
        <f t="shared" si="278"/>
        <v>1060.5186889669269</v>
      </c>
      <c r="S402" s="101">
        <f>IF(Data!O402=0.6,'Vehicle Data'!E$21,IF(Data!O402 = 0.9,'Vehicle Data'!E$20))+(P402*O402)</f>
        <v>1550.3723999999997</v>
      </c>
      <c r="T402" s="101">
        <f>IF(F402=3,'Vehicle Data'!H$16,IF(F402=2,'Vehicle Data'!H$15,IF(F402 = 1,'Vehicle Data'!G$14)))</f>
        <v>466.23005239380637</v>
      </c>
      <c r="U402" s="148">
        <f t="shared" si="285"/>
        <v>344.38020684361084</v>
      </c>
      <c r="V402" s="102" t="s">
        <v>77</v>
      </c>
      <c r="W402" s="103" t="s">
        <v>84</v>
      </c>
      <c r="X402" s="101">
        <f>IF(V402="S",'Vehicle Data'!C$14,IF(Data!V402 = "T1",'Vehicle Data'!P$2,IF(Data!V402="T2",'Vehicle Data'!P$3)))</f>
        <v>13.411199999999999</v>
      </c>
      <c r="Y402" s="101"/>
      <c r="Z402" s="105">
        <v>8.3000000000000007</v>
      </c>
      <c r="AA402" s="101"/>
      <c r="AB402" s="101" t="b">
        <f>IF(AA402=1,'Vehicle Data'!I$14,IF(AA402=2,'Vehicle Data'!I$15,IF(AA402=3,'Vehicle Data'!I$16)))</f>
        <v>0</v>
      </c>
      <c r="AC402" s="101">
        <f>IF(Z402&lt;'Vehicle Data'!C$16,'Vehicle Data'!I$15,IF(Z402&lt;'Vehicle Data'!C$15,'Vehicle Data'!I$15,IF(Z401&gt;'Vehicle Data'!C$15,'Vehicle Data'!I$16)))</f>
        <v>0.98256251041858167</v>
      </c>
      <c r="AD402">
        <f>IF(O402=0.6,'Vehicle Data'!F$21,IF(O402=0.9,'Vehicle Data'!F$20))</f>
        <v>3.5315999999999996</v>
      </c>
      <c r="AE402" s="101">
        <f>(Data!H$15-Data!Q402)/'Vehicle Data'!C$6</f>
        <v>0.48181472665148062</v>
      </c>
      <c r="AF402" s="158">
        <f t="shared" si="306"/>
        <v>0.29033255373485506</v>
      </c>
      <c r="AG402" s="148">
        <f t="shared" si="289"/>
        <v>0</v>
      </c>
      <c r="AH402" s="148">
        <f t="shared" si="307"/>
        <v>128.61368218993854</v>
      </c>
      <c r="AI402" s="101"/>
      <c r="AJ402" s="101">
        <f>(Z402^2)*'Vehicle Data'!C$31</f>
        <v>25.317075000000013</v>
      </c>
      <c r="AK402" s="101">
        <f>IF(O402=0.6,'Vehicle Data'!C$6*'Vehicle Data'!D$21*9.81,IF(O402=0.9,'Vehicle Data'!C$6*9.81*'Vehicle Data'!D$20))</f>
        <v>86.131799999999998</v>
      </c>
      <c r="AL402" s="101">
        <f t="shared" si="286"/>
        <v>111.44887500000002</v>
      </c>
      <c r="AM402" s="101"/>
      <c r="AN402" t="b">
        <f>IF(AG402&gt;0,AG402*'Vehicle Data'!C$6)</f>
        <v>0</v>
      </c>
      <c r="AO402" s="101">
        <f t="shared" si="290"/>
        <v>111.44887500000002</v>
      </c>
      <c r="AP402" s="101">
        <f>AO402*'Vehicle Data'!F$3</f>
        <v>28.486332450000003</v>
      </c>
      <c r="AQ402">
        <v>20</v>
      </c>
      <c r="AR402">
        <f>IF(Z402&lt;'Vehicle Data'!C$16, Z402*'Vehicle Data'!F$7*'Vehicle Data'!G$14,IF(Z402&lt;'Vehicle Data'!C$15,Z402*'Vehicle Data'!F$7*'Vehicle Data'!G$15,IF(Z402&gt;'Vehicle Data'!C$15,Z402*'Vehicle Data'!F$7*'Vehicle Data'!G$16)))</f>
        <v>107.59259259259261</v>
      </c>
      <c r="AS402">
        <f t="shared" si="308"/>
        <v>6455.5555555555566</v>
      </c>
      <c r="AT402">
        <f t="shared" si="309"/>
        <v>20</v>
      </c>
      <c r="AU402">
        <f t="shared" si="310"/>
        <v>6500</v>
      </c>
      <c r="AW402">
        <f>VLOOKUP(AT402,BSFC!A$64:A$82,1,FALSE)</f>
        <v>20</v>
      </c>
      <c r="AX402" t="e" cm="1">
        <f t="array" ref="AX402">_xlfn.XLOOKUP(AT402,BSFC!A$64:A$82,,-1,_xlfn.XLOOKUP(Data!AU402,BSFC!C$63:Q$63,BSFC!B$64:Q$82,,-1))</f>
        <v>#VALUE!</v>
      </c>
      <c r="AY402">
        <f>HLOOKUP(AU402,BSFC!F$63:Q$63,1)</f>
        <v>6500</v>
      </c>
      <c r="AZ402">
        <f>IF(AT402&gt;0,MATCH(AT402,BSFC!A$64:A$83,0),IF(AT402&lt;=0,0))</f>
        <v>3</v>
      </c>
      <c r="BA402">
        <f>MATCH(AU402,BSFC!C$63:Q$63,0)</f>
        <v>13</v>
      </c>
      <c r="BB402" cm="1">
        <f t="array" ref="BB402">IF(AZ402&gt;0,INDEX(BSFC!C$64:Q$83,Data!AZ402,Data!BA402))</f>
        <v>494.7</v>
      </c>
      <c r="BC402">
        <f>0.5*'Vehicle Data'!C$6*Data!Z402^2</f>
        <v>15121.355000000003</v>
      </c>
      <c r="BD402">
        <f t="shared" si="291"/>
        <v>13.465906457145509</v>
      </c>
      <c r="BE402">
        <f t="shared" si="311"/>
        <v>6661.5839243498831</v>
      </c>
      <c r="BF402">
        <f t="shared" si="312"/>
        <v>0.53724296463209975</v>
      </c>
      <c r="BG402">
        <f t="shared" si="292"/>
        <v>158.10569060228036</v>
      </c>
      <c r="BH402">
        <f t="shared" si="271"/>
        <v>13465.906457145509</v>
      </c>
      <c r="BI402" s="148">
        <f t="shared" si="293"/>
        <v>6871.6622130335309</v>
      </c>
      <c r="BO402">
        <f t="shared" si="294"/>
        <v>3917.4195426014135</v>
      </c>
      <c r="BP402">
        <f t="shared" si="295"/>
        <v>717592.14414470003</v>
      </c>
      <c r="BQ402">
        <f t="shared" si="296"/>
        <v>958683.9650155881</v>
      </c>
      <c r="BR402" s="148">
        <f t="shared" si="297"/>
        <v>885788.84212847438</v>
      </c>
      <c r="BS402" s="156">
        <f t="shared" si="298"/>
        <v>3917.4195426014135</v>
      </c>
      <c r="BT402" s="156">
        <f t="shared" si="299"/>
        <v>13465.906457145509</v>
      </c>
      <c r="BU402">
        <f t="shared" si="300"/>
        <v>1999.0621447699805</v>
      </c>
      <c r="BV402">
        <f t="shared" si="301"/>
        <v>1999.0621447699805</v>
      </c>
      <c r="BW402" s="148">
        <f t="shared" si="302"/>
        <v>455.4</v>
      </c>
      <c r="BX402" s="148">
        <f t="shared" si="303"/>
        <v>3129354.9718154697</v>
      </c>
      <c r="BY402" s="148">
        <f t="shared" si="304"/>
        <v>0.2528813613134025</v>
      </c>
      <c r="BZ402">
        <f t="shared" si="287"/>
        <v>128.61368218993854</v>
      </c>
      <c r="CB402">
        <f t="shared" si="305"/>
        <v>-1918.357397831433</v>
      </c>
      <c r="CC402" s="162">
        <f t="shared" si="288"/>
        <v>-6607.4485039778056</v>
      </c>
      <c r="CD402">
        <f t="shared" si="313"/>
        <v>-73627.063366140224</v>
      </c>
    </row>
    <row r="403" spans="4:82" x14ac:dyDescent="0.2">
      <c r="D403" s="22">
        <f t="shared" si="279"/>
        <v>0</v>
      </c>
      <c r="E403" s="23">
        <v>11.501701599999999</v>
      </c>
      <c r="F403" s="23">
        <f>IF(K403&lt;6,1,IF(Data!K403&lt;9,2,IF(K403&gt;9,3)))</f>
        <v>3</v>
      </c>
      <c r="G403" s="23">
        <v>1065.3528199265015</v>
      </c>
      <c r="H403" s="23">
        <v>219.91666499999999</v>
      </c>
      <c r="I403" s="64">
        <v>48.472393670559434</v>
      </c>
      <c r="J403" s="65">
        <f t="shared" si="280"/>
        <v>1.9343653736226887</v>
      </c>
      <c r="K403" s="65">
        <f t="shared" si="281"/>
        <v>19.388957468223772</v>
      </c>
      <c r="L403" s="65">
        <f t="shared" si="282"/>
        <v>0.77374614944913234</v>
      </c>
      <c r="M403">
        <f t="shared" si="283"/>
        <v>23.003403199999997</v>
      </c>
      <c r="N403">
        <f t="shared" si="284"/>
        <v>0</v>
      </c>
      <c r="O403">
        <f>IF(L403&lt;'Vehicle Data'!F$21,'Vehicle Data'!C$21,IF(L403&gt;'Vehicle Data'!C$21,'Vehicle Data'!C$20))</f>
        <v>0.6</v>
      </c>
      <c r="P403">
        <f>('Vehicle Data'!C$6*9.81*'Vehicle Data'!C$5*SIN(D403))/'Vehicle Data'!C$9</f>
        <v>0</v>
      </c>
      <c r="Q403" s="107">
        <f>'Vehicle Data'!C$6*9.81*SIN(D403)</f>
        <v>0</v>
      </c>
      <c r="R403" s="101">
        <f t="shared" si="278"/>
        <v>1062.9332744467138</v>
      </c>
      <c r="S403" s="101">
        <f>IF(Data!O403=0.6,'Vehicle Data'!E$21,IF(Data!O403 = 0.9,'Vehicle Data'!E$20))+(P403*O403)</f>
        <v>1550.3723999999997</v>
      </c>
      <c r="T403" s="101">
        <f>IF(F403=3,'Vehicle Data'!H$16,IF(F403=2,'Vehicle Data'!H$15,IF(F403 = 1,'Vehicle Data'!G$14)))</f>
        <v>466.23005239380637</v>
      </c>
      <c r="U403" s="148">
        <f t="shared" si="285"/>
        <v>346.7947923233977</v>
      </c>
      <c r="V403" s="102" t="s">
        <v>77</v>
      </c>
      <c r="W403" s="103" t="s">
        <v>84</v>
      </c>
      <c r="X403" s="101">
        <f>IF(V403="S",'Vehicle Data'!C$14,IF(Data!V403 = "T1",'Vehicle Data'!P$2,IF(Data!V403="T2",'Vehicle Data'!P$3)))</f>
        <v>13.411199999999999</v>
      </c>
      <c r="Y403" s="101"/>
      <c r="Z403" s="105">
        <v>8.3000000000000007</v>
      </c>
      <c r="AA403" s="101"/>
      <c r="AB403" s="101" t="b">
        <f>IF(AA403=1,'Vehicle Data'!I$14,IF(AA403=2,'Vehicle Data'!I$15,IF(AA403=3,'Vehicle Data'!I$16)))</f>
        <v>0</v>
      </c>
      <c r="AC403" s="101">
        <f>IF(Z403&lt;'Vehicle Data'!C$16,'Vehicle Data'!I$15,IF(Z403&lt;'Vehicle Data'!C$15,'Vehicle Data'!I$15,IF(Z402&gt;'Vehicle Data'!C$15,'Vehicle Data'!I$16)))</f>
        <v>0.98256251041858167</v>
      </c>
      <c r="AD403">
        <f>IF(O403=0.6,'Vehicle Data'!F$21,IF(O403=0.9,'Vehicle Data'!F$20))</f>
        <v>3.5315999999999996</v>
      </c>
      <c r="AE403" s="101">
        <f>(Data!H$15-Data!Q403)/'Vehicle Data'!C$6</f>
        <v>0.48181472665148062</v>
      </c>
      <c r="AF403" s="158">
        <f t="shared" si="306"/>
        <v>0.29091391322733312</v>
      </c>
      <c r="AG403" s="148">
        <f t="shared" si="289"/>
        <v>0</v>
      </c>
      <c r="AH403" s="148">
        <f t="shared" si="307"/>
        <v>128.90459610316589</v>
      </c>
      <c r="AI403" s="101"/>
      <c r="AJ403" s="101">
        <f>(Z403^2)*'Vehicle Data'!C$31</f>
        <v>25.317075000000013</v>
      </c>
      <c r="AK403" s="101">
        <f>IF(O403=0.6,'Vehicle Data'!C$6*'Vehicle Data'!D$21*9.81,IF(O403=0.9,'Vehicle Data'!C$6*9.81*'Vehicle Data'!D$20))</f>
        <v>86.131799999999998</v>
      </c>
      <c r="AL403" s="101">
        <f t="shared" si="286"/>
        <v>111.44887500000002</v>
      </c>
      <c r="AM403" s="101"/>
      <c r="AN403" t="b">
        <f>IF(AG403&gt;0,AG403*'Vehicle Data'!C$6)</f>
        <v>0</v>
      </c>
      <c r="AO403" s="101">
        <f t="shared" si="290"/>
        <v>111.44887500000002</v>
      </c>
      <c r="AP403" s="101">
        <f>AO403*'Vehicle Data'!F$3</f>
        <v>28.486332450000003</v>
      </c>
      <c r="AQ403">
        <v>20</v>
      </c>
      <c r="AR403">
        <f>IF(Z403&lt;'Vehicle Data'!C$16, Z403*'Vehicle Data'!F$7*'Vehicle Data'!G$14,IF(Z403&lt;'Vehicle Data'!C$15,Z403*'Vehicle Data'!F$7*'Vehicle Data'!G$15,IF(Z403&gt;'Vehicle Data'!C$15,Z403*'Vehicle Data'!F$7*'Vehicle Data'!G$16)))</f>
        <v>107.59259259259261</v>
      </c>
      <c r="AS403">
        <f t="shared" si="308"/>
        <v>6455.5555555555566</v>
      </c>
      <c r="AT403">
        <f t="shared" si="309"/>
        <v>20</v>
      </c>
      <c r="AU403">
        <f t="shared" si="310"/>
        <v>6500</v>
      </c>
      <c r="AW403">
        <f>VLOOKUP(AT403,BSFC!A$64:A$82,1,FALSE)</f>
        <v>20</v>
      </c>
      <c r="AX403" t="e" cm="1">
        <f t="array" ref="AX403">_xlfn.XLOOKUP(AT403,BSFC!A$64:A$82,,-1,_xlfn.XLOOKUP(Data!AU403,BSFC!C$63:Q$63,BSFC!B$64:Q$82,,-1))</f>
        <v>#VALUE!</v>
      </c>
      <c r="AY403">
        <f>HLOOKUP(AU403,BSFC!F$63:Q$63,1)</f>
        <v>6500</v>
      </c>
      <c r="AZ403">
        <f>IF(AT403&gt;0,MATCH(AT403,BSFC!A$64:A$83,0),IF(AT403&lt;=0,0))</f>
        <v>3</v>
      </c>
      <c r="BA403">
        <f>MATCH(AU403,BSFC!C$63:Q$63,0)</f>
        <v>13</v>
      </c>
      <c r="BB403" cm="1">
        <f t="array" ref="BB403">IF(AZ403&gt;0,INDEX(BSFC!C$64:Q$83,Data!AZ403,Data!BA403))</f>
        <v>494.7</v>
      </c>
      <c r="BC403">
        <f>0.5*'Vehicle Data'!C$6*Data!Z403^2</f>
        <v>15121.355000000003</v>
      </c>
      <c r="BD403">
        <f t="shared" si="291"/>
        <v>13.465906457145509</v>
      </c>
      <c r="BE403">
        <f t="shared" si="311"/>
        <v>6661.5839243498831</v>
      </c>
      <c r="BF403">
        <f t="shared" si="312"/>
        <v>0.53831873547914422</v>
      </c>
      <c r="BG403">
        <f t="shared" si="292"/>
        <v>158.64400933775951</v>
      </c>
      <c r="BH403">
        <f t="shared" si="271"/>
        <v>13465.906457145509</v>
      </c>
      <c r="BI403" s="148">
        <f t="shared" si="293"/>
        <v>6871.6622130335309</v>
      </c>
      <c r="BO403">
        <f t="shared" si="294"/>
        <v>3925.4666385097817</v>
      </c>
      <c r="BP403">
        <f t="shared" si="295"/>
        <v>721517.61078320979</v>
      </c>
      <c r="BQ403">
        <f t="shared" si="296"/>
        <v>962609.43165409786</v>
      </c>
      <c r="BR403" s="148">
        <f t="shared" si="297"/>
        <v>887792.01071235072</v>
      </c>
      <c r="BS403" s="156">
        <f t="shared" si="298"/>
        <v>3925.4666385097817</v>
      </c>
      <c r="BT403" s="156">
        <f t="shared" si="299"/>
        <v>13465.906457145509</v>
      </c>
      <c r="BU403">
        <f t="shared" si="300"/>
        <v>2003.1685838763392</v>
      </c>
      <c r="BV403">
        <f t="shared" si="301"/>
        <v>2003.1685838763392</v>
      </c>
      <c r="BW403" s="148">
        <f t="shared" si="302"/>
        <v>455.4</v>
      </c>
      <c r="BX403" s="148">
        <f t="shared" si="303"/>
        <v>3129354.9718154697</v>
      </c>
      <c r="BY403" s="148">
        <f t="shared" si="304"/>
        <v>0.25340082586035684</v>
      </c>
      <c r="BZ403">
        <f t="shared" si="287"/>
        <v>128.90459610316589</v>
      </c>
      <c r="CB403">
        <f t="shared" si="305"/>
        <v>-1922.2980546334425</v>
      </c>
      <c r="CC403" s="162">
        <f t="shared" si="288"/>
        <v>-6607.7900273240339</v>
      </c>
      <c r="CD403">
        <f t="shared" si="313"/>
        <v>-75549.361420773668</v>
      </c>
    </row>
    <row r="404" spans="4:82" ht="16" thickBot="1" x14ac:dyDescent="0.25">
      <c r="D404" s="22">
        <f t="shared" si="279"/>
        <v>0</v>
      </c>
      <c r="E404" s="23">
        <v>11.501701599999999</v>
      </c>
      <c r="F404" s="23">
        <f>IF(K404&lt;6,1,IF(Data!K404&lt;9,2,IF(K404&gt;9,3)))</f>
        <v>3</v>
      </c>
      <c r="G404" s="23">
        <v>1067.7775654062891</v>
      </c>
      <c r="H404" s="23">
        <v>219.96666499999998</v>
      </c>
      <c r="I404" s="64">
        <v>48.569111939240535</v>
      </c>
      <c r="J404" s="65">
        <f t="shared" si="280"/>
        <v>1.9153387929762198</v>
      </c>
      <c r="K404" s="65">
        <f t="shared" si="281"/>
        <v>19.427644775696216</v>
      </c>
      <c r="L404" s="65">
        <f t="shared" si="282"/>
        <v>0.76613551719045947</v>
      </c>
      <c r="M404">
        <f t="shared" si="283"/>
        <v>23.003403199999997</v>
      </c>
      <c r="N404">
        <f t="shared" si="284"/>
        <v>0</v>
      </c>
      <c r="O404">
        <f>IF(L404&lt;'Vehicle Data'!F$21,'Vehicle Data'!C$21,IF(L404&gt;'Vehicle Data'!C$21,'Vehicle Data'!C$20))</f>
        <v>0.6</v>
      </c>
      <c r="P404">
        <f>('Vehicle Data'!C$6*9.81*'Vehicle Data'!C$5*SIN(D404))/'Vehicle Data'!C$9</f>
        <v>0</v>
      </c>
      <c r="Q404" s="107">
        <f>'Vehicle Data'!C$6*9.81*SIN(D404)</f>
        <v>0</v>
      </c>
      <c r="R404" s="101">
        <f t="shared" si="278"/>
        <v>1065.3528199265015</v>
      </c>
      <c r="S404" s="101">
        <f>IF(Data!O404=0.6,'Vehicle Data'!E$21,IF(Data!O404 = 0.9,'Vehicle Data'!E$20))+(P404*O404)</f>
        <v>1550.3723999999997</v>
      </c>
      <c r="T404" s="101">
        <f>IF(F404=3,'Vehicle Data'!H$16,IF(F404=2,'Vehicle Data'!H$15,IF(F404 = 1,'Vehicle Data'!G$14)))</f>
        <v>466.23005239380637</v>
      </c>
      <c r="U404" s="148">
        <f t="shared" si="285"/>
        <v>349.21433780318546</v>
      </c>
      <c r="V404" s="102" t="s">
        <v>77</v>
      </c>
      <c r="W404" s="103" t="s">
        <v>84</v>
      </c>
      <c r="X404" s="101">
        <f>IF(V404="S",'Vehicle Data'!C$14,IF(Data!V404 = "T1",'Vehicle Data'!P$2,IF(Data!V404="T2",'Vehicle Data'!P$3)))</f>
        <v>13.411199999999999</v>
      </c>
      <c r="Y404" s="101"/>
      <c r="Z404" s="106">
        <v>8.3000000000000007</v>
      </c>
      <c r="AA404" s="101"/>
      <c r="AB404" s="101" t="b">
        <f>IF(AA404=1,'Vehicle Data'!I$14,IF(AA404=2,'Vehicle Data'!I$15,IF(AA404=3,'Vehicle Data'!I$16)))</f>
        <v>0</v>
      </c>
      <c r="AC404" s="101">
        <f>IF(Z404&lt;'Vehicle Data'!C$16,'Vehicle Data'!I$15,IF(Z404&lt;'Vehicle Data'!C$15,'Vehicle Data'!I$15,IF(Z403&gt;'Vehicle Data'!C$15,'Vehicle Data'!I$16)))</f>
        <v>0.98256251041858167</v>
      </c>
      <c r="AD404">
        <f>IF(O404=0.6,'Vehicle Data'!F$21,IF(O404=0.9,'Vehicle Data'!F$20))</f>
        <v>3.5315999999999996</v>
      </c>
      <c r="AE404" s="101">
        <f>(Data!H$15-Data!Q404)/'Vehicle Data'!C$6</f>
        <v>0.48181472665148062</v>
      </c>
      <c r="AF404" s="158">
        <f t="shared" si="306"/>
        <v>0.29151150358888639</v>
      </c>
      <c r="AG404" s="148">
        <f t="shared" si="289"/>
        <v>0</v>
      </c>
      <c r="AH404" s="148">
        <f t="shared" si="307"/>
        <v>129.19610760675477</v>
      </c>
      <c r="AI404" s="101"/>
      <c r="AJ404" s="101">
        <f>(Z404^2)*'Vehicle Data'!C$31</f>
        <v>25.317075000000013</v>
      </c>
      <c r="AK404" s="101">
        <f>IF(O404=0.6,'Vehicle Data'!C$6*'Vehicle Data'!D$21*9.81,IF(O404=0.9,'Vehicle Data'!C$6*9.81*'Vehicle Data'!D$20))</f>
        <v>86.131799999999998</v>
      </c>
      <c r="AL404" s="101">
        <f t="shared" si="286"/>
        <v>111.44887500000002</v>
      </c>
      <c r="AM404" s="101"/>
      <c r="AN404" t="b">
        <f>IF(AG404&gt;0,AG404*'Vehicle Data'!C$6)</f>
        <v>0</v>
      </c>
      <c r="AO404" s="101">
        <f t="shared" si="290"/>
        <v>111.44887500000002</v>
      </c>
      <c r="AP404" s="101">
        <f>AO404*'Vehicle Data'!F$3</f>
        <v>28.486332450000003</v>
      </c>
      <c r="AQ404">
        <v>20</v>
      </c>
      <c r="AR404">
        <f>IF(Z404&lt;'Vehicle Data'!C$16, Z404*'Vehicle Data'!F$7*'Vehicle Data'!G$14,IF(Z404&lt;'Vehicle Data'!C$15,Z404*'Vehicle Data'!F$7*'Vehicle Data'!G$15,IF(Z404&gt;'Vehicle Data'!C$15,Z404*'Vehicle Data'!F$7*'Vehicle Data'!G$16)))</f>
        <v>107.59259259259261</v>
      </c>
      <c r="AS404">
        <f t="shared" si="308"/>
        <v>6455.5555555555566</v>
      </c>
      <c r="AT404">
        <f t="shared" si="309"/>
        <v>20</v>
      </c>
      <c r="AU404">
        <f t="shared" si="310"/>
        <v>6500</v>
      </c>
      <c r="AW404">
        <f>VLOOKUP(AT404,BSFC!A$64:A$82,1,FALSE)</f>
        <v>20</v>
      </c>
      <c r="AX404" t="e" cm="1">
        <f t="array" ref="AX404">_xlfn.XLOOKUP(AT404,BSFC!A$64:A$82,,-1,_xlfn.XLOOKUP(Data!AU404,BSFC!C$63:Q$63,BSFC!B$64:Q$82,,-1))</f>
        <v>#VALUE!</v>
      </c>
      <c r="AY404">
        <f>HLOOKUP(AU404,BSFC!F$63:Q$63,1)</f>
        <v>6500</v>
      </c>
      <c r="AZ404">
        <f>IF(AT404&gt;0,MATCH(AT404,BSFC!A$64:A$83,0),IF(AT404&lt;=0,0))</f>
        <v>3</v>
      </c>
      <c r="BA404">
        <f>MATCH(AU404,BSFC!C$63:Q$63,0)</f>
        <v>13</v>
      </c>
      <c r="BB404" cm="1">
        <f t="array" ref="BB404">IF(AZ404&gt;0,INDEX(BSFC!C$64:Q$83,Data!AZ404,Data!BA404))</f>
        <v>494.7</v>
      </c>
      <c r="BC404">
        <f>0.5*'Vehicle Data'!C$6*Data!Z404^2</f>
        <v>15121.355000000003</v>
      </c>
      <c r="BD404">
        <f t="shared" si="291"/>
        <v>3.2250722167563075</v>
      </c>
      <c r="BE404">
        <f t="shared" si="311"/>
        <v>1595.4432256293453</v>
      </c>
      <c r="BF404">
        <f t="shared" si="312"/>
        <v>0.12919168155386482</v>
      </c>
      <c r="BG404">
        <f t="shared" si="292"/>
        <v>158.77320101931338</v>
      </c>
      <c r="BH404">
        <f t="shared" si="271"/>
        <v>13465.906457145509</v>
      </c>
      <c r="BI404" s="148">
        <f t="shared" si="293"/>
        <v>6871.6622130335309</v>
      </c>
      <c r="BO404">
        <f t="shared" si="294"/>
        <v>3868.8400802917517</v>
      </c>
      <c r="BP404">
        <f t="shared" si="295"/>
        <v>725386.45086350152</v>
      </c>
      <c r="BQ404">
        <f t="shared" si="296"/>
        <v>966478.27173438959</v>
      </c>
      <c r="BR404" s="148">
        <f t="shared" si="297"/>
        <v>889766.28272089444</v>
      </c>
      <c r="BS404" s="156">
        <f t="shared" si="298"/>
        <v>3868.8400802917517</v>
      </c>
      <c r="BT404" s="156">
        <f t="shared" si="299"/>
        <v>13465.906457145509</v>
      </c>
      <c r="BU404">
        <f t="shared" si="300"/>
        <v>1974.2720085437147</v>
      </c>
      <c r="BV404">
        <f t="shared" si="301"/>
        <v>1974.2720085437147</v>
      </c>
      <c r="BW404" s="148">
        <f t="shared" si="302"/>
        <v>455.4</v>
      </c>
      <c r="BX404" s="148">
        <f t="shared" si="303"/>
        <v>3129354.9718154697</v>
      </c>
      <c r="BY404" s="148">
        <f t="shared" si="304"/>
        <v>0.24974540908077988</v>
      </c>
      <c r="BZ404">
        <f t="shared" si="287"/>
        <v>129.19610760675477</v>
      </c>
      <c r="CB404">
        <f t="shared" si="305"/>
        <v>-1894.568071748037</v>
      </c>
      <c r="CC404" s="162">
        <f t="shared" si="288"/>
        <v>-6499.1194118361864</v>
      </c>
      <c r="CD404">
        <f t="shared" si="313"/>
        <v>-77443.929492521711</v>
      </c>
    </row>
    <row r="405" spans="4:82" x14ac:dyDescent="0.2">
      <c r="D405" s="22">
        <f t="shared" si="279"/>
        <v>-4.107080121875966E-2</v>
      </c>
      <c r="E405" s="23">
        <v>11.501701599999999</v>
      </c>
      <c r="F405" s="23">
        <f>IF(K405&lt;6,1,IF(Data!K405&lt;9,2,IF(K405&gt;9,3)))</f>
        <v>3</v>
      </c>
      <c r="G405" s="23">
        <v>1070.2076035279713</v>
      </c>
      <c r="H405" s="23">
        <v>220.01666499999999</v>
      </c>
      <c r="I405" s="64">
        <v>48.664878878889368</v>
      </c>
      <c r="J405" s="65">
        <f t="shared" si="280"/>
        <v>1.7855161126991197</v>
      </c>
      <c r="K405" s="65">
        <f t="shared" si="281"/>
        <v>19.465951551555747</v>
      </c>
      <c r="L405" s="65">
        <f t="shared" si="282"/>
        <v>0.71420644507964781</v>
      </c>
      <c r="M405">
        <f t="shared" si="283"/>
        <v>23.003403199999997</v>
      </c>
      <c r="N405">
        <f t="shared" si="284"/>
        <v>-9.9998399999998711E-2</v>
      </c>
      <c r="O405">
        <f>IF(L405&lt;'Vehicle Data'!F$21,'Vehicle Data'!C$21,IF(L405&gt;'Vehicle Data'!C$21,'Vehicle Data'!C$20))</f>
        <v>0.6</v>
      </c>
      <c r="P405">
        <f>('Vehicle Data'!C$6*9.81*'Vehicle Data'!C$5*SIN(D405))/'Vehicle Data'!C$9</f>
        <v>-27.344130960567359</v>
      </c>
      <c r="Q405" s="107">
        <f>'Vehicle Data'!C$6*9.81*SIN(D405)</f>
        <v>-176.82538021166891</v>
      </c>
      <c r="R405">
        <f t="shared" si="278"/>
        <v>1067.7775654062891</v>
      </c>
      <c r="S405">
        <f>IF(Data!O405=0.6,'Vehicle Data'!E$21,IF(Data!O405 = 0.9,'Vehicle Data'!E$20))+(P405*O405)</f>
        <v>1533.9659214236594</v>
      </c>
      <c r="T405">
        <f>IF(F405=3,'Vehicle Data'!H$16,IF(F405=2,'Vehicle Data'!H$15,IF(F405 = 1,'Vehicle Data'!G$14)))</f>
        <v>466.23005239380637</v>
      </c>
      <c r="U405" s="148">
        <f t="shared" si="285"/>
        <v>351.63908328297305</v>
      </c>
      <c r="V405" s="70" t="s">
        <v>77</v>
      </c>
      <c r="W405" s="99" t="s">
        <v>84</v>
      </c>
      <c r="X405">
        <f>IF(V405="S",'Vehicle Data'!C$14,IF(Data!V405 = "T1",'Vehicle Data'!P$2,IF(Data!V405="T2",'Vehicle Data'!P$3)))</f>
        <v>13.411199999999999</v>
      </c>
      <c r="Z405">
        <f>SQRT(Z404^2+2*AE404*(U405-U404))</f>
        <v>8.4395827006485664</v>
      </c>
      <c r="AB405" t="b">
        <f>IF(AA405=1,'Vehicle Data'!I$14,IF(AA405=2,'Vehicle Data'!I$15,IF(AA405=3,'Vehicle Data'!I$16)))</f>
        <v>0</v>
      </c>
      <c r="AC405">
        <f>IF(Z405&lt;'Vehicle Data'!C$16,'Vehicle Data'!I$15,IF(Z405&lt;'Vehicle Data'!C$15,'Vehicle Data'!I$15,IF(Z404&gt;'Vehicle Data'!C$15,'Vehicle Data'!I$16)))</f>
        <v>0.98256251041858167</v>
      </c>
      <c r="AD405">
        <f>IF(O405=0.6,'Vehicle Data'!F$21,IF(O405=0.9,'Vehicle Data'!F$20))</f>
        <v>3.5315999999999996</v>
      </c>
      <c r="AE405" s="100">
        <f t="shared" ref="AE405:AE431" si="314">IF(W405="a",AC405,IF(W405="b",AD405*-1))</f>
        <v>0.98256251041858167</v>
      </c>
      <c r="AF405" s="158">
        <f t="shared" si="306"/>
        <v>0.28730632375949722</v>
      </c>
      <c r="AG405" s="148">
        <f t="shared" si="289"/>
        <v>0.48583232983555813</v>
      </c>
      <c r="AH405" s="148">
        <f t="shared" si="307"/>
        <v>129.48341393051427</v>
      </c>
      <c r="AJ405">
        <f>(Z405^2)*'Vehicle Data'!C$31</f>
        <v>26.175759389199314</v>
      </c>
      <c r="AK405">
        <f>IF(O405=0.6,'Vehicle Data'!C$6*'Vehicle Data'!D$21*9.81,IF(O405=0.9,'Vehicle Data'!C$6*9.81*'Vehicle Data'!D$20))</f>
        <v>86.131799999999998</v>
      </c>
      <c r="AL405">
        <f t="shared" si="286"/>
        <v>-64.517820822469602</v>
      </c>
      <c r="AN405">
        <f>IF(AG405&gt;0,AG405*'Vehicle Data'!C$6)</f>
        <v>213.28039279781001</v>
      </c>
      <c r="AO405">
        <f t="shared" si="290"/>
        <v>148.76257197534039</v>
      </c>
      <c r="AP405">
        <f>AO405*'Vehicle Data'!F$3</f>
        <v>38.023713396897001</v>
      </c>
      <c r="AQ405">
        <f>IF(AE405='Vehicle Data'!I$15,AP405/'Vehicle Data'!G$15,IF(AE405='Vehicle Data'!I$16,AP405/'Vehicle Data'!G$16,IF(AE405='Vehicle Data'!I$14,Data!AP405/'Vehicle Data'!G416)))</f>
        <v>4.7107598562553266</v>
      </c>
      <c r="AR405">
        <f>IF(Z405&lt;'Vehicle Data'!C$16, Z405*'Vehicle Data'!F$7*'Vehicle Data'!G$14,IF(Z405&lt;'Vehicle Data'!C$15,Z405*'Vehicle Data'!F$7*'Vehicle Data'!G$15,IF(Z405&gt;'Vehicle Data'!C$15,Z405*'Vehicle Data'!F$7*'Vehicle Data'!G$16)))</f>
        <v>109.40199797137031</v>
      </c>
      <c r="AS405">
        <f t="shared" si="308"/>
        <v>6564.1198782822185</v>
      </c>
      <c r="AT405">
        <f t="shared" si="309"/>
        <v>5</v>
      </c>
      <c r="AU405">
        <f t="shared" si="310"/>
        <v>6500</v>
      </c>
      <c r="AW405">
        <f>VLOOKUP(AT405,BSFC!A$64:A$82,1,FALSE)</f>
        <v>5</v>
      </c>
      <c r="AX405" t="e" cm="1">
        <f t="array" ref="AX405">_xlfn.XLOOKUP(AT405,BSFC!A$64:A$82,,-1,_xlfn.XLOOKUP(Data!AU405,BSFC!C$63:Q$63,BSFC!B$64:Q$82,,-1))</f>
        <v>#VALUE!</v>
      </c>
      <c r="AY405">
        <f>HLOOKUP(AU405,BSFC!F$63:Q$63,1)</f>
        <v>6500</v>
      </c>
      <c r="AZ405">
        <f>IF(AT405&gt;0,MATCH(AT405,BSFC!A$64:A$83,0),IF(AT405&lt;=0,0))</f>
        <v>18</v>
      </c>
      <c r="BA405">
        <f>MATCH(AU405,BSFC!C$63:Q$63,0)</f>
        <v>13</v>
      </c>
      <c r="BB405" cm="1">
        <f t="array" ref="BB405">IF(AZ405&gt;0,INDEX(BSFC!C$64:Q$83,Data!AZ405,Data!BA405))</f>
        <v>600</v>
      </c>
      <c r="BC405">
        <f>0.5*'Vehicle Data'!C$6*Data!Z405^2</f>
        <v>15634.229077358497</v>
      </c>
      <c r="BD405">
        <f t="shared" si="291"/>
        <v>11.746270514507263</v>
      </c>
      <c r="BE405">
        <f t="shared" si="311"/>
        <v>7047.7623087043576</v>
      </c>
      <c r="BF405">
        <f t="shared" si="312"/>
        <v>0.56246296656794326</v>
      </c>
      <c r="BG405">
        <f t="shared" si="292"/>
        <v>159.33566398588133</v>
      </c>
      <c r="BH405">
        <f t="shared" si="271"/>
        <v>3225.0722167563076</v>
      </c>
      <c r="BI405" s="148">
        <f t="shared" si="293"/>
        <v>6871.6622130335309</v>
      </c>
      <c r="BO405">
        <f t="shared" si="294"/>
        <v>898.959961209791</v>
      </c>
      <c r="BP405">
        <f t="shared" si="295"/>
        <v>726285.41082471132</v>
      </c>
      <c r="BQ405">
        <f t="shared" si="296"/>
        <v>967377.23169559939</v>
      </c>
      <c r="BR405" s="148">
        <f t="shared" si="297"/>
        <v>891681.69694460707</v>
      </c>
      <c r="BS405" s="156">
        <f t="shared" si="298"/>
        <v>898.959961209791</v>
      </c>
      <c r="BT405" s="156">
        <f t="shared" si="299"/>
        <v>3225.0722167563076</v>
      </c>
      <c r="BU405">
        <f t="shared" si="300"/>
        <v>1915.4142237126161</v>
      </c>
      <c r="BV405">
        <f t="shared" si="301"/>
        <v>1915.4142237126161</v>
      </c>
      <c r="BW405" s="148">
        <f t="shared" si="302"/>
        <v>455.4</v>
      </c>
      <c r="BX405" s="148">
        <f t="shared" si="303"/>
        <v>3129354.9718154697</v>
      </c>
      <c r="BY405" s="148">
        <f t="shared" si="304"/>
        <v>0.2422998992996459</v>
      </c>
      <c r="BZ405">
        <f t="shared" si="287"/>
        <v>129.48341393051427</v>
      </c>
      <c r="CB405">
        <f t="shared" si="305"/>
        <v>1016.4542625028251</v>
      </c>
      <c r="CC405" s="162">
        <f t="shared" si="288"/>
        <v>3537.8764003595425</v>
      </c>
      <c r="CD405">
        <f t="shared" si="313"/>
        <v>-76427.475230018885</v>
      </c>
    </row>
    <row r="406" spans="4:82" x14ac:dyDescent="0.2">
      <c r="D406" s="22">
        <f t="shared" si="279"/>
        <v>-6.4746343068807508E-3</v>
      </c>
      <c r="E406" s="23">
        <v>11.4017032</v>
      </c>
      <c r="F406" s="23">
        <f>IF(K406&lt;6,1,IF(Data!K406&lt;9,2,IF(K406&gt;9,3)))</f>
        <v>3</v>
      </c>
      <c r="G406" s="23">
        <v>1072.6430690077598</v>
      </c>
      <c r="H406" s="23">
        <v>220.066665</v>
      </c>
      <c r="I406" s="64">
        <v>48.754154684524345</v>
      </c>
      <c r="J406" s="65">
        <f t="shared" si="280"/>
        <v>1.737401231523019</v>
      </c>
      <c r="K406" s="65">
        <f t="shared" si="281"/>
        <v>19.501661873809738</v>
      </c>
      <c r="L406" s="65">
        <f t="shared" si="282"/>
        <v>0.69496049260922177</v>
      </c>
      <c r="M406">
        <f t="shared" si="283"/>
        <v>22.8034064</v>
      </c>
      <c r="N406">
        <f t="shared" si="284"/>
        <v>-1.5802115475887391E-2</v>
      </c>
      <c r="O406">
        <f>IF(L406&lt;'Vehicle Data'!F$21,'Vehicle Data'!C$21,IF(L406&gt;'Vehicle Data'!C$21,'Vehicle Data'!C$20))</f>
        <v>0.6</v>
      </c>
      <c r="P406">
        <f>('Vehicle Data'!C$6*9.81*'Vehicle Data'!C$5*SIN(D406))/'Vehicle Data'!C$9</f>
        <v>-4.3118660632822206</v>
      </c>
      <c r="Q406" s="107">
        <f>'Vehicle Data'!C$6*9.81*SIN(D406)</f>
        <v>-27.883400542558359</v>
      </c>
      <c r="R406">
        <f t="shared" si="278"/>
        <v>1070.2076035279713</v>
      </c>
      <c r="S406">
        <f>IF(Data!O406=0.6,'Vehicle Data'!E$21,IF(Data!O406 = 0.9,'Vehicle Data'!E$20))+(P406*O406)</f>
        <v>1547.7852803620303</v>
      </c>
      <c r="T406">
        <f>IF(F406=3,'Vehicle Data'!H$16,IF(F406=2,'Vehicle Data'!H$15,IF(F406 = 1,'Vehicle Data'!G$14)))</f>
        <v>466.23005239380637</v>
      </c>
      <c r="U406" s="148">
        <f t="shared" si="285"/>
        <v>354.06912140465522</v>
      </c>
      <c r="V406" s="70" t="s">
        <v>77</v>
      </c>
      <c r="W406" s="99" t="s">
        <v>84</v>
      </c>
      <c r="X406">
        <f>IF(V406="S",'Vehicle Data'!C$14,IF(Data!V406 = "T1",'Vehicle Data'!P$2,IF(Data!V406="T2",'Vehicle Data'!P$3)))</f>
        <v>13.411199999999999</v>
      </c>
      <c r="Z406">
        <f t="shared" ref="Z406:Z423" si="315">SQRT(Z405^2+2*AE405*(U406-U405))</f>
        <v>8.7179059914403947</v>
      </c>
      <c r="AB406" t="b">
        <f>IF(AA406=1,'Vehicle Data'!I$14,IF(AA406=2,'Vehicle Data'!I$15,IF(AA406=3,'Vehicle Data'!I$16)))</f>
        <v>0</v>
      </c>
      <c r="AC406">
        <f>IF(Z406&lt;'Vehicle Data'!C$16,'Vehicle Data'!I$15,IF(Z406&lt;'Vehicle Data'!C$15,'Vehicle Data'!I$15,IF(Z405&gt;'Vehicle Data'!C$15,'Vehicle Data'!I$16)))</f>
        <v>0.98256251041858167</v>
      </c>
      <c r="AD406">
        <f>IF(O406=0.6,'Vehicle Data'!F$21,IF(O406=0.9,'Vehicle Data'!F$20))</f>
        <v>3.5315999999999996</v>
      </c>
      <c r="AE406" s="100">
        <f t="shared" si="314"/>
        <v>0.98256251041858167</v>
      </c>
      <c r="AF406" s="158">
        <f t="shared" si="306"/>
        <v>0.27874103300357755</v>
      </c>
      <c r="AG406" s="148">
        <f t="shared" si="289"/>
        <v>0.99850132502112121</v>
      </c>
      <c r="AH406" s="148">
        <f t="shared" si="307"/>
        <v>129.76215496351784</v>
      </c>
      <c r="AJ406">
        <f>(Z406^2)*'Vehicle Data'!C$31</f>
        <v>27.930692691780187</v>
      </c>
      <c r="AK406">
        <f>IF(O406=0.6,'Vehicle Data'!C$6*'Vehicle Data'!D$21*9.81,IF(O406=0.9,'Vehicle Data'!C$6*9.81*'Vehicle Data'!D$20))</f>
        <v>86.131799999999998</v>
      </c>
      <c r="AL406">
        <f t="shared" si="286"/>
        <v>86.17909214922183</v>
      </c>
      <c r="AN406">
        <f>IF(AG406&gt;0,AG406*'Vehicle Data'!C$6)</f>
        <v>438.34208168427222</v>
      </c>
      <c r="AO406">
        <f t="shared" si="290"/>
        <v>524.521173833494</v>
      </c>
      <c r="AP406">
        <f>AO406*'Vehicle Data'!F$3</f>
        <v>134.06761203184107</v>
      </c>
      <c r="AQ406">
        <f>IF(AE406='Vehicle Data'!I$15,AP406/'Vehicle Data'!G$15,IF(AE406='Vehicle Data'!I$16,AP406/'Vehicle Data'!G$16,IF(AE406='Vehicle Data'!I$14,Data!AP406/'Vehicle Data'!G417)))</f>
        <v>16.609643518803459</v>
      </c>
      <c r="AR406">
        <f>IF(Z406&lt;'Vehicle Data'!C$16, Z406*'Vehicle Data'!F$7*'Vehicle Data'!G$14,IF(Z406&lt;'Vehicle Data'!C$15,Z406*'Vehicle Data'!F$7*'Vehicle Data'!G$15,IF(Z406&gt;'Vehicle Data'!C$15,Z406*'Vehicle Data'!F$7*'Vehicle Data'!G$16)))</f>
        <v>113.00989248163475</v>
      </c>
      <c r="AS406">
        <f t="shared" si="308"/>
        <v>6780.5935488980849</v>
      </c>
      <c r="AT406">
        <f t="shared" si="309"/>
        <v>17</v>
      </c>
      <c r="AU406">
        <f t="shared" si="310"/>
        <v>7000</v>
      </c>
      <c r="AW406">
        <f>VLOOKUP(AT406,BSFC!A$64:A$82,1,FALSE)</f>
        <v>17</v>
      </c>
      <c r="AX406" t="e" cm="1">
        <f t="array" ref="AX406">_xlfn.XLOOKUP(AT406,BSFC!A$64:A$82,,-1,_xlfn.XLOOKUP(Data!AU406,BSFC!C$63:Q$63,BSFC!B$64:Q$82,,-1))</f>
        <v>#VALUE!</v>
      </c>
      <c r="AY406">
        <f>HLOOKUP(AU406,BSFC!F$63:Q$63,1)</f>
        <v>7000</v>
      </c>
      <c r="AZ406">
        <f>IF(AT406&gt;0,MATCH(AT406,BSFC!A$64:A$83,0),IF(AT406&lt;=0,0))</f>
        <v>6</v>
      </c>
      <c r="BA406">
        <f>MATCH(AU406,BSFC!C$63:Q$63,0)</f>
        <v>14</v>
      </c>
      <c r="BB406" cm="1">
        <f t="array" ref="BB406">IF(AZ406&gt;0,INDEX(BSFC!C$64:Q$83,Data!AZ406,Data!BA406))</f>
        <v>500</v>
      </c>
      <c r="BC406">
        <f>0.5*'Vehicle Data'!C$6*Data!Z406^2</f>
        <v>16682.413730192515</v>
      </c>
      <c r="BD406">
        <f t="shared" si="291"/>
        <v>8.7192170294856286</v>
      </c>
      <c r="BE406">
        <f t="shared" si="311"/>
        <v>4359.6085147428139</v>
      </c>
      <c r="BF406">
        <f t="shared" si="312"/>
        <v>0.3375560502473901</v>
      </c>
      <c r="BG406">
        <f t="shared" si="292"/>
        <v>159.67322003612873</v>
      </c>
      <c r="BH406">
        <f t="shared" si="271"/>
        <v>11746.270514507263</v>
      </c>
      <c r="BI406" s="148">
        <f t="shared" si="293"/>
        <v>6871.6622130335309</v>
      </c>
      <c r="BO406">
        <f t="shared" si="294"/>
        <v>3182.7965114733715</v>
      </c>
      <c r="BP406">
        <f t="shared" si="295"/>
        <v>729468.20733618469</v>
      </c>
      <c r="BQ406">
        <f t="shared" si="296"/>
        <v>970560.02820707276</v>
      </c>
      <c r="BR406" s="148">
        <f t="shared" si="297"/>
        <v>893543.65836399165</v>
      </c>
      <c r="BS406" s="156">
        <f t="shared" si="298"/>
        <v>3182.7965114733715</v>
      </c>
      <c r="BT406" s="156">
        <f t="shared" si="299"/>
        <v>11746.270514507263</v>
      </c>
      <c r="BU406">
        <f t="shared" si="300"/>
        <v>1861.9614193845225</v>
      </c>
      <c r="BV406">
        <f t="shared" si="301"/>
        <v>1861.9614193845225</v>
      </c>
      <c r="BW406" s="148">
        <f t="shared" si="302"/>
        <v>455.4</v>
      </c>
      <c r="BX406" s="148">
        <f t="shared" si="303"/>
        <v>3129354.9718154697</v>
      </c>
      <c r="BY406" s="148">
        <f t="shared" si="304"/>
        <v>0.23553811955214207</v>
      </c>
      <c r="BZ406">
        <f t="shared" si="287"/>
        <v>129.76215496351784</v>
      </c>
      <c r="CB406">
        <f t="shared" si="305"/>
        <v>-1320.835092088849</v>
      </c>
      <c r="CC406" s="162">
        <f t="shared" si="288"/>
        <v>-4738.5742883141766</v>
      </c>
      <c r="CD406">
        <f t="shared" si="313"/>
        <v>-77748.310322107733</v>
      </c>
    </row>
    <row r="407" spans="4:82" x14ac:dyDescent="0.2">
      <c r="D407" s="22">
        <f t="shared" si="279"/>
        <v>-4.0904504877040788E-2</v>
      </c>
      <c r="E407" s="23">
        <v>11.385901084524113</v>
      </c>
      <c r="F407" s="23">
        <f>IF(K407&lt;6,1,IF(Data!K407&lt;9,2,IF(K407&gt;9,3)))</f>
        <v>3</v>
      </c>
      <c r="G407" s="23">
        <v>1075.0837050551254</v>
      </c>
      <c r="H407" s="23">
        <v>220.11666499999998</v>
      </c>
      <c r="I407" s="64">
        <v>48.841024746100466</v>
      </c>
      <c r="J407" s="65">
        <f t="shared" si="280"/>
        <v>1.6514353025723036</v>
      </c>
      <c r="K407" s="65">
        <f t="shared" si="281"/>
        <v>19.536409898440187</v>
      </c>
      <c r="L407" s="65">
        <f t="shared" si="282"/>
        <v>0.66057412102892143</v>
      </c>
      <c r="M407">
        <f t="shared" si="283"/>
        <v>22.771802169048225</v>
      </c>
      <c r="N407">
        <f t="shared" si="284"/>
        <v>-9.9998526418946909E-2</v>
      </c>
      <c r="O407">
        <f>IF(L407&lt;'Vehicle Data'!F$21,'Vehicle Data'!C$21,IF(L407&gt;'Vehicle Data'!C$21,'Vehicle Data'!C$20))</f>
        <v>0.6</v>
      </c>
      <c r="P407">
        <f>('Vehicle Data'!C$6*9.81*'Vehicle Data'!C$5*SIN(D407))/'Vehicle Data'!C$9</f>
        <v>-27.233476012040324</v>
      </c>
      <c r="Q407" s="107">
        <f>'Vehicle Data'!C$6*9.81*SIN(D407)</f>
        <v>-176.10981154452742</v>
      </c>
      <c r="R407">
        <f t="shared" si="278"/>
        <v>1072.6430690077598</v>
      </c>
      <c r="S407">
        <f>IF(Data!O407=0.6,'Vehicle Data'!E$21,IF(Data!O407 = 0.9,'Vehicle Data'!E$20))+(P407*O407)</f>
        <v>1534.0323143927756</v>
      </c>
      <c r="T407">
        <f>IF(F407=3,'Vehicle Data'!H$16,IF(F407=2,'Vehicle Data'!H$15,IF(F407 = 1,'Vehicle Data'!G$14)))</f>
        <v>466.23005239380637</v>
      </c>
      <c r="U407" s="148">
        <f t="shared" si="285"/>
        <v>356.50458688444371</v>
      </c>
      <c r="V407" s="70" t="s">
        <v>77</v>
      </c>
      <c r="W407" s="99" t="s">
        <v>84</v>
      </c>
      <c r="X407">
        <f>IF(V407="S",'Vehicle Data'!C$14,IF(Data!V407 = "T1",'Vehicle Data'!P$2,IF(Data!V407="T2",'Vehicle Data'!P$3)))</f>
        <v>13.411199999999999</v>
      </c>
      <c r="Z407">
        <f t="shared" si="315"/>
        <v>8.9882077761537023</v>
      </c>
      <c r="AB407" t="b">
        <f>IF(AA407=1,'Vehicle Data'!I$14,IF(AA407=2,'Vehicle Data'!I$15,IF(AA407=3,'Vehicle Data'!I$16)))</f>
        <v>0</v>
      </c>
      <c r="AC407">
        <f>IF(Z407&lt;'Vehicle Data'!C$16,'Vehicle Data'!I$15,IF(Z407&lt;'Vehicle Data'!C$15,'Vehicle Data'!I$15,IF(Z406&gt;'Vehicle Data'!C$15,'Vehicle Data'!I$16)))</f>
        <v>0.98256251041858167</v>
      </c>
      <c r="AD407">
        <f>IF(O407=0.6,'Vehicle Data'!F$21,IF(O407=0.9,'Vehicle Data'!F$20))</f>
        <v>3.5315999999999996</v>
      </c>
      <c r="AE407" s="100">
        <f t="shared" si="314"/>
        <v>0.98256251041858167</v>
      </c>
      <c r="AF407" s="158">
        <f t="shared" si="306"/>
        <v>0.27096230310228681</v>
      </c>
      <c r="AG407" s="148">
        <f t="shared" si="289"/>
        <v>0.99756232368334319</v>
      </c>
      <c r="AH407" s="148">
        <f t="shared" si="307"/>
        <v>130.03311726662014</v>
      </c>
      <c r="AJ407">
        <f>(Z407^2)*'Vehicle Data'!C$31</f>
        <v>29.68954554253639</v>
      </c>
      <c r="AK407">
        <f>IF(O407=0.6,'Vehicle Data'!C$6*'Vehicle Data'!D$21*9.81,IF(O407=0.9,'Vehicle Data'!C$6*9.81*'Vehicle Data'!D$20))</f>
        <v>86.131799999999998</v>
      </c>
      <c r="AL407">
        <f t="shared" si="286"/>
        <v>-60.288466001991026</v>
      </c>
      <c r="AN407">
        <f>IF(AG407&gt;0,AG407*'Vehicle Data'!C$6)</f>
        <v>437.92986009698768</v>
      </c>
      <c r="AO407">
        <f t="shared" si="290"/>
        <v>377.64139409499666</v>
      </c>
      <c r="AP407">
        <f>AO407*'Vehicle Data'!F$3</f>
        <v>96.52514033068114</v>
      </c>
      <c r="AQ407">
        <f>IF(AE407='Vehicle Data'!I$15,AP407/'Vehicle Data'!G$15,IF(AE407='Vehicle Data'!I$16,AP407/'Vehicle Data'!G$16,IF(AE407='Vehicle Data'!I$14,Data!AP407/'Vehicle Data'!G418)))</f>
        <v>11.958504721590185</v>
      </c>
      <c r="AR407">
        <f>IF(Z407&lt;'Vehicle Data'!C$16, Z407*'Vehicle Data'!F$7*'Vehicle Data'!G$14,IF(Z407&lt;'Vehicle Data'!C$15,Z407*'Vehicle Data'!F$7*'Vehicle Data'!G$15,IF(Z407&gt;'Vehicle Data'!C$15,Z407*'Vehicle Data'!F$7*'Vehicle Data'!G$16)))</f>
        <v>116.51380450569616</v>
      </c>
      <c r="AS407">
        <f t="shared" si="308"/>
        <v>6990.8282703417699</v>
      </c>
      <c r="AT407">
        <f t="shared" si="309"/>
        <v>12</v>
      </c>
      <c r="AU407">
        <f t="shared" si="310"/>
        <v>7000</v>
      </c>
      <c r="AW407">
        <f>VLOOKUP(AT407,BSFC!A$64:A$82,1,FALSE)</f>
        <v>12</v>
      </c>
      <c r="AX407" t="e" cm="1">
        <f t="array" ref="AX407">_xlfn.XLOOKUP(AT407,BSFC!A$64:A$82,,-1,_xlfn.XLOOKUP(Data!AU407,BSFC!C$63:Q$63,BSFC!B$64:Q$82,,-1))</f>
        <v>#VALUE!</v>
      </c>
      <c r="AY407">
        <f>HLOOKUP(AU407,BSFC!F$63:Q$63,1)</f>
        <v>7000</v>
      </c>
      <c r="AZ407">
        <f>IF(AT407&gt;0,MATCH(AT407,BSFC!A$64:A$83,0),IF(AT407&lt;=0,0))</f>
        <v>11</v>
      </c>
      <c r="BA407">
        <f>MATCH(AU407,BSFC!C$63:Q$63,0)</f>
        <v>14</v>
      </c>
      <c r="BB407" cm="1">
        <f t="array" ref="BB407">IF(AZ407&gt;0,INDEX(BSFC!C$64:Q$83,Data!AZ407,Data!BA407))</f>
        <v>474.5</v>
      </c>
      <c r="BC407">
        <f>0.5*'Vehicle Data'!C$6*Data!Z407^2</f>
        <v>17732.939446494518</v>
      </c>
      <c r="BD407">
        <f t="shared" si="291"/>
        <v>0</v>
      </c>
      <c r="BE407">
        <f t="shared" si="311"/>
        <v>0</v>
      </c>
      <c r="BF407">
        <f t="shared" si="312"/>
        <v>0</v>
      </c>
      <c r="BG407">
        <f t="shared" si="292"/>
        <v>159.67322003612873</v>
      </c>
      <c r="BH407">
        <f t="shared" si="271"/>
        <v>8719.2170294856278</v>
      </c>
      <c r="BI407" s="148">
        <f t="shared" si="293"/>
        <v>6871.6622130335309</v>
      </c>
      <c r="BO407">
        <f t="shared" si="294"/>
        <v>2300.2981631894686</v>
      </c>
      <c r="BP407">
        <f t="shared" si="295"/>
        <v>731768.50549937412</v>
      </c>
      <c r="BQ407">
        <f t="shared" si="296"/>
        <v>972860.32637026219</v>
      </c>
      <c r="BR407" s="148">
        <f t="shared" si="297"/>
        <v>895356.53581769485</v>
      </c>
      <c r="BS407" s="156">
        <f t="shared" si="298"/>
        <v>2300.2981631894686</v>
      </c>
      <c r="BT407" s="156">
        <f t="shared" si="299"/>
        <v>8719.2170294856278</v>
      </c>
      <c r="BU407">
        <f t="shared" si="300"/>
        <v>1812.8774537032027</v>
      </c>
      <c r="BV407">
        <f t="shared" si="301"/>
        <v>1812.8774537032027</v>
      </c>
      <c r="BW407" s="148">
        <f t="shared" si="302"/>
        <v>455.4</v>
      </c>
      <c r="BX407" s="148">
        <f t="shared" si="303"/>
        <v>3129354.9718154697</v>
      </c>
      <c r="BY407" s="148">
        <f t="shared" si="304"/>
        <v>0.22932899789345512</v>
      </c>
      <c r="BZ407">
        <f t="shared" si="287"/>
        <v>130.03311726662014</v>
      </c>
      <c r="CB407">
        <f t="shared" si="305"/>
        <v>-487.42070948626588</v>
      </c>
      <c r="CC407" s="162">
        <f t="shared" si="288"/>
        <v>-1798.8506294259453</v>
      </c>
      <c r="CD407">
        <f t="shared" si="313"/>
        <v>-78235.731031593998</v>
      </c>
    </row>
    <row r="408" spans="4:82" x14ac:dyDescent="0.2">
      <c r="D408" s="22">
        <f t="shared" si="279"/>
        <v>-7.5293619300337275E-2</v>
      </c>
      <c r="E408" s="23">
        <v>11.285902558105166</v>
      </c>
      <c r="F408" s="23">
        <f>IF(K408&lt;6,1,IF(Data!K408&lt;9,2,IF(K408&gt;9,3)))</f>
        <v>3</v>
      </c>
      <c r="G408" s="23">
        <v>1077.5290693997558</v>
      </c>
      <c r="H408" s="23">
        <v>220.16666499999999</v>
      </c>
      <c r="I408" s="64">
        <v>48.9235965112291</v>
      </c>
      <c r="J408" s="65">
        <f t="shared" si="280"/>
        <v>0.98040533768828952</v>
      </c>
      <c r="K408" s="65">
        <f t="shared" si="281"/>
        <v>19.569438604491641</v>
      </c>
      <c r="L408" s="65">
        <f t="shared" si="282"/>
        <v>0.39216213507528735</v>
      </c>
      <c r="M408">
        <f t="shared" si="283"/>
        <v>22.571805116210331</v>
      </c>
      <c r="N408">
        <f t="shared" si="284"/>
        <v>-0.18419535810516585</v>
      </c>
      <c r="O408">
        <f>IF(L408&lt;'Vehicle Data'!F$21,'Vehicle Data'!C$21,IF(L408&gt;'Vehicle Data'!C$21,'Vehicle Data'!C$20))</f>
        <v>0.6</v>
      </c>
      <c r="P408">
        <f>('Vehicle Data'!C$6*9.81*'Vehicle Data'!C$5*SIN(D408))/'Vehicle Data'!C$9</f>
        <v>-50.095740823382329</v>
      </c>
      <c r="Q408" s="107">
        <f>'Vehicle Data'!C$6*9.81*SIN(D408)</f>
        <v>-323.95245732453901</v>
      </c>
      <c r="R408">
        <f t="shared" si="278"/>
        <v>1075.0837050551254</v>
      </c>
      <c r="S408">
        <f>IF(Data!O408=0.6,'Vehicle Data'!E$21,IF(Data!O408 = 0.9,'Vehicle Data'!E$20))+(P408*O408)</f>
        <v>1520.3149555059704</v>
      </c>
      <c r="T408">
        <f>IF(F408=3,'Vehicle Data'!H$16,IF(F408=2,'Vehicle Data'!H$15,IF(F408 = 1,'Vehicle Data'!G$14)))</f>
        <v>466.23005239380637</v>
      </c>
      <c r="U408" s="148">
        <f t="shared" si="285"/>
        <v>358.94522293180933</v>
      </c>
      <c r="V408" s="70" t="s">
        <v>77</v>
      </c>
      <c r="W408" s="99" t="s">
        <v>84</v>
      </c>
      <c r="X408">
        <f>IF(V408="S",'Vehicle Data'!C$14,IF(Data!V408 = "T1",'Vehicle Data'!P$2,IF(Data!V408="T2",'Vehicle Data'!P$3)))</f>
        <v>13.411199999999999</v>
      </c>
      <c r="Z408">
        <f t="shared" si="315"/>
        <v>9.2511639262713956</v>
      </c>
      <c r="AB408" t="b">
        <f>IF(AA408=1,'Vehicle Data'!I$14,IF(AA408=2,'Vehicle Data'!I$15,IF(AA408=3,'Vehicle Data'!I$16)))</f>
        <v>0</v>
      </c>
      <c r="AC408" t="b">
        <f>IF(Z408&lt;'Vehicle Data'!C$16,'Vehicle Data'!I$15,IF(Z408&lt;'Vehicle Data'!C$15,'Vehicle Data'!I$15,IF(Z407&gt;'Vehicle Data'!C$15,'Vehicle Data'!I$16)))</f>
        <v>0</v>
      </c>
      <c r="AD408">
        <f>IF(O408=0.6,'Vehicle Data'!F$21,IF(O408=0.9,'Vehicle Data'!F$20))</f>
        <v>3.5315999999999996</v>
      </c>
      <c r="AE408" s="100" t="b">
        <f t="shared" si="314"/>
        <v>0</v>
      </c>
      <c r="AF408" s="158">
        <f t="shared" si="306"/>
        <v>0.26381934930746526</v>
      </c>
      <c r="AG408" s="148">
        <f t="shared" si="289"/>
        <v>0.99672806717157847</v>
      </c>
      <c r="AH408" s="148">
        <f t="shared" si="307"/>
        <v>130.29693661592759</v>
      </c>
      <c r="AJ408">
        <f>(Z408^2)*'Vehicle Data'!C$31</f>
        <v>31.452132491598864</v>
      </c>
      <c r="AK408">
        <f>IF(O408=0.6,'Vehicle Data'!C$6*'Vehicle Data'!D$21*9.81,IF(O408=0.9,'Vehicle Data'!C$6*9.81*'Vehicle Data'!D$20))</f>
        <v>86.131799999999998</v>
      </c>
      <c r="AL408">
        <f t="shared" si="286"/>
        <v>-206.36852483294015</v>
      </c>
      <c r="AN408">
        <f>IF(AG408&gt;0,AG408*'Vehicle Data'!C$6)</f>
        <v>437.56362148832295</v>
      </c>
      <c r="AO408">
        <f t="shared" si="290"/>
        <v>231.1950966553828</v>
      </c>
      <c r="AP408">
        <f>AO408*'Vehicle Data'!F$3</f>
        <v>59.093466705115844</v>
      </c>
      <c r="AQ408" t="b">
        <f>IF(AE408='Vehicle Data'!I$15,AP408/'Vehicle Data'!G$15,IF(AE408='Vehicle Data'!I$16,AP408/'Vehicle Data'!G$16,IF(AE408='Vehicle Data'!I$14,Data!AP408/'Vehicle Data'!G419)))</f>
        <v>0</v>
      </c>
      <c r="AR408">
        <f>IF(Z408&lt;'Vehicle Data'!C$16, Z408*'Vehicle Data'!F$7*'Vehicle Data'!G$14,IF(Z408&lt;'Vehicle Data'!C$15,Z408*'Vehicle Data'!F$7*'Vehicle Data'!G$15,IF(Z408&gt;'Vehicle Data'!C$15,Z408*'Vehicle Data'!F$7*'Vehicle Data'!G$16)))</f>
        <v>80.477694618303829</v>
      </c>
      <c r="AS408">
        <f t="shared" si="308"/>
        <v>4828.66167709823</v>
      </c>
      <c r="AT408">
        <f t="shared" si="309"/>
        <v>0</v>
      </c>
      <c r="AU408">
        <f t="shared" si="310"/>
        <v>5000</v>
      </c>
      <c r="AW408" t="e">
        <f>VLOOKUP(AT408,BSFC!A$64:A$82,1,FALSE)</f>
        <v>#N/A</v>
      </c>
      <c r="AX408" t="e" cm="1">
        <f t="array" ref="AX408">_xlfn.XLOOKUP(AT408,BSFC!A$64:A$82,,-1,_xlfn.XLOOKUP(Data!AU408,BSFC!C$63:Q$63,BSFC!B$64:Q$82,,-1))</f>
        <v>#VALUE!</v>
      </c>
      <c r="AY408">
        <f>HLOOKUP(AU408,BSFC!F$63:Q$63,1)</f>
        <v>5000</v>
      </c>
      <c r="AZ408">
        <f>IF(AT408&gt;0,MATCH(AT408,BSFC!A$64:A$83,0),IF(AT408&lt;=0,0))</f>
        <v>0</v>
      </c>
      <c r="BA408">
        <f>MATCH(AU408,BSFC!C$63:Q$63,0)</f>
        <v>10</v>
      </c>
      <c r="BB408" t="b" cm="1">
        <f t="array" ref="BB408">IF(AZ408&gt;0,INDEX(BSFC!C$64:Q$83,Data!AZ408,Data!BA408))</f>
        <v>0</v>
      </c>
      <c r="BC408">
        <f>0.5*'Vehicle Data'!C$6*Data!Z408^2</f>
        <v>18785.695460968567</v>
      </c>
      <c r="BD408">
        <f t="shared" si="291"/>
        <v>2.0516947603002373</v>
      </c>
      <c r="BE408">
        <f t="shared" si="311"/>
        <v>0</v>
      </c>
      <c r="BF408">
        <f t="shared" si="312"/>
        <v>0</v>
      </c>
      <c r="BG408">
        <f t="shared" si="292"/>
        <v>159.67322003612873</v>
      </c>
      <c r="BH408">
        <f t="shared" ref="BH408:BH471" si="316">AQ408*(AS408/9.588)</f>
        <v>0</v>
      </c>
      <c r="BI408" s="148">
        <f t="shared" si="293"/>
        <v>6871.6622130335309</v>
      </c>
      <c r="BO408">
        <f t="shared" si="294"/>
        <v>0</v>
      </c>
      <c r="BP408">
        <f t="shared" si="295"/>
        <v>731768.50549937412</v>
      </c>
      <c r="BQ408">
        <f t="shared" si="296"/>
        <v>972860.32637026219</v>
      </c>
      <c r="BR408" s="148">
        <f t="shared" si="297"/>
        <v>897172.92539829423</v>
      </c>
      <c r="BS408" s="156" t="b">
        <f t="shared" si="298"/>
        <v>0</v>
      </c>
      <c r="BT408" s="156">
        <f t="shared" si="299"/>
        <v>0</v>
      </c>
      <c r="BU408">
        <f t="shared" si="300"/>
        <v>1816.3895805994066</v>
      </c>
      <c r="BV408">
        <f t="shared" si="301"/>
        <v>1816.3895805994066</v>
      </c>
      <c r="BW408" s="148">
        <f t="shared" si="302"/>
        <v>455.4</v>
      </c>
      <c r="BX408" s="148">
        <f t="shared" si="303"/>
        <v>3129354.9718154697</v>
      </c>
      <c r="BY408" s="148">
        <f t="shared" si="304"/>
        <v>0.22977328194582489</v>
      </c>
      <c r="BZ408">
        <f t="shared" si="287"/>
        <v>130.29693661592759</v>
      </c>
      <c r="CB408">
        <f t="shared" si="305"/>
        <v>1816.3895805994066</v>
      </c>
      <c r="CC408" s="162">
        <f t="shared" si="288"/>
        <v>6884.9748336032562</v>
      </c>
      <c r="CD408">
        <f t="shared" si="313"/>
        <v>-76419.341450994587</v>
      </c>
    </row>
    <row r="409" spans="4:82" x14ac:dyDescent="0.2">
      <c r="D409" s="22">
        <f t="shared" si="279"/>
        <v>-4.7368368520190052E-2</v>
      </c>
      <c r="E409" s="23">
        <v>11.1017072</v>
      </c>
      <c r="F409" s="23">
        <f>IF(K409&lt;6,1,IF(Data!K409&lt;9,2,IF(K409&gt;9,3)))</f>
        <v>3</v>
      </c>
      <c r="G409" s="23">
        <v>1079.9777431768077</v>
      </c>
      <c r="H409" s="23">
        <v>220.21666499999998</v>
      </c>
      <c r="I409" s="64">
        <v>48.972616778113498</v>
      </c>
      <c r="J409" s="65">
        <f t="shared" si="280"/>
        <v>-4.4257151947752389</v>
      </c>
      <c r="K409" s="65">
        <f t="shared" si="281"/>
        <v>19.589046711245398</v>
      </c>
      <c r="L409" s="65">
        <f t="shared" si="282"/>
        <v>-1.7702860779101097</v>
      </c>
      <c r="M409">
        <f t="shared" si="283"/>
        <v>22.2034144</v>
      </c>
      <c r="N409">
        <f t="shared" si="284"/>
        <v>-0.11580771547588675</v>
      </c>
      <c r="O409">
        <f>IF(L409&lt;'Vehicle Data'!F$21,'Vehicle Data'!C$21,IF(L409&gt;'Vehicle Data'!C$21,'Vehicle Data'!C$20))</f>
        <v>0.6</v>
      </c>
      <c r="P409">
        <f>('Vehicle Data'!C$6*9.81*'Vehicle Data'!C$5*SIN(D409))/'Vehicle Data'!C$9</f>
        <v>-31.533999628852754</v>
      </c>
      <c r="Q409" s="107">
        <f>'Vehicle Data'!C$6*9.81*SIN(D409)</f>
        <v>-203.91986426658113</v>
      </c>
      <c r="R409">
        <f t="shared" si="278"/>
        <v>1077.5290693997558</v>
      </c>
      <c r="S409">
        <f>IF(Data!O409=0.6,'Vehicle Data'!E$21,IF(Data!O409 = 0.9,'Vehicle Data'!E$20))+(P409*O409)</f>
        <v>1531.4520002226882</v>
      </c>
      <c r="T409">
        <f>IF(F409=3,'Vehicle Data'!H$16,IF(F409=2,'Vehicle Data'!H$15,IF(F409 = 1,'Vehicle Data'!G$14)))</f>
        <v>466.23005239380637</v>
      </c>
      <c r="U409" s="148">
        <f t="shared" si="285"/>
        <v>361.39058727643976</v>
      </c>
      <c r="V409" s="70" t="s">
        <v>77</v>
      </c>
      <c r="W409" s="99" t="s">
        <v>84</v>
      </c>
      <c r="X409">
        <f>IF(V409="S",'Vehicle Data'!C$14,IF(Data!V409 = "T1",'Vehicle Data'!P$2,IF(Data!V409="T2",'Vehicle Data'!P$3)))</f>
        <v>13.411199999999999</v>
      </c>
      <c r="Z409">
        <f t="shared" si="315"/>
        <v>9.2511639262713956</v>
      </c>
      <c r="AB409" t="b">
        <f>IF(AA409=1,'Vehicle Data'!I$14,IF(AA409=2,'Vehicle Data'!I$15,IF(AA409=3,'Vehicle Data'!I$16)))</f>
        <v>0</v>
      </c>
      <c r="AC409">
        <f>IF(Z409&lt;'Vehicle Data'!C$16,'Vehicle Data'!I$15,IF(Z409&lt;'Vehicle Data'!C$15,'Vehicle Data'!I$15,IF(Z408&gt;'Vehicle Data'!C$15,'Vehicle Data'!I$16)))</f>
        <v>0.46202745420001456</v>
      </c>
      <c r="AD409">
        <f>IF(O409=0.6,'Vehicle Data'!F$21,IF(O409=0.9,'Vehicle Data'!F$20))</f>
        <v>3.5315999999999996</v>
      </c>
      <c r="AE409" s="100">
        <f t="shared" si="314"/>
        <v>0.46202745420001456</v>
      </c>
      <c r="AF409" s="158">
        <f t="shared" si="306"/>
        <v>0.26433045226732005</v>
      </c>
      <c r="AG409" s="148">
        <f t="shared" si="289"/>
        <v>0</v>
      </c>
      <c r="AH409" s="148">
        <f t="shared" si="307"/>
        <v>130.56126706819492</v>
      </c>
      <c r="AJ409">
        <f>(Z409^2)*'Vehicle Data'!C$31</f>
        <v>31.452132491598864</v>
      </c>
      <c r="AK409">
        <f>IF(O409=0.6,'Vehicle Data'!C$6*'Vehicle Data'!D$21*9.81,IF(O409=0.9,'Vehicle Data'!C$6*9.81*'Vehicle Data'!D$20))</f>
        <v>86.131799999999998</v>
      </c>
      <c r="AL409">
        <f t="shared" si="286"/>
        <v>-86.335931774982271</v>
      </c>
      <c r="AN409" t="b">
        <f>IF(AG409&gt;0,AG409*'Vehicle Data'!C$6)</f>
        <v>0</v>
      </c>
      <c r="AO409">
        <f t="shared" si="290"/>
        <v>-86.335931774982271</v>
      </c>
      <c r="AP409">
        <f>AO409*'Vehicle Data'!F$3</f>
        <v>-22.067464161685468</v>
      </c>
      <c r="AQ409">
        <f>IF(AE409='Vehicle Data'!I$15,AP409/'Vehicle Data'!G$15,IF(AE409='Vehicle Data'!I$16,AP409/'Vehicle Data'!G$16,IF(AE409='Vehicle Data'!I$14,Data!AP409/'Vehicle Data'!G420)))</f>
        <v>-4.0739340788895966</v>
      </c>
      <c r="AR409">
        <f>IF(Z409&lt;'Vehicle Data'!C$16, Z409*'Vehicle Data'!F$7*'Vehicle Data'!G$14,IF(Z409&lt;'Vehicle Data'!C$15,Z409*'Vehicle Data'!F$7*'Vehicle Data'!G$15,IF(Z409&gt;'Vehicle Data'!C$15,Z409*'Vehicle Data'!F$7*'Vehicle Data'!G$16)))</f>
        <v>80.477694618303829</v>
      </c>
      <c r="AS409">
        <f t="shared" si="308"/>
        <v>4828.66167709823</v>
      </c>
      <c r="AT409">
        <v>4</v>
      </c>
      <c r="AU409">
        <f t="shared" si="310"/>
        <v>5000</v>
      </c>
      <c r="AW409">
        <f>VLOOKUP(AT409,BSFC!A$64:A$82,1,FALSE)</f>
        <v>4</v>
      </c>
      <c r="AX409" t="e" cm="1">
        <f t="array" ref="AX409">_xlfn.XLOOKUP(AT409,BSFC!A$64:A$82,,-1,_xlfn.XLOOKUP(Data!AU409,BSFC!C$63:Q$63,BSFC!B$64:Q$82,,-1))</f>
        <v>#VALUE!</v>
      </c>
      <c r="AY409">
        <f>HLOOKUP(AU409,BSFC!F$63:Q$63,1)</f>
        <v>5000</v>
      </c>
      <c r="AZ409">
        <f>IF(AT409&gt;0,MATCH(AT409,BSFC!A$64:A$83,0),IF(AT409&lt;=0,0))</f>
        <v>19</v>
      </c>
      <c r="BA409">
        <f>MATCH(AU409,BSFC!C$63:Q$63,0)</f>
        <v>10</v>
      </c>
      <c r="BB409" cm="1">
        <f t="array" ref="BB409">IF(AZ409&gt;0,INDEX(BSFC!C$64:Q$83,Data!AZ409,Data!BA409))</f>
        <v>700</v>
      </c>
      <c r="BC409">
        <f>0.5*'Vehicle Data'!C$6*Data!Z409^2</f>
        <v>18785.695460968567</v>
      </c>
      <c r="BD409">
        <f t="shared" si="291"/>
        <v>0.7902558436083178</v>
      </c>
      <c r="BE409">
        <f t="shared" si="311"/>
        <v>553.1790905258224</v>
      </c>
      <c r="BF409">
        <f t="shared" si="312"/>
        <v>4.0617244217643171E-2</v>
      </c>
      <c r="BG409">
        <f t="shared" si="292"/>
        <v>159.71383728034638</v>
      </c>
      <c r="BH409">
        <f t="shared" si="316"/>
        <v>-2051.6947603002372</v>
      </c>
      <c r="BI409" s="148">
        <f t="shared" si="293"/>
        <v>6871.6622130335309</v>
      </c>
      <c r="BO409">
        <f t="shared" si="294"/>
        <v>-536.0198187509211</v>
      </c>
      <c r="BP409">
        <f t="shared" si="295"/>
        <v>731232.48568062321</v>
      </c>
      <c r="BQ409">
        <f t="shared" si="296"/>
        <v>972860.32637026219</v>
      </c>
      <c r="BR409" s="148">
        <f t="shared" si="297"/>
        <v>898968.19592547964</v>
      </c>
      <c r="BS409" s="156" t="b">
        <f t="shared" si="298"/>
        <v>0</v>
      </c>
      <c r="BT409" s="156">
        <f t="shared" si="299"/>
        <v>0</v>
      </c>
      <c r="BU409">
        <f t="shared" si="300"/>
        <v>1795.2705271854277</v>
      </c>
      <c r="BV409">
        <f t="shared" si="301"/>
        <v>1795.2705271854277</v>
      </c>
      <c r="BW409" s="148">
        <f t="shared" si="302"/>
        <v>455.4</v>
      </c>
      <c r="BX409" s="148">
        <f t="shared" si="303"/>
        <v>3129354.9718154697</v>
      </c>
      <c r="BY409" s="148">
        <f t="shared" si="304"/>
        <v>0.22710172168895656</v>
      </c>
      <c r="BZ409">
        <f t="shared" si="287"/>
        <v>130.56126706819492</v>
      </c>
      <c r="CB409">
        <f t="shared" si="305"/>
        <v>1795.2705271854277</v>
      </c>
      <c r="CC409" s="162">
        <f t="shared" si="288"/>
        <v>6791.76580596844</v>
      </c>
      <c r="CD409">
        <f t="shared" si="313"/>
        <v>-74624.070923809166</v>
      </c>
    </row>
    <row r="410" spans="4:82" x14ac:dyDescent="0.2">
      <c r="D410" s="22">
        <f t="shared" si="279"/>
        <v>-8.2616750833246363E-2</v>
      </c>
      <c r="E410" s="23">
        <v>10.985899484524113</v>
      </c>
      <c r="F410" s="23">
        <f>IF(K410&lt;6,1,IF(Data!K410&lt;9,2,IF(K410&gt;9,3)))</f>
        <v>3</v>
      </c>
      <c r="G410" s="23">
        <v>1082.4234899469179</v>
      </c>
      <c r="H410" s="23">
        <v>220.26666499999999</v>
      </c>
      <c r="I410" s="64">
        <v>48.751331018374685</v>
      </c>
      <c r="J410" s="65">
        <f t="shared" si="280"/>
        <v>-12.883821262559023</v>
      </c>
      <c r="K410" s="65">
        <f t="shared" si="281"/>
        <v>19.500532407349873</v>
      </c>
      <c r="L410" s="65">
        <f t="shared" si="282"/>
        <v>-5.1535285050235666</v>
      </c>
      <c r="M410">
        <f t="shared" si="283"/>
        <v>21.971798969048226</v>
      </c>
      <c r="N410">
        <f t="shared" si="284"/>
        <v>-0.1999969264189474</v>
      </c>
      <c r="O410">
        <f>IF(L410&lt;'Vehicle Data'!F$21,'Vehicle Data'!C$21,IF(L410&gt;'Vehicle Data'!C$21,'Vehicle Data'!C$20))</f>
        <v>0.6</v>
      </c>
      <c r="P410">
        <f>('Vehicle Data'!C$6*9.81*'Vehicle Data'!C$5*SIN(D410))/'Vehicle Data'!C$9</f>
        <v>-54.957504326367967</v>
      </c>
      <c r="Q410" s="107">
        <f>'Vehicle Data'!C$6*9.81*SIN(D410)</f>
        <v>-355.39186131051281</v>
      </c>
      <c r="R410">
        <f t="shared" si="278"/>
        <v>1079.9777431768077</v>
      </c>
      <c r="S410">
        <f>IF(Data!O410=0.6,'Vehicle Data'!E$21,IF(Data!O410 = 0.9,'Vehicle Data'!E$20))+(P410*O410)</f>
        <v>1517.397897404179</v>
      </c>
      <c r="T410">
        <f>IF(F410=3,'Vehicle Data'!H$16,IF(F410=2,'Vehicle Data'!H$15,IF(F410 = 1,'Vehicle Data'!G$14)))</f>
        <v>466.23005239380637</v>
      </c>
      <c r="U410" s="148">
        <f t="shared" si="285"/>
        <v>363.83926105349167</v>
      </c>
      <c r="V410" s="70" t="s">
        <v>77</v>
      </c>
      <c r="W410" s="99" t="s">
        <v>84</v>
      </c>
      <c r="X410">
        <f>IF(V410="S",'Vehicle Data'!C$14,IF(Data!V410 = "T1",'Vehicle Data'!P$2,IF(Data!V410="T2",'Vehicle Data'!P$3)))</f>
        <v>13.411199999999999</v>
      </c>
      <c r="Z410">
        <f t="shared" si="315"/>
        <v>9.3726593351887306</v>
      </c>
      <c r="AB410" t="b">
        <f>IF(AA410=1,'Vehicle Data'!I$14,IF(AA410=2,'Vehicle Data'!I$15,IF(AA410=3,'Vehicle Data'!I$16)))</f>
        <v>0</v>
      </c>
      <c r="AC410">
        <f>IF(Z410&lt;'Vehicle Data'!C$16,'Vehicle Data'!I$15,IF(Z410&lt;'Vehicle Data'!C$15,'Vehicle Data'!I$15,IF(Z409&gt;'Vehicle Data'!C$15,'Vehicle Data'!I$16)))</f>
        <v>0.46202745420001456</v>
      </c>
      <c r="AD410">
        <f>IF(O410=0.6,'Vehicle Data'!F$21,IF(O410=0.9,'Vehicle Data'!F$20))</f>
        <v>3.5315999999999996</v>
      </c>
      <c r="AE410" s="100">
        <f t="shared" si="314"/>
        <v>0.46202745420001456</v>
      </c>
      <c r="AF410" s="158">
        <f t="shared" si="306"/>
        <v>0.26125709785040441</v>
      </c>
      <c r="AG410" s="148">
        <f t="shared" si="289"/>
        <v>0.46504156218907089</v>
      </c>
      <c r="AH410" s="148">
        <f t="shared" si="307"/>
        <v>130.82252416604533</v>
      </c>
      <c r="AJ410">
        <f>(Z410^2)*'Vehicle Data'!C$31</f>
        <v>32.283678057461429</v>
      </c>
      <c r="AK410">
        <f>IF(O410=0.6,'Vehicle Data'!C$6*'Vehicle Data'!D$21*9.81,IF(O410=0.9,'Vehicle Data'!C$6*9.81*'Vehicle Data'!D$20))</f>
        <v>86.131799999999998</v>
      </c>
      <c r="AL410">
        <f t="shared" si="286"/>
        <v>-236.97638325305138</v>
      </c>
      <c r="AN410">
        <f>IF(AG410&gt;0,AG410*'Vehicle Data'!C$6)</f>
        <v>204.15324580100213</v>
      </c>
      <c r="AO410">
        <f t="shared" si="290"/>
        <v>-32.823137452049252</v>
      </c>
      <c r="AP410">
        <f>AO410*'Vehicle Data'!F$3</f>
        <v>-8.3895939327437894</v>
      </c>
      <c r="AQ410">
        <f>IF(AE410='Vehicle Data'!I$15,AP410/'Vehicle Data'!G$15,IF(AE410='Vehicle Data'!I$16,AP410/'Vehicle Data'!G$16,IF(AE410='Vehicle Data'!I$14,Data!AP410/'Vehicle Data'!G421)))</f>
        <v>-1.5488255641983932</v>
      </c>
      <c r="AR410">
        <f>IF(Z410&lt;'Vehicle Data'!C$16, Z410*'Vehicle Data'!F$7*'Vehicle Data'!G$14,IF(Z410&lt;'Vehicle Data'!C$15,Z410*'Vehicle Data'!F$7*'Vehicle Data'!G$15,IF(Z410&gt;'Vehicle Data'!C$15,Z410*'Vehicle Data'!F$7*'Vehicle Data'!G$16)))</f>
        <v>81.534607077568396</v>
      </c>
      <c r="AS410">
        <f t="shared" si="308"/>
        <v>4892.0764246541039</v>
      </c>
      <c r="AT410">
        <f t="shared" si="309"/>
        <v>-2</v>
      </c>
      <c r="AU410">
        <f t="shared" si="310"/>
        <v>5000</v>
      </c>
      <c r="AW410" t="e">
        <f>VLOOKUP(AT410,BSFC!A$64:A$82,1,FALSE)</f>
        <v>#N/A</v>
      </c>
      <c r="AX410" t="e" cm="1">
        <f t="array" ref="AX410">_xlfn.XLOOKUP(AT410,BSFC!A$64:A$82,,-1,_xlfn.XLOOKUP(Data!AU410,BSFC!C$63:Q$63,BSFC!B$64:Q$82,,-1))</f>
        <v>#VALUE!</v>
      </c>
      <c r="AY410">
        <f>HLOOKUP(AU410,BSFC!F$63:Q$63,1)</f>
        <v>5000</v>
      </c>
      <c r="AZ410">
        <f>IF(AT410&gt;0,MATCH(AT410,BSFC!A$64:A$83,0),IF(AT410&lt;=0,0))</f>
        <v>0</v>
      </c>
      <c r="BA410">
        <f>MATCH(AU410,BSFC!C$63:Q$63,0)</f>
        <v>10</v>
      </c>
      <c r="BB410" t="b" cm="1">
        <f t="array" ref="BB410">IF(AZ410&gt;0,INDEX(BSFC!C$64:Q$83,Data!AZ410,Data!BA410))</f>
        <v>0</v>
      </c>
      <c r="BC410">
        <f>0.5*'Vehicle Data'!C$6*Data!Z410^2</f>
        <v>19282.36009146335</v>
      </c>
      <c r="BD410">
        <f t="shared" si="291"/>
        <v>0.91207595569832267</v>
      </c>
      <c r="BE410">
        <f t="shared" si="311"/>
        <v>0</v>
      </c>
      <c r="BF410">
        <v>0</v>
      </c>
      <c r="BG410">
        <f t="shared" si="292"/>
        <v>159.71383728034638</v>
      </c>
      <c r="BH410">
        <f t="shared" si="316"/>
        <v>-790.25584360831783</v>
      </c>
      <c r="BI410" s="148">
        <f t="shared" si="293"/>
        <v>6871.6622130335309</v>
      </c>
      <c r="BO410">
        <f t="shared" si="294"/>
        <v>-203.61067713463268</v>
      </c>
      <c r="BP410">
        <f t="shared" si="295"/>
        <v>731028.87500348862</v>
      </c>
      <c r="BQ410">
        <f t="shared" si="296"/>
        <v>972860.32637026219</v>
      </c>
      <c r="BR410" s="148">
        <f t="shared" si="297"/>
        <v>900738.69064254209</v>
      </c>
      <c r="BS410" s="156" t="b">
        <f t="shared" si="298"/>
        <v>0</v>
      </c>
      <c r="BT410" s="156">
        <f t="shared" si="299"/>
        <v>0</v>
      </c>
      <c r="BU410">
        <f t="shared" si="300"/>
        <v>1770.4947170624112</v>
      </c>
      <c r="BV410">
        <f t="shared" si="301"/>
        <v>1770.4947170624112</v>
      </c>
      <c r="BW410" s="148">
        <f t="shared" si="302"/>
        <v>455.4</v>
      </c>
      <c r="BX410" s="148">
        <f t="shared" si="303"/>
        <v>3129354.9718154697</v>
      </c>
      <c r="BY410" s="148">
        <f t="shared" si="304"/>
        <v>0.22396758170839498</v>
      </c>
      <c r="BZ410">
        <f t="shared" si="287"/>
        <v>130.82252416604533</v>
      </c>
      <c r="CB410">
        <f t="shared" si="305"/>
        <v>1770.4947170624112</v>
      </c>
      <c r="CC410" s="162">
        <f t="shared" si="288"/>
        <v>6776.8291526999919</v>
      </c>
      <c r="CD410">
        <f t="shared" si="313"/>
        <v>-72853.576206746759</v>
      </c>
    </row>
    <row r="411" spans="4:82" x14ac:dyDescent="0.2">
      <c r="D411" s="22">
        <f t="shared" si="279"/>
        <v>-8.3869654862761614E-2</v>
      </c>
      <c r="E411" s="23">
        <v>10.785902558105166</v>
      </c>
      <c r="F411" s="23">
        <f>IF(K411&lt;6,1,IF(Data!K411&lt;9,2,IF(K411&gt;9,3)))</f>
        <v>3</v>
      </c>
      <c r="G411" s="23">
        <v>1084.8470253654571</v>
      </c>
      <c r="H411" s="23">
        <v>220.316665</v>
      </c>
      <c r="I411" s="64">
        <v>48.107139955246588</v>
      </c>
      <c r="J411" s="65">
        <f t="shared" si="280"/>
        <v>-15.760277847286066</v>
      </c>
      <c r="K411" s="65">
        <f t="shared" si="281"/>
        <v>19.242855982098636</v>
      </c>
      <c r="L411" s="65">
        <f t="shared" si="282"/>
        <v>-6.3041111389144264</v>
      </c>
      <c r="M411">
        <f t="shared" si="283"/>
        <v>21.571805116210331</v>
      </c>
      <c r="N411">
        <f t="shared" si="284"/>
        <v>-0.19999861135157104</v>
      </c>
      <c r="O411">
        <f>IF(L411&lt;'Vehicle Data'!F$21,'Vehicle Data'!C$21,IF(L411&gt;'Vehicle Data'!C$21,'Vehicle Data'!C$20))</f>
        <v>0.6</v>
      </c>
      <c r="P411">
        <f>('Vehicle Data'!C$6*9.81*'Vehicle Data'!C$5*SIN(D411))/'Vehicle Data'!C$9</f>
        <v>-55.789008401882718</v>
      </c>
      <c r="Q411" s="107">
        <f>'Vehicle Data'!C$6*9.81*SIN(D411)</f>
        <v>-360.76892099884157</v>
      </c>
      <c r="R411">
        <f t="shared" si="278"/>
        <v>1082.4234899469179</v>
      </c>
      <c r="S411">
        <f>IF(Data!O411=0.6,'Vehicle Data'!E$21,IF(Data!O411 = 0.9,'Vehicle Data'!E$20))+(P411*O411)</f>
        <v>1516.8989949588702</v>
      </c>
      <c r="T411">
        <f>IF(F411=3,'Vehicle Data'!H$16,IF(F411=2,'Vehicle Data'!H$15,IF(F411 = 1,'Vehicle Data'!G$14)))</f>
        <v>466.23005239380637</v>
      </c>
      <c r="U411" s="148">
        <f t="shared" si="285"/>
        <v>366.28500782360186</v>
      </c>
      <c r="V411" s="70" t="s">
        <v>77</v>
      </c>
      <c r="W411" s="99" t="s">
        <v>84</v>
      </c>
      <c r="X411">
        <f>IF(V411="S",'Vehicle Data'!C$14,IF(Data!V411 = "T1",'Vehicle Data'!P$2,IF(Data!V411="T2",'Vehicle Data'!P$3)))</f>
        <v>13.411199999999999</v>
      </c>
      <c r="Z411">
        <f t="shared" si="315"/>
        <v>9.4924573910618264</v>
      </c>
      <c r="AB411" t="b">
        <f>IF(AA411=1,'Vehicle Data'!I$14,IF(AA411=2,'Vehicle Data'!I$15,IF(AA411=3,'Vehicle Data'!I$16)))</f>
        <v>0</v>
      </c>
      <c r="AC411">
        <f>IF(Z411&lt;'Vehicle Data'!C$16,'Vehicle Data'!I$15,IF(Z411&lt;'Vehicle Data'!C$15,'Vehicle Data'!I$15,IF(Z410&gt;'Vehicle Data'!C$15,'Vehicle Data'!I$16)))</f>
        <v>0.46202745420001456</v>
      </c>
      <c r="AD411">
        <f>IF(O411=0.6,'Vehicle Data'!F$21,IF(O411=0.9,'Vehicle Data'!F$20))</f>
        <v>3.5315999999999996</v>
      </c>
      <c r="AE411" s="100">
        <f t="shared" si="314"/>
        <v>0.46202745420001456</v>
      </c>
      <c r="AF411" s="158">
        <f t="shared" si="306"/>
        <v>0.25765159319157177</v>
      </c>
      <c r="AG411" s="148">
        <f t="shared" si="289"/>
        <v>0.46496144032776188</v>
      </c>
      <c r="AH411" s="148">
        <f t="shared" si="307"/>
        <v>131.08017575923691</v>
      </c>
      <c r="AJ411">
        <f>(Z411^2)*'Vehicle Data'!C$31</f>
        <v>33.114229640513187</v>
      </c>
      <c r="AK411">
        <f>IF(O411=0.6,'Vehicle Data'!C$6*'Vehicle Data'!D$21*9.81,IF(O411=0.9,'Vehicle Data'!C$6*9.81*'Vehicle Data'!D$20))</f>
        <v>86.131799999999998</v>
      </c>
      <c r="AL411">
        <f t="shared" si="286"/>
        <v>-241.52289135832837</v>
      </c>
      <c r="AN411">
        <f>IF(AG411&gt;0,AG411*'Vehicle Data'!C$6)</f>
        <v>204.11807230388746</v>
      </c>
      <c r="AO411">
        <f t="shared" si="290"/>
        <v>-37.404819054440907</v>
      </c>
      <c r="AP411">
        <f>AO411*'Vehicle Data'!F$3</f>
        <v>-9.5606717503150946</v>
      </c>
      <c r="AQ411">
        <f>IF(AE411='Vehicle Data'!I$15,AP411/'Vehicle Data'!G$15,IF(AE411='Vehicle Data'!I$16,AP411/'Vehicle Data'!G$16,IF(AE411='Vehicle Data'!I$14,Data!AP411/'Vehicle Data'!G422)))</f>
        <v>-1.7650213987120316</v>
      </c>
      <c r="AR411">
        <f>IF(Z411&lt;'Vehicle Data'!C$16, Z411*'Vehicle Data'!F$7*'Vehicle Data'!G$14,IF(Z411&lt;'Vehicle Data'!C$15,Z411*'Vehicle Data'!F$7*'Vehicle Data'!G$15,IF(Z411&gt;'Vehicle Data'!C$15,Z411*'Vehicle Data'!F$7*'Vehicle Data'!G$16)))</f>
        <v>82.576753928846529</v>
      </c>
      <c r="AS411">
        <f t="shared" si="308"/>
        <v>4954.6052357307917</v>
      </c>
      <c r="AT411">
        <f t="shared" si="309"/>
        <v>-2</v>
      </c>
      <c r="AU411">
        <f t="shared" si="310"/>
        <v>5000</v>
      </c>
      <c r="AW411" t="e">
        <f>VLOOKUP(AT411,BSFC!A$64:A$82,1,FALSE)</f>
        <v>#N/A</v>
      </c>
      <c r="AX411" t="e" cm="1">
        <f t="array" ref="AX411">_xlfn.XLOOKUP(AT411,BSFC!A$64:A$82,,-1,_xlfn.XLOOKUP(Data!AU411,BSFC!C$63:Q$63,BSFC!B$64:Q$82,,-1))</f>
        <v>#VALUE!</v>
      </c>
      <c r="AY411">
        <f>HLOOKUP(AU411,BSFC!F$63:Q$63,1)</f>
        <v>5000</v>
      </c>
      <c r="AZ411">
        <f>IF(AT411&gt;0,MATCH(AT411,BSFC!A$64:A$83,0),IF(AT411&lt;=0,0))</f>
        <v>0</v>
      </c>
      <c r="BA411">
        <f>MATCH(AU411,BSFC!C$63:Q$63,0)</f>
        <v>10</v>
      </c>
      <c r="BB411" t="b" cm="1">
        <f t="array" ref="BB411">IF(AZ411&gt;0,INDEX(BSFC!C$64:Q$83,Data!AZ411,Data!BA411))</f>
        <v>0</v>
      </c>
      <c r="BC411">
        <f>0.5*'Vehicle Data'!C$6*Data!Z411^2</f>
        <v>19778.431036986785</v>
      </c>
      <c r="BD411">
        <f t="shared" si="291"/>
        <v>1.0576097977591015</v>
      </c>
      <c r="BE411">
        <f t="shared" si="311"/>
        <v>0</v>
      </c>
      <c r="BF411">
        <v>0</v>
      </c>
      <c r="BG411">
        <f t="shared" si="292"/>
        <v>159.71383728034638</v>
      </c>
      <c r="BH411">
        <f t="shared" si="316"/>
        <v>-912.07595569832267</v>
      </c>
      <c r="BI411" s="148">
        <f t="shared" si="293"/>
        <v>6871.6622130335309</v>
      </c>
      <c r="BO411">
        <f t="shared" si="294"/>
        <v>-230.02275443293379</v>
      </c>
      <c r="BP411">
        <f t="shared" si="295"/>
        <v>730798.85224905564</v>
      </c>
      <c r="BQ411">
        <f t="shared" si="296"/>
        <v>972860.32637026219</v>
      </c>
      <c r="BR411" s="148">
        <f t="shared" si="297"/>
        <v>902471.70274520677</v>
      </c>
      <c r="BS411" s="156" t="b">
        <f t="shared" si="298"/>
        <v>0</v>
      </c>
      <c r="BT411" s="156">
        <f t="shared" si="299"/>
        <v>0</v>
      </c>
      <c r="BU411">
        <f t="shared" si="300"/>
        <v>1733.0121026647178</v>
      </c>
      <c r="BV411">
        <f t="shared" si="301"/>
        <v>1733.0121026647178</v>
      </c>
      <c r="BW411" s="148">
        <f t="shared" si="302"/>
        <v>455.4</v>
      </c>
      <c r="BX411" s="148">
        <f t="shared" si="303"/>
        <v>3129354.9718154697</v>
      </c>
      <c r="BY411" s="148">
        <f t="shared" si="304"/>
        <v>0.21922603098708676</v>
      </c>
      <c r="BZ411">
        <f t="shared" si="287"/>
        <v>131.08017575923691</v>
      </c>
      <c r="CB411">
        <f t="shared" si="305"/>
        <v>1733.0121026647178</v>
      </c>
      <c r="CC411" s="162">
        <f t="shared" si="288"/>
        <v>6726.1843064797231</v>
      </c>
      <c r="CD411">
        <f t="shared" si="313"/>
        <v>-71120.564104082034</v>
      </c>
    </row>
    <row r="412" spans="4:82" x14ac:dyDescent="0.2">
      <c r="D412" s="22">
        <f t="shared" si="279"/>
        <v>-8.5318931516472213E-2</v>
      </c>
      <c r="E412" s="23">
        <v>10.585903946753595</v>
      </c>
      <c r="F412" s="23">
        <f>IF(K412&lt;6,1,IF(Data!K412&lt;9,2,IF(K412&gt;9,3)))</f>
        <v>3</v>
      </c>
      <c r="G412" s="23">
        <v>1087.2344594528388</v>
      </c>
      <c r="H412" s="23">
        <v>220.36666499999998</v>
      </c>
      <c r="I412" s="64">
        <v>47.319126062882553</v>
      </c>
      <c r="J412" s="65">
        <f t="shared" si="280"/>
        <v>-16.794786704773532</v>
      </c>
      <c r="K412" s="65">
        <f t="shared" si="281"/>
        <v>18.927650425153022</v>
      </c>
      <c r="L412" s="65">
        <f t="shared" si="282"/>
        <v>-6.7179146819094271</v>
      </c>
      <c r="M412">
        <f t="shared" si="283"/>
        <v>21.171807893507189</v>
      </c>
      <c r="N412">
        <f t="shared" si="284"/>
        <v>-0.20000286222948205</v>
      </c>
      <c r="O412">
        <f>IF(L412&lt;'Vehicle Data'!F$21,'Vehicle Data'!C$21,IF(L412&gt;'Vehicle Data'!C$21,'Vehicle Data'!C$20))</f>
        <v>0.6</v>
      </c>
      <c r="P412">
        <f>('Vehicle Data'!C$6*9.81*'Vehicle Data'!C$5*SIN(D412))/'Vehicle Data'!C$9</f>
        <v>-56.750728087594425</v>
      </c>
      <c r="Q412" s="107">
        <f>'Vehicle Data'!C$6*9.81*SIN(D412)</f>
        <v>-366.98804163311064</v>
      </c>
      <c r="R412">
        <f t="shared" si="278"/>
        <v>1084.8470253654571</v>
      </c>
      <c r="S412">
        <f>IF(Data!O412=0.6,'Vehicle Data'!E$21,IF(Data!O412 = 0.9,'Vehicle Data'!E$20))+(P412*O412)</f>
        <v>1516.3219631474431</v>
      </c>
      <c r="T412">
        <f>IF(F412=3,'Vehicle Data'!H$16,IF(F412=2,'Vehicle Data'!H$15,IF(F412 = 1,'Vehicle Data'!G$14)))</f>
        <v>466.23005239380637</v>
      </c>
      <c r="U412" s="148">
        <f t="shared" si="285"/>
        <v>368.70854324214099</v>
      </c>
      <c r="V412" s="70" t="s">
        <v>77</v>
      </c>
      <c r="W412" s="99" t="s">
        <v>84</v>
      </c>
      <c r="X412">
        <f>IF(V412="S",'Vehicle Data'!C$14,IF(Data!V412 = "T1",'Vehicle Data'!P$2,IF(Data!V412="T2",'Vehicle Data'!P$3)))</f>
        <v>13.411199999999999</v>
      </c>
      <c r="Z412">
        <f t="shared" si="315"/>
        <v>9.6096944342838864</v>
      </c>
      <c r="AB412" t="b">
        <f>IF(AA412=1,'Vehicle Data'!I$14,IF(AA412=2,'Vehicle Data'!I$15,IF(AA412=3,'Vehicle Data'!I$16)))</f>
        <v>0</v>
      </c>
      <c r="AC412">
        <f>IF(Z412&lt;'Vehicle Data'!C$16,'Vehicle Data'!I$15,IF(Z412&lt;'Vehicle Data'!C$15,'Vehicle Data'!I$15,IF(Z411&gt;'Vehicle Data'!C$15,'Vehicle Data'!I$16)))</f>
        <v>0.46202745420001456</v>
      </c>
      <c r="AD412">
        <f>IF(O412=0.6,'Vehicle Data'!F$21,IF(O412=0.9,'Vehicle Data'!F$20))</f>
        <v>3.5315999999999996</v>
      </c>
      <c r="AE412" s="100">
        <f t="shared" si="314"/>
        <v>0.46202745420001456</v>
      </c>
      <c r="AF412" s="158">
        <f t="shared" si="306"/>
        <v>0.25219692833237661</v>
      </c>
      <c r="AG412" s="148">
        <f t="shared" si="289"/>
        <v>0.46486308932181103</v>
      </c>
      <c r="AH412" s="148">
        <f t="shared" si="307"/>
        <v>131.33237268756929</v>
      </c>
      <c r="AJ412">
        <f>(Z412^2)*'Vehicle Data'!C$31</f>
        <v>33.937238466712728</v>
      </c>
      <c r="AK412">
        <f>IF(O412=0.6,'Vehicle Data'!C$6*'Vehicle Data'!D$21*9.81,IF(O412=0.9,'Vehicle Data'!C$6*9.81*'Vehicle Data'!D$20))</f>
        <v>86.131799999999998</v>
      </c>
      <c r="AL412">
        <f t="shared" si="286"/>
        <v>-246.91900316639791</v>
      </c>
      <c r="AN412">
        <f>IF(AG412&gt;0,AG412*'Vehicle Data'!C$6)</f>
        <v>204.07489621227504</v>
      </c>
      <c r="AO412">
        <f t="shared" si="290"/>
        <v>-42.844106954122879</v>
      </c>
      <c r="AP412">
        <f>AO412*'Vehicle Data'!F$3</f>
        <v>-10.950953737473807</v>
      </c>
      <c r="AQ412">
        <f>IF(AE412='Vehicle Data'!I$15,AP412/'Vehicle Data'!G$15,IF(AE412='Vehicle Data'!I$16,AP412/'Vehicle Data'!G$16,IF(AE412='Vehicle Data'!I$14,Data!AP412/'Vehicle Data'!G423)))</f>
        <v>-2.0216851062070762</v>
      </c>
      <c r="AR412">
        <f>IF(Z412&lt;'Vehicle Data'!C$16, Z412*'Vehicle Data'!F$7*'Vehicle Data'!G$14,IF(Z412&lt;'Vehicle Data'!C$15,Z412*'Vehicle Data'!F$7*'Vehicle Data'!G$15,IF(Z412&gt;'Vehicle Data'!C$15,Z412*'Vehicle Data'!F$7*'Vehicle Data'!G$16)))</f>
        <v>83.596622027344324</v>
      </c>
      <c r="AS412">
        <f t="shared" si="308"/>
        <v>5015.797321640659</v>
      </c>
      <c r="AT412">
        <f t="shared" si="309"/>
        <v>-2</v>
      </c>
      <c r="AU412">
        <f t="shared" si="310"/>
        <v>5000</v>
      </c>
      <c r="AW412" t="e">
        <f>VLOOKUP(AT412,BSFC!A$64:A$82,1,FALSE)</f>
        <v>#N/A</v>
      </c>
      <c r="AX412" t="e" cm="1">
        <f t="array" ref="AX412">_xlfn.XLOOKUP(AT412,BSFC!A$64:A$82,,-1,_xlfn.XLOOKUP(Data!AU412,BSFC!C$63:Q$63,BSFC!B$64:Q$82,,-1))</f>
        <v>#VALUE!</v>
      </c>
      <c r="AY412">
        <f>HLOOKUP(AU412,BSFC!F$63:Q$63,1)</f>
        <v>5000</v>
      </c>
      <c r="AZ412">
        <f>IF(AT412&gt;0,MATCH(AT412,BSFC!A$64:A$83,0),IF(AT412&lt;=0,0))</f>
        <v>0</v>
      </c>
      <c r="BA412">
        <f>MATCH(AU412,BSFC!C$63:Q$63,0)</f>
        <v>10</v>
      </c>
      <c r="BB412" t="b" cm="1">
        <f t="array" ref="BB412">IF(AZ412&gt;0,INDEX(BSFC!C$64:Q$83,Data!AZ412,Data!BA412))</f>
        <v>0</v>
      </c>
      <c r="BC412">
        <f>0.5*'Vehicle Data'!C$6*Data!Z412^2</f>
        <v>20269.996852907323</v>
      </c>
      <c r="BD412">
        <f t="shared" si="291"/>
        <v>5.8811097829197037</v>
      </c>
      <c r="BE412">
        <f t="shared" si="311"/>
        <v>0</v>
      </c>
      <c r="BF412">
        <v>0</v>
      </c>
      <c r="BG412">
        <f t="shared" si="292"/>
        <v>159.71383728034638</v>
      </c>
      <c r="BH412">
        <f t="shared" si="316"/>
        <v>-1057.6097977591014</v>
      </c>
      <c r="BI412" s="148">
        <f t="shared" si="293"/>
        <v>6871.6622130335309</v>
      </c>
      <c r="BO412">
        <f t="shared" si="294"/>
        <v>-259.66935453260714</v>
      </c>
      <c r="BP412">
        <f t="shared" si="295"/>
        <v>730539.18289452302</v>
      </c>
      <c r="BQ412">
        <f t="shared" si="296"/>
        <v>972860.32637026219</v>
      </c>
      <c r="BR412" s="148">
        <f t="shared" si="297"/>
        <v>904158.86571892851</v>
      </c>
      <c r="BS412" s="156" t="b">
        <f t="shared" si="298"/>
        <v>0</v>
      </c>
      <c r="BT412" s="156">
        <f t="shared" si="299"/>
        <v>0</v>
      </c>
      <c r="BU412">
        <f t="shared" si="300"/>
        <v>1687.1629737217686</v>
      </c>
      <c r="BV412">
        <f t="shared" si="301"/>
        <v>1687.1629737217686</v>
      </c>
      <c r="BW412" s="148">
        <f t="shared" si="302"/>
        <v>455.4</v>
      </c>
      <c r="BX412" s="148">
        <f t="shared" si="303"/>
        <v>3129354.9718154697</v>
      </c>
      <c r="BY412" s="148">
        <f t="shared" si="304"/>
        <v>0.21342611617580368</v>
      </c>
      <c r="BZ412">
        <f t="shared" si="287"/>
        <v>131.33237268756929</v>
      </c>
      <c r="CB412">
        <f t="shared" si="305"/>
        <v>1687.1629737217686</v>
      </c>
      <c r="CC412" s="162">
        <f t="shared" si="288"/>
        <v>6689.8632940452917</v>
      </c>
      <c r="CD412">
        <f t="shared" si="313"/>
        <v>-69433.40113036026</v>
      </c>
    </row>
    <row r="413" spans="4:82" x14ac:dyDescent="0.2">
      <c r="D413" s="22">
        <f t="shared" si="279"/>
        <v>-0.1304860927284231</v>
      </c>
      <c r="E413" s="23">
        <v>10.385901084524113</v>
      </c>
      <c r="F413" s="23">
        <f>IF(K413&lt;6,1,IF(Data!K413&lt;9,2,IF(K413&gt;9,3)))</f>
        <v>3</v>
      </c>
      <c r="G413" s="23">
        <v>1089.5814850469587</v>
      </c>
      <c r="H413" s="23">
        <v>220.41666499999999</v>
      </c>
      <c r="I413" s="64">
        <v>46.479386727643686</v>
      </c>
      <c r="J413" s="65">
        <f t="shared" si="280"/>
        <v>-16.463528532467748</v>
      </c>
      <c r="K413" s="65">
        <f t="shared" si="281"/>
        <v>18.591754691057474</v>
      </c>
      <c r="L413" s="65">
        <f t="shared" si="282"/>
        <v>-6.5854114129871002</v>
      </c>
      <c r="M413">
        <f t="shared" si="283"/>
        <v>20.771802169048225</v>
      </c>
      <c r="N413">
        <f t="shared" si="284"/>
        <v>-0.29999713777070092</v>
      </c>
      <c r="O413">
        <f>IF(L413&lt;'Vehicle Data'!F$21,'Vehicle Data'!C$21,IF(L413&gt;'Vehicle Data'!C$21,'Vehicle Data'!C$20))</f>
        <v>0.6</v>
      </c>
      <c r="P413">
        <f>('Vehicle Data'!C$6*9.81*'Vehicle Data'!C$5*SIN(D413))/'Vehicle Data'!C$9</f>
        <v>-86.653109375224929</v>
      </c>
      <c r="Q413" s="107">
        <f>'Vehicle Data'!C$6*9.81*SIN(D413)</f>
        <v>-560.35677395978792</v>
      </c>
      <c r="R413">
        <f t="shared" si="278"/>
        <v>1087.2344594528388</v>
      </c>
      <c r="S413">
        <f>IF(Data!O413=0.6,'Vehicle Data'!E$21,IF(Data!O413 = 0.9,'Vehicle Data'!E$20))+(P413*O413)</f>
        <v>1498.3805343748647</v>
      </c>
      <c r="T413">
        <f>IF(F413=3,'Vehicle Data'!H$16,IF(F413=2,'Vehicle Data'!H$15,IF(F413 = 1,'Vehicle Data'!G$14)))</f>
        <v>466.23005239380637</v>
      </c>
      <c r="U413" s="148">
        <f t="shared" si="285"/>
        <v>371.09597732952273</v>
      </c>
      <c r="V413" s="70" t="s">
        <v>77</v>
      </c>
      <c r="W413" s="99" t="s">
        <v>84</v>
      </c>
      <c r="X413">
        <f>IF(V413="S",'Vehicle Data'!C$14,IF(Data!V413 = "T1",'Vehicle Data'!P$2,IF(Data!V413="T2",'Vehicle Data'!P$3)))</f>
        <v>13.411199999999999</v>
      </c>
      <c r="Z413">
        <f t="shared" si="315"/>
        <v>9.7238031298064307</v>
      </c>
      <c r="AB413" t="b">
        <f>IF(AA413=1,'Vehicle Data'!I$14,IF(AA413=2,'Vehicle Data'!I$15,IF(AA413=3,'Vehicle Data'!I$16)))</f>
        <v>0</v>
      </c>
      <c r="AC413">
        <f>IF(Z413&lt;'Vehicle Data'!C$16,'Vehicle Data'!I$15,IF(Z413&lt;'Vehicle Data'!C$15,'Vehicle Data'!I$15,IF(Z412&gt;'Vehicle Data'!C$15,'Vehicle Data'!I$16)))</f>
        <v>0.46202745420001456</v>
      </c>
      <c r="AD413">
        <f>IF(O413=0.6,'Vehicle Data'!F$21,IF(O413=0.9,'Vehicle Data'!F$20))</f>
        <v>3.5315999999999996</v>
      </c>
      <c r="AE413" s="100">
        <f t="shared" si="314"/>
        <v>0.46202745420001456</v>
      </c>
      <c r="AF413" s="158">
        <f t="shared" si="306"/>
        <v>0.2455247247924548</v>
      </c>
      <c r="AG413" s="148">
        <f t="shared" si="289"/>
        <v>0.46475439741965652</v>
      </c>
      <c r="AH413" s="148">
        <f t="shared" si="307"/>
        <v>131.57789741236175</v>
      </c>
      <c r="AJ413">
        <f>(Z413^2)*'Vehicle Data'!C$31</f>
        <v>34.747987635408258</v>
      </c>
      <c r="AK413">
        <f>IF(O413=0.6,'Vehicle Data'!C$6*'Vehicle Data'!D$21*9.81,IF(O413=0.9,'Vehicle Data'!C$6*9.81*'Vehicle Data'!D$20))</f>
        <v>86.131799999999998</v>
      </c>
      <c r="AL413">
        <f t="shared" si="286"/>
        <v>-439.47698632437965</v>
      </c>
      <c r="AN413">
        <f>IF(AG413&gt;0,AG413*'Vehicle Data'!C$6)</f>
        <v>204.02718046722921</v>
      </c>
      <c r="AO413">
        <f t="shared" si="290"/>
        <v>-235.44980585715044</v>
      </c>
      <c r="AP413">
        <f>AO413*'Vehicle Data'!F$3</f>
        <v>-60.180970377087654</v>
      </c>
      <c r="AQ413">
        <f>IF(AE413='Vehicle Data'!I$15,AP413/'Vehicle Data'!G$15,IF(AE413='Vehicle Data'!I$16,AP413/'Vehicle Data'!G$16,IF(AE413='Vehicle Data'!I$14,Data!AP413/'Vehicle Data'!G424)))</f>
        <v>-11.110171260436154</v>
      </c>
      <c r="AR413">
        <f>IF(Z413&lt;'Vehicle Data'!C$16, Z413*'Vehicle Data'!F$7*'Vehicle Data'!G$14,IF(Z413&lt;'Vehicle Data'!C$15,Z413*'Vehicle Data'!F$7*'Vehicle Data'!G$15,IF(Z413&gt;'Vehicle Data'!C$15,Z413*'Vehicle Data'!F$7*'Vehicle Data'!G$16)))</f>
        <v>84.589276013885183</v>
      </c>
      <c r="AS413">
        <f t="shared" si="308"/>
        <v>5075.356560833111</v>
      </c>
      <c r="AT413">
        <f t="shared" si="309"/>
        <v>-11</v>
      </c>
      <c r="AU413">
        <f t="shared" si="310"/>
        <v>5000</v>
      </c>
      <c r="AW413" t="e">
        <f>VLOOKUP(AT413,BSFC!A$64:A$82,1,FALSE)</f>
        <v>#N/A</v>
      </c>
      <c r="AX413" t="e" cm="1">
        <f t="array" ref="AX413">_xlfn.XLOOKUP(AT413,BSFC!A$64:A$82,,-1,_xlfn.XLOOKUP(Data!AU413,BSFC!C$63:Q$63,BSFC!B$64:Q$82,,-1))</f>
        <v>#VALUE!</v>
      </c>
      <c r="AY413">
        <f>HLOOKUP(AU413,BSFC!F$63:Q$63,1)</f>
        <v>5000</v>
      </c>
      <c r="AZ413">
        <f>IF(AT413&gt;0,MATCH(AT413,BSFC!A$64:A$83,0),IF(AT413&lt;=0,0))</f>
        <v>0</v>
      </c>
      <c r="BA413">
        <f>MATCH(AU413,BSFC!C$63:Q$63,0)</f>
        <v>10</v>
      </c>
      <c r="BB413" t="b" cm="1">
        <f t="array" ref="BB413">IF(AZ413&gt;0,INDEX(BSFC!C$64:Q$83,Data!AZ413,Data!BA413))</f>
        <v>0</v>
      </c>
      <c r="BC413">
        <f>0.5*'Vehicle Data'!C$6*Data!Z413^2</f>
        <v>20754.240233937715</v>
      </c>
      <c r="BD413">
        <f t="shared" si="291"/>
        <v>1.3789025558719818</v>
      </c>
      <c r="BE413">
        <f t="shared" si="311"/>
        <v>0</v>
      </c>
      <c r="BF413">
        <v>0</v>
      </c>
      <c r="BG413">
        <f t="shared" si="292"/>
        <v>159.71383728034638</v>
      </c>
      <c r="BH413">
        <f t="shared" si="316"/>
        <v>-5881.1097829197033</v>
      </c>
      <c r="BI413" s="148">
        <f t="shared" si="293"/>
        <v>6871.6622130335309</v>
      </c>
      <c r="BO413">
        <f t="shared" si="294"/>
        <v>-1403.5129883657219</v>
      </c>
      <c r="BP413">
        <f t="shared" si="295"/>
        <v>729135.6699061573</v>
      </c>
      <c r="BQ413">
        <f t="shared" si="296"/>
        <v>972860.32637026219</v>
      </c>
      <c r="BR413" s="148">
        <f t="shared" si="297"/>
        <v>905798.77171008429</v>
      </c>
      <c r="BS413" s="156" t="b">
        <f t="shared" si="298"/>
        <v>0</v>
      </c>
      <c r="BT413" s="156">
        <f t="shared" si="299"/>
        <v>0</v>
      </c>
      <c r="BU413">
        <f t="shared" si="300"/>
        <v>1639.9059911557138</v>
      </c>
      <c r="BV413">
        <f t="shared" si="301"/>
        <v>1639.9059911557138</v>
      </c>
      <c r="BW413" s="148">
        <f t="shared" si="302"/>
        <v>455.4</v>
      </c>
      <c r="BX413" s="148">
        <f t="shared" si="303"/>
        <v>3129354.9718154697</v>
      </c>
      <c r="BY413" s="148">
        <f t="shared" si="304"/>
        <v>0.20744810788119775</v>
      </c>
      <c r="BZ413">
        <f t="shared" si="287"/>
        <v>131.57789741236175</v>
      </c>
      <c r="CB413">
        <f t="shared" si="305"/>
        <v>1639.9059911557138</v>
      </c>
      <c r="CC413" s="162">
        <f t="shared" si="288"/>
        <v>6679.1887967369084</v>
      </c>
      <c r="CD413">
        <f t="shared" si="313"/>
        <v>-67793.495139204548</v>
      </c>
    </row>
    <row r="414" spans="4:82" x14ac:dyDescent="0.2">
      <c r="D414" s="22">
        <f t="shared" si="279"/>
        <v>-8.8407397001256313E-2</v>
      </c>
      <c r="E414" s="23">
        <v>10.085903946753412</v>
      </c>
      <c r="F414" s="23">
        <f>IF(K414&lt;6,1,IF(Data!K414&lt;9,2,IF(K414&gt;9,3)))</f>
        <v>3</v>
      </c>
      <c r="G414" s="23">
        <v>1091.8870959248682</v>
      </c>
      <c r="H414" s="23">
        <v>220.46666499999998</v>
      </c>
      <c r="I414" s="64">
        <v>45.656210301020579</v>
      </c>
      <c r="J414" s="65">
        <f t="shared" si="280"/>
        <v>-16.108133213553121</v>
      </c>
      <c r="K414" s="65">
        <f t="shared" si="281"/>
        <v>18.262484120408232</v>
      </c>
      <c r="L414" s="65">
        <f t="shared" si="282"/>
        <v>-6.443253285421263</v>
      </c>
      <c r="M414">
        <f t="shared" si="283"/>
        <v>20.171807893506823</v>
      </c>
      <c r="N414">
        <f t="shared" si="284"/>
        <v>-0.20000286222929908</v>
      </c>
      <c r="O414">
        <f>IF(L414&lt;'Vehicle Data'!F$21,'Vehicle Data'!C$21,IF(L414&gt;'Vehicle Data'!C$21,'Vehicle Data'!C$20))</f>
        <v>0.6</v>
      </c>
      <c r="P414">
        <f>('Vehicle Data'!C$6*9.81*'Vehicle Data'!C$5*SIN(D414))/'Vehicle Data'!C$9</f>
        <v>-58.799790308189436</v>
      </c>
      <c r="Q414" s="107">
        <f>'Vehicle Data'!C$6*9.81*SIN(D414)</f>
        <v>-380.23864399295837</v>
      </c>
      <c r="R414">
        <f t="shared" si="278"/>
        <v>1089.5814850469587</v>
      </c>
      <c r="S414">
        <f>IF(Data!O414=0.6,'Vehicle Data'!E$21,IF(Data!O414 = 0.9,'Vehicle Data'!E$20))+(P414*O414)</f>
        <v>1515.092525815086</v>
      </c>
      <c r="T414">
        <f>IF(F414=3,'Vehicle Data'!H$16,IF(F414=2,'Vehicle Data'!H$15,IF(F414 = 1,'Vehicle Data'!G$14)))</f>
        <v>466.23005239380637</v>
      </c>
      <c r="U414" s="148">
        <f t="shared" si="285"/>
        <v>373.44300292364267</v>
      </c>
      <c r="V414" s="70" t="s">
        <v>77</v>
      </c>
      <c r="W414" s="99" t="s">
        <v>84</v>
      </c>
      <c r="X414">
        <f>IF(V414="S",'Vehicle Data'!C$14,IF(Data!V414 = "T1",'Vehicle Data'!P$2,IF(Data!V414="T2",'Vehicle Data'!P$3)))</f>
        <v>13.411199999999999</v>
      </c>
      <c r="Z414">
        <f t="shared" si="315"/>
        <v>9.8346900219386875</v>
      </c>
      <c r="AB414" t="b">
        <f>IF(AA414=1,'Vehicle Data'!I$14,IF(AA414=2,'Vehicle Data'!I$15,IF(AA414=3,'Vehicle Data'!I$16)))</f>
        <v>0</v>
      </c>
      <c r="AC414">
        <f>IF(Z414&lt;'Vehicle Data'!C$16,'Vehicle Data'!I$15,IF(Z414&lt;'Vehicle Data'!C$15,'Vehicle Data'!I$15,IF(Z413&gt;'Vehicle Data'!C$15,'Vehicle Data'!I$16)))</f>
        <v>0.46202745420001456</v>
      </c>
      <c r="AD414">
        <f>IF(O414=0.6,'Vehicle Data'!F$21,IF(O414=0.9,'Vehicle Data'!F$20))</f>
        <v>3.5315999999999996</v>
      </c>
      <c r="AE414" s="100">
        <f t="shared" si="314"/>
        <v>0.46202745420001456</v>
      </c>
      <c r="AF414" s="158">
        <f t="shared" si="306"/>
        <v>0.23864764307612391</v>
      </c>
      <c r="AG414" s="148">
        <f t="shared" si="289"/>
        <v>0.46464691921087209</v>
      </c>
      <c r="AH414" s="148">
        <f t="shared" si="307"/>
        <v>131.81654505543787</v>
      </c>
      <c r="AJ414">
        <f>(Z414^2)*'Vehicle Data'!C$31</f>
        <v>35.545014476650501</v>
      </c>
      <c r="AK414">
        <f>IF(O414=0.6,'Vehicle Data'!C$6*'Vehicle Data'!D$21*9.81,IF(O414=0.9,'Vehicle Data'!C$6*9.81*'Vehicle Data'!D$20))</f>
        <v>86.131799999999998</v>
      </c>
      <c r="AL414">
        <f t="shared" si="286"/>
        <v>-258.56182951630785</v>
      </c>
      <c r="AN414">
        <f>IF(AG414&gt;0,AG414*'Vehicle Data'!C$6)</f>
        <v>203.97999753357286</v>
      </c>
      <c r="AO414">
        <f t="shared" si="290"/>
        <v>-54.581831982734997</v>
      </c>
      <c r="AP414">
        <f>AO414*'Vehicle Data'!F$3</f>
        <v>-13.951116254787065</v>
      </c>
      <c r="AQ414">
        <f>IF(AE414='Vehicle Data'!I$15,AP414/'Vehicle Data'!G$15,IF(AE414='Vehicle Data'!I$16,AP414/'Vehicle Data'!G$16,IF(AE414='Vehicle Data'!I$14,Data!AP414/'Vehicle Data'!G425)))</f>
        <v>-2.5755532005171999</v>
      </c>
      <c r="AR414">
        <f>IF(Z414&lt;'Vehicle Data'!C$16, Z414*'Vehicle Data'!F$7*'Vehicle Data'!G$14,IF(Z414&lt;'Vehicle Data'!C$15,Z414*'Vehicle Data'!F$7*'Vehicle Data'!G$15,IF(Z414&gt;'Vehicle Data'!C$15,Z414*'Vehicle Data'!F$7*'Vehicle Data'!G$16)))</f>
        <v>85.553902899033176</v>
      </c>
      <c r="AS414">
        <f t="shared" si="308"/>
        <v>5133.2341739419908</v>
      </c>
      <c r="AT414">
        <f t="shared" si="309"/>
        <v>-3</v>
      </c>
      <c r="AU414">
        <f t="shared" si="310"/>
        <v>5000</v>
      </c>
      <c r="AW414" t="e">
        <f>VLOOKUP(AT414,BSFC!A$64:A$82,1,FALSE)</f>
        <v>#N/A</v>
      </c>
      <c r="AX414" t="e" cm="1">
        <f t="array" ref="AX414">_xlfn.XLOOKUP(AT414,BSFC!A$64:A$82,,-1,_xlfn.XLOOKUP(Data!AU414,BSFC!C$63:Q$63,BSFC!B$64:Q$82,,-1))</f>
        <v>#VALUE!</v>
      </c>
      <c r="AY414">
        <f>HLOOKUP(AU414,BSFC!F$63:Q$63,1)</f>
        <v>5000</v>
      </c>
      <c r="AZ414">
        <f>IF(AT414&gt;0,MATCH(AT414,BSFC!A$64:A$83,0),IF(AT414&lt;=0,0))</f>
        <v>0</v>
      </c>
      <c r="BA414">
        <f>MATCH(AU414,BSFC!C$63:Q$63,0)</f>
        <v>10</v>
      </c>
      <c r="BB414" t="b" cm="1">
        <f t="array" ref="BB414">IF(AZ414&gt;0,INDEX(BSFC!C$64:Q$83,Data!AZ414,Data!BA414))</f>
        <v>0</v>
      </c>
      <c r="BC414">
        <f>0.5*'Vehicle Data'!C$6*Data!Z414^2</f>
        <v>21230.287558162672</v>
      </c>
      <c r="BD414">
        <f t="shared" si="291"/>
        <v>6.4979271417635163</v>
      </c>
      <c r="BE414">
        <f t="shared" si="311"/>
        <v>0</v>
      </c>
      <c r="BF414">
        <v>0</v>
      </c>
      <c r="BG414">
        <f t="shared" si="292"/>
        <v>159.71383728034638</v>
      </c>
      <c r="BH414">
        <f t="shared" si="316"/>
        <v>-1378.9025558719818</v>
      </c>
      <c r="BI414" s="148">
        <f t="shared" si="293"/>
        <v>6871.6622130335309</v>
      </c>
      <c r="BO414">
        <f t="shared" si="294"/>
        <v>-319.76258937567638</v>
      </c>
      <c r="BP414">
        <f t="shared" si="295"/>
        <v>728815.90731678158</v>
      </c>
      <c r="BQ414">
        <f t="shared" si="296"/>
        <v>972860.32637026219</v>
      </c>
      <c r="BR414" s="148">
        <f t="shared" si="297"/>
        <v>907392.28569205315</v>
      </c>
      <c r="BS414" s="156" t="b">
        <f t="shared" si="298"/>
        <v>0</v>
      </c>
      <c r="BT414" s="156">
        <f t="shared" si="299"/>
        <v>0</v>
      </c>
      <c r="BU414">
        <f t="shared" si="300"/>
        <v>1593.5139819688545</v>
      </c>
      <c r="BV414">
        <f t="shared" si="301"/>
        <v>1593.5139819688545</v>
      </c>
      <c r="BW414" s="148">
        <f t="shared" si="302"/>
        <v>455.4</v>
      </c>
      <c r="BX414" s="148">
        <f t="shared" si="303"/>
        <v>3129354.9718154697</v>
      </c>
      <c r="BY414" s="148">
        <f t="shared" si="304"/>
        <v>0.20157951871906007</v>
      </c>
      <c r="BZ414">
        <f t="shared" si="287"/>
        <v>131.81654505543787</v>
      </c>
      <c r="CB414">
        <f t="shared" si="305"/>
        <v>1593.5139819688545</v>
      </c>
      <c r="CC414" s="162">
        <f t="shared" si="288"/>
        <v>6677.2667914452304</v>
      </c>
      <c r="CD414">
        <f t="shared" si="313"/>
        <v>-66199.981157235699</v>
      </c>
    </row>
    <row r="415" spans="4:82" x14ac:dyDescent="0.2">
      <c r="D415" s="22">
        <f t="shared" si="279"/>
        <v>-0.13527965497370459</v>
      </c>
      <c r="E415" s="23">
        <v>9.8859010845241126</v>
      </c>
      <c r="F415" s="23">
        <f>IF(K415&lt;6,1,IF(Data!K415&lt;9,2,IF(K415&gt;9,3)))</f>
        <v>3</v>
      </c>
      <c r="G415" s="23">
        <v>1094.1523320865667</v>
      </c>
      <c r="H415" s="23">
        <v>220.51666499999999</v>
      </c>
      <c r="I415" s="64">
        <v>44.85080364034274</v>
      </c>
      <c r="J415" s="65">
        <f t="shared" si="280"/>
        <v>-16.366979109841655</v>
      </c>
      <c r="K415" s="65">
        <f t="shared" si="281"/>
        <v>17.940321456137095</v>
      </c>
      <c r="L415" s="65">
        <f t="shared" si="282"/>
        <v>-6.5467916439366327</v>
      </c>
      <c r="M415">
        <f t="shared" si="283"/>
        <v>19.771802169048225</v>
      </c>
      <c r="N415">
        <f t="shared" si="284"/>
        <v>-0.29999713777051795</v>
      </c>
      <c r="O415">
        <f>IF(L415&lt;'Vehicle Data'!F$21,'Vehicle Data'!C$21,IF(L415&gt;'Vehicle Data'!C$21,'Vehicle Data'!C$20))</f>
        <v>0.6</v>
      </c>
      <c r="P415">
        <f>('Vehicle Data'!C$6*9.81*'Vehicle Data'!C$5*SIN(D415))/'Vehicle Data'!C$9</f>
        <v>-89.817319491794251</v>
      </c>
      <c r="Q415" s="107">
        <f>'Vehicle Data'!C$6*9.81*SIN(D415)</f>
        <v>-580.81866604693607</v>
      </c>
      <c r="R415">
        <f t="shared" si="278"/>
        <v>1091.8870959248682</v>
      </c>
      <c r="S415">
        <f>IF(Data!O415=0.6,'Vehicle Data'!E$21,IF(Data!O415 = 0.9,'Vehicle Data'!E$20))+(P415*O415)</f>
        <v>1496.4820083049233</v>
      </c>
      <c r="T415">
        <f>IF(F415=3,'Vehicle Data'!H$16,IF(F415=2,'Vehicle Data'!H$15,IF(F415 = 1,'Vehicle Data'!G$14)))</f>
        <v>466.23005239380637</v>
      </c>
      <c r="U415" s="148">
        <f t="shared" si="285"/>
        <v>375.7486138015521</v>
      </c>
      <c r="V415" s="70" t="s">
        <v>77</v>
      </c>
      <c r="W415" s="99" t="s">
        <v>84</v>
      </c>
      <c r="X415">
        <f>IF(V415="S",'Vehicle Data'!C$14,IF(Data!V415 = "T1",'Vehicle Data'!P$2,IF(Data!V415="T2",'Vehicle Data'!P$3)))</f>
        <v>13.411199999999999</v>
      </c>
      <c r="Z415">
        <f t="shared" si="315"/>
        <v>9.9424161488147877</v>
      </c>
      <c r="AB415" t="b">
        <f>IF(AA415=1,'Vehicle Data'!I$14,IF(AA415=2,'Vehicle Data'!I$15,IF(AA415=3,'Vehicle Data'!I$16)))</f>
        <v>0</v>
      </c>
      <c r="AC415">
        <f>IF(Z415&lt;'Vehicle Data'!C$16,'Vehicle Data'!I$15,IF(Z415&lt;'Vehicle Data'!C$15,'Vehicle Data'!I$15,IF(Z414&gt;'Vehicle Data'!C$15,'Vehicle Data'!I$16)))</f>
        <v>0.46202745420001456</v>
      </c>
      <c r="AD415">
        <f>IF(O415=0.6,'Vehicle Data'!F$21,IF(O415=0.9,'Vehicle Data'!F$20))</f>
        <v>3.5315999999999996</v>
      </c>
      <c r="AE415" s="100">
        <f t="shared" si="314"/>
        <v>0.46202745420001456</v>
      </c>
      <c r="AF415" s="158">
        <f t="shared" si="306"/>
        <v>0.23189643678154395</v>
      </c>
      <c r="AG415" s="148">
        <f t="shared" si="289"/>
        <v>0.46454412310605164</v>
      </c>
      <c r="AH415" s="148">
        <f t="shared" si="307"/>
        <v>132.04844149221941</v>
      </c>
      <c r="AJ415">
        <f>(Z415^2)*'Vehicle Data'!C$31</f>
        <v>36.327977287008316</v>
      </c>
      <c r="AK415">
        <f>IF(O415=0.6,'Vehicle Data'!C$6*'Vehicle Data'!D$21*9.81,IF(O415=0.9,'Vehicle Data'!C$6*9.81*'Vehicle Data'!D$20))</f>
        <v>86.131799999999998</v>
      </c>
      <c r="AL415">
        <f t="shared" si="286"/>
        <v>-458.35888875992777</v>
      </c>
      <c r="AN415">
        <f>IF(AG415&gt;0,AG415*'Vehicle Data'!C$6)</f>
        <v>203.93487004355666</v>
      </c>
      <c r="AO415">
        <f t="shared" si="290"/>
        <v>-254.42401871637111</v>
      </c>
      <c r="AP415">
        <f>AO415*'Vehicle Data'!F$3</f>
        <v>-65.030779183904457</v>
      </c>
      <c r="AQ415">
        <f>IF(AE415='Vehicle Data'!I$15,AP415/'Vehicle Data'!G$15,IF(AE415='Vehicle Data'!I$16,AP415/'Vehicle Data'!G$16,IF(AE415='Vehicle Data'!I$14,Data!AP415/'Vehicle Data'!G426)))</f>
        <v>-12.005507545087031</v>
      </c>
      <c r="AR415">
        <f>IF(Z415&lt;'Vehicle Data'!C$16, Z415*'Vehicle Data'!F$7*'Vehicle Data'!G$14,IF(Z415&lt;'Vehicle Data'!C$15,Z415*'Vehicle Data'!F$7*'Vehicle Data'!G$15,IF(Z415&gt;'Vehicle Data'!C$15,Z415*'Vehicle Data'!F$7*'Vehicle Data'!G$16)))</f>
        <v>86.49103366552275</v>
      </c>
      <c r="AS415">
        <f t="shared" si="308"/>
        <v>5189.4620199313649</v>
      </c>
      <c r="AT415">
        <f t="shared" si="309"/>
        <v>-12</v>
      </c>
      <c r="AU415">
        <f t="shared" si="310"/>
        <v>5000</v>
      </c>
      <c r="AW415" t="e">
        <f>VLOOKUP(AT415,BSFC!A$64:A$82,1,FALSE)</f>
        <v>#N/A</v>
      </c>
      <c r="AX415" t="e" cm="1">
        <f t="array" ref="AX415">_xlfn.XLOOKUP(AT415,BSFC!A$64:A$82,,-1,_xlfn.XLOOKUP(Data!AU415,BSFC!C$63:Q$63,BSFC!B$64:Q$82,,-1))</f>
        <v>#VALUE!</v>
      </c>
      <c r="AY415">
        <f>HLOOKUP(AU415,BSFC!F$63:Q$63,1)</f>
        <v>5000</v>
      </c>
      <c r="AZ415">
        <f>IF(AT415&gt;0,MATCH(AT415,BSFC!A$64:A$83,0),IF(AT415&lt;=0,0))</f>
        <v>0</v>
      </c>
      <c r="BA415">
        <f>MATCH(AU415,BSFC!C$63:Q$63,0)</f>
        <v>10</v>
      </c>
      <c r="BB415" t="b" cm="1">
        <f t="array" ref="BB415">IF(AZ415&gt;0,INDEX(BSFC!C$64:Q$83,Data!AZ415,Data!BA415))</f>
        <v>0</v>
      </c>
      <c r="BC415">
        <f>0.5*'Vehicle Data'!C$6*Data!Z415^2</f>
        <v>21697.93473332877</v>
      </c>
      <c r="BD415">
        <f t="shared" si="291"/>
        <v>0</v>
      </c>
      <c r="BE415">
        <f t="shared" si="311"/>
        <v>0</v>
      </c>
      <c r="BF415">
        <v>0</v>
      </c>
      <c r="BG415">
        <f t="shared" si="292"/>
        <v>159.71383728034638</v>
      </c>
      <c r="BH415">
        <f t="shared" si="316"/>
        <v>-6497.9271417635164</v>
      </c>
      <c r="BI415" s="148">
        <f t="shared" si="293"/>
        <v>6871.6622130335309</v>
      </c>
      <c r="BO415">
        <f t="shared" si="294"/>
        <v>-1465.0291239831979</v>
      </c>
      <c r="BP415">
        <f t="shared" si="295"/>
        <v>727350.87819279835</v>
      </c>
      <c r="BQ415">
        <f t="shared" si="296"/>
        <v>972860.32637026219</v>
      </c>
      <c r="BR415" s="148">
        <f t="shared" si="297"/>
        <v>908941.57749736833</v>
      </c>
      <c r="BS415" s="156" t="b">
        <f t="shared" si="298"/>
        <v>0</v>
      </c>
      <c r="BT415" s="156">
        <f t="shared" si="299"/>
        <v>0</v>
      </c>
      <c r="BU415">
        <f t="shared" si="300"/>
        <v>1549.2918053151263</v>
      </c>
      <c r="BV415">
        <f t="shared" si="301"/>
        <v>1549.2918053151263</v>
      </c>
      <c r="BW415" s="148">
        <f t="shared" si="302"/>
        <v>455.4</v>
      </c>
      <c r="BX415" s="148">
        <f t="shared" si="303"/>
        <v>3129354.9718154697</v>
      </c>
      <c r="BY415" s="148">
        <f t="shared" si="304"/>
        <v>0.19598541337236347</v>
      </c>
      <c r="BZ415">
        <f t="shared" si="287"/>
        <v>132.04844149221941</v>
      </c>
      <c r="CB415">
        <f t="shared" si="305"/>
        <v>1549.2918053151263</v>
      </c>
      <c r="CC415" s="162">
        <f t="shared" si="288"/>
        <v>6680.9642563617817</v>
      </c>
      <c r="CD415">
        <f t="shared" si="313"/>
        <v>-64650.68935192057</v>
      </c>
    </row>
    <row r="416" spans="4:82" x14ac:dyDescent="0.2">
      <c r="D416" s="22">
        <f t="shared" si="279"/>
        <v>-0.1378028096821646</v>
      </c>
      <c r="E416" s="23">
        <v>9.5859039467535947</v>
      </c>
      <c r="F416" s="23">
        <f>IF(K416&lt;6,1,IF(Data!K416&lt;9,2,IF(K416&gt;9,3)))</f>
        <v>3</v>
      </c>
      <c r="G416" s="23">
        <v>1096.3767176806873</v>
      </c>
      <c r="H416" s="23">
        <v>220.566665</v>
      </c>
      <c r="I416" s="64">
        <v>44.032454684850471</v>
      </c>
      <c r="J416" s="65">
        <f t="shared" si="280"/>
        <v>-15.79245069171121</v>
      </c>
      <c r="K416" s="65">
        <f t="shared" si="281"/>
        <v>17.612981873940189</v>
      </c>
      <c r="L416" s="65">
        <f t="shared" si="282"/>
        <v>-6.3169802766845127</v>
      </c>
      <c r="M416">
        <f t="shared" si="283"/>
        <v>19.171807893507189</v>
      </c>
      <c r="N416">
        <f t="shared" si="284"/>
        <v>-0.30000138864842896</v>
      </c>
      <c r="O416">
        <f>IF(L416&lt;'Vehicle Data'!F$21,'Vehicle Data'!C$21,IF(L416&gt;'Vehicle Data'!C$21,'Vehicle Data'!C$20))</f>
        <v>0.6</v>
      </c>
      <c r="P416">
        <f>('Vehicle Data'!C$6*9.81*'Vehicle Data'!C$5*SIN(D416))/'Vehicle Data'!C$9</f>
        <v>-91.482018761150869</v>
      </c>
      <c r="Q416" s="107">
        <f>'Vehicle Data'!C$6*9.81*SIN(D416)</f>
        <v>-591.58372132210889</v>
      </c>
      <c r="R416">
        <f t="shared" si="278"/>
        <v>1094.1523320865667</v>
      </c>
      <c r="S416">
        <f>IF(Data!O416=0.6,'Vehicle Data'!E$21,IF(Data!O416 = 0.9,'Vehicle Data'!E$20))+(P416*O416)</f>
        <v>1495.4831887433093</v>
      </c>
      <c r="T416">
        <f>IF(F416=3,'Vehicle Data'!H$16,IF(F416=2,'Vehicle Data'!H$15,IF(F416 = 1,'Vehicle Data'!G$14)))</f>
        <v>466.23005239380637</v>
      </c>
      <c r="U416" s="148">
        <f t="shared" si="285"/>
        <v>378.01384996325066</v>
      </c>
      <c r="V416" s="70" t="s">
        <v>77</v>
      </c>
      <c r="W416" s="99" t="s">
        <v>84</v>
      </c>
      <c r="X416">
        <f>IF(V416="S",'Vehicle Data'!C$14,IF(Data!V416 = "T1",'Vehicle Data'!P$2,IF(Data!V416="T2",'Vehicle Data'!P$3)))</f>
        <v>13.411199999999999</v>
      </c>
      <c r="Z416">
        <f t="shared" si="315"/>
        <v>10.047131006915151</v>
      </c>
      <c r="AB416" t="b">
        <f>IF(AA416=1,'Vehicle Data'!I$14,IF(AA416=2,'Vehicle Data'!I$15,IF(AA416=3,'Vehicle Data'!I$16)))</f>
        <v>0</v>
      </c>
      <c r="AC416">
        <v>1.3037776999999999</v>
      </c>
      <c r="AD416">
        <f>IF(O416=0.6,'Vehicle Data'!F$21,IF(O416=0.9,'Vehicle Data'!F$20))</f>
        <v>3.5315999999999996</v>
      </c>
      <c r="AE416" s="100">
        <f t="shared" si="314"/>
        <v>1.3037776999999999</v>
      </c>
      <c r="AF416" s="158">
        <f t="shared" si="306"/>
        <v>0.22546099579466719</v>
      </c>
      <c r="AG416" s="148">
        <f t="shared" si="289"/>
        <v>0.46444777612767218</v>
      </c>
      <c r="AH416" s="148">
        <f t="shared" si="307"/>
        <v>132.27390248801407</v>
      </c>
      <c r="AJ416">
        <f>(Z416^2)*'Vehicle Data'!C$31</f>
        <v>37.097229240267588</v>
      </c>
      <c r="AK416">
        <f>IF(O416=0.6,'Vehicle Data'!C$6*'Vehicle Data'!D$21*9.81,IF(O416=0.9,'Vehicle Data'!C$6*9.81*'Vehicle Data'!D$20))</f>
        <v>86.131799999999998</v>
      </c>
      <c r="AL416">
        <f t="shared" si="286"/>
        <v>-468.35469208184134</v>
      </c>
      <c r="AN416">
        <f>IF(AG416&gt;0,AG416*'Vehicle Data'!C$6)</f>
        <v>203.89257372004809</v>
      </c>
      <c r="AO416">
        <f t="shared" si="290"/>
        <v>-264.46211836179327</v>
      </c>
      <c r="AP416">
        <f>AO416*'Vehicle Data'!F$3</f>
        <v>-67.596517453274359</v>
      </c>
      <c r="AQ416" t="b">
        <f>IF(AE416='Vehicle Data'!I$15,AP416/'Vehicle Data'!G$15,IF(AE416='Vehicle Data'!I$16,AP416/'Vehicle Data'!G$16,IF(AE416='Vehicle Data'!I$14,Data!AP416/'Vehicle Data'!G427)))</f>
        <v>0</v>
      </c>
      <c r="AR416">
        <f>IF(Z416&lt;'Vehicle Data'!C$16, Z416*'Vehicle Data'!F$7*'Vehicle Data'!G$14,IF(Z416&lt;'Vehicle Data'!C$15,Z416*'Vehicle Data'!F$7*'Vehicle Data'!G$15,IF(Z416&gt;'Vehicle Data'!C$15,Z416*'Vehicle Data'!F$7*'Vehicle Data'!G$16)))</f>
        <v>87.401968812641755</v>
      </c>
      <c r="AS416">
        <f t="shared" si="308"/>
        <v>5244.118128758505</v>
      </c>
      <c r="AT416">
        <f t="shared" si="309"/>
        <v>0</v>
      </c>
      <c r="AU416">
        <f t="shared" si="310"/>
        <v>5000</v>
      </c>
      <c r="AW416" t="e">
        <f>VLOOKUP(AT416,BSFC!A$64:A$82,1,FALSE)</f>
        <v>#N/A</v>
      </c>
      <c r="AX416" t="e" cm="1">
        <f t="array" ref="AX416">_xlfn.XLOOKUP(AT416,BSFC!A$64:A$82,,-1,_xlfn.XLOOKUP(Data!AU416,BSFC!C$63:Q$63,BSFC!B$64:Q$82,,-1))</f>
        <v>#VALUE!</v>
      </c>
      <c r="AY416">
        <f>HLOOKUP(AU416,BSFC!F$63:Q$63,1)</f>
        <v>5000</v>
      </c>
      <c r="AZ416">
        <f>IF(AT416&gt;0,MATCH(AT416,BSFC!A$64:A$83,0),IF(AT416&lt;=0,0))</f>
        <v>0</v>
      </c>
      <c r="BA416">
        <f>MATCH(AU416,BSFC!C$63:Q$63,0)</f>
        <v>10</v>
      </c>
      <c r="BB416" t="b" cm="1">
        <f t="array" ref="BB416">IF(AZ416&gt;0,INDEX(BSFC!C$64:Q$83,Data!AZ416,Data!BA416))</f>
        <v>0</v>
      </c>
      <c r="BC416">
        <f>0.5*'Vehicle Data'!C$6*Data!Z416^2</f>
        <v>22157.392702690431</v>
      </c>
      <c r="BD416">
        <f t="shared" si="291"/>
        <v>3.5864720281922668</v>
      </c>
      <c r="BE416">
        <f t="shared" si="311"/>
        <v>0</v>
      </c>
      <c r="BF416">
        <v>0</v>
      </c>
      <c r="BG416">
        <f t="shared" si="292"/>
        <v>159.71383728034638</v>
      </c>
      <c r="BH416">
        <f t="shared" si="316"/>
        <v>0</v>
      </c>
      <c r="BI416" s="148">
        <f t="shared" si="293"/>
        <v>6871.6622130335309</v>
      </c>
      <c r="BO416">
        <f t="shared" si="294"/>
        <v>0</v>
      </c>
      <c r="BP416">
        <f t="shared" si="295"/>
        <v>727350.87819279835</v>
      </c>
      <c r="BQ416">
        <f t="shared" si="296"/>
        <v>972860.32637026219</v>
      </c>
      <c r="BR416" s="148">
        <f t="shared" si="297"/>
        <v>910421.01970238902</v>
      </c>
      <c r="BS416" s="156" t="b">
        <f t="shared" si="298"/>
        <v>0</v>
      </c>
      <c r="BT416" s="156">
        <f t="shared" si="299"/>
        <v>0</v>
      </c>
      <c r="BU416">
        <f t="shared" si="300"/>
        <v>1479.4422050206522</v>
      </c>
      <c r="BV416">
        <f t="shared" si="301"/>
        <v>1479.4422050206522</v>
      </c>
      <c r="BW416" s="148">
        <f t="shared" si="302"/>
        <v>455.4</v>
      </c>
      <c r="BX416" s="148">
        <f t="shared" si="303"/>
        <v>3129354.9718154697</v>
      </c>
      <c r="BY416" s="148">
        <f t="shared" si="304"/>
        <v>0.18714943893511249</v>
      </c>
      <c r="BZ416">
        <f t="shared" si="287"/>
        <v>132.27390248801407</v>
      </c>
      <c r="CB416">
        <f t="shared" si="305"/>
        <v>1479.4422050206522</v>
      </c>
      <c r="CC416" s="162">
        <f t="shared" si="288"/>
        <v>6561.8543012559276</v>
      </c>
      <c r="CD416">
        <f t="shared" si="313"/>
        <v>-63171.247146899914</v>
      </c>
    </row>
    <row r="417" spans="4:82" x14ac:dyDescent="0.2">
      <c r="D417" s="22">
        <f t="shared" si="279"/>
        <v>-0.13288009181467</v>
      </c>
      <c r="E417" s="23">
        <v>9.2859025581051657</v>
      </c>
      <c r="F417" s="23">
        <f>IF(K417&lt;6,1,IF(Data!K417&lt;9,2,IF(K417&gt;9,3)))</f>
        <v>3</v>
      </c>
      <c r="G417" s="23">
        <v>1098.5606570518587</v>
      </c>
      <c r="H417" s="23">
        <v>220.61666499999998</v>
      </c>
      <c r="I417" s="64">
        <v>43.24283215026518</v>
      </c>
      <c r="J417" s="65">
        <f t="shared" si="280"/>
        <v>-15.168623118003911</v>
      </c>
      <c r="K417" s="65">
        <f t="shared" si="281"/>
        <v>17.297132860106071</v>
      </c>
      <c r="L417" s="65">
        <f t="shared" si="282"/>
        <v>-6.0674492472015791</v>
      </c>
      <c r="M417">
        <f t="shared" si="283"/>
        <v>18.571805116210331</v>
      </c>
      <c r="N417">
        <f t="shared" si="284"/>
        <v>-0.28420095810516699</v>
      </c>
      <c r="O417">
        <f>IF(L417&lt;'Vehicle Data'!F$21,'Vehicle Data'!C$21,IF(L417&gt;'Vehicle Data'!C$21,'Vehicle Data'!C$20))</f>
        <v>0.6</v>
      </c>
      <c r="P417">
        <f>('Vehicle Data'!C$6*9.81*'Vehicle Data'!C$5*SIN(D417))/'Vehicle Data'!C$9</f>
        <v>-88.233631457817623</v>
      </c>
      <c r="Q417" s="107">
        <f>'Vehicle Data'!C$6*9.81*SIN(D417)</f>
        <v>-570.57748342722061</v>
      </c>
      <c r="R417">
        <f t="shared" si="278"/>
        <v>1096.3767176806873</v>
      </c>
      <c r="S417">
        <f>IF(Data!O417=0.6,'Vehicle Data'!E$21,IF(Data!O417 = 0.9,'Vehicle Data'!E$20))+(P417*O417)</f>
        <v>1497.4322211253091</v>
      </c>
      <c r="T417">
        <f>IF(F417=3,'Vehicle Data'!H$16,IF(F417=2,'Vehicle Data'!H$15,IF(F417 = 1,'Vehicle Data'!G$14)))</f>
        <v>466.23005239380637</v>
      </c>
      <c r="U417" s="148">
        <f t="shared" si="285"/>
        <v>380.23823555737124</v>
      </c>
      <c r="V417" s="70" t="s">
        <v>77</v>
      </c>
      <c r="W417" s="99" t="s">
        <v>84</v>
      </c>
      <c r="X417">
        <f>IF(V417="S",'Vehicle Data'!C$14,IF(Data!V417 = "T1",'Vehicle Data'!P$2,IF(Data!V417="T2",'Vehicle Data'!P$3)))</f>
        <v>13.411199999999999</v>
      </c>
      <c r="Z417">
        <f t="shared" si="315"/>
        <v>10.331749616485446</v>
      </c>
      <c r="AB417" t="b">
        <f>IF(AA417=1,'Vehicle Data'!I$14,IF(AA417=2,'Vehicle Data'!I$15,IF(AA417=3,'Vehicle Data'!I$16)))</f>
        <v>0</v>
      </c>
      <c r="AC417">
        <f>IF(Z417&lt;'Vehicle Data'!C$16,'Vehicle Data'!I$15,IF(Z417&lt;'Vehicle Data'!C$15,'Vehicle Data'!I$15,IF(Z416&gt;'Vehicle Data'!C$15,'Vehicle Data'!I$16)))</f>
        <v>0.46202745420001456</v>
      </c>
      <c r="AD417">
        <f>IF(O417=0.6,'Vehicle Data'!F$21,IF(O417=0.9,'Vehicle Data'!F$20))</f>
        <v>3.5315999999999996</v>
      </c>
      <c r="AE417" s="100">
        <f t="shared" si="314"/>
        <v>0.46202745420001456</v>
      </c>
      <c r="AF417" s="158">
        <f t="shared" si="306"/>
        <v>0.21529611892368394</v>
      </c>
      <c r="AG417" s="148">
        <f t="shared" si="289"/>
        <v>1.3219867176109363</v>
      </c>
      <c r="AH417" s="148">
        <f t="shared" si="307"/>
        <v>132.48919860693775</v>
      </c>
      <c r="AJ417">
        <f>(Z417^2)*'Vehicle Data'!C$31</f>
        <v>39.22880592562209</v>
      </c>
      <c r="AK417">
        <f>IF(O417=0.6,'Vehicle Data'!C$6*'Vehicle Data'!D$21*9.81,IF(O417=0.9,'Vehicle Data'!C$6*9.81*'Vehicle Data'!D$20))</f>
        <v>86.131799999999998</v>
      </c>
      <c r="AL417">
        <f t="shared" si="286"/>
        <v>-445.21687750159856</v>
      </c>
      <c r="AN417">
        <f>IF(AG417&gt;0,AG417*'Vehicle Data'!C$6)</f>
        <v>580.35216903120102</v>
      </c>
      <c r="AO417">
        <f t="shared" si="290"/>
        <v>135.13529152960245</v>
      </c>
      <c r="AP417">
        <f>AO417*'Vehicle Data'!F$3</f>
        <v>34.540580514966386</v>
      </c>
      <c r="AQ417">
        <f>IF(AE417='Vehicle Data'!I$15,AP417/'Vehicle Data'!G$15,IF(AE417='Vehicle Data'!I$16,AP417/'Vehicle Data'!G$16,IF(AE417='Vehicle Data'!I$14,Data!AP417/'Vehicle Data'!G428)))</f>
        <v>6.3766297311527582</v>
      </c>
      <c r="AR417">
        <f>IF(Z417&lt;'Vehicle Data'!C$16, Z417*'Vehicle Data'!F$7*'Vehicle Data'!G$14,IF(Z417&lt;'Vehicle Data'!C$15,Z417*'Vehicle Data'!F$7*'Vehicle Data'!G$15,IF(Z417&gt;'Vehicle Data'!C$15,Z417*'Vehicle Data'!F$7*'Vehicle Data'!G$16)))</f>
        <v>89.877922079304525</v>
      </c>
      <c r="AS417">
        <f t="shared" si="308"/>
        <v>5392.6753247582719</v>
      </c>
      <c r="AT417">
        <f t="shared" si="309"/>
        <v>6</v>
      </c>
      <c r="AU417">
        <f t="shared" si="310"/>
        <v>5500</v>
      </c>
      <c r="AW417">
        <f>VLOOKUP(AT417,BSFC!A$64:A$82,1,FALSE)</f>
        <v>6</v>
      </c>
      <c r="AX417" t="e" cm="1">
        <f t="array" ref="AX417">_xlfn.XLOOKUP(AT417,BSFC!A$64:A$82,,-1,_xlfn.XLOOKUP(Data!AU417,BSFC!C$63:Q$63,BSFC!B$64:Q$82,,-1))</f>
        <v>#VALUE!</v>
      </c>
      <c r="AY417">
        <f>HLOOKUP(AU417,BSFC!F$63:Q$63,1)</f>
        <v>5500</v>
      </c>
      <c r="AZ417">
        <f>IF(AT417&gt;0,MATCH(AT417,BSFC!A$64:A$83,0),IF(AT417&lt;=0,0))</f>
        <v>17</v>
      </c>
      <c r="BA417">
        <f>MATCH(AU417,BSFC!C$63:Q$63,0)</f>
        <v>11</v>
      </c>
      <c r="BB417" cm="1">
        <f t="array" ref="BB417">IF(AZ417&gt;0,INDEX(BSFC!C$64:Q$83,Data!AZ417,Data!BA417))</f>
        <v>664</v>
      </c>
      <c r="BC417">
        <f>0.5*'Vehicle Data'!C$6*Data!Z417^2</f>
        <v>23430.538505235501</v>
      </c>
      <c r="BD417">
        <f t="shared" si="291"/>
        <v>3.3607524242129632</v>
      </c>
      <c r="BE417">
        <f t="shared" si="311"/>
        <v>2231.5396096774075</v>
      </c>
      <c r="BF417">
        <v>0</v>
      </c>
      <c r="BG417">
        <f t="shared" si="292"/>
        <v>159.71383728034638</v>
      </c>
      <c r="BH417">
        <f t="shared" si="316"/>
        <v>3586.4720281922669</v>
      </c>
      <c r="BI417" s="148">
        <f t="shared" si="293"/>
        <v>6871.6622130335309</v>
      </c>
      <c r="BO417">
        <f t="shared" si="294"/>
        <v>751.04710593459083</v>
      </c>
      <c r="BP417">
        <f t="shared" si="295"/>
        <v>728101.92529873294</v>
      </c>
      <c r="BQ417">
        <f t="shared" si="296"/>
        <v>973611.37347619678</v>
      </c>
      <c r="BR417" s="148">
        <f t="shared" si="297"/>
        <v>911860.02214754687</v>
      </c>
      <c r="BS417" s="156">
        <f t="shared" si="298"/>
        <v>751.04710593459083</v>
      </c>
      <c r="BT417" s="156">
        <f t="shared" si="299"/>
        <v>3586.4720281922669</v>
      </c>
      <c r="BU417">
        <f t="shared" si="300"/>
        <v>1439.0024451578538</v>
      </c>
      <c r="BV417">
        <f t="shared" si="301"/>
        <v>1439.0024451578538</v>
      </c>
      <c r="BW417" s="148">
        <f t="shared" si="302"/>
        <v>455.4</v>
      </c>
      <c r="BX417" s="148">
        <f t="shared" si="303"/>
        <v>3129354.9718154697</v>
      </c>
      <c r="BY417" s="148">
        <f t="shared" si="304"/>
        <v>0.18203380931246846</v>
      </c>
      <c r="BZ417">
        <f t="shared" si="287"/>
        <v>132.48919860693775</v>
      </c>
      <c r="CB417">
        <f t="shared" si="305"/>
        <v>687.95533922326297</v>
      </c>
      <c r="CC417" s="162">
        <f t="shared" si="288"/>
        <v>3195.391271624138</v>
      </c>
      <c r="CD417">
        <f t="shared" si="313"/>
        <v>-62483.291807676651</v>
      </c>
    </row>
    <row r="418" spans="4:82" x14ac:dyDescent="0.2">
      <c r="D418" s="22">
        <f t="shared" si="279"/>
        <v>-4.7487407732836003E-2</v>
      </c>
      <c r="E418" s="23">
        <v>9.0017015999999987</v>
      </c>
      <c r="F418" s="23">
        <f>IF(K418&lt;6,1,IF(Data!K418&lt;9,2,IF(K418&gt;9,3)))</f>
        <v>3</v>
      </c>
      <c r="G418" s="23">
        <v>1100.7057417068199</v>
      </c>
      <c r="H418" s="23">
        <v>220.66666499999999</v>
      </c>
      <c r="I418" s="64">
        <v>42.484400994364812</v>
      </c>
      <c r="J418" s="65">
        <f t="shared" si="280"/>
        <v>-15.514697512459497</v>
      </c>
      <c r="K418" s="65">
        <f t="shared" si="281"/>
        <v>16.993760397745923</v>
      </c>
      <c r="L418" s="65">
        <f t="shared" si="282"/>
        <v>-6.2058790049837702</v>
      </c>
      <c r="M418">
        <f t="shared" si="283"/>
        <v>18.003403199999997</v>
      </c>
      <c r="N418">
        <f t="shared" si="284"/>
        <v>-9.9998399999998711E-2</v>
      </c>
      <c r="O418">
        <f>IF(L418&lt;'Vehicle Data'!F$21,'Vehicle Data'!C$21,IF(L418&gt;'Vehicle Data'!C$21,'Vehicle Data'!C$20))</f>
        <v>0.6</v>
      </c>
      <c r="P418">
        <f>('Vehicle Data'!C$6*9.81*'Vehicle Data'!C$5*SIN(D418))/'Vehicle Data'!C$9</f>
        <v>-31.61318673325453</v>
      </c>
      <c r="Q418" s="107">
        <f>'Vehicle Data'!C$6*9.81*SIN(D418)</f>
        <v>-204.43194087504597</v>
      </c>
      <c r="R418">
        <f t="shared" si="278"/>
        <v>1098.5606570518587</v>
      </c>
      <c r="S418">
        <f>IF(Data!O418=0.6,'Vehicle Data'!E$21,IF(Data!O418 = 0.9,'Vehicle Data'!E$20))+(P418*O418)</f>
        <v>1531.4044879600469</v>
      </c>
      <c r="T418">
        <f>IF(F418=3,'Vehicle Data'!H$16,IF(F418=2,'Vehicle Data'!H$15,IF(F418 = 1,'Vehicle Data'!G$14)))</f>
        <v>466.23005239380637</v>
      </c>
      <c r="U418" s="148">
        <f t="shared" si="285"/>
        <v>382.42217492854263</v>
      </c>
      <c r="V418" s="70" t="s">
        <v>77</v>
      </c>
      <c r="W418" s="99" t="s">
        <v>84</v>
      </c>
      <c r="X418">
        <f>IF(V418="S",'Vehicle Data'!C$14,IF(Data!V418 = "T1",'Vehicle Data'!P$2,IF(Data!V418="T2",'Vehicle Data'!P$3)))</f>
        <v>13.411199999999999</v>
      </c>
      <c r="Z418">
        <f t="shared" si="315"/>
        <v>10.428956325219037</v>
      </c>
      <c r="AB418" t="b">
        <f>IF(AA418=1,'Vehicle Data'!I$14,IF(AA418=2,'Vehicle Data'!I$15,IF(AA418=3,'Vehicle Data'!I$16)))</f>
        <v>0</v>
      </c>
      <c r="AC418">
        <f>IF(Z418&lt;'Vehicle Data'!C$16,'Vehicle Data'!I$15,IF(Z418&lt;'Vehicle Data'!C$15,'Vehicle Data'!I$15,IF(Z417&gt;'Vehicle Data'!C$15,'Vehicle Data'!I$16)))</f>
        <v>0.46202745420001456</v>
      </c>
      <c r="AD418">
        <f>IF(O418=0.6,'Vehicle Data'!F$21,IF(O418=0.9,'Vehicle Data'!F$20))</f>
        <v>3.5315999999999996</v>
      </c>
      <c r="AE418" s="100">
        <f t="shared" si="314"/>
        <v>0.46202745420001456</v>
      </c>
      <c r="AF418" s="158">
        <f t="shared" si="306"/>
        <v>0.2094111148869465</v>
      </c>
      <c r="AG418" s="148">
        <f t="shared" si="289"/>
        <v>0.46419077987369117</v>
      </c>
      <c r="AH418" s="148">
        <f t="shared" si="307"/>
        <v>132.69860972182468</v>
      </c>
      <c r="AJ418">
        <f>(Z418^2)*'Vehicle Data'!C$31</f>
        <v>39.970450287247374</v>
      </c>
      <c r="AK418">
        <f>IF(O418=0.6,'Vehicle Data'!C$6*'Vehicle Data'!D$21*9.81,IF(O418=0.9,'Vehicle Data'!C$6*9.81*'Vehicle Data'!D$20))</f>
        <v>86.131799999999998</v>
      </c>
      <c r="AL418">
        <f t="shared" si="286"/>
        <v>-78.329690587798595</v>
      </c>
      <c r="AN418">
        <f>IF(AG418&gt;0,AG418*'Vehicle Data'!C$6)</f>
        <v>203.77975236455043</v>
      </c>
      <c r="AO418">
        <f t="shared" si="290"/>
        <v>125.45006177675184</v>
      </c>
      <c r="AP418">
        <f>AO418*'Vehicle Data'!F$3</f>
        <v>32.06503579013777</v>
      </c>
      <c r="AQ418">
        <f>IF(AE418='Vehicle Data'!I$15,AP418/'Vehicle Data'!G$15,IF(AE418='Vehicle Data'!I$16,AP418/'Vehicle Data'!G$16,IF(AE418='Vehicle Data'!I$14,Data!AP418/'Vehicle Data'!G429)))</f>
        <v>5.9196127425036931</v>
      </c>
      <c r="AR418">
        <f>IF(Z418&lt;'Vehicle Data'!C$16, Z418*'Vehicle Data'!F$7*'Vehicle Data'!G$14,IF(Z418&lt;'Vehicle Data'!C$15,Z418*'Vehicle Data'!F$7*'Vehicle Data'!G$15,IF(Z418&gt;'Vehicle Data'!C$15,Z418*'Vehicle Data'!F$7*'Vehicle Data'!G$16)))</f>
        <v>90.723542358294139</v>
      </c>
      <c r="AS418">
        <f t="shared" si="308"/>
        <v>5443.4125414976479</v>
      </c>
      <c r="AT418">
        <f t="shared" si="309"/>
        <v>6</v>
      </c>
      <c r="AU418">
        <f t="shared" si="310"/>
        <v>5500</v>
      </c>
      <c r="AW418">
        <f>VLOOKUP(AT418,BSFC!A$64:A$82,1,FALSE)</f>
        <v>6</v>
      </c>
      <c r="AX418" t="e" cm="1">
        <f t="array" ref="AX418">_xlfn.XLOOKUP(AT418,BSFC!A$64:A$82,,-1,_xlfn.XLOOKUP(Data!AU418,BSFC!C$63:Q$63,BSFC!B$64:Q$82,,-1))</f>
        <v>#VALUE!</v>
      </c>
      <c r="AY418">
        <f>HLOOKUP(AU418,BSFC!F$63:Q$63,1)</f>
        <v>5500</v>
      </c>
      <c r="AZ418">
        <f>IF(AT418&gt;0,MATCH(AT418,BSFC!A$64:A$83,0),IF(AT418&lt;=0,0))</f>
        <v>17</v>
      </c>
      <c r="BA418">
        <f>MATCH(AU418,BSFC!C$63:Q$63,0)</f>
        <v>11</v>
      </c>
      <c r="BB418" cm="1">
        <f t="array" ref="BB418">IF(AZ418&gt;0,INDEX(BSFC!C$64:Q$83,Data!AZ418,Data!BA418))</f>
        <v>664</v>
      </c>
      <c r="BC418">
        <f>0.5*'Vehicle Data'!C$6*Data!Z418^2</f>
        <v>23873.507042315094</v>
      </c>
      <c r="BD418">
        <f t="shared" si="291"/>
        <v>8.9363363461116343</v>
      </c>
      <c r="BE418">
        <f t="shared" si="311"/>
        <v>5933.7273338181249</v>
      </c>
      <c r="BF418">
        <v>0</v>
      </c>
      <c r="BG418">
        <f t="shared" si="292"/>
        <v>159.71383728034638</v>
      </c>
      <c r="BH418">
        <f t="shared" si="316"/>
        <v>3360.752424212963</v>
      </c>
      <c r="BI418" s="148">
        <f t="shared" si="293"/>
        <v>6871.6622130335309</v>
      </c>
      <c r="BO418">
        <f t="shared" si="294"/>
        <v>685.0437255458354</v>
      </c>
      <c r="BP418">
        <f t="shared" si="295"/>
        <v>728786.96902427881</v>
      </c>
      <c r="BQ418">
        <f t="shared" si="296"/>
        <v>974296.41720174265</v>
      </c>
      <c r="BR418" s="148">
        <f t="shared" si="297"/>
        <v>913260.71713751229</v>
      </c>
      <c r="BS418" s="156">
        <f t="shared" si="298"/>
        <v>685.0437255458354</v>
      </c>
      <c r="BT418" s="156">
        <f t="shared" si="299"/>
        <v>3360.752424212963</v>
      </c>
      <c r="BU418">
        <f t="shared" si="300"/>
        <v>1400.6949899653582</v>
      </c>
      <c r="BV418">
        <f t="shared" si="301"/>
        <v>1400.6949899653582</v>
      </c>
      <c r="BW418" s="148">
        <f t="shared" si="302"/>
        <v>455.4</v>
      </c>
      <c r="BX418" s="148">
        <f t="shared" si="303"/>
        <v>3129354.9718154697</v>
      </c>
      <c r="BY418" s="148">
        <f t="shared" si="304"/>
        <v>0.1771879162306178</v>
      </c>
      <c r="BZ418">
        <f t="shared" si="287"/>
        <v>132.69860972182468</v>
      </c>
      <c r="CB418">
        <f t="shared" si="305"/>
        <v>715.65126441952282</v>
      </c>
      <c r="CC418" s="162">
        <f t="shared" si="288"/>
        <v>3417.4464178079702</v>
      </c>
      <c r="CD418">
        <f t="shared" si="313"/>
        <v>-61767.640543257126</v>
      </c>
    </row>
    <row r="419" spans="4:82" x14ac:dyDescent="0.2">
      <c r="D419" s="22">
        <f t="shared" si="279"/>
        <v>0</v>
      </c>
      <c r="E419" s="23">
        <v>8.9017032</v>
      </c>
      <c r="F419" s="23">
        <f>IF(K419&lt;6,1,IF(Data!K419&lt;9,2,IF(K419&gt;9,3)))</f>
        <v>3</v>
      </c>
      <c r="G419" s="23">
        <v>1102.8123210779918</v>
      </c>
      <c r="H419" s="23">
        <v>220.71666499999998</v>
      </c>
      <c r="I419" s="64">
        <v>41.708666118742102</v>
      </c>
      <c r="J419" s="65">
        <f t="shared" si="280"/>
        <v>-16.151301331152176</v>
      </c>
      <c r="K419" s="65">
        <f t="shared" si="281"/>
        <v>16.683466447496841</v>
      </c>
      <c r="L419" s="65">
        <f t="shared" si="282"/>
        <v>-6.4605205324608992</v>
      </c>
      <c r="M419">
        <f t="shared" si="283"/>
        <v>17.8034064</v>
      </c>
      <c r="N419">
        <f t="shared" si="284"/>
        <v>0</v>
      </c>
      <c r="O419">
        <f>IF(L419&lt;'Vehicle Data'!F$21,'Vehicle Data'!C$21,IF(L419&gt;'Vehicle Data'!C$21,'Vehicle Data'!C$20))</f>
        <v>0.6</v>
      </c>
      <c r="P419">
        <f>('Vehicle Data'!C$6*9.81*'Vehicle Data'!C$5*SIN(D419))/'Vehicle Data'!C$9</f>
        <v>0</v>
      </c>
      <c r="Q419" s="107">
        <f>'Vehicle Data'!C$6*9.81*SIN(D419)</f>
        <v>0</v>
      </c>
      <c r="R419">
        <f t="shared" si="278"/>
        <v>1100.7057417068199</v>
      </c>
      <c r="S419">
        <f>IF(Data!O419=0.6,'Vehicle Data'!E$21,IF(Data!O419 = 0.9,'Vehicle Data'!E$20))+(P419*O419)</f>
        <v>1550.3723999999997</v>
      </c>
      <c r="T419">
        <f>IF(F419=3,'Vehicle Data'!H$16,IF(F419=2,'Vehicle Data'!H$15,IF(F419 = 1,'Vehicle Data'!G$14)))</f>
        <v>466.23005239380637</v>
      </c>
      <c r="U419" s="148">
        <f t="shared" si="285"/>
        <v>384.56725958350387</v>
      </c>
      <c r="V419" s="70" t="s">
        <v>77</v>
      </c>
      <c r="W419" s="99" t="s">
        <v>84</v>
      </c>
      <c r="X419">
        <f>IF(V419="S",'Vehicle Data'!C$14,IF(Data!V419 = "T1",'Vehicle Data'!P$2,IF(Data!V419="T2",'Vehicle Data'!P$3)))</f>
        <v>13.411199999999999</v>
      </c>
      <c r="Z419">
        <f t="shared" si="315"/>
        <v>10.523559570681238</v>
      </c>
      <c r="AB419" t="b">
        <f>IF(AA419=1,'Vehicle Data'!I$14,IF(AA419=2,'Vehicle Data'!I$15,IF(AA419=3,'Vehicle Data'!I$16)))</f>
        <v>0</v>
      </c>
      <c r="AC419">
        <f>IF(Z419&lt;'Vehicle Data'!C$16,'Vehicle Data'!I$15,IF(Z419&lt;'Vehicle Data'!C$15,'Vehicle Data'!I$15,IF(Z418&gt;'Vehicle Data'!C$15,'Vehicle Data'!I$16)))</f>
        <v>0.46202745420001456</v>
      </c>
      <c r="AD419">
        <f>IF(O419=0.6,'Vehicle Data'!F$21,IF(O419=0.9,'Vehicle Data'!F$20))</f>
        <v>3.5315999999999996</v>
      </c>
      <c r="AE419" s="100">
        <f t="shared" si="314"/>
        <v>0.46202745420001456</v>
      </c>
      <c r="AF419" s="158">
        <f t="shared" si="306"/>
        <v>0.20383641490826632</v>
      </c>
      <c r="AG419" s="148">
        <f t="shared" si="289"/>
        <v>0.46411356628684747</v>
      </c>
      <c r="AH419" s="148">
        <f t="shared" si="307"/>
        <v>132.90244613673295</v>
      </c>
      <c r="AJ419">
        <f>(Z419^2)*'Vehicle Data'!C$31</f>
        <v>40.698899968846192</v>
      </c>
      <c r="AK419">
        <f>IF(O419=0.6,'Vehicle Data'!C$6*'Vehicle Data'!D$21*9.81,IF(O419=0.9,'Vehicle Data'!C$6*9.81*'Vehicle Data'!D$20))</f>
        <v>86.131799999999998</v>
      </c>
      <c r="AL419">
        <f t="shared" si="286"/>
        <v>126.83069996884619</v>
      </c>
      <c r="AN419">
        <f>IF(AG419&gt;0,AG419*'Vehicle Data'!C$6)</f>
        <v>203.74585559992605</v>
      </c>
      <c r="AO419">
        <f t="shared" si="290"/>
        <v>330.57655556877222</v>
      </c>
      <c r="AP419">
        <f>AO419*'Vehicle Data'!F$3</f>
        <v>84.495367603378185</v>
      </c>
      <c r="AQ419">
        <f>IF(AE419='Vehicle Data'!I$15,AP419/'Vehicle Data'!G$15,IF(AE419='Vehicle Data'!I$16,AP419/'Vehicle Data'!G$16,IF(AE419='Vehicle Data'!I$14,Data!AP419/'Vehicle Data'!G430)))</f>
        <v>15.598917712773341</v>
      </c>
      <c r="AR419">
        <f>IF(Z419&lt;'Vehicle Data'!C$16, Z419*'Vehicle Data'!F$7*'Vehicle Data'!G$14,IF(Z419&lt;'Vehicle Data'!C$15,Z419*'Vehicle Data'!F$7*'Vehicle Data'!G$15,IF(Z419&gt;'Vehicle Data'!C$15,Z419*'Vehicle Data'!F$7*'Vehicle Data'!G$16)))</f>
        <v>91.54651459820731</v>
      </c>
      <c r="AS419">
        <f t="shared" si="308"/>
        <v>5492.7908758924386</v>
      </c>
      <c r="AT419">
        <f t="shared" si="309"/>
        <v>16</v>
      </c>
      <c r="AU419">
        <f t="shared" si="310"/>
        <v>5500</v>
      </c>
      <c r="AW419">
        <f>VLOOKUP(AT419,BSFC!A$64:A$82,1,FALSE)</f>
        <v>16</v>
      </c>
      <c r="AX419" t="e" cm="1">
        <f t="array" ref="AX419">_xlfn.XLOOKUP(AT419,BSFC!A$64:A$82,,-1,_xlfn.XLOOKUP(Data!AU419,BSFC!C$63:Q$63,BSFC!B$64:Q$82,,-1))</f>
        <v>#VALUE!</v>
      </c>
      <c r="AY419">
        <f>HLOOKUP(AU419,BSFC!F$63:Q$63,1)</f>
        <v>5500</v>
      </c>
      <c r="AZ419">
        <f>IF(AT419&gt;0,MATCH(AT419,BSFC!A$64:A$83,0),IF(AT419&lt;=0,0))</f>
        <v>7</v>
      </c>
      <c r="BA419">
        <f>MATCH(AU419,BSFC!C$63:Q$63,0)</f>
        <v>11</v>
      </c>
      <c r="BB419" cm="1">
        <f t="array" ref="BB419">IF(AZ419&gt;0,INDEX(BSFC!C$64:Q$83,Data!AZ419,Data!BA419))</f>
        <v>632.5</v>
      </c>
      <c r="BC419">
        <f>0.5*'Vehicle Data'!C$6*Data!Z419^2</f>
        <v>24308.594675270033</v>
      </c>
      <c r="BD419">
        <f t="shared" si="291"/>
        <v>9.033160285996761</v>
      </c>
      <c r="BE419">
        <f t="shared" si="311"/>
        <v>5713.4738808929515</v>
      </c>
      <c r="BF419">
        <v>0</v>
      </c>
      <c r="BG419">
        <f t="shared" si="292"/>
        <v>159.71383728034638</v>
      </c>
      <c r="BH419">
        <f t="shared" si="316"/>
        <v>8936.3363461116351</v>
      </c>
      <c r="BI419" s="148">
        <f t="shared" si="293"/>
        <v>6871.6622130335309</v>
      </c>
      <c r="BO419">
        <f t="shared" si="294"/>
        <v>1773.3357964277175</v>
      </c>
      <c r="BP419">
        <f t="shared" si="295"/>
        <v>730560.30482070649</v>
      </c>
      <c r="BQ419">
        <f t="shared" si="296"/>
        <v>976069.75299817033</v>
      </c>
      <c r="BR419" s="148">
        <f t="shared" si="297"/>
        <v>914624.33687062969</v>
      </c>
      <c r="BS419" s="156">
        <f t="shared" si="298"/>
        <v>1773.3357964277175</v>
      </c>
      <c r="BT419" s="156">
        <f t="shared" si="299"/>
        <v>8936.3363461116351</v>
      </c>
      <c r="BU419">
        <f t="shared" si="300"/>
        <v>1363.6197331173998</v>
      </c>
      <c r="BV419">
        <f t="shared" si="301"/>
        <v>1363.6197331173998</v>
      </c>
      <c r="BW419" s="148">
        <f t="shared" si="302"/>
        <v>455.4</v>
      </c>
      <c r="BX419" s="148">
        <f t="shared" si="303"/>
        <v>3129354.9718154697</v>
      </c>
      <c r="BY419" s="148">
        <f t="shared" si="304"/>
        <v>0.17249789623935105</v>
      </c>
      <c r="BZ419">
        <f t="shared" si="287"/>
        <v>132.90244613673295</v>
      </c>
      <c r="CB419">
        <f t="shared" si="305"/>
        <v>-409.71606331031762</v>
      </c>
      <c r="CC419" s="162">
        <f t="shared" si="288"/>
        <v>-2010.0238884926603</v>
      </c>
      <c r="CD419">
        <f t="shared" si="313"/>
        <v>-62177.356606567446</v>
      </c>
    </row>
    <row r="420" spans="4:82" x14ac:dyDescent="0.2">
      <c r="D420" s="22">
        <f t="shared" si="279"/>
        <v>0</v>
      </c>
      <c r="E420" s="23">
        <v>8.9017032</v>
      </c>
      <c r="F420" s="23">
        <f>IF(K420&lt;6,1,IF(Data!K420&lt;9,2,IF(K420&gt;9,3)))</f>
        <v>3</v>
      </c>
      <c r="G420" s="23">
        <v>1104.879291955901</v>
      </c>
      <c r="H420" s="23">
        <v>220.76666499999999</v>
      </c>
      <c r="I420" s="64">
        <v>40.901101052184309</v>
      </c>
      <c r="J420" s="65">
        <f t="shared" si="280"/>
        <v>-15.75517953777077</v>
      </c>
      <c r="K420" s="65">
        <f t="shared" si="281"/>
        <v>16.360440420873722</v>
      </c>
      <c r="L420" s="65">
        <f t="shared" si="282"/>
        <v>-6.3020718151082518</v>
      </c>
      <c r="M420">
        <f t="shared" si="283"/>
        <v>17.8034064</v>
      </c>
      <c r="N420">
        <f t="shared" si="284"/>
        <v>0</v>
      </c>
      <c r="O420">
        <f>IF(L420&lt;'Vehicle Data'!F$21,'Vehicle Data'!C$21,IF(L420&gt;'Vehicle Data'!C$21,'Vehicle Data'!C$20))</f>
        <v>0.6</v>
      </c>
      <c r="P420">
        <f>('Vehicle Data'!C$6*9.81*'Vehicle Data'!C$5*SIN(D420))/'Vehicle Data'!C$9</f>
        <v>0</v>
      </c>
      <c r="Q420" s="107">
        <f>'Vehicle Data'!C$6*9.81*SIN(D420)</f>
        <v>0</v>
      </c>
      <c r="R420">
        <f t="shared" si="278"/>
        <v>1102.8123210779918</v>
      </c>
      <c r="S420">
        <f>IF(Data!O420=0.6,'Vehicle Data'!E$21,IF(Data!O420 = 0.9,'Vehicle Data'!E$20))+(P420*O420)</f>
        <v>1550.3723999999997</v>
      </c>
      <c r="T420">
        <f>IF(F420=3,'Vehicle Data'!H$16,IF(F420=2,'Vehicle Data'!H$15,IF(F420 = 1,'Vehicle Data'!G$14)))</f>
        <v>466.23005239380637</v>
      </c>
      <c r="U420" s="148">
        <f t="shared" si="285"/>
        <v>386.67383895467572</v>
      </c>
      <c r="V420" s="70" t="s">
        <v>77</v>
      </c>
      <c r="W420" s="99" t="s">
        <v>84</v>
      </c>
      <c r="X420">
        <f>IF(V420="S",'Vehicle Data'!C$14,IF(Data!V420 = "T1",'Vehicle Data'!P$2,IF(Data!V420="T2",'Vehicle Data'!P$3)))</f>
        <v>13.411199999999999</v>
      </c>
      <c r="Z420">
        <f t="shared" si="315"/>
        <v>10.615644165360022</v>
      </c>
      <c r="AB420" t="b">
        <f>IF(AA420=1,'Vehicle Data'!I$14,IF(AA420=2,'Vehicle Data'!I$15,IF(AA420=3,'Vehicle Data'!I$16)))</f>
        <v>0</v>
      </c>
      <c r="AC420">
        <f>IF(Z420&lt;'Vehicle Data'!C$16,'Vehicle Data'!I$15,IF(Z420&lt;'Vehicle Data'!C$15,'Vehicle Data'!I$15,IF(Z419&gt;'Vehicle Data'!C$15,'Vehicle Data'!I$16)))</f>
        <v>0.46202745420001456</v>
      </c>
      <c r="AD420">
        <f>IF(O420=0.6,'Vehicle Data'!F$21,IF(O420=0.9,'Vehicle Data'!F$20))</f>
        <v>3.5315999999999996</v>
      </c>
      <c r="AE420" s="100">
        <f t="shared" si="314"/>
        <v>0.46202745420001456</v>
      </c>
      <c r="AF420" s="158">
        <f t="shared" si="306"/>
        <v>0.19844103083690764</v>
      </c>
      <c r="AG420" s="148">
        <f t="shared" si="289"/>
        <v>0.46404009438181998</v>
      </c>
      <c r="AH420" s="148">
        <f t="shared" si="307"/>
        <v>133.10088716756985</v>
      </c>
      <c r="AJ420">
        <f>(Z420^2)*'Vehicle Data'!C$31</f>
        <v>41.4142736342368</v>
      </c>
      <c r="AK420">
        <f>IF(O420=0.6,'Vehicle Data'!C$6*'Vehicle Data'!D$21*9.81,IF(O420=0.9,'Vehicle Data'!C$6*9.81*'Vehicle Data'!D$20))</f>
        <v>86.131799999999998</v>
      </c>
      <c r="AL420">
        <f t="shared" si="286"/>
        <v>127.54607363423679</v>
      </c>
      <c r="AN420">
        <f>IF(AG420&gt;0,AG420*'Vehicle Data'!C$6)</f>
        <v>203.71360143361898</v>
      </c>
      <c r="AO420">
        <f t="shared" si="290"/>
        <v>331.25967506785577</v>
      </c>
      <c r="AP420">
        <f>AO420*'Vehicle Data'!F$3</f>
        <v>84.669972947343936</v>
      </c>
      <c r="AQ420">
        <f>IF(AE420='Vehicle Data'!I$15,AP420/'Vehicle Data'!G$15,IF(AE420='Vehicle Data'!I$16,AP420/'Vehicle Data'!G$16,IF(AE420='Vehicle Data'!I$14,Data!AP420/'Vehicle Data'!G431)))</f>
        <v>15.631152076265517</v>
      </c>
      <c r="AR420">
        <f>IF(Z420&lt;'Vehicle Data'!C$16, Z420*'Vehicle Data'!F$7*'Vehicle Data'!G$14,IF(Z420&lt;'Vehicle Data'!C$15,Z420*'Vehicle Data'!F$7*'Vehicle Data'!G$15,IF(Z420&gt;'Vehicle Data'!C$15,Z420*'Vehicle Data'!F$7*'Vehicle Data'!G$16)))</f>
        <v>92.347576599558792</v>
      </c>
      <c r="AS420">
        <f t="shared" si="308"/>
        <v>5540.8545959735275</v>
      </c>
      <c r="AT420">
        <f t="shared" si="309"/>
        <v>16</v>
      </c>
      <c r="AU420">
        <f t="shared" si="310"/>
        <v>5500</v>
      </c>
      <c r="AW420">
        <f>VLOOKUP(AT420,BSFC!A$64:A$82,1,FALSE)</f>
        <v>16</v>
      </c>
      <c r="AX420" t="e" cm="1">
        <f t="array" ref="AX420">_xlfn.XLOOKUP(AT420,BSFC!A$64:A$82,,-1,_xlfn.XLOOKUP(Data!AU420,BSFC!C$63:Q$63,BSFC!B$64:Q$82,,-1))</f>
        <v>#VALUE!</v>
      </c>
      <c r="AY420">
        <f>HLOOKUP(AU420,BSFC!F$63:Q$63,1)</f>
        <v>5500</v>
      </c>
      <c r="AZ420">
        <f>IF(AT420&gt;0,MATCH(AT420,BSFC!A$64:A$83,0),IF(AT420&lt;=0,0))</f>
        <v>7</v>
      </c>
      <c r="BA420">
        <f>MATCH(AU420,BSFC!C$63:Q$63,0)</f>
        <v>11</v>
      </c>
      <c r="BB420" cm="1">
        <f t="array" ref="BB420">IF(AZ420&gt;0,INDEX(BSFC!C$64:Q$83,Data!AZ420,Data!BA420))</f>
        <v>632.5</v>
      </c>
      <c r="BC420">
        <f>0.5*'Vehicle Data'!C$6*Data!Z420^2</f>
        <v>24735.872279496532</v>
      </c>
      <c r="BD420">
        <f t="shared" si="291"/>
        <v>3.1735043426934615</v>
      </c>
      <c r="BE420">
        <f t="shared" si="311"/>
        <v>2007.2414967536145</v>
      </c>
      <c r="BF420">
        <f t="shared" si="312"/>
        <v>0.11064418659844574</v>
      </c>
      <c r="BG420">
        <f t="shared" si="292"/>
        <v>159.82448146694483</v>
      </c>
      <c r="BH420">
        <f t="shared" si="316"/>
        <v>9033.1602859967606</v>
      </c>
      <c r="BI420" s="148">
        <f t="shared" si="293"/>
        <v>6871.6622130335309</v>
      </c>
      <c r="BO420">
        <f t="shared" si="294"/>
        <v>1744.1272745118531</v>
      </c>
      <c r="BP420">
        <f t="shared" si="295"/>
        <v>732304.43209521833</v>
      </c>
      <c r="BQ420">
        <f t="shared" si="296"/>
        <v>977813.88027268217</v>
      </c>
      <c r="BR420" s="148">
        <f t="shared" si="297"/>
        <v>915951.12097580754</v>
      </c>
      <c r="BS420" s="156">
        <f t="shared" si="298"/>
        <v>1744.1272745118531</v>
      </c>
      <c r="BT420" s="156">
        <f t="shared" si="299"/>
        <v>9033.1602859967606</v>
      </c>
      <c r="BU420">
        <f t="shared" si="300"/>
        <v>1326.7841051778453</v>
      </c>
      <c r="BV420">
        <f t="shared" si="301"/>
        <v>1326.7841051778453</v>
      </c>
      <c r="BW420" s="148">
        <f t="shared" si="302"/>
        <v>455.4</v>
      </c>
      <c r="BX420" s="148">
        <f t="shared" si="303"/>
        <v>3129354.9718154697</v>
      </c>
      <c r="BY420" s="148">
        <f t="shared" si="304"/>
        <v>0.16783818930499739</v>
      </c>
      <c r="BZ420">
        <f t="shared" si="287"/>
        <v>133.10088716756985</v>
      </c>
      <c r="CB420">
        <f t="shared" si="305"/>
        <v>-417.34316933400783</v>
      </c>
      <c r="CC420" s="162">
        <f t="shared" si="288"/>
        <v>-2103.1092590776625</v>
      </c>
      <c r="CD420">
        <f t="shared" si="313"/>
        <v>-62594.699775901456</v>
      </c>
    </row>
    <row r="421" spans="4:82" x14ac:dyDescent="0.2">
      <c r="D421" s="22">
        <f t="shared" si="279"/>
        <v>-5.0299252407294326E-2</v>
      </c>
      <c r="E421" s="23">
        <v>8.9017032</v>
      </c>
      <c r="F421" s="23">
        <f>IF(K421&lt;6,1,IF(Data!K421&lt;9,2,IF(K421&gt;9,3)))</f>
        <v>3</v>
      </c>
      <c r="G421" s="23">
        <v>1106.9056818946522</v>
      </c>
      <c r="H421" s="23">
        <v>220.816665</v>
      </c>
      <c r="I421" s="64">
        <v>40.113342075295591</v>
      </c>
      <c r="J421" s="65">
        <f t="shared" si="280"/>
        <v>-14.761745665986926</v>
      </c>
      <c r="K421" s="65">
        <f t="shared" si="281"/>
        <v>16.045336830118238</v>
      </c>
      <c r="L421" s="65">
        <f t="shared" si="282"/>
        <v>-5.9046982663947984</v>
      </c>
      <c r="M421">
        <f t="shared" si="283"/>
        <v>17.8034064</v>
      </c>
      <c r="N421">
        <f t="shared" si="284"/>
        <v>-9.9998400000000487E-2</v>
      </c>
      <c r="O421">
        <f>IF(L421&lt;'Vehicle Data'!F$21,'Vehicle Data'!C$21,IF(L421&gt;'Vehicle Data'!C$21,'Vehicle Data'!C$20))</f>
        <v>0.6</v>
      </c>
      <c r="P421">
        <f>('Vehicle Data'!C$6*9.81*'Vehicle Data'!C$5*SIN(D421))/'Vehicle Data'!C$9</f>
        <v>-33.483545527756249</v>
      </c>
      <c r="Q421" s="107">
        <f>'Vehicle Data'!C$6*9.81*SIN(D421)</f>
        <v>-216.52692774615704</v>
      </c>
      <c r="R421">
        <f t="shared" si="278"/>
        <v>1104.879291955901</v>
      </c>
      <c r="S421">
        <f>IF(Data!O421=0.6,'Vehicle Data'!E$21,IF(Data!O421 = 0.9,'Vehicle Data'!E$20))+(P421*O421)</f>
        <v>1530.282272683346</v>
      </c>
      <c r="T421">
        <f>IF(F421=3,'Vehicle Data'!H$16,IF(F421=2,'Vehicle Data'!H$15,IF(F421 = 1,'Vehicle Data'!G$14)))</f>
        <v>466.23005239380637</v>
      </c>
      <c r="U421" s="148">
        <f t="shared" si="285"/>
        <v>388.74080983258489</v>
      </c>
      <c r="V421" s="70" t="s">
        <v>77</v>
      </c>
      <c r="W421" s="99" t="s">
        <v>84</v>
      </c>
      <c r="X421">
        <f>IF(V421="S",'Vehicle Data'!C$14,IF(Data!V421 = "T1",'Vehicle Data'!P$2,IF(Data!V421="T2",'Vehicle Data'!P$3)))</f>
        <v>13.411199999999999</v>
      </c>
      <c r="Z421">
        <f t="shared" si="315"/>
        <v>10.705227490847365</v>
      </c>
      <c r="AB421" t="b">
        <f>IF(AA421=1,'Vehicle Data'!I$14,IF(AA421=2,'Vehicle Data'!I$15,IF(AA421=3,'Vehicle Data'!I$16)))</f>
        <v>0</v>
      </c>
      <c r="AC421">
        <f>IF(Z421&lt;'Vehicle Data'!C$16,'Vehicle Data'!I$15,IF(Z421&lt;'Vehicle Data'!C$15,'Vehicle Data'!I$15,IF(Z420&gt;'Vehicle Data'!C$15,'Vehicle Data'!I$16)))</f>
        <v>0.46202745420001456</v>
      </c>
      <c r="AD421">
        <f>IF(O421=0.6,'Vehicle Data'!F$21,IF(O421=0.9,'Vehicle Data'!F$20))</f>
        <v>3.5315999999999996</v>
      </c>
      <c r="AE421" s="100">
        <f t="shared" si="314"/>
        <v>0.46202745420001456</v>
      </c>
      <c r="AF421" s="158">
        <f t="shared" si="306"/>
        <v>0.19308051880974655</v>
      </c>
      <c r="AG421" s="148">
        <f t="shared" si="289"/>
        <v>0.46396874236501662</v>
      </c>
      <c r="AH421" s="148">
        <f t="shared" si="307"/>
        <v>133.2939676863796</v>
      </c>
      <c r="AJ421">
        <f>(Z421^2)*'Vehicle Data'!C$31</f>
        <v>42.116196644316872</v>
      </c>
      <c r="AK421">
        <f>IF(O421=0.6,'Vehicle Data'!C$6*'Vehicle Data'!D$21*9.81,IF(O421=0.9,'Vehicle Data'!C$6*9.81*'Vehicle Data'!D$20))</f>
        <v>86.131799999999998</v>
      </c>
      <c r="AL421">
        <f t="shared" si="286"/>
        <v>-88.278931101840186</v>
      </c>
      <c r="AN421">
        <f>IF(AG421&gt;0,AG421*'Vehicle Data'!C$6)</f>
        <v>203.68227789824229</v>
      </c>
      <c r="AO421">
        <f t="shared" si="290"/>
        <v>115.4033467964021</v>
      </c>
      <c r="AP421">
        <f>AO421*'Vehicle Data'!F$3</f>
        <v>29.497095441160376</v>
      </c>
      <c r="AQ421">
        <f>IF(AE421='Vehicle Data'!I$15,AP421/'Vehicle Data'!G$15,IF(AE421='Vehicle Data'!I$16,AP421/'Vehicle Data'!G$16,IF(AE421='Vehicle Data'!I$14,Data!AP421/'Vehicle Data'!G432)))</f>
        <v>5.4455383484725655</v>
      </c>
      <c r="AR421">
        <f>IF(Z421&lt;'Vehicle Data'!C$16, Z421*'Vehicle Data'!F$7*'Vehicle Data'!G$14,IF(Z421&lt;'Vehicle Data'!C$15,Z421*'Vehicle Data'!F$7*'Vehicle Data'!G$15,IF(Z421&gt;'Vehicle Data'!C$15,Z421*'Vehicle Data'!F$7*'Vehicle Data'!G$16)))</f>
        <v>93.12687956823595</v>
      </c>
      <c r="AS421">
        <f t="shared" si="308"/>
        <v>5587.6127740941574</v>
      </c>
      <c r="AT421">
        <f t="shared" si="309"/>
        <v>5</v>
      </c>
      <c r="AU421">
        <f t="shared" si="310"/>
        <v>5500</v>
      </c>
      <c r="AW421">
        <f>VLOOKUP(AT421,BSFC!A$64:A$82,1,FALSE)</f>
        <v>5</v>
      </c>
      <c r="AX421" t="e" cm="1">
        <f t="array" ref="AX421">_xlfn.XLOOKUP(AT421,BSFC!A$64:A$82,,-1,_xlfn.XLOOKUP(Data!AU421,BSFC!C$63:Q$63,BSFC!B$64:Q$82,,-1))</f>
        <v>#VALUE!</v>
      </c>
      <c r="AY421">
        <f>HLOOKUP(AU421,BSFC!F$63:Q$63,1)</f>
        <v>5500</v>
      </c>
      <c r="AZ421">
        <f>IF(AT421&gt;0,MATCH(AT421,BSFC!A$64:A$83,0),IF(AT421&lt;=0,0))</f>
        <v>18</v>
      </c>
      <c r="BA421">
        <f>MATCH(AU421,BSFC!C$63:Q$63,0)</f>
        <v>11</v>
      </c>
      <c r="BB421" cm="1">
        <f t="array" ref="BB421">IF(AZ421&gt;0,INDEX(BSFC!C$64:Q$83,Data!AZ421,Data!BA421))</f>
        <v>666.9</v>
      </c>
      <c r="BC421">
        <f>0.5*'Vehicle Data'!C$6*Data!Z421^2</f>
        <v>25155.11609095932</v>
      </c>
      <c r="BD421">
        <f t="shared" si="291"/>
        <v>8.2532119062426599</v>
      </c>
      <c r="BE421">
        <f t="shared" si="311"/>
        <v>5504.0670202732299</v>
      </c>
      <c r="BF421">
        <f t="shared" si="312"/>
        <v>0.29520225439943637</v>
      </c>
      <c r="BG421">
        <f t="shared" si="292"/>
        <v>160.11968372134427</v>
      </c>
      <c r="BH421">
        <f t="shared" si="316"/>
        <v>3173.5043426934617</v>
      </c>
      <c r="BI421" s="148">
        <f t="shared" si="293"/>
        <v>6871.6622130335309</v>
      </c>
      <c r="BO421">
        <f t="shared" si="294"/>
        <v>595.8636503839665</v>
      </c>
      <c r="BP421">
        <f t="shared" si="295"/>
        <v>732900.29574560234</v>
      </c>
      <c r="BQ421">
        <f t="shared" si="296"/>
        <v>978409.74392306618</v>
      </c>
      <c r="BR421" s="148">
        <f t="shared" si="297"/>
        <v>917241.35829339339</v>
      </c>
      <c r="BS421" s="156">
        <f t="shared" si="298"/>
        <v>595.8636503839665</v>
      </c>
      <c r="BT421" s="156">
        <f t="shared" si="299"/>
        <v>3173.5043426934617</v>
      </c>
      <c r="BU421">
        <f t="shared" si="300"/>
        <v>1290.2373175858083</v>
      </c>
      <c r="BV421">
        <f t="shared" si="301"/>
        <v>1290.2373175858083</v>
      </c>
      <c r="BW421" s="148">
        <f t="shared" si="302"/>
        <v>455.4</v>
      </c>
      <c r="BX421" s="148">
        <f t="shared" si="303"/>
        <v>3129354.9718154697</v>
      </c>
      <c r="BY421" s="148">
        <f t="shared" si="304"/>
        <v>0.16321502067460472</v>
      </c>
      <c r="BZ421">
        <f t="shared" si="287"/>
        <v>133.2939676863796</v>
      </c>
      <c r="CB421">
        <f t="shared" si="305"/>
        <v>694.37366720184184</v>
      </c>
      <c r="CC421" s="162">
        <f t="shared" si="288"/>
        <v>3596.2906640313777</v>
      </c>
      <c r="CD421">
        <f t="shared" si="313"/>
        <v>-61900.326108699614</v>
      </c>
    </row>
    <row r="422" spans="4:82" x14ac:dyDescent="0.2">
      <c r="D422" s="22">
        <f t="shared" si="279"/>
        <v>-8.1005036960945555E-3</v>
      </c>
      <c r="E422" s="23">
        <v>8.8017047999999996</v>
      </c>
      <c r="F422" s="23">
        <f>IF(K422&lt;6,1,IF(Data!K422&lt;9,2,IF(K422&gt;9,3)))</f>
        <v>3</v>
      </c>
      <c r="G422" s="23">
        <v>1108.8945897590859</v>
      </c>
      <c r="H422" s="23">
        <v>220.86666499999998</v>
      </c>
      <c r="I422" s="64">
        <v>39.375254791996497</v>
      </c>
      <c r="J422" s="65">
        <f t="shared" si="280"/>
        <v>-15.764286745606849</v>
      </c>
      <c r="K422" s="65">
        <f t="shared" si="281"/>
        <v>15.750101916798599</v>
      </c>
      <c r="L422" s="65">
        <f t="shared" si="282"/>
        <v>-6.3057146982427401</v>
      </c>
      <c r="M422">
        <f t="shared" si="283"/>
        <v>17.603409599999999</v>
      </c>
      <c r="N422">
        <f t="shared" si="284"/>
        <v>-1.5802241894833813E-2</v>
      </c>
      <c r="O422">
        <f>IF(L422&lt;'Vehicle Data'!F$21,'Vehicle Data'!C$21,IF(L422&gt;'Vehicle Data'!C$21,'Vehicle Data'!C$20))</f>
        <v>0.6</v>
      </c>
      <c r="P422">
        <f>('Vehicle Data'!C$6*9.81*'Vehicle Data'!C$5*SIN(D422))/'Vehicle Data'!C$9</f>
        <v>-5.394613406118677</v>
      </c>
      <c r="Q422" s="107">
        <f>'Vehicle Data'!C$6*9.81*SIN(D422)</f>
        <v>-34.885166692900775</v>
      </c>
      <c r="R422">
        <f t="shared" si="278"/>
        <v>1106.9056818946522</v>
      </c>
      <c r="S422">
        <f>IF(Data!O422=0.6,'Vehicle Data'!E$21,IF(Data!O422 = 0.9,'Vehicle Data'!E$20))+(P422*O422)</f>
        <v>1547.1356319563286</v>
      </c>
      <c r="T422">
        <f>IF(F422=3,'Vehicle Data'!H$16,IF(F422=2,'Vehicle Data'!H$15,IF(F422 = 1,'Vehicle Data'!G$14)))</f>
        <v>466.23005239380637</v>
      </c>
      <c r="U422" s="148">
        <f t="shared" si="285"/>
        <v>390.7671997713361</v>
      </c>
      <c r="V422" s="70" t="s">
        <v>77</v>
      </c>
      <c r="W422" s="99" t="s">
        <v>84</v>
      </c>
      <c r="X422">
        <f>IF(V422="S",'Vehicle Data'!C$14,IF(Data!V422 = "T1",'Vehicle Data'!P$2,IF(Data!V422="T2",'Vehicle Data'!P$3)))</f>
        <v>13.411199999999999</v>
      </c>
      <c r="Z422">
        <f t="shared" si="315"/>
        <v>10.792330202510932</v>
      </c>
      <c r="AB422" t="b">
        <f>IF(AA422=1,'Vehicle Data'!I$14,IF(AA422=2,'Vehicle Data'!I$15,IF(AA422=3,'Vehicle Data'!I$16)))</f>
        <v>0</v>
      </c>
      <c r="AC422">
        <f>IF(Z422&lt;'Vehicle Data'!C$16,'Vehicle Data'!I$15,IF(Z422&lt;'Vehicle Data'!C$15,'Vehicle Data'!I$15,IF(Z421&gt;'Vehicle Data'!C$15,'Vehicle Data'!I$16)))</f>
        <v>0.46202745420001456</v>
      </c>
      <c r="AD422">
        <f>IF(O422=0.6,'Vehicle Data'!F$21,IF(O422=0.9,'Vehicle Data'!F$20))</f>
        <v>3.5315999999999996</v>
      </c>
      <c r="AE422" s="100">
        <f t="shared" si="314"/>
        <v>0.46202745420001456</v>
      </c>
      <c r="AF422" s="158">
        <f t="shared" si="306"/>
        <v>0.1877620403311743</v>
      </c>
      <c r="AG422" s="148">
        <f t="shared" si="289"/>
        <v>0.46389947355671785</v>
      </c>
      <c r="AH422" s="148">
        <f t="shared" si="307"/>
        <v>133.48172972671077</v>
      </c>
      <c r="AJ422">
        <f>(Z422^2)*'Vehicle Data'!C$31</f>
        <v>42.804338766010915</v>
      </c>
      <c r="AK422">
        <f>IF(O422=0.6,'Vehicle Data'!C$6*'Vehicle Data'!D$21*9.81,IF(O422=0.9,'Vehicle Data'!C$6*9.81*'Vehicle Data'!D$20))</f>
        <v>86.131799999999998</v>
      </c>
      <c r="AL422">
        <f t="shared" si="286"/>
        <v>94.050972073110131</v>
      </c>
      <c r="AN422">
        <f>IF(AG422&gt;0,AG422*'Vehicle Data'!C$6)</f>
        <v>203.65186889139915</v>
      </c>
      <c r="AO422">
        <f t="shared" si="290"/>
        <v>297.70284096450928</v>
      </c>
      <c r="AP422">
        <f>AO422*'Vehicle Data'!F$3</f>
        <v>76.092846150528572</v>
      </c>
      <c r="AQ422">
        <f>IF(AE422='Vehicle Data'!I$15,AP422/'Vehicle Data'!G$15,IF(AE422='Vehicle Data'!I$16,AP422/'Vehicle Data'!G$16,IF(AE422='Vehicle Data'!I$14,Data!AP422/'Vehicle Data'!G433)))</f>
        <v>14.047705564220317</v>
      </c>
      <c r="AR422">
        <f>IF(Z422&lt;'Vehicle Data'!C$16, Z422*'Vehicle Data'!F$7*'Vehicle Data'!G$14,IF(Z422&lt;'Vehicle Data'!C$15,Z422*'Vehicle Data'!F$7*'Vehicle Data'!G$15,IF(Z422&gt;'Vehicle Data'!C$15,Z422*'Vehicle Data'!F$7*'Vehicle Data'!G$16)))</f>
        <v>93.884603189344901</v>
      </c>
      <c r="AS422">
        <f t="shared" si="308"/>
        <v>5633.0761913606939</v>
      </c>
      <c r="AT422">
        <f t="shared" si="309"/>
        <v>14</v>
      </c>
      <c r="AU422">
        <f t="shared" si="310"/>
        <v>5500</v>
      </c>
      <c r="AW422">
        <f>VLOOKUP(AT422,BSFC!A$64:A$82,1,FALSE)</f>
        <v>14</v>
      </c>
      <c r="AX422" t="e" cm="1">
        <f t="array" ref="AX422">_xlfn.XLOOKUP(AT422,BSFC!A$64:A$82,,-1,_xlfn.XLOOKUP(Data!AU422,BSFC!C$63:Q$63,BSFC!B$64:Q$82,,-1))</f>
        <v>#VALUE!</v>
      </c>
      <c r="AY422">
        <f>HLOOKUP(AU422,BSFC!F$63:Q$63,1)</f>
        <v>5500</v>
      </c>
      <c r="AZ422">
        <f>IF(AT422&gt;0,MATCH(AT422,BSFC!A$64:A$83,0),IF(AT422&lt;=0,0))</f>
        <v>9</v>
      </c>
      <c r="BA422">
        <f>MATCH(AU422,BSFC!C$63:Q$63,0)</f>
        <v>11</v>
      </c>
      <c r="BB422" cm="1">
        <f t="array" ref="BB422">IF(AZ422&gt;0,INDEX(BSFC!C$64:Q$83,Data!AZ422,Data!BA422))</f>
        <v>638.75</v>
      </c>
      <c r="BC422">
        <f>0.5*'Vehicle Data'!C$6*Data!Z422^2</f>
        <v>25566.128868406511</v>
      </c>
      <c r="BD422">
        <f t="shared" si="291"/>
        <v>3.0147217367661661</v>
      </c>
      <c r="BE422">
        <f t="shared" si="311"/>
        <v>1925.6535093593886</v>
      </c>
      <c r="BF422">
        <f t="shared" si="312"/>
        <v>0.10043461996894579</v>
      </c>
      <c r="BG422">
        <f t="shared" si="292"/>
        <v>160.22011834131322</v>
      </c>
      <c r="BH422">
        <f t="shared" si="316"/>
        <v>8253.2119062426591</v>
      </c>
      <c r="BI422" s="148">
        <f t="shared" si="293"/>
        <v>6871.6622130335309</v>
      </c>
      <c r="BO422">
        <f t="shared" si="294"/>
        <v>1509.1166195121389</v>
      </c>
      <c r="BP422">
        <f t="shared" si="295"/>
        <v>734409.41236511443</v>
      </c>
      <c r="BQ422">
        <f t="shared" si="296"/>
        <v>979918.86054257827</v>
      </c>
      <c r="BR422" s="148">
        <f t="shared" si="297"/>
        <v>918497.85573550058</v>
      </c>
      <c r="BS422" s="156">
        <f t="shared" si="298"/>
        <v>1509.1166195121389</v>
      </c>
      <c r="BT422" s="156">
        <f t="shared" si="299"/>
        <v>8253.2119062426591</v>
      </c>
      <c r="BU422">
        <f t="shared" si="300"/>
        <v>1256.497442107185</v>
      </c>
      <c r="BV422">
        <f t="shared" si="301"/>
        <v>1256.497442107185</v>
      </c>
      <c r="BW422" s="148">
        <f t="shared" si="302"/>
        <v>455.4</v>
      </c>
      <c r="BX422" s="148">
        <f t="shared" si="303"/>
        <v>3129354.9718154697</v>
      </c>
      <c r="BY422" s="148">
        <f t="shared" si="304"/>
        <v>0.15894692642655886</v>
      </c>
      <c r="BZ422">
        <f t="shared" si="287"/>
        <v>133.48172972671077</v>
      </c>
      <c r="CB422">
        <f t="shared" si="305"/>
        <v>-252.61917740495392</v>
      </c>
      <c r="CC422" s="162">
        <f t="shared" si="288"/>
        <v>-1345.4219871034468</v>
      </c>
      <c r="CD422">
        <f t="shared" si="313"/>
        <v>-62152.945286104565</v>
      </c>
    </row>
    <row r="423" spans="4:82" x14ac:dyDescent="0.2">
      <c r="D423" s="22">
        <f t="shared" si="279"/>
        <v>-5.2348114525143222E-2</v>
      </c>
      <c r="E423" s="23">
        <v>8.7859025581051657</v>
      </c>
      <c r="F423" s="23">
        <f>IF(K423&lt;6,1,IF(Data!K423&lt;9,2,IF(K423&gt;9,3)))</f>
        <v>3</v>
      </c>
      <c r="G423" s="23">
        <v>1110.8453838464686</v>
      </c>
      <c r="H423" s="23">
        <v>220.91666499999999</v>
      </c>
      <c r="I423" s="64">
        <v>38.587040454715975</v>
      </c>
      <c r="J423" s="65">
        <f t="shared" si="280"/>
        <v>-16.146622275220572</v>
      </c>
      <c r="K423" s="65">
        <f t="shared" si="281"/>
        <v>15.43481618188639</v>
      </c>
      <c r="L423" s="65">
        <f t="shared" si="282"/>
        <v>-6.4586489100882361</v>
      </c>
      <c r="M423">
        <f t="shared" si="283"/>
        <v>17.571805116210331</v>
      </c>
      <c r="N423">
        <f t="shared" si="284"/>
        <v>-9.9999073581233944E-2</v>
      </c>
      <c r="O423">
        <f>IF(L423&lt;'Vehicle Data'!F$21,'Vehicle Data'!C$21,IF(L423&gt;'Vehicle Data'!C$21,'Vehicle Data'!C$20))</f>
        <v>0.6</v>
      </c>
      <c r="P423">
        <f>('Vehicle Data'!C$6*9.81*'Vehicle Data'!C$5*SIN(D423))/'Vehicle Data'!C$9</f>
        <v>-34.846224222519929</v>
      </c>
      <c r="Q423" s="107">
        <f>'Vehicle Data'!C$6*9.81*SIN(D423)</f>
        <v>-225.33891663896219</v>
      </c>
      <c r="R423">
        <f t="shared" si="278"/>
        <v>1108.8945897590859</v>
      </c>
      <c r="S423">
        <f>IF(Data!O423=0.6,'Vehicle Data'!E$21,IF(Data!O423 = 0.9,'Vehicle Data'!E$20))+(P423*O423)</f>
        <v>1529.4646654664878</v>
      </c>
      <c r="T423">
        <f>IF(F423=3,'Vehicle Data'!H$16,IF(F423=2,'Vehicle Data'!H$15,IF(F423 = 1,'Vehicle Data'!G$14)))</f>
        <v>466.23005239380637</v>
      </c>
      <c r="U423" s="148">
        <f t="shared" si="285"/>
        <v>392.75610763576981</v>
      </c>
      <c r="V423" s="70" t="s">
        <v>77</v>
      </c>
      <c r="W423" s="99" t="s">
        <v>84</v>
      </c>
      <c r="X423">
        <f>IF(V423="S",'Vehicle Data'!C$14,IF(Data!V423 = "T1",'Vehicle Data'!P$2,IF(Data!V423="T2",'Vehicle Data'!P$3)))</f>
        <v>13.411199999999999</v>
      </c>
      <c r="Z423">
        <f t="shared" si="315"/>
        <v>10.877143525508664</v>
      </c>
      <c r="AB423" t="b">
        <f>IF(AA423=1,'Vehicle Data'!I$14,IF(AA423=2,'Vehicle Data'!I$15,IF(AA423=3,'Vehicle Data'!I$16)))</f>
        <v>0</v>
      </c>
      <c r="AC423">
        <f>IF(Z423&lt;'Vehicle Data'!C$16,'Vehicle Data'!I$15,IF(Z423&lt;'Vehicle Data'!C$15,'Vehicle Data'!I$15,IF(Z422&gt;'Vehicle Data'!C$15,'Vehicle Data'!I$16)))</f>
        <v>0.46202745420001456</v>
      </c>
      <c r="AD423">
        <f>IF(O423=0.6,'Vehicle Data'!F$21,IF(O423=0.9,'Vehicle Data'!F$20))</f>
        <v>3.5315999999999996</v>
      </c>
      <c r="AE423" s="100">
        <f t="shared" si="314"/>
        <v>0.46202745420001456</v>
      </c>
      <c r="AF423" s="158">
        <f t="shared" si="306"/>
        <v>0.18285203829198374</v>
      </c>
      <c r="AG423" s="148">
        <f t="shared" si="289"/>
        <v>0.46383580839443328</v>
      </c>
      <c r="AH423" s="148">
        <f t="shared" si="307"/>
        <v>133.66458176500277</v>
      </c>
      <c r="AJ423">
        <f>(Z423^2)*'Vehicle Data'!C$31</f>
        <v>43.479752343384298</v>
      </c>
      <c r="AK423">
        <f>IF(O423=0.6,'Vehicle Data'!C$6*'Vehicle Data'!D$21*9.81,IF(O423=0.9,'Vehicle Data'!C$6*9.81*'Vehicle Data'!D$20))</f>
        <v>86.131799999999998</v>
      </c>
      <c r="AL423">
        <f t="shared" si="286"/>
        <v>-95.7273642955779</v>
      </c>
      <c r="AN423">
        <f>IF(AG423&gt;0,AG423*'Vehicle Data'!C$6)</f>
        <v>203.6239198851562</v>
      </c>
      <c r="AO423">
        <f t="shared" si="290"/>
        <v>107.8965555895783</v>
      </c>
      <c r="AP423">
        <f>AO423*'Vehicle Data'!F$3</f>
        <v>27.578359608696214</v>
      </c>
      <c r="AQ423">
        <f>IF(AE423='Vehicle Data'!I$15,AP423/'Vehicle Data'!G$15,IF(AE423='Vehicle Data'!I$16,AP423/'Vehicle Data'!G$16,IF(AE423='Vehicle Data'!I$14,Data!AP423/'Vehicle Data'!G434)))</f>
        <v>5.0913153512586744</v>
      </c>
      <c r="AR423">
        <f>IF(Z423&lt;'Vehicle Data'!C$16, Z423*'Vehicle Data'!F$7*'Vehicle Data'!G$14,IF(Z423&lt;'Vehicle Data'!C$15,Z423*'Vehicle Data'!F$7*'Vehicle Data'!G$15,IF(Z423&gt;'Vehicle Data'!C$15,Z423*'Vehicle Data'!F$7*'Vehicle Data'!G$16)))</f>
        <v>94.622410968146852</v>
      </c>
      <c r="AS423">
        <f t="shared" si="308"/>
        <v>5677.3446580888112</v>
      </c>
      <c r="AT423">
        <f t="shared" si="309"/>
        <v>5</v>
      </c>
      <c r="AU423">
        <f t="shared" si="310"/>
        <v>5500</v>
      </c>
      <c r="AW423">
        <f>VLOOKUP(AT423,BSFC!A$64:A$82,1,FALSE)</f>
        <v>5</v>
      </c>
      <c r="AX423" t="e" cm="1">
        <f t="array" ref="AX423">_xlfn.XLOOKUP(AT423,BSFC!A$64:A$82,,-1,_xlfn.XLOOKUP(Data!AU423,BSFC!C$63:Q$63,BSFC!B$64:Q$82,,-1))</f>
        <v>#VALUE!</v>
      </c>
      <c r="AY423">
        <f>HLOOKUP(AU423,BSFC!F$63:Q$63,1)</f>
        <v>5500</v>
      </c>
      <c r="AZ423">
        <f>IF(AT423&gt;0,MATCH(AT423,BSFC!A$64:A$83,0),IF(AT423&lt;=0,0))</f>
        <v>18</v>
      </c>
      <c r="BA423">
        <f>MATCH(AU423,BSFC!C$63:Q$63,0)</f>
        <v>11</v>
      </c>
      <c r="BB423" cm="1">
        <f t="array" ref="BB423">IF(AZ423&gt;0,INDEX(BSFC!C$64:Q$83,Data!AZ423,Data!BA423))</f>
        <v>666.9</v>
      </c>
      <c r="BC423">
        <f>0.5*'Vehicle Data'!C$6*Data!Z423^2</f>
        <v>25969.539154756058</v>
      </c>
      <c r="BD423">
        <f t="shared" si="291"/>
        <v>2.5537160864344544</v>
      </c>
      <c r="BE423">
        <f t="shared" si="311"/>
        <v>1703.0732580431375</v>
      </c>
      <c r="BF423">
        <f t="shared" si="312"/>
        <v>8.6502893498265898E-2</v>
      </c>
      <c r="BG423">
        <f t="shared" si="292"/>
        <v>160.3066212348115</v>
      </c>
      <c r="BH423">
        <f t="shared" si="316"/>
        <v>3014.721736766166</v>
      </c>
      <c r="BI423" s="148">
        <f t="shared" si="293"/>
        <v>6871.6622130335309</v>
      </c>
      <c r="BO423">
        <f t="shared" si="294"/>
        <v>536.61182056182201</v>
      </c>
      <c r="BP423">
        <f t="shared" si="295"/>
        <v>734946.02418567624</v>
      </c>
      <c r="BQ423">
        <f t="shared" si="296"/>
        <v>980455.47236314008</v>
      </c>
      <c r="BR423" s="148">
        <f t="shared" si="297"/>
        <v>919720.99189611257</v>
      </c>
      <c r="BS423" s="156">
        <f t="shared" si="298"/>
        <v>536.61182056182201</v>
      </c>
      <c r="BT423" s="156">
        <f t="shared" si="299"/>
        <v>3014.721736766166</v>
      </c>
      <c r="BU423">
        <f t="shared" si="300"/>
        <v>1223.1361606120308</v>
      </c>
      <c r="BV423">
        <f t="shared" si="301"/>
        <v>1223.1361606120308</v>
      </c>
      <c r="BW423" s="148">
        <f t="shared" si="302"/>
        <v>455.4</v>
      </c>
      <c r="BX423" s="148">
        <f t="shared" si="303"/>
        <v>3129354.9718154697</v>
      </c>
      <c r="BY423" s="148">
        <f t="shared" si="304"/>
        <v>0.15472672431742188</v>
      </c>
      <c r="BZ423">
        <f t="shared" si="287"/>
        <v>133.66458176500277</v>
      </c>
      <c r="CB423">
        <f t="shared" si="305"/>
        <v>686.52434005020882</v>
      </c>
      <c r="CC423" s="162">
        <f t="shared" si="288"/>
        <v>3754.5347947059454</v>
      </c>
      <c r="CD423">
        <f t="shared" si="313"/>
        <v>-61466.420946054357</v>
      </c>
    </row>
    <row r="424" spans="4:82" x14ac:dyDescent="0.2">
      <c r="D424" s="22">
        <f t="shared" si="279"/>
        <v>-9.8748767517272268E-2</v>
      </c>
      <c r="E424" s="23">
        <v>8.6859034845239318</v>
      </c>
      <c r="F424" s="23">
        <f>IF(K424&lt;6,1,IF(Data!K424&lt;9,2,IF(K424&gt;9,3)))</f>
        <v>3</v>
      </c>
      <c r="G424" s="23">
        <v>1112.7565273662726</v>
      </c>
      <c r="H424" s="23">
        <v>220.96666499999998</v>
      </c>
      <c r="I424" s="64">
        <v>37.779709340955222</v>
      </c>
      <c r="J424" s="65">
        <f t="shared" si="280"/>
        <v>-17.707863781131106</v>
      </c>
      <c r="K424" s="65">
        <f t="shared" si="281"/>
        <v>15.111883736382088</v>
      </c>
      <c r="L424" s="65">
        <f t="shared" si="282"/>
        <v>-7.0831455124524352</v>
      </c>
      <c r="M424">
        <f t="shared" si="283"/>
        <v>17.371806969047864</v>
      </c>
      <c r="N424">
        <f t="shared" si="284"/>
        <v>-0.18420188452393305</v>
      </c>
      <c r="O424">
        <f>IF(L424&lt;'Vehicle Data'!F$21,'Vehicle Data'!C$21,IF(L424&gt;'Vehicle Data'!C$21,'Vehicle Data'!C$20))</f>
        <v>0.6</v>
      </c>
      <c r="P424">
        <f>('Vehicle Data'!C$6*9.81*'Vehicle Data'!C$5*SIN(D424))/'Vehicle Data'!C$9</f>
        <v>-65.656644375071409</v>
      </c>
      <c r="Q424" s="107">
        <f>'Vehicle Data'!C$6*9.81*SIN(D424)</f>
        <v>-424.57963362546172</v>
      </c>
      <c r="R424">
        <f t="shared" si="278"/>
        <v>1110.8453838464686</v>
      </c>
      <c r="S424">
        <f>IF(Data!O424=0.6,'Vehicle Data'!E$21,IF(Data!O424 = 0.9,'Vehicle Data'!E$20))+(P424*O424)</f>
        <v>1510.978413374957</v>
      </c>
      <c r="T424">
        <f>IF(F424=3,'Vehicle Data'!H$16,IF(F424=2,'Vehicle Data'!H$15,IF(F424 = 1,'Vehicle Data'!G$14)))</f>
        <v>466.23005239380637</v>
      </c>
      <c r="U424" s="148">
        <f t="shared" si="285"/>
        <v>394.70690172315255</v>
      </c>
      <c r="V424" s="70" t="s">
        <v>77</v>
      </c>
      <c r="W424" s="99" t="s">
        <v>84</v>
      </c>
      <c r="X424">
        <f>IF(V424="S",'Vehicle Data'!C$14,IF(Data!V424 = "T1",'Vehicle Data'!P$2,IF(Data!V424="T2",'Vehicle Data'!P$3)))</f>
        <v>13.411199999999999</v>
      </c>
      <c r="Z424">
        <f>SQRT(Z423^2+2*AE423*(U424-U423))</f>
        <v>10.959693979588977</v>
      </c>
      <c r="AB424" t="b">
        <f>IF(AA424=1,'Vehicle Data'!I$14,IF(AA424=2,'Vehicle Data'!I$15,IF(AA424=3,'Vehicle Data'!I$16)))</f>
        <v>0</v>
      </c>
      <c r="AC424">
        <f>IF(Z424&lt;'Vehicle Data'!C$16,'Vehicle Data'!I$15,IF(Z424&lt;'Vehicle Data'!C$15,'Vehicle Data'!I$15,IF(Z423&gt;'Vehicle Data'!C$15,'Vehicle Data'!I$16)))</f>
        <v>0.46202745420001456</v>
      </c>
      <c r="AD424">
        <f>IF(O424=0.6,'Vehicle Data'!F$21,IF(O424=0.9,'Vehicle Data'!F$20))</f>
        <v>3.5315999999999996</v>
      </c>
      <c r="AE424" s="100">
        <f t="shared" si="314"/>
        <v>0.46202745420001456</v>
      </c>
      <c r="AF424" s="158">
        <f t="shared" si="306"/>
        <v>0.17799713121697103</v>
      </c>
      <c r="AG424" s="148">
        <f t="shared" si="289"/>
        <v>0.46377407049154534</v>
      </c>
      <c r="AH424" s="148">
        <f t="shared" si="307"/>
        <v>133.84257889621975</v>
      </c>
      <c r="AJ424">
        <f>(Z424^2)*'Vehicle Data'!C$31</f>
        <v>44.142222856392792</v>
      </c>
      <c r="AK424">
        <f>IF(O424=0.6,'Vehicle Data'!C$6*'Vehicle Data'!D$21*9.81,IF(O424=0.9,'Vehicle Data'!C$6*9.81*'Vehicle Data'!D$20))</f>
        <v>86.131799999999998</v>
      </c>
      <c r="AL424">
        <f t="shared" si="286"/>
        <v>-294.30561076906895</v>
      </c>
      <c r="AN424">
        <f>IF(AG424&gt;0,AG424*'Vehicle Data'!C$6)</f>
        <v>203.59681694578842</v>
      </c>
      <c r="AO424">
        <f t="shared" si="290"/>
        <v>-90.70879382328053</v>
      </c>
      <c r="AP424">
        <f>AO424*'Vehicle Data'!F$3</f>
        <v>-23.185167701230505</v>
      </c>
      <c r="AQ424">
        <f>IF(AE424='Vehicle Data'!I$15,AP424/'Vehicle Data'!G$15,IF(AE424='Vehicle Data'!I$16,AP424/'Vehicle Data'!G$16,IF(AE424='Vehicle Data'!I$14,Data!AP424/'Vehicle Data'!G435)))</f>
        <v>-4.2802763439765821</v>
      </c>
      <c r="AR424">
        <f>IF(Z424&lt;'Vehicle Data'!C$16, Z424*'Vehicle Data'!F$7*'Vehicle Data'!G$14,IF(Z424&lt;'Vehicle Data'!C$15,Z424*'Vehicle Data'!F$7*'Vehicle Data'!G$15,IF(Z424&gt;'Vehicle Data'!C$15,Z424*'Vehicle Data'!F$7*'Vehicle Data'!G$16)))</f>
        <v>95.340533605149488</v>
      </c>
      <c r="AS424">
        <f t="shared" si="308"/>
        <v>5720.4320163089697</v>
      </c>
      <c r="AT424">
        <f t="shared" si="309"/>
        <v>-4</v>
      </c>
      <c r="AU424">
        <f t="shared" si="310"/>
        <v>5500</v>
      </c>
      <c r="AW424" t="e">
        <f>VLOOKUP(AT424,BSFC!A$64:A$82,1,FALSE)</f>
        <v>#N/A</v>
      </c>
      <c r="AX424" t="e" cm="1">
        <f t="array" ref="AX424">_xlfn.XLOOKUP(AT424,BSFC!A$64:A$82,,-1,_xlfn.XLOOKUP(Data!AU424,BSFC!C$63:Q$63,BSFC!B$64:Q$82,,-1))</f>
        <v>#VALUE!</v>
      </c>
      <c r="AY424">
        <f>HLOOKUP(AU424,BSFC!F$63:Q$63,1)</f>
        <v>5500</v>
      </c>
      <c r="AZ424">
        <f>IF(AT424&gt;0,MATCH(AT424,BSFC!A$64:A$83,0),IF(AT424&lt;=0,0))</f>
        <v>0</v>
      </c>
      <c r="BA424">
        <f>MATCH(AU424,BSFC!C$63:Q$63,0)</f>
        <v>11</v>
      </c>
      <c r="BB424" t="b" cm="1">
        <f t="array" ref="BB424">IF(AZ424&gt;0,INDEX(BSFC!C$64:Q$83,Data!AZ424,Data!BA424))</f>
        <v>0</v>
      </c>
      <c r="BC424">
        <f>0.5*'Vehicle Data'!C$6*Data!Z424^2</f>
        <v>26365.21882170943</v>
      </c>
      <c r="BD424">
        <f t="shared" si="291"/>
        <v>2.7951287007683852</v>
      </c>
      <c r="BE424">
        <f t="shared" si="311"/>
        <v>0</v>
      </c>
      <c r="BF424">
        <f t="shared" si="312"/>
        <v>0</v>
      </c>
      <c r="BG424">
        <f t="shared" si="292"/>
        <v>160.3066212348115</v>
      </c>
      <c r="BH424">
        <f t="shared" si="316"/>
        <v>-2553.7160864344542</v>
      </c>
      <c r="BI424" s="148">
        <f t="shared" si="293"/>
        <v>6871.6622130335309</v>
      </c>
      <c r="BO424">
        <f t="shared" si="294"/>
        <v>-442.07718222520265</v>
      </c>
      <c r="BP424">
        <f t="shared" si="295"/>
        <v>734503.94700345106</v>
      </c>
      <c r="BQ424">
        <f t="shared" si="296"/>
        <v>980455.47236314008</v>
      </c>
      <c r="BR424" s="148">
        <f t="shared" si="297"/>
        <v>920910.55446513824</v>
      </c>
      <c r="BS424" s="156" t="b">
        <f t="shared" si="298"/>
        <v>0</v>
      </c>
      <c r="BT424" s="156">
        <f t="shared" si="299"/>
        <v>0</v>
      </c>
      <c r="BU424">
        <f t="shared" si="300"/>
        <v>1189.5625690257148</v>
      </c>
      <c r="BV424">
        <f t="shared" si="301"/>
        <v>1189.5625690257148</v>
      </c>
      <c r="BW424" s="148">
        <f t="shared" si="302"/>
        <v>455.4</v>
      </c>
      <c r="BX424" s="148">
        <f t="shared" si="303"/>
        <v>3129354.9718154697</v>
      </c>
      <c r="BY424" s="148">
        <f t="shared" si="304"/>
        <v>0.15047966498175291</v>
      </c>
      <c r="BZ424">
        <f t="shared" si="287"/>
        <v>133.84257889621975</v>
      </c>
      <c r="CB424">
        <f t="shared" si="305"/>
        <v>1189.5625690257148</v>
      </c>
      <c r="CC424" s="162">
        <f t="shared" si="288"/>
        <v>6683.0434900414484</v>
      </c>
      <c r="CD424">
        <f t="shared" si="313"/>
        <v>-60276.858377028642</v>
      </c>
    </row>
    <row r="425" spans="4:82" x14ac:dyDescent="0.2">
      <c r="D425" s="22">
        <f t="shared" si="279"/>
        <v>-5.481121412768504E-2</v>
      </c>
      <c r="E425" s="23">
        <v>8.5017015999999987</v>
      </c>
      <c r="F425" s="23">
        <f>IF(K425&lt;6,1,IF(Data!K425&lt;9,2,IF(K425&gt;9,3)))</f>
        <v>3</v>
      </c>
      <c r="G425" s="23">
        <v>1114.6249212576568</v>
      </c>
      <c r="H425" s="23">
        <v>221.01666499999999</v>
      </c>
      <c r="I425" s="64">
        <v>36.894316151898465</v>
      </c>
      <c r="J425" s="65">
        <f t="shared" si="280"/>
        <v>-16.307442358513512</v>
      </c>
      <c r="K425" s="65">
        <f t="shared" si="281"/>
        <v>14.757726460759386</v>
      </c>
      <c r="L425" s="65">
        <f t="shared" si="282"/>
        <v>-6.5229769434054052</v>
      </c>
      <c r="M425">
        <f t="shared" si="283"/>
        <v>17.003403199999997</v>
      </c>
      <c r="N425">
        <f t="shared" si="284"/>
        <v>-9.9998399999998711E-2</v>
      </c>
      <c r="O425">
        <f>IF(L425&lt;'Vehicle Data'!F$21,'Vehicle Data'!C$21,IF(L425&gt;'Vehicle Data'!C$21,'Vehicle Data'!C$20))</f>
        <v>0.6</v>
      </c>
      <c r="P425">
        <f>('Vehicle Data'!C$6*9.81*'Vehicle Data'!C$5*SIN(D425))/'Vehicle Data'!C$9</f>
        <v>-36.484214185496413</v>
      </c>
      <c r="Q425" s="107">
        <f>'Vehicle Data'!C$6*9.81*SIN(D425)</f>
        <v>-235.9312517328768</v>
      </c>
      <c r="R425">
        <f t="shared" si="278"/>
        <v>1112.7565273662726</v>
      </c>
      <c r="S425">
        <f>IF(Data!O425=0.6,'Vehicle Data'!E$21,IF(Data!O425 = 0.9,'Vehicle Data'!E$20))+(P425*O425)</f>
        <v>1528.4818714887019</v>
      </c>
      <c r="T425">
        <f>IF(F425=3,'Vehicle Data'!H$16,IF(F425=2,'Vehicle Data'!H$15,IF(F425 = 1,'Vehicle Data'!G$14)))</f>
        <v>466.23005239380637</v>
      </c>
      <c r="U425" s="148">
        <f t="shared" si="285"/>
        <v>396.61804524295655</v>
      </c>
      <c r="V425" s="70" t="s">
        <v>77</v>
      </c>
      <c r="W425" s="99" t="s">
        <v>84</v>
      </c>
      <c r="X425">
        <f>IF(V425="S",'Vehicle Data'!C$14,IF(Data!V425 = "T1",'Vehicle Data'!P$2,IF(Data!V425="T2",'Vehicle Data'!P$3)))</f>
        <v>13.411199999999999</v>
      </c>
      <c r="Z425">
        <f t="shared" ref="Z425:Z429" si="317">SQRT(Z424^2+2*AE424*(U425-U424))</f>
        <v>11.039968010658846</v>
      </c>
      <c r="AB425" t="b">
        <f>IF(AA425=1,'Vehicle Data'!I$14,IF(AA425=2,'Vehicle Data'!I$15,IF(AA425=3,'Vehicle Data'!I$16)))</f>
        <v>0</v>
      </c>
      <c r="AC425">
        <f>IF(Z425&lt;'Vehicle Data'!C$16,'Vehicle Data'!I$15,IF(Z425&lt;'Vehicle Data'!C$15,'Vehicle Data'!I$15,IF(Z424&gt;'Vehicle Data'!C$15,'Vehicle Data'!I$16)))</f>
        <v>0.46202745420001456</v>
      </c>
      <c r="AD425">
        <f>IF(O425=0.6,'Vehicle Data'!F$21,IF(O425=0.9,'Vehicle Data'!F$20))</f>
        <v>3.5315999999999996</v>
      </c>
      <c r="AE425" s="100">
        <f t="shared" si="314"/>
        <v>0.46202745420001456</v>
      </c>
      <c r="AF425" s="158">
        <f t="shared" si="306"/>
        <v>0.17311132767403248</v>
      </c>
      <c r="AG425" s="148">
        <f t="shared" si="289"/>
        <v>0.46371333492990713</v>
      </c>
      <c r="AH425" s="148">
        <f t="shared" si="307"/>
        <v>134.01569022389378</v>
      </c>
      <c r="AJ425">
        <f>(Z425^2)*'Vehicle Data'!C$31</f>
        <v>44.791228426066226</v>
      </c>
      <c r="AK425">
        <f>IF(O425=0.6,'Vehicle Data'!C$6*'Vehicle Data'!D$21*9.81,IF(O425=0.9,'Vehicle Data'!C$6*9.81*'Vehicle Data'!D$20))</f>
        <v>86.131799999999998</v>
      </c>
      <c r="AL425">
        <f t="shared" si="286"/>
        <v>-105.00822330681058</v>
      </c>
      <c r="AN425">
        <f>IF(AG425&gt;0,AG425*'Vehicle Data'!C$6)</f>
        <v>203.57015403422923</v>
      </c>
      <c r="AO425">
        <f t="shared" si="290"/>
        <v>98.561930727418655</v>
      </c>
      <c r="AP425">
        <f>AO425*'Vehicle Data'!F$3</f>
        <v>25.192429493928209</v>
      </c>
      <c r="AQ425">
        <f>IF(AE425='Vehicle Data'!I$15,AP425/'Vehicle Data'!G$15,IF(AE425='Vehicle Data'!I$16,AP425/'Vehicle Data'!G$16,IF(AE425='Vehicle Data'!I$14,Data!AP425/'Vehicle Data'!G436)))</f>
        <v>4.6508423574799487</v>
      </c>
      <c r="AR425">
        <f>IF(Z425&lt;'Vehicle Data'!C$16, Z425*'Vehicle Data'!F$7*'Vehicle Data'!G$14,IF(Z425&lt;'Vehicle Data'!C$15,Z425*'Vehicle Data'!F$7*'Vehicle Data'!G$15,IF(Z425&gt;'Vehicle Data'!C$15,Z425*'Vehicle Data'!F$7*'Vehicle Data'!G$16)))</f>
        <v>96.038853190631627</v>
      </c>
      <c r="AS425">
        <f t="shared" si="308"/>
        <v>5762.3311914378974</v>
      </c>
      <c r="AT425">
        <f t="shared" si="309"/>
        <v>5</v>
      </c>
      <c r="AU425">
        <f t="shared" si="310"/>
        <v>6000</v>
      </c>
      <c r="AW425">
        <f>VLOOKUP(AT425,BSFC!A$64:A$82,1,FALSE)</f>
        <v>5</v>
      </c>
      <c r="AX425" t="e" cm="1">
        <f t="array" ref="AX425">_xlfn.XLOOKUP(AT425,BSFC!A$64:A$82,,-1,_xlfn.XLOOKUP(Data!AU425,BSFC!C$63:Q$63,BSFC!B$64:Q$82,,-1))</f>
        <v>#VALUE!</v>
      </c>
      <c r="AY425">
        <f>HLOOKUP(AU425,BSFC!F$63:Q$63,1)</f>
        <v>6000</v>
      </c>
      <c r="AZ425">
        <f>IF(AT425&gt;0,MATCH(AT425,BSFC!A$64:A$83,0),IF(AT425&lt;=0,0))</f>
        <v>18</v>
      </c>
      <c r="BA425">
        <f>MATCH(AU425,BSFC!C$63:Q$63,0)</f>
        <v>12</v>
      </c>
      <c r="BB425" cm="1">
        <f t="array" ref="BB425">IF(AZ425&gt;0,INDEX(BSFC!C$64:Q$83,Data!AZ425,Data!BA425))</f>
        <v>600</v>
      </c>
      <c r="BC425">
        <f>0.5*'Vehicle Data'!C$6*Data!Z425^2</f>
        <v>26752.856161963358</v>
      </c>
      <c r="BD425">
        <f t="shared" si="291"/>
        <v>8.4827895723044264</v>
      </c>
      <c r="BE425">
        <f t="shared" si="311"/>
        <v>5089.6737433826556</v>
      </c>
      <c r="BF425">
        <f t="shared" si="312"/>
        <v>0.24474449420684288</v>
      </c>
      <c r="BG425">
        <f t="shared" si="292"/>
        <v>160.55136572901836</v>
      </c>
      <c r="BH425">
        <f t="shared" si="316"/>
        <v>2795.128700768385</v>
      </c>
      <c r="BI425" s="148">
        <f t="shared" si="293"/>
        <v>6871.6622130335309</v>
      </c>
      <c r="BO425">
        <f t="shared" si="294"/>
        <v>469.72970620267807</v>
      </c>
      <c r="BP425">
        <f t="shared" si="295"/>
        <v>734973.67670965369</v>
      </c>
      <c r="BQ425">
        <f t="shared" si="296"/>
        <v>980925.20206934272</v>
      </c>
      <c r="BR425" s="148">
        <f t="shared" si="297"/>
        <v>922065.3577740395</v>
      </c>
      <c r="BS425" s="156">
        <f t="shared" si="298"/>
        <v>469.72970620267807</v>
      </c>
      <c r="BT425" s="156">
        <f t="shared" si="299"/>
        <v>2795.128700768385</v>
      </c>
      <c r="BU425">
        <f t="shared" si="300"/>
        <v>1154.8033089012865</v>
      </c>
      <c r="BV425">
        <f t="shared" si="301"/>
        <v>1154.8033089012865</v>
      </c>
      <c r="BW425" s="148">
        <f t="shared" si="302"/>
        <v>455.4</v>
      </c>
      <c r="BX425" s="148">
        <f t="shared" si="303"/>
        <v>3129354.9718154697</v>
      </c>
      <c r="BY425" s="148">
        <f t="shared" si="304"/>
        <v>0.14608261857601273</v>
      </c>
      <c r="BZ425">
        <f t="shared" si="287"/>
        <v>134.01569022389378</v>
      </c>
      <c r="CB425">
        <f t="shared" si="305"/>
        <v>685.07360269860851</v>
      </c>
      <c r="CC425" s="162">
        <f t="shared" si="288"/>
        <v>3957.4163742108435</v>
      </c>
      <c r="CD425">
        <f t="shared" si="313"/>
        <v>-59591.784774330037</v>
      </c>
    </row>
    <row r="426" spans="4:82" x14ac:dyDescent="0.2">
      <c r="D426" s="22">
        <f t="shared" si="279"/>
        <v>-8.84161799070525E-3</v>
      </c>
      <c r="E426" s="23">
        <v>8.4017032</v>
      </c>
      <c r="F426" s="23">
        <f>IF(K426&lt;6,1,IF(Data!K426&lt;9,2,IF(K426&gt;9,3)))</f>
        <v>3</v>
      </c>
      <c r="G426" s="23">
        <v>1116.4502500612507</v>
      </c>
      <c r="H426" s="23">
        <v>221.066665</v>
      </c>
      <c r="I426" s="64">
        <v>36.078944033972604</v>
      </c>
      <c r="J426" s="65">
        <f t="shared" si="280"/>
        <v>-14.538014131482823</v>
      </c>
      <c r="K426" s="65">
        <f t="shared" si="281"/>
        <v>14.431577613589042</v>
      </c>
      <c r="L426" s="65">
        <f t="shared" si="282"/>
        <v>-5.8152056525931366</v>
      </c>
      <c r="M426">
        <f t="shared" si="283"/>
        <v>16.8034064</v>
      </c>
      <c r="N426">
        <f t="shared" si="284"/>
        <v>-1.5802115475887391E-2</v>
      </c>
      <c r="O426">
        <f>IF(L426&lt;'Vehicle Data'!F$21,'Vehicle Data'!C$21,IF(L426&gt;'Vehicle Data'!C$21,'Vehicle Data'!C$20))</f>
        <v>0.6</v>
      </c>
      <c r="P426">
        <f>('Vehicle Data'!C$6*9.81*'Vehicle Data'!C$5*SIN(D426))/'Vehicle Data'!C$9</f>
        <v>-5.8881537394421875</v>
      </c>
      <c r="Q426" s="107">
        <f>'Vehicle Data'!C$6*9.81*SIN(D426)</f>
        <v>-38.076727515059481</v>
      </c>
      <c r="R426">
        <f t="shared" si="278"/>
        <v>1114.6249212576568</v>
      </c>
      <c r="S426">
        <f>IF(Data!O426=0.6,'Vehicle Data'!E$21,IF(Data!O426 = 0.9,'Vehicle Data'!E$20))+(P426*O426)</f>
        <v>1546.8395077563343</v>
      </c>
      <c r="T426">
        <f>IF(F426=3,'Vehicle Data'!H$16,IF(F426=2,'Vehicle Data'!H$15,IF(F426 = 1,'Vehicle Data'!G$14)))</f>
        <v>466.23005239380637</v>
      </c>
      <c r="U426" s="148">
        <f t="shared" si="285"/>
        <v>398.48643913434069</v>
      </c>
      <c r="V426" s="70" t="s">
        <v>77</v>
      </c>
      <c r="W426" s="99" t="s">
        <v>84</v>
      </c>
      <c r="X426">
        <f>IF(V426="S",'Vehicle Data'!C$14,IF(Data!V426 = "T1",'Vehicle Data'!P$2,IF(Data!V426="T2",'Vehicle Data'!P$3)))</f>
        <v>13.411199999999999</v>
      </c>
      <c r="Z426">
        <f t="shared" si="317"/>
        <v>11.117886140023597</v>
      </c>
      <c r="AB426" t="b">
        <f>IF(AA426=1,'Vehicle Data'!I$14,IF(AA426=2,'Vehicle Data'!I$15,IF(AA426=3,'Vehicle Data'!I$16)))</f>
        <v>0</v>
      </c>
      <c r="AC426">
        <f>IF(Z426&lt;'Vehicle Data'!C$16,'Vehicle Data'!I$15,IF(Z426&lt;'Vehicle Data'!C$15,'Vehicle Data'!I$15,IF(Z425&gt;'Vehicle Data'!C$15,'Vehicle Data'!I$16)))</f>
        <v>0.46202745420001456</v>
      </c>
      <c r="AD426">
        <f>IF(O426=0.6,'Vehicle Data'!F$21,IF(O426=0.9,'Vehicle Data'!F$20))</f>
        <v>3.5315999999999996</v>
      </c>
      <c r="AE426" s="100">
        <f t="shared" si="314"/>
        <v>0.46202745420001456</v>
      </c>
      <c r="AF426" s="158">
        <f t="shared" si="306"/>
        <v>0.1680529794830373</v>
      </c>
      <c r="AG426" s="148">
        <f t="shared" si="289"/>
        <v>0.46365217447760393</v>
      </c>
      <c r="AH426" s="148">
        <f t="shared" si="307"/>
        <v>134.18374320337682</v>
      </c>
      <c r="AJ426">
        <f>(Z426^2)*'Vehicle Data'!C$31</f>
        <v>45.425716641779346</v>
      </c>
      <c r="AK426">
        <f>IF(O426=0.6,'Vehicle Data'!C$6*'Vehicle Data'!D$21*9.81,IF(O426=0.9,'Vehicle Data'!C$6*9.81*'Vehicle Data'!D$20))</f>
        <v>86.131799999999998</v>
      </c>
      <c r="AL426">
        <f t="shared" si="286"/>
        <v>93.480789126719856</v>
      </c>
      <c r="AN426">
        <f>IF(AG426&gt;0,AG426*'Vehicle Data'!C$6)</f>
        <v>203.54330459566813</v>
      </c>
      <c r="AO426">
        <f t="shared" si="290"/>
        <v>297.02409372238799</v>
      </c>
      <c r="AP426">
        <f>AO426*'Vehicle Data'!F$3</f>
        <v>75.91935835544237</v>
      </c>
      <c r="AQ426">
        <f>IF(AE426='Vehicle Data'!I$15,AP426/'Vehicle Data'!G$15,IF(AE426='Vehicle Data'!I$16,AP426/'Vehicle Data'!G$16,IF(AE426='Vehicle Data'!I$14,Data!AP426/'Vehicle Data'!G437)))</f>
        <v>14.01567751444103</v>
      </c>
      <c r="AR426">
        <f>IF(Z426&lt;'Vehicle Data'!C$16, Z426*'Vehicle Data'!F$7*'Vehicle Data'!G$14,IF(Z426&lt;'Vehicle Data'!C$15,Z426*'Vehicle Data'!F$7*'Vehicle Data'!G$15,IF(Z426&gt;'Vehicle Data'!C$15,Z426*'Vehicle Data'!F$7*'Vehicle Data'!G$16)))</f>
        <v>96.71667832379552</v>
      </c>
      <c r="AS426">
        <f t="shared" si="308"/>
        <v>5803.000699427731</v>
      </c>
      <c r="AT426">
        <f t="shared" si="309"/>
        <v>14</v>
      </c>
      <c r="AU426">
        <f t="shared" si="310"/>
        <v>6000</v>
      </c>
      <c r="AW426">
        <f>VLOOKUP(AT426,BSFC!A$64:A$82,1,FALSE)</f>
        <v>14</v>
      </c>
      <c r="AX426" t="e" cm="1">
        <f t="array" ref="AX426">_xlfn.XLOOKUP(AT426,BSFC!A$64:A$82,,-1,_xlfn.XLOOKUP(Data!AU426,BSFC!C$63:Q$63,BSFC!B$64:Q$82,,-1))</f>
        <v>#VALUE!</v>
      </c>
      <c r="AY426">
        <f>HLOOKUP(AU426,BSFC!F$63:Q$63,1)</f>
        <v>6000</v>
      </c>
      <c r="AZ426">
        <f>IF(AT426&gt;0,MATCH(AT426,BSFC!A$64:A$83,0),IF(AT426&lt;=0,0))</f>
        <v>9</v>
      </c>
      <c r="BA426">
        <f>MATCH(AU426,BSFC!C$63:Q$63,0)</f>
        <v>12</v>
      </c>
      <c r="BB426" cm="1">
        <f t="array" ref="BB426">IF(AZ426&gt;0,INDEX(BSFC!C$64:Q$83,Data!AZ426,Data!BA426))</f>
        <v>564.5</v>
      </c>
      <c r="BC426">
        <f>0.5*'Vehicle Data'!C$6*Data!Z426^2</f>
        <v>27131.82259284507</v>
      </c>
      <c r="BD426">
        <f t="shared" si="291"/>
        <v>2.8274869989526277</v>
      </c>
      <c r="BE426">
        <f t="shared" si="311"/>
        <v>1596.1164109087583</v>
      </c>
      <c r="BF426">
        <f t="shared" si="312"/>
        <v>7.4508921793052407E-2</v>
      </c>
      <c r="BG426">
        <f t="shared" si="292"/>
        <v>160.6258746508114</v>
      </c>
      <c r="BH426">
        <f t="shared" si="316"/>
        <v>8482.7895723044257</v>
      </c>
      <c r="BI426" s="148">
        <f t="shared" si="293"/>
        <v>6871.6622130335309</v>
      </c>
      <c r="BO426">
        <f t="shared" si="294"/>
        <v>1383.2940116790141</v>
      </c>
      <c r="BP426">
        <f t="shared" si="295"/>
        <v>736356.97072133271</v>
      </c>
      <c r="BQ426">
        <f t="shared" si="296"/>
        <v>982308.49608102173</v>
      </c>
      <c r="BR426" s="148">
        <f t="shared" si="297"/>
        <v>923185.92419957067</v>
      </c>
      <c r="BS426" s="156">
        <f t="shared" si="298"/>
        <v>1383.2940116790141</v>
      </c>
      <c r="BT426" s="156">
        <f t="shared" si="299"/>
        <v>8482.7895723044257</v>
      </c>
      <c r="BU426">
        <f t="shared" si="300"/>
        <v>1120.566425531169</v>
      </c>
      <c r="BV426">
        <f t="shared" si="301"/>
        <v>1120.566425531169</v>
      </c>
      <c r="BW426" s="148">
        <f t="shared" si="302"/>
        <v>455.4</v>
      </c>
      <c r="BX426" s="148">
        <f t="shared" si="303"/>
        <v>3129354.9718154697</v>
      </c>
      <c r="BY426" s="148">
        <f t="shared" si="304"/>
        <v>0.14175165282969285</v>
      </c>
      <c r="BZ426">
        <f t="shared" si="287"/>
        <v>134.18374320337682</v>
      </c>
      <c r="CB426">
        <f t="shared" si="305"/>
        <v>-262.72758614784516</v>
      </c>
      <c r="CC426" s="162">
        <f t="shared" si="288"/>
        <v>-1563.3616669936252</v>
      </c>
      <c r="CD426">
        <f t="shared" si="313"/>
        <v>-59854.512360477886</v>
      </c>
    </row>
    <row r="427" spans="4:82" x14ac:dyDescent="0.2">
      <c r="D427" s="22">
        <f t="shared" si="279"/>
        <v>-4.813391848855228E-2</v>
      </c>
      <c r="E427" s="23">
        <v>8.3859010845241126</v>
      </c>
      <c r="F427" s="23">
        <f>IF(K427&lt;6,1,IF(Data!K427&lt;9,2,IF(K427&gt;9,3)))</f>
        <v>3</v>
      </c>
      <c r="G427" s="23">
        <v>1118.2375158513685</v>
      </c>
      <c r="H427" s="23">
        <v>221.11666499999998</v>
      </c>
      <c r="I427" s="64">
        <v>35.352043327398711</v>
      </c>
      <c r="J427" s="65">
        <f t="shared" si="280"/>
        <v>-15.498825303385956</v>
      </c>
      <c r="K427" s="65">
        <f t="shared" si="281"/>
        <v>14.140817330959484</v>
      </c>
      <c r="L427" s="65">
        <f t="shared" si="282"/>
        <v>-6.1995301213543756</v>
      </c>
      <c r="M427">
        <f t="shared" si="283"/>
        <v>16.771802169048225</v>
      </c>
      <c r="N427">
        <f t="shared" si="284"/>
        <v>-8.4196284524113096E-2</v>
      </c>
      <c r="O427">
        <f>'Vehicle Data'!C$20</f>
        <v>0.9</v>
      </c>
      <c r="P427">
        <f>('Vehicle Data'!C$6*9.81*'Vehicle Data'!C$5*SIN(D427))/'Vehicle Data'!C$9</f>
        <v>-32.043249893553408</v>
      </c>
      <c r="Q427" s="107">
        <f>'Vehicle Data'!C$6*9.81*SIN(D427)</f>
        <v>-207.21301597831206</v>
      </c>
      <c r="R427">
        <f t="shared" si="278"/>
        <v>1116.4502500612507</v>
      </c>
      <c r="S427">
        <f>IF(Data!O427=0.6,'Vehicle Data'!E$21,IF(Data!O427 = 0.9,'Vehicle Data'!E$20))+(P427*O427)</f>
        <v>2296.7196750958019</v>
      </c>
      <c r="T427">
        <f>IF(F427=3,'Vehicle Data'!H$16,IF(F427=2,'Vehicle Data'!H$15,IF(F427 = 1,'Vehicle Data'!G$14)))</f>
        <v>466.23005239380637</v>
      </c>
      <c r="U427" s="148">
        <f t="shared" si="285"/>
        <v>400.31176793793463</v>
      </c>
      <c r="V427" s="70" t="s">
        <v>77</v>
      </c>
      <c r="W427" s="99" t="s">
        <v>84</v>
      </c>
      <c r="X427">
        <f>IF(V427="S",'Vehicle Data'!C$14,IF(Data!V427 = "T1",'Vehicle Data'!P$2,IF(Data!V427="T2",'Vehicle Data'!P$3)))</f>
        <v>13.411199999999999</v>
      </c>
      <c r="Z427">
        <f t="shared" si="317"/>
        <v>11.193484545168841</v>
      </c>
      <c r="AB427" t="b">
        <f>IF(AA427=1,'Vehicle Data'!I$14,IF(AA427=2,'Vehicle Data'!I$15,IF(AA427=3,'Vehicle Data'!I$16)))</f>
        <v>0</v>
      </c>
      <c r="AC427">
        <f>IF(Z427&lt;'Vehicle Data'!C$16,'Vehicle Data'!I$15,IF(Z427&lt;'Vehicle Data'!C$15,'Vehicle Data'!I$15,IF(Z426&gt;'Vehicle Data'!C$15,'Vehicle Data'!I$16)))</f>
        <v>0.46202745420001456</v>
      </c>
      <c r="AD427">
        <f>IF(O427=0.6,'Vehicle Data'!F$21,IF(O427=0.9,'Vehicle Data'!F$20))</f>
        <v>5.2973999999999997</v>
      </c>
      <c r="AE427" s="100">
        <f t="shared" si="314"/>
        <v>0.46202745420001456</v>
      </c>
      <c r="AF427" s="158">
        <f t="shared" si="306"/>
        <v>0.16307065027232898</v>
      </c>
      <c r="AG427" s="148">
        <f t="shared" si="289"/>
        <v>0.46359295813805207</v>
      </c>
      <c r="AH427" s="148">
        <f t="shared" si="307"/>
        <v>134.34681385364914</v>
      </c>
      <c r="AJ427">
        <f>(Z427^2)*'Vehicle Data'!C$31</f>
        <v>46.045580376628152</v>
      </c>
      <c r="AK427">
        <f>IF(O427=0.6,'Vehicle Data'!C$6*'Vehicle Data'!D$21*9.81,IF(O427=0.9,'Vehicle Data'!C$6*9.81*'Vehicle Data'!D$20))</f>
        <v>55.985669999999999</v>
      </c>
      <c r="AL427">
        <f t="shared" si="286"/>
        <v>-105.18176560168391</v>
      </c>
      <c r="AN427">
        <f>IF(AG427&gt;0,AG427*'Vehicle Data'!C$6)</f>
        <v>203.51730862260487</v>
      </c>
      <c r="AO427">
        <f t="shared" si="290"/>
        <v>98.335543020920966</v>
      </c>
      <c r="AP427">
        <f>AO427*'Vehicle Data'!F$3</f>
        <v>25.134564796147398</v>
      </c>
      <c r="AQ427">
        <f>IF(AE427='Vehicle Data'!I$15,AP427/'Vehicle Data'!G$15,IF(AE427='Vehicle Data'!I$16,AP427/'Vehicle Data'!G$16,IF(AE427='Vehicle Data'!I$14,Data!AP427/'Vehicle Data'!G438)))</f>
        <v>4.6401597995509238</v>
      </c>
      <c r="AR427">
        <f>IF(Z427&lt;'Vehicle Data'!C$16, Z427*'Vehicle Data'!F$7*'Vehicle Data'!G$14,IF(Z427&lt;'Vehicle Data'!C$15,Z427*'Vehicle Data'!F$7*'Vehicle Data'!G$15,IF(Z427&gt;'Vehicle Data'!C$15,Z427*'Vehicle Data'!F$7*'Vehicle Data'!G$16)))</f>
        <v>97.374323719704307</v>
      </c>
      <c r="AS427">
        <f t="shared" si="308"/>
        <v>5842.4594231822584</v>
      </c>
      <c r="AT427">
        <f t="shared" si="309"/>
        <v>5</v>
      </c>
      <c r="AU427">
        <f t="shared" si="310"/>
        <v>6000</v>
      </c>
      <c r="AW427">
        <f>VLOOKUP(AT427,BSFC!A$64:A$82,1,FALSE)</f>
        <v>5</v>
      </c>
      <c r="AX427" t="e" cm="1">
        <f t="array" ref="AX427">_xlfn.XLOOKUP(AT427,BSFC!A$64:A$82,,-1,_xlfn.XLOOKUP(Data!AU427,BSFC!C$63:Q$63,BSFC!B$64:Q$82,,-1))</f>
        <v>#VALUE!</v>
      </c>
      <c r="AY427">
        <f>HLOOKUP(AU427,BSFC!F$63:Q$63,1)</f>
        <v>6000</v>
      </c>
      <c r="AZ427">
        <f>IF(AT427&gt;0,MATCH(AT427,BSFC!A$64:A$83,0),IF(AT427&lt;=0,0))</f>
        <v>18</v>
      </c>
      <c r="BA427">
        <f>MATCH(AU427,BSFC!C$63:Q$63,0)</f>
        <v>12</v>
      </c>
      <c r="BB427" cm="1">
        <f t="array" ref="BB427">IF(AZ427&gt;0,INDEX(BSFC!C$64:Q$83,Data!AZ427,Data!BA427))</f>
        <v>600</v>
      </c>
      <c r="BC427">
        <f>0.5*'Vehicle Data'!C$6*Data!Z427^2</f>
        <v>27502.05412971395</v>
      </c>
      <c r="BD427">
        <f t="shared" si="291"/>
        <v>8.8601844589240741</v>
      </c>
      <c r="BE427">
        <f t="shared" si="311"/>
        <v>5316.1106753544445</v>
      </c>
      <c r="BF427">
        <f t="shared" si="312"/>
        <v>0.24080600687492201</v>
      </c>
      <c r="BG427">
        <f t="shared" si="292"/>
        <v>160.86668065768632</v>
      </c>
      <c r="BH427">
        <f t="shared" si="316"/>
        <v>2827.4869989526278</v>
      </c>
      <c r="BI427" s="148">
        <f t="shared" si="293"/>
        <v>6871.6622130335309</v>
      </c>
      <c r="BO427">
        <f t="shared" si="294"/>
        <v>448.51904126789793</v>
      </c>
      <c r="BP427">
        <f t="shared" si="295"/>
        <v>736805.48976260063</v>
      </c>
      <c r="BQ427">
        <f t="shared" si="296"/>
        <v>982757.01512228965</v>
      </c>
      <c r="BR427" s="148">
        <f t="shared" si="297"/>
        <v>924275.96328687621</v>
      </c>
      <c r="BS427" s="156">
        <f t="shared" si="298"/>
        <v>448.51904126789793</v>
      </c>
      <c r="BT427" s="156">
        <f t="shared" si="299"/>
        <v>2827.4869989526278</v>
      </c>
      <c r="BU427">
        <f t="shared" si="300"/>
        <v>1090.0390873055535</v>
      </c>
      <c r="BV427">
        <f t="shared" si="301"/>
        <v>1090.0390873055535</v>
      </c>
      <c r="BW427" s="148">
        <f t="shared" si="302"/>
        <v>455.4</v>
      </c>
      <c r="BX427" s="148">
        <f t="shared" si="303"/>
        <v>3129354.9718154697</v>
      </c>
      <c r="BY427" s="148">
        <f t="shared" si="304"/>
        <v>0.13788994454415252</v>
      </c>
      <c r="BZ427">
        <f t="shared" si="287"/>
        <v>134.34681385364914</v>
      </c>
      <c r="CB427">
        <f t="shared" si="305"/>
        <v>641.52004603765556</v>
      </c>
      <c r="CC427" s="162">
        <f t="shared" si="288"/>
        <v>3934.0006614701033</v>
      </c>
      <c r="CD427">
        <f t="shared" si="313"/>
        <v>-59212.992314440227</v>
      </c>
    </row>
    <row r="428" spans="4:82" x14ac:dyDescent="0.2">
      <c r="D428" s="22">
        <f t="shared" si="279"/>
        <v>0</v>
      </c>
      <c r="E428" s="23">
        <v>8.3017047999999996</v>
      </c>
      <c r="F428" s="23">
        <f>IF(K428&lt;6,1,IF(Data!K428&lt;9,2,IF(K428&gt;9,3)))</f>
        <v>3</v>
      </c>
      <c r="G428" s="23">
        <v>1119.9874005063298</v>
      </c>
      <c r="H428" s="23">
        <v>221.16666499999999</v>
      </c>
      <c r="I428" s="64">
        <v>34.577102062229237</v>
      </c>
      <c r="J428" s="65">
        <f t="shared" si="280"/>
        <v>-16.294258802782636</v>
      </c>
      <c r="K428" s="65">
        <f t="shared" si="281"/>
        <v>13.830840824891695</v>
      </c>
      <c r="L428" s="65">
        <f t="shared" si="282"/>
        <v>-6.5177035211130478</v>
      </c>
      <c r="M428">
        <f t="shared" si="283"/>
        <v>16.603409599999999</v>
      </c>
      <c r="N428">
        <v>0</v>
      </c>
      <c r="O428">
        <f>'Vehicle Data'!C$20</f>
        <v>0.9</v>
      </c>
      <c r="P428">
        <f>('Vehicle Data'!C$6*9.81*'Vehicle Data'!C$5*SIN(D428))/'Vehicle Data'!C$9</f>
        <v>0</v>
      </c>
      <c r="Q428" s="107">
        <f>'Vehicle Data'!C$6*9.81*SIN(D428)</f>
        <v>0</v>
      </c>
      <c r="R428">
        <f t="shared" si="278"/>
        <v>1118.2375158513685</v>
      </c>
      <c r="S428">
        <f>IF(Data!O428=0.6,'Vehicle Data'!E$21,IF(Data!O428 = 0.9,'Vehicle Data'!E$20))+(P428*O428)</f>
        <v>2325.5585999999998</v>
      </c>
      <c r="T428">
        <f>IF(F428=3,'Vehicle Data'!H$16,IF(F428=2,'Vehicle Data'!H$15,IF(F428 = 1,'Vehicle Data'!G$14)))</f>
        <v>466.23005239380637</v>
      </c>
      <c r="U428" s="148">
        <f t="shared" si="285"/>
        <v>402.0990337280524</v>
      </c>
      <c r="V428" s="70" t="s">
        <v>77</v>
      </c>
      <c r="W428" s="99" t="s">
        <v>84</v>
      </c>
      <c r="X428">
        <f>IF(V428="S",'Vehicle Data'!C$14,IF(Data!V428 = "T1",'Vehicle Data'!P$2,IF(Data!V428="T2",'Vehicle Data'!P$3)))</f>
        <v>13.411199999999999</v>
      </c>
      <c r="Z428">
        <f t="shared" si="317"/>
        <v>11.267015043431313</v>
      </c>
      <c r="AB428" t="b">
        <f>IF(AA428=1,'Vehicle Data'!I$14,IF(AA428=2,'Vehicle Data'!I$15,IF(AA428=3,'Vehicle Data'!I$16)))</f>
        <v>0</v>
      </c>
      <c r="AC428">
        <f>IF(Z428&lt;'Vehicle Data'!C$16,'Vehicle Data'!I$15,IF(Z428&lt;'Vehicle Data'!C$15,'Vehicle Data'!I$15,IF(Z427&gt;'Vehicle Data'!C$15,'Vehicle Data'!I$16)))</f>
        <v>0.46202745420001456</v>
      </c>
      <c r="AD428">
        <f>IF(O428=0.6,'Vehicle Data'!F$21,IF(O428=0.9,'Vehicle Data'!F$20))</f>
        <v>5.2973999999999997</v>
      </c>
      <c r="AE428" s="100">
        <f t="shared" si="314"/>
        <v>0.46202745420001456</v>
      </c>
      <c r="AF428" s="158">
        <f t="shared" si="306"/>
        <v>0.15862815335102889</v>
      </c>
      <c r="AG428" s="148">
        <f t="shared" si="289"/>
        <v>0.46354002558269219</v>
      </c>
      <c r="AH428" s="148">
        <f t="shared" si="307"/>
        <v>134.50544200700017</v>
      </c>
      <c r="AJ428">
        <f>(Z428^2)*'Vehicle Data'!C$31</f>
        <v>46.65251828592352</v>
      </c>
      <c r="AK428">
        <f>IF(O428=0.6,'Vehicle Data'!C$6*'Vehicle Data'!D$21*9.81,IF(O428=0.9,'Vehicle Data'!C$6*9.81*'Vehicle Data'!D$20))</f>
        <v>55.985669999999999</v>
      </c>
      <c r="AL428">
        <f t="shared" si="286"/>
        <v>102.63818828592352</v>
      </c>
      <c r="AN428">
        <f>IF(AG428&gt;0,AG428*'Vehicle Data'!C$6)</f>
        <v>203.49407123080186</v>
      </c>
      <c r="AO428">
        <f t="shared" si="290"/>
        <v>306.13225951672541</v>
      </c>
      <c r="AP428">
        <f>AO428*'Vehicle Data'!F$3</f>
        <v>78.247405532475014</v>
      </c>
      <c r="AQ428">
        <f>IF(AE428='Vehicle Data'!I$15,AP428/'Vehicle Data'!G$15,IF(AE428='Vehicle Data'!I$16,AP428/'Vehicle Data'!G$16,IF(AE428='Vehicle Data'!I$14,Data!AP428/'Vehicle Data'!G439)))</f>
        <v>14.445464582963526</v>
      </c>
      <c r="AR428">
        <f>IF(Z428&lt;'Vehicle Data'!C$16, Z428*'Vehicle Data'!F$7*'Vehicle Data'!G$14,IF(Z428&lt;'Vehicle Data'!C$15,Z428*'Vehicle Data'!F$7*'Vehicle Data'!G$15,IF(Z428&gt;'Vehicle Data'!C$15,Z428*'Vehicle Data'!F$7*'Vehicle Data'!G$16)))</f>
        <v>98.013979986900495</v>
      </c>
      <c r="AS428">
        <f t="shared" si="308"/>
        <v>5880.8387992140297</v>
      </c>
      <c r="AT428">
        <f t="shared" si="309"/>
        <v>14</v>
      </c>
      <c r="AU428">
        <f t="shared" si="310"/>
        <v>6000</v>
      </c>
      <c r="AW428">
        <f>VLOOKUP(AT428,BSFC!A$64:A$82,1,FALSE)</f>
        <v>14</v>
      </c>
      <c r="AX428" t="e" cm="1">
        <f t="array" ref="AX428">_xlfn.XLOOKUP(AT428,BSFC!A$64:A$82,,-1,_xlfn.XLOOKUP(Data!AU428,BSFC!C$63:Q$63,BSFC!B$64:Q$82,,-1))</f>
        <v>#VALUE!</v>
      </c>
      <c r="AY428">
        <f>HLOOKUP(AU428,BSFC!F$63:Q$63,1)</f>
        <v>6000</v>
      </c>
      <c r="AZ428">
        <f>IF(AT428&gt;0,MATCH(AT428,BSFC!A$64:A$83,0),IF(AT428&lt;=0,0))</f>
        <v>9</v>
      </c>
      <c r="BA428">
        <f>MATCH(AU428,BSFC!C$63:Q$63,0)</f>
        <v>12</v>
      </c>
      <c r="BB428" cm="1">
        <f t="array" ref="BB428">IF(AZ428&gt;0,INDEX(BSFC!C$64:Q$83,Data!AZ428,Data!BA428))</f>
        <v>564.5</v>
      </c>
      <c r="BC428">
        <f>0.5*'Vehicle Data'!C$6*Data!Z428^2</f>
        <v>27864.565343565198</v>
      </c>
      <c r="BD428">
        <f t="shared" si="291"/>
        <v>8.9330961251709109</v>
      </c>
      <c r="BE428">
        <f t="shared" si="311"/>
        <v>5042.7327626589795</v>
      </c>
      <c r="BF428">
        <f t="shared" si="312"/>
        <v>0.22219982943981281</v>
      </c>
      <c r="BG428">
        <f t="shared" si="292"/>
        <v>161.08888048712612</v>
      </c>
      <c r="BH428">
        <f t="shared" si="316"/>
        <v>8860.1844589240736</v>
      </c>
      <c r="BI428" s="148">
        <f t="shared" si="293"/>
        <v>6871.6622130335309</v>
      </c>
      <c r="BO428">
        <f t="shared" si="294"/>
        <v>1367.3976629099309</v>
      </c>
      <c r="BP428">
        <f t="shared" si="295"/>
        <v>738172.88742551056</v>
      </c>
      <c r="BQ428">
        <f t="shared" si="296"/>
        <v>984124.41278519959</v>
      </c>
      <c r="BR428" s="148">
        <f t="shared" si="297"/>
        <v>925336.47110067739</v>
      </c>
      <c r="BS428" s="156">
        <f t="shared" si="298"/>
        <v>1367.3976629099309</v>
      </c>
      <c r="BT428" s="156">
        <f t="shared" si="299"/>
        <v>8860.1844589240736</v>
      </c>
      <c r="BU428">
        <f t="shared" si="300"/>
        <v>1060.5078138011545</v>
      </c>
      <c r="BV428">
        <f t="shared" si="301"/>
        <v>1060.5078138011545</v>
      </c>
      <c r="BW428" s="148">
        <f t="shared" si="302"/>
        <v>455.4</v>
      </c>
      <c r="BX428" s="148">
        <f t="shared" si="303"/>
        <v>3129354.9718154697</v>
      </c>
      <c r="BY428" s="148">
        <f t="shared" si="304"/>
        <v>0.13415423844584604</v>
      </c>
      <c r="BZ428">
        <f t="shared" si="287"/>
        <v>134.50544200700017</v>
      </c>
      <c r="CB428">
        <f t="shared" si="305"/>
        <v>-306.88984910877639</v>
      </c>
      <c r="CC428" s="162">
        <f t="shared" si="288"/>
        <v>-1934.6493206010744</v>
      </c>
      <c r="CD428">
        <f t="shared" si="313"/>
        <v>-59519.882163549002</v>
      </c>
    </row>
    <row r="429" spans="4:82" x14ac:dyDescent="0.2">
      <c r="D429" s="22">
        <f t="shared" si="279"/>
        <v>0</v>
      </c>
      <c r="E429" s="23">
        <v>8.3175069154760681</v>
      </c>
      <c r="F429" s="23">
        <f>IF(K429&lt;6,1,IF(Data!K429&lt;9,2,IF(K429&gt;9,3)))</f>
        <v>3</v>
      </c>
      <c r="G429" s="23">
        <v>1121.6975334585552</v>
      </c>
      <c r="H429" s="23">
        <v>221.21666499999998</v>
      </c>
      <c r="I429" s="64">
        <v>33.762389122090383</v>
      </c>
      <c r="J429" s="65">
        <f t="shared" si="280"/>
        <v>-16.183639389133631</v>
      </c>
      <c r="K429" s="65">
        <f t="shared" si="281"/>
        <v>13.504955648836154</v>
      </c>
      <c r="L429" s="65">
        <f t="shared" si="282"/>
        <v>-6.473455755653446</v>
      </c>
      <c r="M429">
        <f t="shared" si="283"/>
        <v>16.635013830952136</v>
      </c>
      <c r="N429">
        <v>0</v>
      </c>
      <c r="O429">
        <f>'Vehicle Data'!C$20</f>
        <v>0.9</v>
      </c>
      <c r="P429">
        <f>('Vehicle Data'!C$6*9.81*'Vehicle Data'!C$5*SIN(D429))/'Vehicle Data'!C$9</f>
        <v>0</v>
      </c>
      <c r="Q429" s="107">
        <f>'Vehicle Data'!C$6*9.81*SIN(D429)</f>
        <v>0</v>
      </c>
      <c r="R429">
        <f t="shared" si="278"/>
        <v>1119.9874005063298</v>
      </c>
      <c r="S429">
        <f>IF(Data!O429=0.6,'Vehicle Data'!E$21,IF(Data!O429 = 0.9,'Vehicle Data'!E$20))+(P429*O429)</f>
        <v>2325.5585999999998</v>
      </c>
      <c r="T429">
        <f>IF(F429=3,'Vehicle Data'!H$16,IF(F429=2,'Vehicle Data'!H$15,IF(F429 = 1,'Vehicle Data'!G$14)))</f>
        <v>466.23005239380637</v>
      </c>
      <c r="U429" s="148">
        <f t="shared" si="285"/>
        <v>403.84891838301371</v>
      </c>
      <c r="V429" s="70" t="s">
        <v>77</v>
      </c>
      <c r="W429" s="99" t="s">
        <v>84</v>
      </c>
      <c r="X429">
        <f>IF(V429="S",'Vehicle Data'!C$14,IF(Data!V429 = "T1",'Vehicle Data'!P$2,IF(Data!V429="T2",'Vehicle Data'!P$3)))</f>
        <v>13.411199999999999</v>
      </c>
      <c r="Z429">
        <f t="shared" si="317"/>
        <v>11.338545651601814</v>
      </c>
      <c r="AB429" t="b">
        <f>IF(AA429=1,'Vehicle Data'!I$14,IF(AA429=2,'Vehicle Data'!I$15,IF(AA429=3,'Vehicle Data'!I$16)))</f>
        <v>0</v>
      </c>
      <c r="AC429">
        <f>IF(Z429&lt;'Vehicle Data'!C$16,'Vehicle Data'!I$15,IF(Z429&lt;'Vehicle Data'!C$15,'Vehicle Data'!I$15,IF(Z428&gt;'Vehicle Data'!C$15,'Vehicle Data'!I$16)))</f>
        <v>0.46202745420001456</v>
      </c>
      <c r="AD429">
        <f>IF(O429=0.6,'Vehicle Data'!F$21,IF(O429=0.9,'Vehicle Data'!F$20))</f>
        <v>5.2973999999999997</v>
      </c>
      <c r="AE429" s="100">
        <f t="shared" si="314"/>
        <v>0.46202745420001456</v>
      </c>
      <c r="AF429" s="158">
        <f t="shared" si="306"/>
        <v>0.15433060894490444</v>
      </c>
      <c r="AG429" s="148">
        <f t="shared" si="289"/>
        <v>0.46348944424911731</v>
      </c>
      <c r="AH429" s="148">
        <f t="shared" si="307"/>
        <v>134.65977261594509</v>
      </c>
      <c r="AJ429">
        <f>(Z429^2)*'Vehicle Data'!C$31</f>
        <v>47.246761928845984</v>
      </c>
      <c r="AK429">
        <f>IF(O429=0.6,'Vehicle Data'!C$6*'Vehicle Data'!D$21*9.81,IF(O429=0.9,'Vehicle Data'!C$6*9.81*'Vehicle Data'!D$20))</f>
        <v>55.985669999999999</v>
      </c>
      <c r="AL429">
        <f t="shared" si="286"/>
        <v>103.23243192884598</v>
      </c>
      <c r="AN429">
        <f>IF(AG429&gt;0,AG429*'Vehicle Data'!C$6)</f>
        <v>203.47186602536249</v>
      </c>
      <c r="AO429">
        <f t="shared" si="290"/>
        <v>306.70429795420847</v>
      </c>
      <c r="AP429">
        <f>AO429*'Vehicle Data'!F$3</f>
        <v>78.393618557095678</v>
      </c>
      <c r="AQ429">
        <f>IF(AE429='Vehicle Data'!I$15,AP429/'Vehicle Data'!G$15,IF(AE429='Vehicle Data'!I$16,AP429/'Vehicle Data'!G$16,IF(AE429='Vehicle Data'!I$14,Data!AP429/'Vehicle Data'!G440)))</f>
        <v>14.472457363802109</v>
      </c>
      <c r="AR429">
        <f>IF(Z429&lt;'Vehicle Data'!C$16, Z429*'Vehicle Data'!F$7*'Vehicle Data'!G$14,IF(Z429&lt;'Vehicle Data'!C$15,Z429*'Vehicle Data'!F$7*'Vehicle Data'!G$15,IF(Z429&gt;'Vehicle Data'!C$15,Z429*'Vehicle Data'!F$7*'Vehicle Data'!G$16)))</f>
        <v>98.636238816825625</v>
      </c>
      <c r="AS429">
        <f t="shared" si="308"/>
        <v>5918.1743290095374</v>
      </c>
      <c r="AT429">
        <f t="shared" si="309"/>
        <v>14</v>
      </c>
      <c r="AU429">
        <f t="shared" si="310"/>
        <v>6000</v>
      </c>
      <c r="AW429">
        <f>VLOOKUP(AT429,BSFC!A$64:A$82,1,FALSE)</f>
        <v>14</v>
      </c>
      <c r="AX429" t="e" cm="1">
        <f t="array" ref="AX429">_xlfn.XLOOKUP(AT429,BSFC!A$64:A$82,,-1,_xlfn.XLOOKUP(Data!AU429,BSFC!C$63:Q$63,BSFC!B$64:Q$82,,-1))</f>
        <v>#VALUE!</v>
      </c>
      <c r="AY429">
        <f>HLOOKUP(AU429,BSFC!F$63:Q$63,1)</f>
        <v>6000</v>
      </c>
      <c r="AZ429">
        <f>IF(AT429&gt;0,MATCH(AT429,BSFC!A$64:A$83,0),IF(AT429&lt;=0,0))</f>
        <v>9</v>
      </c>
      <c r="BA429">
        <f>MATCH(AU429,BSFC!C$63:Q$63,0)</f>
        <v>12</v>
      </c>
      <c r="BB429" cm="1">
        <f t="array" ref="BB429">IF(AZ429&gt;0,INDEX(BSFC!C$64:Q$83,Data!AZ429,Data!BA429))</f>
        <v>564.5</v>
      </c>
      <c r="BC429">
        <f>0.5*'Vehicle Data'!C$6*Data!Z429^2</f>
        <v>28219.494539814124</v>
      </c>
      <c r="BD429">
        <f t="shared" si="291"/>
        <v>23.886197567171198</v>
      </c>
      <c r="BE429">
        <f t="shared" si="311"/>
        <v>13483.758526668142</v>
      </c>
      <c r="BF429">
        <f t="shared" si="312"/>
        <v>0.57804351785742825</v>
      </c>
      <c r="BG429">
        <f t="shared" si="292"/>
        <v>161.66692400498354</v>
      </c>
      <c r="BH429">
        <f t="shared" si="316"/>
        <v>8933.0961251709105</v>
      </c>
      <c r="BI429" s="148">
        <f t="shared" si="293"/>
        <v>6871.6622130335309</v>
      </c>
      <c r="BO429">
        <f t="shared" si="294"/>
        <v>1388.798368095637</v>
      </c>
      <c r="BP429">
        <f t="shared" si="295"/>
        <v>739561.68579360622</v>
      </c>
      <c r="BQ429">
        <f t="shared" si="296"/>
        <v>985513.21115329524</v>
      </c>
      <c r="BR429" s="148">
        <f t="shared" si="297"/>
        <v>926404.78528132022</v>
      </c>
      <c r="BS429" s="156">
        <f t="shared" si="298"/>
        <v>1388.798368095637</v>
      </c>
      <c r="BT429" s="156">
        <f t="shared" si="299"/>
        <v>8933.0961251709105</v>
      </c>
      <c r="BU429">
        <f t="shared" si="300"/>
        <v>1068.3141806428098</v>
      </c>
      <c r="BV429">
        <f t="shared" si="301"/>
        <v>1068.3141806428098</v>
      </c>
      <c r="BW429" s="148">
        <f t="shared" si="302"/>
        <v>455.4</v>
      </c>
      <c r="BX429" s="148">
        <f t="shared" si="303"/>
        <v>3129354.9718154697</v>
      </c>
      <c r="BY429" s="148">
        <f t="shared" si="304"/>
        <v>0.13514174385131542</v>
      </c>
      <c r="BZ429">
        <f t="shared" si="287"/>
        <v>134.65977261594509</v>
      </c>
      <c r="CB429">
        <f t="shared" si="305"/>
        <v>-320.4841874528272</v>
      </c>
      <c r="CC429" s="162">
        <f t="shared" si="288"/>
        <v>-2076.6080665645013</v>
      </c>
      <c r="CD429">
        <f t="shared" si="313"/>
        <v>-59840.36635100183</v>
      </c>
    </row>
    <row r="430" spans="4:82" x14ac:dyDescent="0.2">
      <c r="D430" s="22">
        <f t="shared" si="279"/>
        <v>2.3640901921193011E-3</v>
      </c>
      <c r="E430" s="23">
        <v>8.6017071999999999</v>
      </c>
      <c r="F430" s="23">
        <f>IF(K430&lt;6,1,IF(Data!K430&lt;9,2,IF(K430&gt;9,3)))</f>
        <v>3</v>
      </c>
      <c r="G430" s="23">
        <v>1123.3660875459377</v>
      </c>
      <c r="H430" s="23">
        <v>221.26666499999999</v>
      </c>
      <c r="I430" s="64">
        <v>32.953207152633517</v>
      </c>
      <c r="J430" s="65">
        <f t="shared" si="280"/>
        <v>-1.7259380906490898</v>
      </c>
      <c r="K430" s="65">
        <f t="shared" si="281"/>
        <v>13.181282861053408</v>
      </c>
      <c r="L430" s="65">
        <f t="shared" si="282"/>
        <v>-0.69037523625963693</v>
      </c>
      <c r="M430">
        <f t="shared" si="283"/>
        <v>17.2034144</v>
      </c>
      <c r="N430">
        <f t="shared" ref="N430:N431" si="318">E431-E430</f>
        <v>9.9998400000000487E-2</v>
      </c>
      <c r="O430">
        <f>'Vehicle Data'!C$20</f>
        <v>0.9</v>
      </c>
      <c r="P430">
        <f>('Vehicle Data'!C$6*9.81*'Vehicle Data'!C$5*SIN(D430))/'Vehicle Data'!C$9</f>
        <v>1.5744058294107366</v>
      </c>
      <c r="Q430" s="107">
        <f>'Vehicle Data'!C$6*9.81*SIN(D430)</f>
        <v>10.181157696856097</v>
      </c>
      <c r="R430">
        <f t="shared" si="278"/>
        <v>1121.6975334585552</v>
      </c>
      <c r="S430">
        <f>IF(Data!O430=0.6,'Vehicle Data'!E$21,IF(Data!O430 = 0.9,'Vehicle Data'!E$20))+(P430*O430)</f>
        <v>2326.9755652464696</v>
      </c>
      <c r="T430">
        <f>IF(F430=3,'Vehicle Data'!H$16,IF(F430=2,'Vehicle Data'!H$15,IF(F430 = 1,'Vehicle Data'!G$14)))</f>
        <v>466.23005239380637</v>
      </c>
      <c r="U430" s="148">
        <f t="shared" si="285"/>
        <v>405.55905133523913</v>
      </c>
      <c r="V430" s="70" t="s">
        <v>77</v>
      </c>
      <c r="W430" s="99" t="s">
        <v>84</v>
      </c>
      <c r="X430">
        <f>IF(V430="S",'Vehicle Data'!C$14,IF(Data!V430 = "T1",'Vehicle Data'!P$2,IF(Data!V430="T2",'Vehicle Data'!P$3)))</f>
        <v>13.411199999999999</v>
      </c>
      <c r="Z430">
        <v>11</v>
      </c>
      <c r="AB430" t="b">
        <f>IF(AA430=1,'Vehicle Data'!I$14,IF(AA430=2,'Vehicle Data'!I$15,IF(AA430=3,'Vehicle Data'!I$16)))</f>
        <v>0</v>
      </c>
      <c r="AC430">
        <f>IF(Z430&lt;'Vehicle Data'!C$16,'Vehicle Data'!I$15,IF(Z430&lt;'Vehicle Data'!C$15,'Vehicle Data'!I$15,IF(Z429&gt;'Vehicle Data'!C$15,'Vehicle Data'!I$16)))</f>
        <v>0.46202745420001456</v>
      </c>
      <c r="AD430">
        <f>IF(O430=0.6,'Vehicle Data'!F$21,IF(O430=0.9,'Vehicle Data'!F$20))</f>
        <v>5.2973999999999997</v>
      </c>
      <c r="AE430" s="100">
        <f t="shared" si="314"/>
        <v>0.46202745420001456</v>
      </c>
      <c r="AF430" s="158">
        <f t="shared" si="306"/>
        <v>0.15546663202049291</v>
      </c>
      <c r="AG430" s="148">
        <f t="shared" si="289"/>
        <v>-2.1776097365844307</v>
      </c>
      <c r="AH430" s="148">
        <f t="shared" si="307"/>
        <v>134.81523924796559</v>
      </c>
      <c r="AJ430">
        <f>(Z430^2)*'Vehicle Data'!C$31</f>
        <v>44.467500000000015</v>
      </c>
      <c r="AK430">
        <f>IF(O430=0.6,'Vehicle Data'!C$6*'Vehicle Data'!D$21*9.81,IF(O430=0.9,'Vehicle Data'!C$6*9.81*'Vehicle Data'!D$20))</f>
        <v>55.985669999999999</v>
      </c>
      <c r="AL430">
        <f t="shared" si="286"/>
        <v>110.6343276968561</v>
      </c>
      <c r="AN430">
        <f>IF(AG430&lt;0,AG430*'Vehicle Data'!C$6)</f>
        <v>-955.97067436056511</v>
      </c>
      <c r="AO430">
        <f t="shared" si="290"/>
        <v>-845.33634666370904</v>
      </c>
      <c r="AP430">
        <f>AO430*'Vehicle Data'!F$3</f>
        <v>-216.06797020724403</v>
      </c>
      <c r="AQ430">
        <f>IF(AE430='Vehicle Data'!I$15,AP430/'Vehicle Data'!G$15,IF(AE430='Vehicle Data'!I$16,AP430/'Vehicle Data'!G$16,IF(AE430='Vehicle Data'!I$14,Data!AP430/'Vehicle Data'!G441)))</f>
        <v>-39.888890754929498</v>
      </c>
      <c r="AR430">
        <f>IF(Z430&lt;'Vehicle Data'!C$16, Z430*'Vehicle Data'!F$7*'Vehicle Data'!G$14,IF(Z430&lt;'Vehicle Data'!C$15,Z430*'Vehicle Data'!F$7*'Vehicle Data'!G$15,IF(Z430&gt;'Vehicle Data'!C$15,Z430*'Vehicle Data'!F$7*'Vehicle Data'!G$16)))</f>
        <v>95.69116360454943</v>
      </c>
      <c r="AS430">
        <f t="shared" si="308"/>
        <v>5741.4698162729655</v>
      </c>
      <c r="AT430">
        <f t="shared" si="309"/>
        <v>-40</v>
      </c>
      <c r="AU430">
        <f t="shared" si="310"/>
        <v>5500</v>
      </c>
      <c r="AW430" t="e">
        <f>VLOOKUP(AT430,BSFC!A$64:A$82,1,FALSE)</f>
        <v>#N/A</v>
      </c>
      <c r="AX430" t="e" cm="1">
        <f t="array" ref="AX430">_xlfn.XLOOKUP(AT430,BSFC!A$64:A$82,,-1,_xlfn.XLOOKUP(Data!AU430,BSFC!C$63:Q$63,BSFC!B$64:Q$82,,-1))</f>
        <v>#VALUE!</v>
      </c>
      <c r="AY430">
        <f>HLOOKUP(AU430,BSFC!F$63:Q$63,1)</f>
        <v>5500</v>
      </c>
      <c r="AZ430">
        <f>IF(AT430&gt;0,MATCH(AT430,BSFC!A$64:A$83,0),IF(AT430&lt;=0,0))</f>
        <v>0</v>
      </c>
      <c r="BA430">
        <f>MATCH(AU430,BSFC!C$63:Q$63,0)</f>
        <v>11</v>
      </c>
      <c r="BB430" t="b" cm="1">
        <f t="array" ref="BB430">IF(AZ430&gt;0,INDEX(BSFC!C$64:Q$83,Data!AZ430,Data!BA430))</f>
        <v>0</v>
      </c>
      <c r="BC430">
        <f>0.5*'Vehicle Data'!C$6*Data!Z430^2</f>
        <v>26559.5</v>
      </c>
      <c r="BD430">
        <f t="shared" si="291"/>
        <v>12.989186108979826</v>
      </c>
      <c r="BE430">
        <v>0</v>
      </c>
      <c r="BF430">
        <f t="shared" si="312"/>
        <v>0</v>
      </c>
      <c r="BG430">
        <f t="shared" si="292"/>
        <v>161.66692400498354</v>
      </c>
      <c r="BH430">
        <f t="shared" si="316"/>
        <v>-23886.197567171199</v>
      </c>
      <c r="BI430" s="148">
        <f t="shared" si="293"/>
        <v>6871.6622130335309</v>
      </c>
      <c r="BO430">
        <f t="shared" si="294"/>
        <v>-3690.3159798823931</v>
      </c>
      <c r="BP430">
        <f t="shared" si="295"/>
        <v>735871.36981372384</v>
      </c>
      <c r="BQ430">
        <f t="shared" si="296"/>
        <v>985513.21115329524</v>
      </c>
      <c r="BR430" s="148">
        <f t="shared" si="297"/>
        <v>927466.42788064142</v>
      </c>
      <c r="BS430" s="156" t="b">
        <f t="shared" si="298"/>
        <v>0</v>
      </c>
      <c r="BT430" s="156">
        <f t="shared" si="299"/>
        <v>0</v>
      </c>
      <c r="BU430">
        <f t="shared" si="300"/>
        <v>1061.6425993212124</v>
      </c>
      <c r="BV430">
        <f t="shared" si="301"/>
        <v>1061.6425993212124</v>
      </c>
      <c r="BW430" s="148">
        <f t="shared" si="302"/>
        <v>455.4</v>
      </c>
      <c r="BX430" s="148">
        <f t="shared" si="303"/>
        <v>3129354.9718154697</v>
      </c>
      <c r="BY430" s="148">
        <f t="shared" si="304"/>
        <v>0.13429778881413335</v>
      </c>
      <c r="BZ430">
        <f t="shared" si="287"/>
        <v>134.81523924796559</v>
      </c>
      <c r="CB430">
        <f t="shared" si="305"/>
        <v>1061.6425993212124</v>
      </c>
      <c r="CC430" s="162">
        <f t="shared" si="288"/>
        <v>6828.748944539966</v>
      </c>
      <c r="CD430">
        <f t="shared" si="313"/>
        <v>-58778.72375168062</v>
      </c>
    </row>
    <row r="431" spans="4:82" x14ac:dyDescent="0.2">
      <c r="D431" s="22">
        <f t="shared" si="279"/>
        <v>2.8965372789986594E-4</v>
      </c>
      <c r="E431" s="23">
        <v>8.7017056000000004</v>
      </c>
      <c r="F431" s="23">
        <f>IF(K431&lt;6,1,IF(Data!K431&lt;9,2,IF(K431&gt;9,3)))</f>
        <v>3</v>
      </c>
      <c r="G431" s="23">
        <v>1165.6650207594942</v>
      </c>
      <c r="H431" s="23">
        <v>222.66666499999999</v>
      </c>
      <c r="I431" s="64">
        <v>30.536893825724782</v>
      </c>
      <c r="J431" s="65">
        <f t="shared" si="280"/>
        <v>0.22575942643328498</v>
      </c>
      <c r="K431" s="65">
        <f t="shared" si="281"/>
        <v>12.214757530289912</v>
      </c>
      <c r="L431" s="65">
        <f t="shared" si="282"/>
        <v>9.0303770573314068E-2</v>
      </c>
      <c r="M431">
        <f t="shared" si="283"/>
        <v>17.403411200000001</v>
      </c>
      <c r="N431">
        <f t="shared" si="318"/>
        <v>-0.30000240000000034</v>
      </c>
      <c r="O431">
        <f>'Vehicle Data'!C$20</f>
        <v>0.9</v>
      </c>
      <c r="P431">
        <f>('Vehicle Data'!C$6*9.81*'Vehicle Data'!C$5*SIN(D431))/'Vehicle Data'!C$9</f>
        <v>0.19289997380309468</v>
      </c>
      <c r="Q431" s="107">
        <f>'Vehicle Data'!C$6*9.81*SIN(D431)</f>
        <v>1.2474198305933455</v>
      </c>
      <c r="R431">
        <f t="shared" si="278"/>
        <v>1123.3660875459377</v>
      </c>
      <c r="S431">
        <f>IF(Data!O431=0.6,'Vehicle Data'!E$21,IF(Data!O431 = 0.9,'Vehicle Data'!E$20))+(P431*O431)</f>
        <v>2325.7322099764228</v>
      </c>
      <c r="T431">
        <f>IF(F431=3,'Vehicle Data'!H$16,IF(F431=2,'Vehicle Data'!H$15,IF(F431 = 1,'Vehicle Data'!G$14)))</f>
        <v>466.23005239380637</v>
      </c>
      <c r="U431" s="148">
        <f t="shared" si="285"/>
        <v>407.22760542262165</v>
      </c>
      <c r="V431" s="70" t="s">
        <v>77</v>
      </c>
      <c r="W431" s="99" t="s">
        <v>84</v>
      </c>
      <c r="X431">
        <f>IF(V431="S",'Vehicle Data'!C$14,IF(Data!V431 = "T1",'Vehicle Data'!P$2,IF(Data!V431="T2",'Vehicle Data'!P$3)))</f>
        <v>13.411199999999999</v>
      </c>
      <c r="Z431">
        <v>10.8</v>
      </c>
      <c r="AB431" t="b">
        <f>IF(AA431=1,'Vehicle Data'!I$14,IF(AA431=2,'Vehicle Data'!I$15,IF(AA431=3,'Vehicle Data'!I$16)))</f>
        <v>0</v>
      </c>
      <c r="AC431">
        <f>IF(Z431&lt;'Vehicle Data'!C$16,'Vehicle Data'!I$15,IF(Z431&lt;'Vehicle Data'!C$15,'Vehicle Data'!I$15,IF(Z430&gt;'Vehicle Data'!C$15,'Vehicle Data'!I$16)))</f>
        <v>0.46202745420001456</v>
      </c>
      <c r="AD431">
        <f>IF(O431=0.6,'Vehicle Data'!F$21,IF(O431=0.9,'Vehicle Data'!F$20))</f>
        <v>5.2973999999999997</v>
      </c>
      <c r="AE431" s="100">
        <f t="shared" si="314"/>
        <v>0.46202745420001456</v>
      </c>
      <c r="AF431" s="158">
        <f t="shared" si="306"/>
        <v>0.15449574883171457</v>
      </c>
      <c r="AG431" s="148">
        <f t="shared" si="289"/>
        <v>-1.2945340018245453</v>
      </c>
      <c r="AH431" s="148">
        <f t="shared" si="307"/>
        <v>134.96973499679731</v>
      </c>
      <c r="AJ431">
        <f>(Z431^2)*'Vehicle Data'!C$31</f>
        <v>42.865200000000016</v>
      </c>
      <c r="AK431">
        <f>IF(O431=0.6,'Vehicle Data'!C$6*'Vehicle Data'!D$21*9.81,IF(O431=0.9,'Vehicle Data'!C$6*9.81*'Vehicle Data'!D$20))</f>
        <v>55.985669999999999</v>
      </c>
      <c r="AL431">
        <f t="shared" si="286"/>
        <v>100.09828983059336</v>
      </c>
      <c r="AN431">
        <f>IF(AG431&lt;0,AG431*'Vehicle Data'!C$6)</f>
        <v>-568.3004268009754</v>
      </c>
      <c r="AO431">
        <f t="shared" si="290"/>
        <v>-468.20213697038207</v>
      </c>
      <c r="AP431">
        <f>AO431*'Vehicle Data'!F$3</f>
        <v>-119.67246620962966</v>
      </c>
      <c r="AQ431">
        <f>IF(AE431='Vehicle Data'!I$15,AP431/'Vehicle Data'!G$15,IF(AE431='Vehicle Data'!I$16,AP431/'Vehicle Data'!G$16,IF(AE431='Vehicle Data'!I$14,Data!AP431/'Vehicle Data'!G442)))</f>
        <v>-22.093056765564352</v>
      </c>
      <c r="AR431">
        <f>IF(Z431&lt;'Vehicle Data'!C$16, Z431*'Vehicle Data'!F$7*'Vehicle Data'!G$14,IF(Z431&lt;'Vehicle Data'!C$15,Z431*'Vehicle Data'!F$7*'Vehicle Data'!G$15,IF(Z431&gt;'Vehicle Data'!C$15,Z431*'Vehicle Data'!F$7*'Vehicle Data'!G$16)))</f>
        <v>93.9513242662849</v>
      </c>
      <c r="AS431">
        <f t="shared" si="308"/>
        <v>5637.0794559770939</v>
      </c>
      <c r="AT431">
        <f t="shared" si="309"/>
        <v>-22</v>
      </c>
      <c r="AU431">
        <f t="shared" si="310"/>
        <v>5500</v>
      </c>
      <c r="AW431" t="e">
        <f>VLOOKUP(AT431,BSFC!A$64:A$82,1,FALSE)</f>
        <v>#N/A</v>
      </c>
      <c r="AX431" t="e" cm="1">
        <f t="array" ref="AX431">_xlfn.XLOOKUP(AT431,BSFC!A$64:A$82,,-1,_xlfn.XLOOKUP(Data!AU431,BSFC!C$63:Q$63,BSFC!B$64:Q$82,,-1))</f>
        <v>#VALUE!</v>
      </c>
      <c r="AY431">
        <f>HLOOKUP(AU431,BSFC!F$63:Q$63,1)</f>
        <v>5500</v>
      </c>
      <c r="AZ431">
        <f>IF(AT431&gt;0,MATCH(AT431,BSFC!A$64:A$83,0),IF(AT431&lt;=0,0))</f>
        <v>0</v>
      </c>
      <c r="BA431">
        <f>MATCH(AU431,BSFC!C$63:Q$63,0)</f>
        <v>11</v>
      </c>
      <c r="BB431" t="b" cm="1">
        <f t="array" ref="BB431">IF(AZ431&gt;0,INDEX(BSFC!C$64:Q$83,Data!AZ431,Data!BA431))</f>
        <v>0</v>
      </c>
      <c r="BC431">
        <f>0.5*'Vehicle Data'!C$6*Data!Z431^2</f>
        <v>25602.480000000003</v>
      </c>
      <c r="BD431">
        <f t="shared" si="291"/>
        <v>0</v>
      </c>
      <c r="BE431">
        <v>0</v>
      </c>
      <c r="BF431">
        <f t="shared" si="312"/>
        <v>0</v>
      </c>
      <c r="BG431">
        <f t="shared" si="292"/>
        <v>161.66692400498354</v>
      </c>
      <c r="BH431">
        <f t="shared" si="316"/>
        <v>-12989.186108979826</v>
      </c>
      <c r="BI431" s="148">
        <f t="shared" si="293"/>
        <v>6871.6622130335309</v>
      </c>
      <c r="BO431">
        <f t="shared" si="294"/>
        <v>-116043.70822846222</v>
      </c>
      <c r="BP431">
        <f t="shared" si="295"/>
        <v>619827.66158526158</v>
      </c>
      <c r="BQ431">
        <f t="shared" si="296"/>
        <v>985513.21115329524</v>
      </c>
      <c r="BR431" s="148">
        <f t="shared" si="297"/>
        <v>988856.96907417593</v>
      </c>
      <c r="BS431" s="156" t="b">
        <f t="shared" si="298"/>
        <v>0</v>
      </c>
      <c r="BT431" s="156">
        <f t="shared" si="299"/>
        <v>0</v>
      </c>
      <c r="BU431">
        <f t="shared" si="300"/>
        <v>61390.541193534489</v>
      </c>
      <c r="BV431">
        <f t="shared" si="301"/>
        <v>61390.541193534489</v>
      </c>
      <c r="BW431" s="148">
        <f t="shared" si="302"/>
        <v>455.4</v>
      </c>
      <c r="BX431" s="148">
        <f t="shared" si="303"/>
        <v>3129354.9718154697</v>
      </c>
      <c r="BY431" s="148">
        <f t="shared" si="304"/>
        <v>7.7659034609821118</v>
      </c>
      <c r="BZ431">
        <f t="shared" si="287"/>
        <v>134.96973499679731</v>
      </c>
      <c r="CB431">
        <f t="shared" si="305"/>
        <v>61390.541193534489</v>
      </c>
      <c r="CC431" s="162">
        <f t="shared" si="288"/>
        <v>397360.71482718916</v>
      </c>
      <c r="CD431">
        <f t="shared" si="313"/>
        <v>2611.8174418538692</v>
      </c>
    </row>
    <row r="432" spans="4:82" x14ac:dyDescent="0.2">
      <c r="D432" s="22">
        <f t="shared" ref="D432:D450" si="319">ASIN((N432)/(G433-G432))</f>
        <v>0</v>
      </c>
      <c r="E432" s="23">
        <v>8.4017032</v>
      </c>
      <c r="F432" s="23">
        <f>IF(K432&lt;6,1,IF(Data!K432&lt;9,2,IF(K432&gt;9,3)))</f>
        <v>3</v>
      </c>
      <c r="G432" s="23">
        <v>129.93726966108719</v>
      </c>
      <c r="H432" s="23">
        <v>232.349998</v>
      </c>
      <c r="I432" s="64">
        <v>32.722997529767284</v>
      </c>
      <c r="J432" s="65">
        <f t="shared" ref="J432:J450" si="320">(I433-I432)/(H433-H432)</f>
        <v>1.0553921959995496</v>
      </c>
      <c r="K432" s="65">
        <f t="shared" ref="K432:K450" si="321">I432/2.5</f>
        <v>13.089199011906913</v>
      </c>
      <c r="L432" s="65">
        <f t="shared" ref="L432:L450" si="322">(K433-K432)/(H433-H432)</f>
        <v>0.42215687839981275</v>
      </c>
      <c r="M432">
        <f t="shared" ref="M432:M450" si="323">2*E432</f>
        <v>16.8034064</v>
      </c>
      <c r="N432">
        <f t="shared" ref="N432:N450" si="324">E433-E432</f>
        <v>0</v>
      </c>
      <c r="O432">
        <f>'Vehicle Data'!C$20</f>
        <v>0.9</v>
      </c>
      <c r="P432">
        <f>('Vehicle Data'!C$6*9.81*'Vehicle Data'!C$5*SIN(D432))/'Vehicle Data'!C$9</f>
        <v>0</v>
      </c>
      <c r="Q432" s="107">
        <f>'Vehicle Data'!C$6*9.81*SIN(D432)</f>
        <v>0</v>
      </c>
      <c r="R432">
        <f t="shared" ref="R432:R484" si="325">G$354+G432</f>
        <v>1217.1717291139259</v>
      </c>
      <c r="S432">
        <f>IF(Data!O432=0.6,'Vehicle Data'!E$21,IF(Data!O432 = 0.9,'Vehicle Data'!E$20))+(P432*O432)</f>
        <v>2325.5585999999998</v>
      </c>
      <c r="T432">
        <f>IF(F432=3,'Vehicle Data'!H$16,IF(F432=2,'Vehicle Data'!H$15,IF(F432 = 1,'Vehicle Data'!G$14)))</f>
        <v>466.23005239380637</v>
      </c>
      <c r="U432" s="148">
        <f t="shared" ref="U432:U450" si="326">R432-R$2</f>
        <v>501.03324699060988</v>
      </c>
      <c r="V432" s="70" t="s">
        <v>77</v>
      </c>
      <c r="W432" s="10"/>
      <c r="X432">
        <f>IF(V432="S",'Vehicle Data'!C$14,IF(Data!V432 = "T1",'Vehicle Data'!P$2,IF(Data!V432="T2",'Vehicle Data'!P$3)))</f>
        <v>13.411199999999999</v>
      </c>
      <c r="Z432">
        <v>10.5</v>
      </c>
      <c r="AB432" t="b">
        <f>IF(AA432=1,'Vehicle Data'!I$14,IF(AA432=2,'Vehicle Data'!I$15,IF(AA432=3,'Vehicle Data'!I$16)))</f>
        <v>0</v>
      </c>
      <c r="AC432">
        <f>IF(Z432&lt;'Vehicle Data'!C$16,'Vehicle Data'!I$15,IF(Z432&lt;'Vehicle Data'!C$15,'Vehicle Data'!I$15,IF(Z431&gt;'Vehicle Data'!C$15,'Vehicle Data'!I$16)))</f>
        <v>0.46202745420001456</v>
      </c>
      <c r="AD432">
        <f>IF(O432=0.6,'Vehicle Data'!F$21,IF(O432=0.9,'Vehicle Data'!F$20))</f>
        <v>5.2973999999999997</v>
      </c>
      <c r="AE432" s="100" t="b">
        <f t="shared" ref="AE432:AE435" si="327">IF(W432="a",AC432,IF(W432="b",AD432*-1))</f>
        <v>0</v>
      </c>
      <c r="AF432" s="158">
        <f t="shared" ref="AF432:AF452" si="328">(U432-U431)/Z432</f>
        <v>8.9338706255226885</v>
      </c>
      <c r="AG432" s="148">
        <f t="shared" si="289"/>
        <v>-3.3580069890753406E-2</v>
      </c>
      <c r="AH432" s="148">
        <f t="shared" si="307"/>
        <v>143.90360562232001</v>
      </c>
      <c r="AJ432">
        <f>(Z432^2)*'Vehicle Data'!C$31</f>
        <v>40.516875000000013</v>
      </c>
      <c r="AK432">
        <f>IF(O432=0.6,'Vehicle Data'!C$6*'Vehicle Data'!D$21*9.81,IF(O432=0.9,'Vehicle Data'!C$6*9.81*'Vehicle Data'!D$20))</f>
        <v>55.985669999999999</v>
      </c>
      <c r="AL432">
        <f t="shared" ref="AL432:AL450" si="329">AJ432+AK432+Q432</f>
        <v>96.502545000000012</v>
      </c>
      <c r="AN432">
        <f>IF(AG432&lt;0,AG432*'Vehicle Data'!C$6)</f>
        <v>-14.741650682040746</v>
      </c>
      <c r="AO432">
        <f t="shared" ref="AO432:AO451" si="330">AN432+AL432</f>
        <v>81.76089431795927</v>
      </c>
      <c r="AP432">
        <f>AO432*'Vehicle Data'!F$3</f>
        <v>20.89808458767039</v>
      </c>
      <c r="AQ432" t="b">
        <f>IF(AE432='Vehicle Data'!I$15,AP432/'Vehicle Data'!G$15,IF(AE432='Vehicle Data'!I$16,AP432/'Vehicle Data'!G$16,IF(AE432='Vehicle Data'!I$14,Data!AP432/'Vehicle Data'!G443)))</f>
        <v>0</v>
      </c>
      <c r="AR432">
        <f>IF(Z432&lt;'Vehicle Data'!C$16, Z432*'Vehicle Data'!F$7*'Vehicle Data'!G$14,IF(Z432&lt;'Vehicle Data'!C$15,Z432*'Vehicle Data'!F$7*'Vehicle Data'!G$15,IF(Z432&gt;'Vehicle Data'!C$15,Z432*'Vehicle Data'!F$7*'Vehicle Data'!G$16)))</f>
        <v>91.34156525888811</v>
      </c>
      <c r="AS432">
        <f t="shared" ref="AS432:AS452" si="331">AR432*60</f>
        <v>5480.4939155332868</v>
      </c>
      <c r="AT432">
        <f t="shared" ref="AT432:AT452" si="332">ROUND(AQ432,0)</f>
        <v>0</v>
      </c>
      <c r="AU432">
        <f t="shared" ref="AU432:AU452" si="333">MROUND(AS432,500)</f>
        <v>5500</v>
      </c>
      <c r="AW432" t="e">
        <f>VLOOKUP(AT432,BSFC!A$64:A$82,1,FALSE)</f>
        <v>#N/A</v>
      </c>
      <c r="AX432" t="e" cm="1">
        <f t="array" ref="AX432">_xlfn.XLOOKUP(AT432,BSFC!A$64:A$82,,-1,_xlfn.XLOOKUP(Data!AU432,BSFC!C$63:Q$63,BSFC!B$64:Q$82,,-1))</f>
        <v>#VALUE!</v>
      </c>
      <c r="AY432">
        <f>HLOOKUP(AU432,BSFC!F$63:Q$63,1)</f>
        <v>5500</v>
      </c>
      <c r="AZ432">
        <f>IF(AT432&gt;0,MATCH(AT432,BSFC!A$64:A$83,0),IF(AT432&lt;=0,0))</f>
        <v>0</v>
      </c>
      <c r="BA432">
        <f>MATCH(AU432,BSFC!C$63:Q$63,0)</f>
        <v>11</v>
      </c>
      <c r="BB432" t="b" cm="1">
        <f t="array" ref="BB432">IF(AZ432&gt;0,INDEX(BSFC!C$64:Q$83,Data!AZ432,Data!BA432))</f>
        <v>0</v>
      </c>
      <c r="BC432">
        <f>0.5*'Vehicle Data'!C$6*Data!Z432^2</f>
        <v>24199.875</v>
      </c>
      <c r="BD432">
        <f t="shared" si="291"/>
        <v>0</v>
      </c>
      <c r="BE432">
        <f t="shared" ref="BE432:BE452" si="334">BB432*BD432</f>
        <v>0</v>
      </c>
      <c r="BF432">
        <f t="shared" ref="BF432:BF452" si="335">(BE432/3600)*AF432</f>
        <v>0</v>
      </c>
      <c r="BG432">
        <f t="shared" si="292"/>
        <v>161.66692400498354</v>
      </c>
      <c r="BH432">
        <f t="shared" si="316"/>
        <v>0</v>
      </c>
      <c r="BI432" s="148">
        <f t="shared" si="293"/>
        <v>6871.6622130335309</v>
      </c>
      <c r="BO432">
        <f t="shared" si="294"/>
        <v>0</v>
      </c>
      <c r="BP432">
        <f t="shared" si="295"/>
        <v>619827.66158526158</v>
      </c>
      <c r="BQ432">
        <f t="shared" si="296"/>
        <v>985513.21115329524</v>
      </c>
      <c r="BR432" s="148">
        <f t="shared" si="297"/>
        <v>989982.16232494055</v>
      </c>
      <c r="BS432" s="156" t="b">
        <f t="shared" si="298"/>
        <v>0</v>
      </c>
      <c r="BT432" s="156">
        <f t="shared" si="299"/>
        <v>0</v>
      </c>
      <c r="BU432">
        <f t="shared" si="300"/>
        <v>1125.1932507646793</v>
      </c>
      <c r="BV432">
        <f t="shared" si="301"/>
        <v>1125.1932507646793</v>
      </c>
      <c r="BW432" s="148">
        <f t="shared" si="302"/>
        <v>455.4</v>
      </c>
      <c r="BX432" s="148">
        <f t="shared" si="303"/>
        <v>3129354.9718154697</v>
      </c>
      <c r="BY432" s="148">
        <f t="shared" si="304"/>
        <v>0.14233694622173193</v>
      </c>
      <c r="BZ432">
        <f t="shared" si="287"/>
        <v>143.90360562232001</v>
      </c>
      <c r="CB432">
        <f t="shared" si="305"/>
        <v>1125.1932507646793</v>
      </c>
      <c r="CC432" s="162">
        <f t="shared" si="288"/>
        <v>125.94689333760603</v>
      </c>
      <c r="CD432">
        <f t="shared" si="313"/>
        <v>3737.0106926185485</v>
      </c>
    </row>
    <row r="433" spans="4:82" x14ac:dyDescent="0.2">
      <c r="D433" s="22">
        <f t="shared" si="319"/>
        <v>0</v>
      </c>
      <c r="E433" s="23">
        <v>8.4017032</v>
      </c>
      <c r="F433" s="23">
        <f>IF(K433&lt;6,1,IF(Data!K433&lt;9,2,IF(K433&gt;9,3)))</f>
        <v>3</v>
      </c>
      <c r="G433" s="23">
        <v>131.60745815435024</v>
      </c>
      <c r="H433" s="23">
        <v>232.39999799999998</v>
      </c>
      <c r="I433" s="64">
        <v>32.775767139567243</v>
      </c>
      <c r="J433" s="65">
        <f t="shared" si="320"/>
        <v>1.4618999689659036</v>
      </c>
      <c r="K433" s="65">
        <f t="shared" si="321"/>
        <v>13.110306855826897</v>
      </c>
      <c r="L433" s="65">
        <f t="shared" si="322"/>
        <v>0.58475998758635428</v>
      </c>
      <c r="M433">
        <f t="shared" si="323"/>
        <v>16.8034064</v>
      </c>
      <c r="N433">
        <f t="shared" si="324"/>
        <v>0</v>
      </c>
      <c r="O433">
        <f>'Vehicle Data'!C$20</f>
        <v>0.9</v>
      </c>
      <c r="P433">
        <f>('Vehicle Data'!C$6*9.81*'Vehicle Data'!C$5*SIN(D433))/'Vehicle Data'!C$9</f>
        <v>0</v>
      </c>
      <c r="Q433" s="107">
        <f>'Vehicle Data'!C$6*9.81*SIN(D433)</f>
        <v>0</v>
      </c>
      <c r="R433">
        <f t="shared" si="325"/>
        <v>1218.8419176071891</v>
      </c>
      <c r="S433">
        <f>IF(Data!O433=0.6,'Vehicle Data'!E$21,IF(Data!O433 = 0.9,'Vehicle Data'!E$20))+(P433*O433)</f>
        <v>2325.5585999999998</v>
      </c>
      <c r="T433">
        <f>IF(F433=3,'Vehicle Data'!H$16,IF(F433=2,'Vehicle Data'!H$15,IF(F433 = 1,'Vehicle Data'!G$14)))</f>
        <v>466.23005239380637</v>
      </c>
      <c r="U433" s="148">
        <f t="shared" si="326"/>
        <v>502.70343548387302</v>
      </c>
      <c r="V433" s="70" t="s">
        <v>77</v>
      </c>
      <c r="W433" s="10"/>
      <c r="X433">
        <f>IF(V433="S",'Vehicle Data'!C$14,IF(Data!V433 = "T1",'Vehicle Data'!P$2,IF(Data!V433="T2",'Vehicle Data'!P$3)))</f>
        <v>13.411199999999999</v>
      </c>
      <c r="Z433">
        <v>10.199999999999999</v>
      </c>
      <c r="AB433" t="b">
        <f>IF(AA433=1,'Vehicle Data'!I$14,IF(AA433=2,'Vehicle Data'!I$15,IF(AA433=3,'Vehicle Data'!I$16)))</f>
        <v>0</v>
      </c>
      <c r="AC433">
        <f>IF(Z433&lt;'Vehicle Data'!C$16,'Vehicle Data'!I$15,IF(Z433&lt;'Vehicle Data'!C$15,'Vehicle Data'!I$15,IF(Z432&gt;'Vehicle Data'!C$15,'Vehicle Data'!I$16)))</f>
        <v>0.46202745420001456</v>
      </c>
      <c r="AD433">
        <f>IF(O433=0.6,'Vehicle Data'!F$21,IF(O433=0.9,'Vehicle Data'!F$20))</f>
        <v>5.2973999999999997</v>
      </c>
      <c r="AE433" s="100" t="b">
        <f t="shared" si="327"/>
        <v>0</v>
      </c>
      <c r="AF433" s="158">
        <f t="shared" si="328"/>
        <v>0.16374396992775886</v>
      </c>
      <c r="AG433" s="148">
        <f t="shared" si="289"/>
        <v>-1.8321285365950011</v>
      </c>
      <c r="AH433" s="148">
        <f t="shared" si="307"/>
        <v>144.06734959224778</v>
      </c>
      <c r="AJ433">
        <f>(Z433^2)*'Vehicle Data'!C$31</f>
        <v>38.234700000000011</v>
      </c>
      <c r="AK433">
        <f>IF(O433=0.6,'Vehicle Data'!C$6*'Vehicle Data'!D$21*9.81,IF(O433=0.9,'Vehicle Data'!C$6*9.81*'Vehicle Data'!D$20))</f>
        <v>55.985669999999999</v>
      </c>
      <c r="AL433">
        <f t="shared" si="329"/>
        <v>94.220370000000003</v>
      </c>
      <c r="AN433">
        <f>IF(AG433&lt;0,AG433*'Vehicle Data'!C$6)</f>
        <v>-804.30442756520551</v>
      </c>
      <c r="AO433">
        <f t="shared" si="330"/>
        <v>-710.08405756520551</v>
      </c>
      <c r="AP433">
        <f>AO433*'Vehicle Data'!F$3</f>
        <v>-181.49748511366653</v>
      </c>
      <c r="AQ433" t="b">
        <f>IF(AE433='Vehicle Data'!I$15,AP433/'Vehicle Data'!G$15,IF(AE433='Vehicle Data'!I$16,AP433/'Vehicle Data'!G$16,IF(AE433='Vehicle Data'!I$14,Data!AP433/'Vehicle Data'!G444)))</f>
        <v>0</v>
      </c>
      <c r="AR433">
        <f>IF(Z433&lt;'Vehicle Data'!C$16, Z433*'Vehicle Data'!F$7*'Vehicle Data'!G$14,IF(Z433&lt;'Vehicle Data'!C$15,Z433*'Vehicle Data'!F$7*'Vehicle Data'!G$15,IF(Z433&gt;'Vehicle Data'!C$15,Z433*'Vehicle Data'!F$7*'Vehicle Data'!G$16)))</f>
        <v>88.731806251491292</v>
      </c>
      <c r="AS433">
        <f t="shared" si="331"/>
        <v>5323.9083750894779</v>
      </c>
      <c r="AT433">
        <f t="shared" si="332"/>
        <v>0</v>
      </c>
      <c r="AU433">
        <f t="shared" si="333"/>
        <v>5500</v>
      </c>
      <c r="AW433" t="e">
        <f>VLOOKUP(AT433,BSFC!A$64:A$82,1,FALSE)</f>
        <v>#N/A</v>
      </c>
      <c r="AX433" t="e" cm="1">
        <f t="array" ref="AX433">_xlfn.XLOOKUP(AT433,BSFC!A$64:A$82,,-1,_xlfn.XLOOKUP(Data!AU433,BSFC!C$63:Q$63,BSFC!B$64:Q$82,,-1))</f>
        <v>#VALUE!</v>
      </c>
      <c r="AY433">
        <f>HLOOKUP(AU433,BSFC!F$63:Q$63,1)</f>
        <v>5500</v>
      </c>
      <c r="AZ433">
        <f>IF(AT433&gt;0,MATCH(AT433,BSFC!A$64:A$83,0),IF(AT433&lt;=0,0))</f>
        <v>0</v>
      </c>
      <c r="BA433">
        <f>MATCH(AU433,BSFC!C$63:Q$63,0)</f>
        <v>11</v>
      </c>
      <c r="BB433" t="b" cm="1">
        <f t="array" ref="BB433">IF(AZ433&gt;0,INDEX(BSFC!C$64:Q$83,Data!AZ433,Data!BA433))</f>
        <v>0</v>
      </c>
      <c r="BC433">
        <f>0.5*'Vehicle Data'!C$6*Data!Z433^2</f>
        <v>22836.78</v>
      </c>
      <c r="BD433">
        <f t="shared" si="291"/>
        <v>0</v>
      </c>
      <c r="BE433">
        <f t="shared" si="334"/>
        <v>0</v>
      </c>
      <c r="BF433">
        <f t="shared" si="335"/>
        <v>0</v>
      </c>
      <c r="BG433">
        <f t="shared" si="292"/>
        <v>161.66692400498354</v>
      </c>
      <c r="BH433">
        <f t="shared" si="316"/>
        <v>0</v>
      </c>
      <c r="BI433" s="148">
        <f t="shared" si="293"/>
        <v>6871.6622130335309</v>
      </c>
      <c r="BO433">
        <f t="shared" si="294"/>
        <v>0</v>
      </c>
      <c r="BP433">
        <f t="shared" si="295"/>
        <v>619827.66158526158</v>
      </c>
      <c r="BQ433">
        <f t="shared" si="296"/>
        <v>985513.21115329524</v>
      </c>
      <c r="BR433" s="148">
        <f t="shared" si="297"/>
        <v>991165.98603582697</v>
      </c>
      <c r="BS433" s="156" t="b">
        <f t="shared" si="298"/>
        <v>0</v>
      </c>
      <c r="BT433" s="156">
        <f t="shared" si="299"/>
        <v>0</v>
      </c>
      <c r="BU433">
        <f t="shared" si="300"/>
        <v>1183.8237108864648</v>
      </c>
      <c r="BV433">
        <f t="shared" si="301"/>
        <v>1183.8237108864648</v>
      </c>
      <c r="BW433" s="148">
        <f t="shared" si="302"/>
        <v>455.4</v>
      </c>
      <c r="BX433" s="148">
        <f t="shared" si="303"/>
        <v>3129354.9718154697</v>
      </c>
      <c r="BY433" s="148">
        <f t="shared" si="304"/>
        <v>0.14975369942713782</v>
      </c>
      <c r="BZ433">
        <f t="shared" si="287"/>
        <v>144.06734959224778</v>
      </c>
      <c r="CB433">
        <f t="shared" si="305"/>
        <v>1183.8237108864648</v>
      </c>
      <c r="CC433" s="162">
        <f t="shared" si="288"/>
        <v>7229.7240100426552</v>
      </c>
      <c r="CD433">
        <f t="shared" si="313"/>
        <v>4920.8344035050131</v>
      </c>
    </row>
    <row r="434" spans="4:82" x14ac:dyDescent="0.2">
      <c r="D434" s="22">
        <f t="shared" si="319"/>
        <v>0</v>
      </c>
      <c r="E434" s="23">
        <v>8.4017032</v>
      </c>
      <c r="F434" s="23">
        <f>IF(K434&lt;6,1,IF(Data!K434&lt;9,2,IF(K434&gt;9,3)))</f>
        <v>3</v>
      </c>
      <c r="G434" s="23">
        <v>133.27853709269192</v>
      </c>
      <c r="H434" s="23">
        <v>232.44999799999999</v>
      </c>
      <c r="I434" s="64">
        <v>32.848862138015555</v>
      </c>
      <c r="J434" s="65">
        <f t="shared" si="320"/>
        <v>1.4266446190293072</v>
      </c>
      <c r="K434" s="65">
        <f t="shared" si="321"/>
        <v>13.139544855206221</v>
      </c>
      <c r="L434" s="65">
        <f t="shared" si="322"/>
        <v>0.57065784761173</v>
      </c>
      <c r="M434">
        <f t="shared" si="323"/>
        <v>16.8034064</v>
      </c>
      <c r="N434">
        <f t="shared" si="324"/>
        <v>0</v>
      </c>
      <c r="O434">
        <f>'Vehicle Data'!C$20</f>
        <v>0.9</v>
      </c>
      <c r="P434">
        <f>('Vehicle Data'!C$6*9.81*'Vehicle Data'!C$5*SIN(D434))/'Vehicle Data'!C$9</f>
        <v>0</v>
      </c>
      <c r="Q434" s="107">
        <f>'Vehicle Data'!C$6*9.81*SIN(D434)</f>
        <v>0</v>
      </c>
      <c r="R434">
        <f t="shared" si="325"/>
        <v>1220.5129965455308</v>
      </c>
      <c r="S434">
        <f>IF(Data!O434=0.6,'Vehicle Data'!E$21,IF(Data!O434 = 0.9,'Vehicle Data'!E$20))+(P434*O434)</f>
        <v>2325.5585999999998</v>
      </c>
      <c r="T434">
        <f>IF(F434=3,'Vehicle Data'!H$16,IF(F434=2,'Vehicle Data'!H$15,IF(F434 = 1,'Vehicle Data'!G$14)))</f>
        <v>466.23005239380637</v>
      </c>
      <c r="U434" s="148">
        <f t="shared" si="326"/>
        <v>504.3745144222147</v>
      </c>
      <c r="V434" s="70" t="s">
        <v>77</v>
      </c>
      <c r="W434" s="10"/>
      <c r="X434">
        <f>IF(V434="S",'Vehicle Data'!C$14,IF(Data!V434 = "T1",'Vehicle Data'!P$2,IF(Data!V434="T2",'Vehicle Data'!P$3)))</f>
        <v>13.411199999999999</v>
      </c>
      <c r="Z434">
        <v>9.6999999999999993</v>
      </c>
      <c r="AB434" t="b">
        <f>IF(AA434=1,'Vehicle Data'!I$14,IF(AA434=2,'Vehicle Data'!I$15,IF(AA434=3,'Vehicle Data'!I$16)))</f>
        <v>0</v>
      </c>
      <c r="AC434">
        <f>IF(Z434&lt;'Vehicle Data'!C$16,'Vehicle Data'!I$15,IF(Z434&lt;'Vehicle Data'!C$15,'Vehicle Data'!I$15,IF(Z433&gt;'Vehicle Data'!C$15,'Vehicle Data'!I$16)))</f>
        <v>0.46202745420001456</v>
      </c>
      <c r="AD434">
        <f>IF(O434=0.6,'Vehicle Data'!F$21,IF(O434=0.9,'Vehicle Data'!F$20))</f>
        <v>5.2973999999999997</v>
      </c>
      <c r="AE434" s="100" t="b">
        <f t="shared" si="327"/>
        <v>0</v>
      </c>
      <c r="AF434" s="158">
        <f t="shared" si="328"/>
        <v>0.17227617921048244</v>
      </c>
      <c r="AG434" s="148">
        <f t="shared" si="289"/>
        <v>-2.9023165146303445</v>
      </c>
      <c r="AH434" s="148">
        <f t="shared" si="307"/>
        <v>144.23962577145826</v>
      </c>
      <c r="AJ434">
        <f>(Z434^2)*'Vehicle Data'!C$31</f>
        <v>34.578075000000005</v>
      </c>
      <c r="AK434">
        <f>IF(O434=0.6,'Vehicle Data'!C$6*'Vehicle Data'!D$21*9.81,IF(O434=0.9,'Vehicle Data'!C$6*9.81*'Vehicle Data'!D$20))</f>
        <v>55.985669999999999</v>
      </c>
      <c r="AL434">
        <f t="shared" si="329"/>
        <v>90.563745000000011</v>
      </c>
      <c r="AN434">
        <f>IF(AG434&lt;0,AG434*'Vehicle Data'!C$6)</f>
        <v>-1274.1169499227212</v>
      </c>
      <c r="AO434">
        <f t="shared" si="330"/>
        <v>-1183.5532049227213</v>
      </c>
      <c r="AP434">
        <f>AO434*'Vehicle Data'!F$3</f>
        <v>-302.51619917824758</v>
      </c>
      <c r="AQ434" t="b">
        <f>IF(AE434='Vehicle Data'!I$15,AP434/'Vehicle Data'!G$15,IF(AE434='Vehicle Data'!I$16,AP434/'Vehicle Data'!G$16,IF(AE434='Vehicle Data'!I$14,Data!AP434/'Vehicle Data'!G445)))</f>
        <v>0</v>
      </c>
      <c r="AR434">
        <f>IF(Z434&lt;'Vehicle Data'!C$16, Z434*'Vehicle Data'!F$7*'Vehicle Data'!G$14,IF(Z434&lt;'Vehicle Data'!C$15,Z434*'Vehicle Data'!F$7*'Vehicle Data'!G$15,IF(Z434&gt;'Vehicle Data'!C$15,Z434*'Vehicle Data'!F$7*'Vehicle Data'!G$16)))</f>
        <v>84.382207905829958</v>
      </c>
      <c r="AS434">
        <f t="shared" si="331"/>
        <v>5062.9324743497973</v>
      </c>
      <c r="AT434">
        <f t="shared" si="332"/>
        <v>0</v>
      </c>
      <c r="AU434">
        <v>5500</v>
      </c>
      <c r="AW434" t="e">
        <f>VLOOKUP(AT434,BSFC!A$64:A$82,1,FALSE)</f>
        <v>#N/A</v>
      </c>
      <c r="AX434" t="e" cm="1">
        <f t="array" ref="AX434">_xlfn.XLOOKUP(AT434,BSFC!A$64:A$82,,-1,_xlfn.XLOOKUP(Data!AU434,BSFC!C$63:Q$63,BSFC!B$64:Q$82,,-1))</f>
        <v>#VALUE!</v>
      </c>
      <c r="AY434">
        <f>HLOOKUP(AU434,BSFC!F$63:Q$63,1)</f>
        <v>5500</v>
      </c>
      <c r="AZ434">
        <f>IF(AT434&gt;0,MATCH(AT434,BSFC!A$64:A$83,0),IF(AT434&lt;=0,0))</f>
        <v>0</v>
      </c>
      <c r="BA434">
        <f>MATCH(AU434,BSFC!C$63:Q$63,0)</f>
        <v>11</v>
      </c>
      <c r="BB434" t="b" cm="1">
        <f t="array" ref="BB434">IF(AZ434&gt;0,INDEX(BSFC!C$64:Q$83,Data!AZ434,Data!BA434))</f>
        <v>0</v>
      </c>
      <c r="BC434">
        <f>0.5*'Vehicle Data'!C$6*Data!Z434^2</f>
        <v>20652.754999999997</v>
      </c>
      <c r="BD434">
        <f t="shared" si="291"/>
        <v>0</v>
      </c>
      <c r="BE434">
        <f t="shared" si="334"/>
        <v>0</v>
      </c>
      <c r="BF434">
        <f t="shared" si="335"/>
        <v>0</v>
      </c>
      <c r="BG434">
        <f t="shared" si="292"/>
        <v>161.66692400498354</v>
      </c>
      <c r="BH434">
        <f t="shared" si="316"/>
        <v>0</v>
      </c>
      <c r="BI434" s="148">
        <f t="shared" si="293"/>
        <v>6871.6622130335309</v>
      </c>
      <c r="BO434">
        <f t="shared" si="294"/>
        <v>0</v>
      </c>
      <c r="BP434">
        <f t="shared" si="295"/>
        <v>619827.66158526158</v>
      </c>
      <c r="BQ434">
        <f t="shared" si="296"/>
        <v>985513.21115329524</v>
      </c>
      <c r="BR434" s="148">
        <f t="shared" si="297"/>
        <v>992442.35274347418</v>
      </c>
      <c r="BS434" s="156" t="b">
        <f t="shared" si="298"/>
        <v>0</v>
      </c>
      <c r="BT434" s="156">
        <f t="shared" si="299"/>
        <v>0</v>
      </c>
      <c r="BU434">
        <f t="shared" si="300"/>
        <v>1276.3667076472709</v>
      </c>
      <c r="BV434">
        <f t="shared" si="301"/>
        <v>1276.3667076472709</v>
      </c>
      <c r="BW434" s="148">
        <f t="shared" si="302"/>
        <v>455.4</v>
      </c>
      <c r="BX434" s="148">
        <f t="shared" si="303"/>
        <v>3129354.9718154697</v>
      </c>
      <c r="BY434" s="148">
        <f t="shared" si="304"/>
        <v>0.16146038851737976</v>
      </c>
      <c r="BZ434">
        <f t="shared" si="287"/>
        <v>144.23962577145826</v>
      </c>
      <c r="CB434">
        <f t="shared" si="305"/>
        <v>1276.3667076472709</v>
      </c>
      <c r="CC434" s="162">
        <f t="shared" si="288"/>
        <v>7408.84034865797</v>
      </c>
      <c r="CD434">
        <f t="shared" si="313"/>
        <v>6197.2011111522843</v>
      </c>
    </row>
    <row r="435" spans="4:82" ht="16" thickBot="1" x14ac:dyDescent="0.25">
      <c r="D435" s="22">
        <f t="shared" si="319"/>
        <v>0</v>
      </c>
      <c r="E435" s="23">
        <v>8.4017032</v>
      </c>
      <c r="F435" s="23">
        <f>IF(K435&lt;6,1,IF(Data!K435&lt;9,2,IF(K435&gt;9,3)))</f>
        <v>3</v>
      </c>
      <c r="G435" s="23">
        <v>134.95022874642865</v>
      </c>
      <c r="H435" s="23">
        <v>232.49999799999998</v>
      </c>
      <c r="I435" s="64">
        <v>32.920194368966996</v>
      </c>
      <c r="J435" s="65">
        <f t="shared" si="320"/>
        <v>-1.0440577080092432</v>
      </c>
      <c r="K435" s="65">
        <f t="shared" si="321"/>
        <v>13.168077747586798</v>
      </c>
      <c r="L435" s="65">
        <f t="shared" si="322"/>
        <v>-0.41762308320369729</v>
      </c>
      <c r="M435">
        <f t="shared" si="323"/>
        <v>16.8034064</v>
      </c>
      <c r="N435">
        <f t="shared" si="324"/>
        <v>0</v>
      </c>
      <c r="O435">
        <f>'Vehicle Data'!C$20</f>
        <v>0.9</v>
      </c>
      <c r="P435">
        <f>('Vehicle Data'!C$6*9.81*'Vehicle Data'!C$5*SIN(D435))/'Vehicle Data'!C$9</f>
        <v>0</v>
      </c>
      <c r="Q435" s="107">
        <f>'Vehicle Data'!C$6*9.81*SIN(D435)</f>
        <v>0</v>
      </c>
      <c r="R435">
        <f t="shared" si="325"/>
        <v>1222.1846881992674</v>
      </c>
      <c r="S435">
        <f>IF(Data!O435=0.6,'Vehicle Data'!E$21,IF(Data!O435 = 0.9,'Vehicle Data'!E$20))+(P435*O435)</f>
        <v>2325.5585999999998</v>
      </c>
      <c r="T435">
        <f>IF(F435=3,'Vehicle Data'!H$16,IF(F435=2,'Vehicle Data'!H$15,IF(F435 = 1,'Vehicle Data'!G$14)))</f>
        <v>466.23005239380637</v>
      </c>
      <c r="U435" s="148">
        <f t="shared" si="326"/>
        <v>506.04620607595132</v>
      </c>
      <c r="V435" s="70" t="s">
        <v>77</v>
      </c>
      <c r="W435" s="10"/>
      <c r="X435">
        <f>IF(V435="S",'Vehicle Data'!C$14,IF(Data!V435 = "T1",'Vehicle Data'!P$2,IF(Data!V435="T2",'Vehicle Data'!P$3)))</f>
        <v>13.411199999999999</v>
      </c>
      <c r="Z435">
        <v>9</v>
      </c>
      <c r="AB435" t="b">
        <f>IF(AA435=1,'Vehicle Data'!I$14,IF(AA435=2,'Vehicle Data'!I$15,IF(AA435=3,'Vehicle Data'!I$16)))</f>
        <v>0</v>
      </c>
      <c r="AC435">
        <f>IF(Z435&lt;'Vehicle Data'!C$16,'Vehicle Data'!I$15,IF(Z435&lt;'Vehicle Data'!C$15,'Vehicle Data'!I$15,IF(Z434&gt;'Vehicle Data'!C$15,'Vehicle Data'!I$16)))</f>
        <v>0.46202745420001456</v>
      </c>
      <c r="AD435">
        <f>IF(O435=0.6,'Vehicle Data'!F$21,IF(O435=0.9,'Vehicle Data'!F$20))</f>
        <v>5.2973999999999997</v>
      </c>
      <c r="AE435" s="100" t="b">
        <f t="shared" si="327"/>
        <v>0</v>
      </c>
      <c r="AF435" s="158">
        <f t="shared" si="328"/>
        <v>0.18574351708184622</v>
      </c>
      <c r="AG435" s="148">
        <f t="shared" si="289"/>
        <v>-3.7686375869126594</v>
      </c>
      <c r="AH435" s="148">
        <f t="shared" si="307"/>
        <v>144.42536928854011</v>
      </c>
      <c r="AJ435">
        <f>(Z435^2)*'Vehicle Data'!C$31</f>
        <v>29.767500000000009</v>
      </c>
      <c r="AK435">
        <f>IF(O435=0.6,'Vehicle Data'!C$6*'Vehicle Data'!D$21*9.81,IF(O435=0.9,'Vehicle Data'!C$6*9.81*'Vehicle Data'!D$20))</f>
        <v>55.985669999999999</v>
      </c>
      <c r="AL435">
        <f t="shared" si="329"/>
        <v>85.753170000000011</v>
      </c>
      <c r="AN435">
        <f>IF(AG435&lt;0,AG435*'Vehicle Data'!C$6)</f>
        <v>-1654.4319006546575</v>
      </c>
      <c r="AO435">
        <f t="shared" si="330"/>
        <v>-1568.6787306546576</v>
      </c>
      <c r="AP435">
        <f>AO435*'Vehicle Data'!F$3</f>
        <v>-400.95428355533045</v>
      </c>
      <c r="AQ435" t="b">
        <f>IF(AE435='Vehicle Data'!I$15,AP435/'Vehicle Data'!G$15,IF(AE435='Vehicle Data'!I$16,AP435/'Vehicle Data'!G$16,IF(AE435='Vehicle Data'!I$14,Data!AP435/'Vehicle Data'!G446)))</f>
        <v>0</v>
      </c>
      <c r="AR435" t="b">
        <f>IF(Z435&lt;'Vehicle Data'!C$16, Z435*'Vehicle Data'!F$7*'Vehicle Data'!G$14,IF(Z435&lt;'Vehicle Data'!C$15,Z435*'Vehicle Data'!F$7*'Vehicle Data'!G$15,IF(Z435&gt;'Vehicle Data'!C$15,Z435*'Vehicle Data'!F$7*'Vehicle Data'!G$16)))</f>
        <v>0</v>
      </c>
      <c r="AS435">
        <f t="shared" si="331"/>
        <v>0</v>
      </c>
      <c r="AT435">
        <f t="shared" si="332"/>
        <v>0</v>
      </c>
      <c r="AU435">
        <v>6000</v>
      </c>
      <c r="AW435" t="e">
        <f>VLOOKUP(AT435,BSFC!A$64:A$82,1,FALSE)</f>
        <v>#N/A</v>
      </c>
      <c r="AX435" t="e" cm="1">
        <f t="array" ref="AX435">_xlfn.XLOOKUP(AT435,BSFC!A$64:A$82,,-1,_xlfn.XLOOKUP(Data!AU435,BSFC!C$63:Q$63,BSFC!B$64:Q$82,,-1))</f>
        <v>#VALUE!</v>
      </c>
      <c r="AY435">
        <f>HLOOKUP(AU435,BSFC!F$63:Q$63,1)</f>
        <v>6000</v>
      </c>
      <c r="AZ435">
        <f>IF(AT435&gt;0,MATCH(AT435,BSFC!A$64:A$83,0),IF(AT435&lt;=0,0))</f>
        <v>0</v>
      </c>
      <c r="BA435">
        <f>MATCH(AU435,BSFC!C$63:Q$63,0)</f>
        <v>12</v>
      </c>
      <c r="BB435" t="b" cm="1">
        <f t="array" ref="BB435">IF(AZ435&gt;0,INDEX(BSFC!C$64:Q$83,Data!AZ435,Data!BA435))</f>
        <v>0</v>
      </c>
      <c r="BC435">
        <f>0.5*'Vehicle Data'!C$6*Data!Z435^2</f>
        <v>17779.5</v>
      </c>
      <c r="BD435">
        <f t="shared" si="291"/>
        <v>13.465906457145509</v>
      </c>
      <c r="BE435">
        <f t="shared" si="334"/>
        <v>0</v>
      </c>
      <c r="BF435">
        <f t="shared" si="335"/>
        <v>0</v>
      </c>
      <c r="BG435">
        <f t="shared" si="292"/>
        <v>161.66692400498354</v>
      </c>
      <c r="BH435">
        <f t="shared" si="316"/>
        <v>0</v>
      </c>
      <c r="BI435" s="148">
        <f t="shared" si="293"/>
        <v>6871.6622130335309</v>
      </c>
      <c r="BO435">
        <f t="shared" si="294"/>
        <v>0</v>
      </c>
      <c r="BP435">
        <f t="shared" si="295"/>
        <v>619827.66158526158</v>
      </c>
      <c r="BQ435">
        <f t="shared" si="296"/>
        <v>985513.21115329524</v>
      </c>
      <c r="BR435" s="148">
        <f t="shared" si="297"/>
        <v>994127.9714843313</v>
      </c>
      <c r="BS435" s="156" t="b">
        <f t="shared" si="298"/>
        <v>0</v>
      </c>
      <c r="BT435" s="156">
        <f t="shared" si="299"/>
        <v>0</v>
      </c>
      <c r="BU435">
        <f t="shared" si="300"/>
        <v>1685.618740857125</v>
      </c>
      <c r="BV435">
        <f t="shared" si="301"/>
        <v>1685.618740857125</v>
      </c>
      <c r="BW435" s="148">
        <f t="shared" si="302"/>
        <v>455.4</v>
      </c>
      <c r="BX435" s="148">
        <f t="shared" si="303"/>
        <v>3129354.9718154697</v>
      </c>
      <c r="BY435" s="148">
        <f t="shared" si="304"/>
        <v>0.2132307707184263</v>
      </c>
      <c r="BZ435">
        <f t="shared" si="287"/>
        <v>144.42536928854011</v>
      </c>
      <c r="CB435">
        <f t="shared" si="305"/>
        <v>1685.618740857125</v>
      </c>
      <c r="CC435" s="162">
        <f t="shared" si="288"/>
        <v>9074.9802057122251</v>
      </c>
      <c r="CD435">
        <f t="shared" si="313"/>
        <v>7882.8198520094093</v>
      </c>
    </row>
    <row r="436" spans="4:82" x14ac:dyDescent="0.2">
      <c r="D436" s="22">
        <f t="shared" si="319"/>
        <v>4.2415328728376389E-2</v>
      </c>
      <c r="E436" s="23">
        <v>8.4017032</v>
      </c>
      <c r="F436" s="23">
        <f>IF(K436&lt;6,1,IF(Data!K436&lt;9,2,IF(K436&gt;9,3)))</f>
        <v>3</v>
      </c>
      <c r="G436" s="23">
        <v>1022.3895581216832</v>
      </c>
      <c r="H436" s="23">
        <v>219.01666499999999</v>
      </c>
      <c r="I436" s="64">
        <v>46.997572117272377</v>
      </c>
      <c r="J436" s="65">
        <f t="shared" si="320"/>
        <v>1.3397314169050185</v>
      </c>
      <c r="K436" s="65">
        <f t="shared" si="321"/>
        <v>18.79902884690895</v>
      </c>
      <c r="L436" s="65">
        <f t="shared" si="322"/>
        <v>0.53589256676199315</v>
      </c>
      <c r="M436">
        <f t="shared" si="323"/>
        <v>16.8034064</v>
      </c>
      <c r="N436">
        <f t="shared" si="324"/>
        <v>9.9998399999998711E-2</v>
      </c>
      <c r="O436">
        <f>IF(L436&lt;'Vehicle Data'!F$21,'Vehicle Data'!C$21,IF(L436&gt;'Vehicle Data'!C$21,'Vehicle Data'!C$20))</f>
        <v>0.6</v>
      </c>
      <c r="P436">
        <f>('Vehicle Data'!C$6*9.81*'Vehicle Data'!C$5*SIN(D436))/'Vehicle Data'!C$9</f>
        <v>28.238762545357893</v>
      </c>
      <c r="Q436" s="107">
        <f>'Vehicle Data'!C$6*9.81*SIN(D436)</f>
        <v>182.61066445998102</v>
      </c>
      <c r="R436" s="101">
        <f t="shared" ref="R436:R482" si="336">G435</f>
        <v>134.95022874642865</v>
      </c>
      <c r="S436" s="101">
        <f>IF(Data!O436=0.6,'Vehicle Data'!E$21,IF(Data!O436 = 0.9,'Vehicle Data'!E$20))+(P436*O436)</f>
        <v>1567.3156575272144</v>
      </c>
      <c r="T436" s="101">
        <f>IF(F436=3,'Vehicle Data'!H$16,IF(F436=2,'Vehicle Data'!H$15,IF(F436 = 1,'Vehicle Data'!G$14)))</f>
        <v>466.23005239380637</v>
      </c>
      <c r="U436" s="148">
        <f t="shared" si="326"/>
        <v>-581.18825337688736</v>
      </c>
      <c r="V436" s="102" t="s">
        <v>77</v>
      </c>
      <c r="W436" s="103" t="s">
        <v>84</v>
      </c>
      <c r="X436" s="101">
        <f>IF(V436="S",'Vehicle Data'!C$14,IF(Data!V436 = "T1",'Vehicle Data'!P$2,IF(Data!V436="T2",'Vehicle Data'!P$3)))</f>
        <v>13.411199999999999</v>
      </c>
      <c r="Y436" s="101"/>
      <c r="Z436" s="104">
        <v>8.3000000000000007</v>
      </c>
      <c r="AA436" s="101"/>
      <c r="AB436" s="101" t="b">
        <f>IF(AA436=1,'Vehicle Data'!I$14,IF(AA436=2,'Vehicle Data'!I$15,IF(AA436=3,'Vehicle Data'!I$16)))</f>
        <v>0</v>
      </c>
      <c r="AC436" s="101">
        <f>IF(Z436&lt;'Vehicle Data'!C$16,'Vehicle Data'!I$15,IF(Z436&lt;'Vehicle Data'!C$15,'Vehicle Data'!I$15,IF(Z435&gt;'Vehicle Data'!C$15,'Vehicle Data'!I$16)))</f>
        <v>0.98256251041858167</v>
      </c>
      <c r="AD436">
        <f>IF(O436=0.6,'Vehicle Data'!F$21,IF(O436=0.9,'Vehicle Data'!F$20))</f>
        <v>3.5315999999999996</v>
      </c>
      <c r="AE436" s="101">
        <f>(Data!H$15-Data!Q436)/'Vehicle Data'!C$6</f>
        <v>6.5845103735806293E-2</v>
      </c>
      <c r="AF436" s="158">
        <v>0.24529999999999999</v>
      </c>
      <c r="AG436" s="148">
        <f t="shared" si="289"/>
        <v>-2.8536485935589049</v>
      </c>
      <c r="AH436" s="148">
        <f t="shared" si="307"/>
        <v>144.6706692885401</v>
      </c>
      <c r="AI436" s="101"/>
      <c r="AJ436" s="101">
        <f>(Z436^2)*'Vehicle Data'!C$31</f>
        <v>25.317075000000013</v>
      </c>
      <c r="AK436" s="101">
        <f>IF(O436=0.6,'Vehicle Data'!C$6*'Vehicle Data'!D$21*9.81,IF(O436=0.9,'Vehicle Data'!C$6*9.81*'Vehicle Data'!D$20))</f>
        <v>86.131799999999998</v>
      </c>
      <c r="AL436" s="101">
        <f t="shared" si="329"/>
        <v>294.05953945998101</v>
      </c>
      <c r="AM436" s="101"/>
      <c r="AN436">
        <f>IF(AG436&lt;0,AG436*'Vehicle Data'!C$6)</f>
        <v>-1252.7517325723593</v>
      </c>
      <c r="AO436" s="101">
        <f t="shared" si="330"/>
        <v>-958.69219311237828</v>
      </c>
      <c r="AP436" s="101">
        <f>AO436*'Vehicle Data'!F$3</f>
        <v>-245.04172455952389</v>
      </c>
      <c r="AQ436">
        <v>20</v>
      </c>
      <c r="AR436">
        <f>IF(Z436&lt;'Vehicle Data'!C$16, Z436*'Vehicle Data'!F$7*'Vehicle Data'!G$14,IF(Z436&lt;'Vehicle Data'!C$15,Z436*'Vehicle Data'!F$7*'Vehicle Data'!G$15,IF(Z436&gt;'Vehicle Data'!C$15,Z436*'Vehicle Data'!F$7*'Vehicle Data'!G$16)))</f>
        <v>107.59259259259261</v>
      </c>
      <c r="AS436">
        <f t="shared" si="331"/>
        <v>6455.5555555555566</v>
      </c>
      <c r="AT436">
        <f t="shared" si="332"/>
        <v>20</v>
      </c>
      <c r="AU436">
        <f t="shared" si="333"/>
        <v>6500</v>
      </c>
      <c r="AW436">
        <f>VLOOKUP(AT436,BSFC!A$64:A$82,1,FALSE)</f>
        <v>20</v>
      </c>
      <c r="AX436" t="e" cm="1">
        <f t="array" ref="AX436">_xlfn.XLOOKUP(AT436,BSFC!A$64:A$82,,-1,_xlfn.XLOOKUP(Data!AU436,BSFC!C$63:Q$63,BSFC!B$64:Q$82,,-1))</f>
        <v>#VALUE!</v>
      </c>
      <c r="AY436">
        <f>HLOOKUP(AU436,BSFC!F$63:Q$63,1)</f>
        <v>6500</v>
      </c>
      <c r="AZ436">
        <f>IF(AT436&gt;0,MATCH(AT436,BSFC!A$64:A$83,0),IF(AT436&lt;=0,0))</f>
        <v>3</v>
      </c>
      <c r="BA436">
        <f>MATCH(AU436,BSFC!C$63:Q$63,0)</f>
        <v>13</v>
      </c>
      <c r="BB436" cm="1">
        <f t="array" ref="BB436">IF(AZ436&gt;0,INDEX(BSFC!C$64:Q$83,Data!AZ436,Data!BA436))</f>
        <v>494.7</v>
      </c>
      <c r="BC436">
        <f>0.5*'Vehicle Data'!C$6*Data!Z436^2</f>
        <v>15121.355000000003</v>
      </c>
      <c r="BD436">
        <f t="shared" si="291"/>
        <v>13.465906457145509</v>
      </c>
      <c r="BE436">
        <f t="shared" si="334"/>
        <v>6661.5839243498831</v>
      </c>
      <c r="BF436">
        <f t="shared" si="335"/>
        <v>0.45391292684528506</v>
      </c>
      <c r="BG436">
        <f t="shared" si="292"/>
        <v>162.12083693182882</v>
      </c>
      <c r="BH436">
        <f t="shared" si="316"/>
        <v>13465.906457145509</v>
      </c>
      <c r="BI436" s="148">
        <f t="shared" si="293"/>
        <v>6871.6622130335309</v>
      </c>
      <c r="BO436">
        <f t="shared" si="294"/>
        <v>2545.0563204005011</v>
      </c>
      <c r="BP436">
        <f t="shared" si="295"/>
        <v>622372.71790566202</v>
      </c>
      <c r="BQ436">
        <f t="shared" si="296"/>
        <v>988058.2674736958</v>
      </c>
      <c r="BR436" s="148">
        <f t="shared" si="297"/>
        <v>995426.71564259462</v>
      </c>
      <c r="BS436" s="156">
        <f t="shared" si="298"/>
        <v>2545.0563204005011</v>
      </c>
      <c r="BT436" s="156">
        <f t="shared" si="299"/>
        <v>13465.906457145509</v>
      </c>
      <c r="BU436">
        <f t="shared" si="300"/>
        <v>1298.7441582633373</v>
      </c>
      <c r="BV436">
        <f t="shared" si="301"/>
        <v>1298.7441582633373</v>
      </c>
      <c r="BW436" s="148">
        <f t="shared" si="302"/>
        <v>455.4</v>
      </c>
      <c r="BX436" s="148">
        <f t="shared" si="303"/>
        <v>3129354.9718154697</v>
      </c>
      <c r="BY436" s="148">
        <f t="shared" si="304"/>
        <v>0.16429113602031217</v>
      </c>
      <c r="BZ436">
        <f t="shared" si="287"/>
        <v>144.6706692885401</v>
      </c>
      <c r="CB436">
        <f t="shared" si="305"/>
        <v>-1246.3121621371638</v>
      </c>
      <c r="CC436" s="162">
        <f t="shared" si="288"/>
        <v>-5080.767069454686</v>
      </c>
      <c r="CD436">
        <f t="shared" si="313"/>
        <v>6636.5076898722455</v>
      </c>
    </row>
    <row r="437" spans="4:82" x14ac:dyDescent="0.2">
      <c r="D437" s="22">
        <f t="shared" si="319"/>
        <v>4.9062920242046774E-2</v>
      </c>
      <c r="E437" s="23">
        <v>8.5017015999999987</v>
      </c>
      <c r="F437" s="23">
        <f>IF(K437&lt;6,1,IF(Data!K437&lt;9,2,IF(K437&gt;9,3)))</f>
        <v>3</v>
      </c>
      <c r="G437" s="23">
        <v>1024.7478656757876</v>
      </c>
      <c r="H437" s="23">
        <v>219.066665</v>
      </c>
      <c r="I437" s="64">
        <v>47.064558688117643</v>
      </c>
      <c r="J437" s="65">
        <f t="shared" si="320"/>
        <v>1.4354312780726908</v>
      </c>
      <c r="K437" s="65">
        <f t="shared" si="321"/>
        <v>18.825823475247056</v>
      </c>
      <c r="L437" s="65">
        <f t="shared" si="322"/>
        <v>0.57417251122911894</v>
      </c>
      <c r="M437">
        <f t="shared" si="323"/>
        <v>17.003403199999997</v>
      </c>
      <c r="N437">
        <f t="shared" si="324"/>
        <v>0.11580771547588853</v>
      </c>
      <c r="O437">
        <f>IF(L437&lt;'Vehicle Data'!F$21,'Vehicle Data'!C$21,IF(L437&gt;'Vehicle Data'!C$21,'Vehicle Data'!C$20))</f>
        <v>0.6</v>
      </c>
      <c r="P437">
        <f>('Vehicle Data'!C$6*9.81*'Vehicle Data'!C$5*SIN(D437))/'Vehicle Data'!C$9</f>
        <v>32.661204407245584</v>
      </c>
      <c r="Q437" s="107">
        <f>'Vehicle Data'!C$6*9.81*SIN(D437)</f>
        <v>211.20912183352144</v>
      </c>
      <c r="R437" s="101">
        <f t="shared" si="336"/>
        <v>1022.3895581216832</v>
      </c>
      <c r="S437" s="101">
        <f>IF(Data!O437=0.6,'Vehicle Data'!E$21,IF(Data!O437 = 0.9,'Vehicle Data'!E$20))+(P437*O437)</f>
        <v>1569.9691226443472</v>
      </c>
      <c r="T437" s="101">
        <f>IF(F437=3,'Vehicle Data'!H$16,IF(F437=2,'Vehicle Data'!H$15,IF(F437 = 1,'Vehicle Data'!G$14)))</f>
        <v>466.23005239380637</v>
      </c>
      <c r="U437" s="148">
        <f t="shared" si="326"/>
        <v>306.25107599836713</v>
      </c>
      <c r="V437" s="102" t="s">
        <v>77</v>
      </c>
      <c r="W437" s="103" t="s">
        <v>84</v>
      </c>
      <c r="X437" s="101">
        <f>IF(V437="S",'Vehicle Data'!C$14,IF(Data!V437 = "T1",'Vehicle Data'!P$2,IF(Data!V437="T2",'Vehicle Data'!P$3)))</f>
        <v>13.411199999999999</v>
      </c>
      <c r="Y437" s="101"/>
      <c r="Z437" s="105">
        <v>8.3000000000000007</v>
      </c>
      <c r="AA437" s="101"/>
      <c r="AB437" s="101" t="b">
        <f>IF(AA437=1,'Vehicle Data'!I$14,IF(AA437=2,'Vehicle Data'!I$15,IF(AA437=3,'Vehicle Data'!I$16)))</f>
        <v>0</v>
      </c>
      <c r="AC437" s="101">
        <f>IF(Z437&lt;'Vehicle Data'!C$16,'Vehicle Data'!I$15,IF(Z437&lt;'Vehicle Data'!C$15,'Vehicle Data'!I$15,IF(Z436&gt;'Vehicle Data'!C$15,'Vehicle Data'!I$16)))</f>
        <v>0.98256251041858167</v>
      </c>
      <c r="AD437">
        <f>IF(O437=0.6,'Vehicle Data'!F$21,IF(O437=0.9,'Vehicle Data'!F$20))</f>
        <v>3.5315999999999996</v>
      </c>
      <c r="AE437" s="101">
        <f>(Data!H$15-Data!Q437)/'Vehicle Data'!C$6</f>
        <v>7.0055390997392393E-4</v>
      </c>
      <c r="AF437" s="158">
        <v>0.189</v>
      </c>
      <c r="AG437" s="148">
        <f t="shared" si="289"/>
        <v>0</v>
      </c>
      <c r="AH437" s="148">
        <f t="shared" si="307"/>
        <v>144.85966928854009</v>
      </c>
      <c r="AI437" s="101"/>
      <c r="AJ437" s="101">
        <f>(Z437^2)*'Vehicle Data'!C$31</f>
        <v>25.317075000000013</v>
      </c>
      <c r="AK437" s="101">
        <f>IF(O437=0.6,'Vehicle Data'!C$6*'Vehicle Data'!D$21*9.81,IF(O437=0.9,'Vehicle Data'!C$6*9.81*'Vehicle Data'!D$20))</f>
        <v>86.131799999999998</v>
      </c>
      <c r="AL437" s="101">
        <f t="shared" si="329"/>
        <v>322.65799683352145</v>
      </c>
      <c r="AM437" s="101"/>
      <c r="AN437" t="b">
        <f>IF(AG437&gt;0,AG437*'Vehicle Data'!C$6)</f>
        <v>0</v>
      </c>
      <c r="AO437" s="101">
        <f t="shared" si="330"/>
        <v>322.65799683352145</v>
      </c>
      <c r="AP437" s="101">
        <f>AO437*'Vehicle Data'!F$3</f>
        <v>82.471383990648079</v>
      </c>
      <c r="AQ437">
        <v>20</v>
      </c>
      <c r="AR437">
        <f>IF(Z437&lt;'Vehicle Data'!C$16, Z437*'Vehicle Data'!F$7*'Vehicle Data'!G$14,IF(Z437&lt;'Vehicle Data'!C$15,Z437*'Vehicle Data'!F$7*'Vehicle Data'!G$15,IF(Z437&gt;'Vehicle Data'!C$15,Z437*'Vehicle Data'!F$7*'Vehicle Data'!G$16)))</f>
        <v>107.59259259259261</v>
      </c>
      <c r="AS437">
        <f t="shared" si="331"/>
        <v>6455.5555555555566</v>
      </c>
      <c r="AT437">
        <f t="shared" si="332"/>
        <v>20</v>
      </c>
      <c r="AU437">
        <f t="shared" si="333"/>
        <v>6500</v>
      </c>
      <c r="AW437">
        <f>VLOOKUP(AT437,BSFC!A$64:A$82,1,FALSE)</f>
        <v>20</v>
      </c>
      <c r="AX437" t="e" cm="1">
        <f t="array" ref="AX437">_xlfn.XLOOKUP(AT437,BSFC!A$64:A$82,,-1,_xlfn.XLOOKUP(Data!AU437,BSFC!C$63:Q$63,BSFC!B$64:Q$82,,-1))</f>
        <v>#VALUE!</v>
      </c>
      <c r="AY437">
        <f>HLOOKUP(AU437,BSFC!F$63:Q$63,1)</f>
        <v>6500</v>
      </c>
      <c r="AZ437">
        <f>IF(AT437&gt;0,MATCH(AT437,BSFC!A$64:A$83,0),IF(AT437&lt;=0,0))</f>
        <v>3</v>
      </c>
      <c r="BA437">
        <f>MATCH(AU437,BSFC!C$63:Q$63,0)</f>
        <v>13</v>
      </c>
      <c r="BB437" cm="1">
        <f t="array" ref="BB437">IF(AZ437&gt;0,INDEX(BSFC!C$64:Q$83,Data!AZ437,Data!BA437))</f>
        <v>494.7</v>
      </c>
      <c r="BC437">
        <f>0.5*'Vehicle Data'!C$6*Data!Z437^2</f>
        <v>15121.355000000003</v>
      </c>
      <c r="BD437">
        <f t="shared" si="291"/>
        <v>13.465906457145509</v>
      </c>
      <c r="BE437">
        <f t="shared" si="334"/>
        <v>6661.5839243498831</v>
      </c>
      <c r="BF437">
        <f t="shared" si="335"/>
        <v>0.34973315602836885</v>
      </c>
      <c r="BG437">
        <f t="shared" si="292"/>
        <v>162.4705700878572</v>
      </c>
      <c r="BH437">
        <f t="shared" si="316"/>
        <v>13465.906457145509</v>
      </c>
      <c r="BI437" s="148">
        <f t="shared" si="293"/>
        <v>6871.6622130335309</v>
      </c>
      <c r="BO437">
        <f t="shared" si="294"/>
        <v>3826.1143278011168</v>
      </c>
      <c r="BP437">
        <f t="shared" si="295"/>
        <v>626198.83223346318</v>
      </c>
      <c r="BQ437">
        <f t="shared" si="296"/>
        <v>991884.38180149696</v>
      </c>
      <c r="BR437" s="148">
        <f t="shared" si="297"/>
        <v>997379.18466744409</v>
      </c>
      <c r="BS437" s="156">
        <f t="shared" si="298"/>
        <v>3826.1143278011168</v>
      </c>
      <c r="BT437" s="156">
        <f t="shared" si="299"/>
        <v>13465.906457145509</v>
      </c>
      <c r="BU437">
        <f t="shared" si="300"/>
        <v>1952.4690248494737</v>
      </c>
      <c r="BV437">
        <f t="shared" si="301"/>
        <v>1952.4690248494737</v>
      </c>
      <c r="BW437" s="148">
        <f t="shared" si="302"/>
        <v>455.4</v>
      </c>
      <c r="BX437" s="148">
        <f t="shared" si="303"/>
        <v>3129354.9718154697</v>
      </c>
      <c r="BY437" s="148">
        <f t="shared" si="304"/>
        <v>0.2469873316434584</v>
      </c>
      <c r="BZ437">
        <f t="shared" si="287"/>
        <v>144.85966928854009</v>
      </c>
      <c r="CB437">
        <f t="shared" si="305"/>
        <v>-1873.6453029516431</v>
      </c>
      <c r="CC437" s="162">
        <f t="shared" si="288"/>
        <v>-9913.4672113847246</v>
      </c>
      <c r="CD437">
        <f t="shared" si="313"/>
        <v>4762.8623869206021</v>
      </c>
    </row>
    <row r="438" spans="4:82" x14ac:dyDescent="0.2">
      <c r="D438" s="22">
        <f t="shared" si="319"/>
        <v>0.12049093976819797</v>
      </c>
      <c r="E438" s="23">
        <v>8.6175093154758873</v>
      </c>
      <c r="F438" s="23">
        <f>IF(K438&lt;6,1,IF(Data!K438&lt;9,2,IF(K438&gt;9,3)))</f>
        <v>3</v>
      </c>
      <c r="G438" s="23">
        <v>1027.109204736628</v>
      </c>
      <c r="H438" s="23">
        <v>219.11666499999998</v>
      </c>
      <c r="I438" s="64">
        <v>47.136330252021253</v>
      </c>
      <c r="J438" s="65">
        <f t="shared" si="320"/>
        <v>1.6751852609225637</v>
      </c>
      <c r="K438" s="65">
        <f t="shared" si="321"/>
        <v>18.854532100808502</v>
      </c>
      <c r="L438" s="65">
        <f t="shared" si="322"/>
        <v>0.67007410436899706</v>
      </c>
      <c r="M438">
        <f t="shared" si="323"/>
        <v>17.235018630951775</v>
      </c>
      <c r="N438">
        <f t="shared" si="324"/>
        <v>0.28419388452411276</v>
      </c>
      <c r="O438">
        <f>IF(L438&lt;'Vehicle Data'!F$21,'Vehicle Data'!C$21,IF(L438&gt;'Vehicle Data'!C$21,'Vehicle Data'!C$20))</f>
        <v>0.6</v>
      </c>
      <c r="P438">
        <f>('Vehicle Data'!C$6*9.81*'Vehicle Data'!C$5*SIN(D438))/'Vehicle Data'!C$9</f>
        <v>80.049031598978715</v>
      </c>
      <c r="Q438" s="107">
        <f>'Vehicle Data'!C$6*9.81*SIN(D438)</f>
        <v>517.65040434006244</v>
      </c>
      <c r="R438" s="101">
        <f t="shared" si="336"/>
        <v>1024.7478656757876</v>
      </c>
      <c r="S438" s="101">
        <f>IF(Data!O438=0.6,'Vehicle Data'!E$21,IF(Data!O438 = 0.9,'Vehicle Data'!E$20))+(P438*O438)</f>
        <v>1598.4018189593869</v>
      </c>
      <c r="T438" s="101">
        <f>IF(F438=3,'Vehicle Data'!H$16,IF(F438=2,'Vehicle Data'!H$15,IF(F438 = 1,'Vehicle Data'!G$14)))</f>
        <v>466.23005239380637</v>
      </c>
      <c r="U438" s="148">
        <f t="shared" si="326"/>
        <v>308.60938355247151</v>
      </c>
      <c r="V438" s="102" t="s">
        <v>77</v>
      </c>
      <c r="W438" s="103" t="s">
        <v>84</v>
      </c>
      <c r="X438" s="101">
        <f>IF(V438="S",'Vehicle Data'!C$14,IF(Data!V438 = "T1",'Vehicle Data'!P$2,IF(Data!V438="T2",'Vehicle Data'!P$3)))</f>
        <v>13.411199999999999</v>
      </c>
      <c r="Y438" s="101"/>
      <c r="Z438" s="105">
        <v>8.3000000000000007</v>
      </c>
      <c r="AA438" s="101"/>
      <c r="AB438" s="101" t="b">
        <f>IF(AA438=1,'Vehicle Data'!I$14,IF(AA438=2,'Vehicle Data'!I$15,IF(AA438=3,'Vehicle Data'!I$16)))</f>
        <v>0</v>
      </c>
      <c r="AC438" s="101">
        <f>IF(Z438&lt;'Vehicle Data'!C$16,'Vehicle Data'!I$15,IF(Z438&lt;'Vehicle Data'!C$15,'Vehicle Data'!I$15,IF(Z437&gt;'Vehicle Data'!C$15,'Vehicle Data'!I$16)))</f>
        <v>0.98256251041858167</v>
      </c>
      <c r="AD438">
        <f>IF(O438=0.6,'Vehicle Data'!F$21,IF(O438=0.9,'Vehicle Data'!F$20))</f>
        <v>3.5315999999999996</v>
      </c>
      <c r="AE438" s="101">
        <f>(Data!H$15-Data!Q438)/'Vehicle Data'!C$6</f>
        <v>-0.6973433697951309</v>
      </c>
      <c r="AF438" s="158">
        <f t="shared" si="328"/>
        <v>0.28413344025354037</v>
      </c>
      <c r="AG438" s="148">
        <f t="shared" si="289"/>
        <v>0</v>
      </c>
      <c r="AH438" s="148">
        <f t="shared" si="307"/>
        <v>145.14380272879362</v>
      </c>
      <c r="AI438" s="101"/>
      <c r="AJ438" s="101">
        <f>(Z438^2)*'Vehicle Data'!C$31</f>
        <v>25.317075000000013</v>
      </c>
      <c r="AK438" s="101">
        <f>IF(O438=0.6,'Vehicle Data'!C$6*'Vehicle Data'!D$21*9.81,IF(O438=0.9,'Vehicle Data'!C$6*9.81*'Vehicle Data'!D$20))</f>
        <v>86.131799999999998</v>
      </c>
      <c r="AL438" s="101">
        <f t="shared" si="329"/>
        <v>629.09927934006248</v>
      </c>
      <c r="AM438" s="101"/>
      <c r="AN438" t="b">
        <f>IF(AG438&gt;0,AG438*'Vehicle Data'!C$6)</f>
        <v>0</v>
      </c>
      <c r="AO438" s="101">
        <f t="shared" si="330"/>
        <v>629.09927934006248</v>
      </c>
      <c r="AP438" s="101">
        <f>AO438*'Vehicle Data'!F$3</f>
        <v>160.79777579931996</v>
      </c>
      <c r="AQ438">
        <v>20</v>
      </c>
      <c r="AR438">
        <f>IF(Z438&lt;'Vehicle Data'!C$16, Z438*'Vehicle Data'!F$7*'Vehicle Data'!G$14,IF(Z438&lt;'Vehicle Data'!C$15,Z438*'Vehicle Data'!F$7*'Vehicle Data'!G$15,IF(Z438&gt;'Vehicle Data'!C$15,Z438*'Vehicle Data'!F$7*'Vehicle Data'!G$16)))</f>
        <v>107.59259259259261</v>
      </c>
      <c r="AS438">
        <f t="shared" si="331"/>
        <v>6455.5555555555566</v>
      </c>
      <c r="AT438">
        <f t="shared" si="332"/>
        <v>20</v>
      </c>
      <c r="AU438">
        <f t="shared" si="333"/>
        <v>6500</v>
      </c>
      <c r="AW438">
        <f>VLOOKUP(AT438,BSFC!A$64:A$82,1,FALSE)</f>
        <v>20</v>
      </c>
      <c r="AX438" t="e" cm="1">
        <f t="array" ref="AX438">_xlfn.XLOOKUP(AT438,BSFC!A$64:A$82,,-1,_xlfn.XLOOKUP(Data!AU438,BSFC!C$63:Q$63,BSFC!B$64:Q$82,,-1))</f>
        <v>#VALUE!</v>
      </c>
      <c r="AY438">
        <f>HLOOKUP(AU438,BSFC!F$63:Q$63,1)</f>
        <v>6500</v>
      </c>
      <c r="AZ438">
        <f>IF(AT438&gt;0,MATCH(AT438,BSFC!A$64:A$83,0),IF(AT438&lt;=0,0))</f>
        <v>3</v>
      </c>
      <c r="BA438">
        <f>MATCH(AU438,BSFC!C$63:Q$63,0)</f>
        <v>13</v>
      </c>
      <c r="BB438" cm="1">
        <f t="array" ref="BB438">IF(AZ438&gt;0,INDEX(BSFC!C$64:Q$83,Data!AZ438,Data!BA438))</f>
        <v>494.7</v>
      </c>
      <c r="BC438">
        <f>0.5*'Vehicle Data'!C$6*Data!Z438^2</f>
        <v>15121.355000000003</v>
      </c>
      <c r="BD438">
        <f t="shared" si="291"/>
        <v>13.465906457145509</v>
      </c>
      <c r="BE438">
        <f t="shared" si="334"/>
        <v>6661.5839243498831</v>
      </c>
      <c r="BF438">
        <f t="shared" si="335"/>
        <v>0.52577187721200347</v>
      </c>
      <c r="BG438">
        <f t="shared" si="292"/>
        <v>162.99634196506921</v>
      </c>
      <c r="BH438">
        <f t="shared" si="316"/>
        <v>13465.906457145509</v>
      </c>
      <c r="BI438" s="148">
        <f t="shared" si="293"/>
        <v>6871.6622130335309</v>
      </c>
      <c r="BO438">
        <f t="shared" si="294"/>
        <v>3831.0326393833157</v>
      </c>
      <c r="BP438">
        <f t="shared" si="295"/>
        <v>630029.86487284652</v>
      </c>
      <c r="BQ438">
        <f t="shared" si="296"/>
        <v>995715.4144408803</v>
      </c>
      <c r="BR438" s="148">
        <f t="shared" si="297"/>
        <v>999334.16351040045</v>
      </c>
      <c r="BS438" s="156">
        <f t="shared" si="298"/>
        <v>3831.0326393833157</v>
      </c>
      <c r="BT438" s="156">
        <f t="shared" si="299"/>
        <v>13465.906457145509</v>
      </c>
      <c r="BU438">
        <f t="shared" si="300"/>
        <v>1954.9788429563259</v>
      </c>
      <c r="BV438">
        <f t="shared" si="301"/>
        <v>1954.9788429563259</v>
      </c>
      <c r="BW438" s="148">
        <f t="shared" si="302"/>
        <v>455.4</v>
      </c>
      <c r="BX438" s="148">
        <f t="shared" si="303"/>
        <v>3129354.9718154697</v>
      </c>
      <c r="BY438" s="148">
        <f t="shared" si="304"/>
        <v>0.24730482363397518</v>
      </c>
      <c r="BZ438">
        <f t="shared" si="287"/>
        <v>145.14380272879362</v>
      </c>
      <c r="CB438">
        <f t="shared" si="305"/>
        <v>-1876.0537964269897</v>
      </c>
      <c r="CC438" s="162">
        <f t="shared" si="288"/>
        <v>-6602.7208721121442</v>
      </c>
      <c r="CD438">
        <f t="shared" si="313"/>
        <v>2886.8085904936124</v>
      </c>
    </row>
    <row r="439" spans="4:82" x14ac:dyDescent="0.2">
      <c r="D439" s="22">
        <f t="shared" si="319"/>
        <v>9.1254125943258782E-2</v>
      </c>
      <c r="E439" s="23">
        <v>8.9017032</v>
      </c>
      <c r="F439" s="23">
        <f>IF(K439&lt;6,1,IF(Data!K439&lt;9,2,IF(K439&gt;9,3)))</f>
        <v>3</v>
      </c>
      <c r="G439" s="23">
        <v>1029.4735543650477</v>
      </c>
      <c r="H439" s="23">
        <v>219.16666499999999</v>
      </c>
      <c r="I439" s="64">
        <v>47.2200895150674</v>
      </c>
      <c r="J439" s="65">
        <f t="shared" si="320"/>
        <v>1.7482084246637719</v>
      </c>
      <c r="K439" s="65">
        <f t="shared" si="321"/>
        <v>18.888035806026959</v>
      </c>
      <c r="L439" s="65">
        <f t="shared" si="322"/>
        <v>0.69928336986552297</v>
      </c>
      <c r="M439">
        <f t="shared" si="323"/>
        <v>17.8034064</v>
      </c>
      <c r="N439">
        <f t="shared" si="324"/>
        <v>0.21580611547597783</v>
      </c>
      <c r="O439">
        <f>IF(L439&lt;'Vehicle Data'!F$21,'Vehicle Data'!C$21,IF(L439&gt;'Vehicle Data'!C$21,'Vehicle Data'!C$20))</f>
        <v>0.6</v>
      </c>
      <c r="P439">
        <f>('Vehicle Data'!C$6*9.81*'Vehicle Data'!C$5*SIN(D439))/'Vehicle Data'!C$9</f>
        <v>60.687974584678031</v>
      </c>
      <c r="Q439" s="107">
        <f>'Vehicle Data'!C$6*9.81*SIN(D439)</f>
        <v>392.44890231425126</v>
      </c>
      <c r="R439" s="101">
        <f t="shared" si="336"/>
        <v>1027.109204736628</v>
      </c>
      <c r="S439" s="101">
        <f>IF(Data!O439=0.6,'Vehicle Data'!E$21,IF(Data!O439 = 0.9,'Vehicle Data'!E$20))+(P439*O439)</f>
        <v>1586.7851847508066</v>
      </c>
      <c r="T439" s="101">
        <f>IF(F439=3,'Vehicle Data'!H$16,IF(F439=2,'Vehicle Data'!H$15,IF(F439 = 1,'Vehicle Data'!G$14)))</f>
        <v>466.23005239380637</v>
      </c>
      <c r="U439" s="148">
        <f t="shared" si="326"/>
        <v>310.97072261331198</v>
      </c>
      <c r="V439" s="102" t="s">
        <v>77</v>
      </c>
      <c r="W439" s="103" t="s">
        <v>84</v>
      </c>
      <c r="X439" s="101">
        <f>IF(V439="S",'Vehicle Data'!C$14,IF(Data!V439 = "T1",'Vehicle Data'!P$2,IF(Data!V439="T2",'Vehicle Data'!P$3)))</f>
        <v>13.411199999999999</v>
      </c>
      <c r="Y439" s="101"/>
      <c r="Z439" s="105">
        <v>8.3000000000000007</v>
      </c>
      <c r="AA439" s="101"/>
      <c r="AB439" s="101" t="b">
        <f>IF(AA439=1,'Vehicle Data'!I$14,IF(AA439=2,'Vehicle Data'!I$15,IF(AA439=3,'Vehicle Data'!I$16)))</f>
        <v>0</v>
      </c>
      <c r="AC439" s="101">
        <f>IF(Z439&lt;'Vehicle Data'!C$16,'Vehicle Data'!I$15,IF(Z439&lt;'Vehicle Data'!C$15,'Vehicle Data'!I$15,IF(Z438&gt;'Vehicle Data'!C$15,'Vehicle Data'!I$16)))</f>
        <v>0.98256251041858167</v>
      </c>
      <c r="AD439">
        <f>IF(O439=0.6,'Vehicle Data'!F$21,IF(O439=0.9,'Vehicle Data'!F$20))</f>
        <v>3.5315999999999996</v>
      </c>
      <c r="AE439" s="101">
        <f>(Data!H$15-Data!Q439)/'Vehicle Data'!C$6</f>
        <v>-0.41214632645615323</v>
      </c>
      <c r="AF439" s="158">
        <f t="shared" si="328"/>
        <v>0.28449868202897161</v>
      </c>
      <c r="AG439" s="148">
        <f t="shared" si="289"/>
        <v>0</v>
      </c>
      <c r="AH439" s="148">
        <f t="shared" si="307"/>
        <v>145.4283014108226</v>
      </c>
      <c r="AI439" s="101"/>
      <c r="AJ439" s="101">
        <f>(Z439^2)*'Vehicle Data'!C$31</f>
        <v>25.317075000000013</v>
      </c>
      <c r="AK439" s="101">
        <f>IF(O439=0.6,'Vehicle Data'!C$6*'Vehicle Data'!D$21*9.81,IF(O439=0.9,'Vehicle Data'!C$6*9.81*'Vehicle Data'!D$20))</f>
        <v>86.131799999999998</v>
      </c>
      <c r="AL439" s="101">
        <f t="shared" si="329"/>
        <v>503.89777731425124</v>
      </c>
      <c r="AM439" s="101"/>
      <c r="AN439" t="b">
        <f>IF(AG439&gt;0,AG439*'Vehicle Data'!C$6)</f>
        <v>0</v>
      </c>
      <c r="AO439" s="101">
        <f t="shared" si="330"/>
        <v>503.89777731425124</v>
      </c>
      <c r="AP439" s="101">
        <f>AO439*'Vehicle Data'!F$3</f>
        <v>128.79627188152261</v>
      </c>
      <c r="AQ439">
        <v>20</v>
      </c>
      <c r="AR439">
        <f>IF(Z439&lt;'Vehicle Data'!C$16, Z439*'Vehicle Data'!F$7*'Vehicle Data'!G$14,IF(Z439&lt;'Vehicle Data'!C$15,Z439*'Vehicle Data'!F$7*'Vehicle Data'!G$15,IF(Z439&gt;'Vehicle Data'!C$15,Z439*'Vehicle Data'!F$7*'Vehicle Data'!G$16)))</f>
        <v>107.59259259259261</v>
      </c>
      <c r="AS439">
        <f t="shared" si="331"/>
        <v>6455.5555555555566</v>
      </c>
      <c r="AT439">
        <f t="shared" si="332"/>
        <v>20</v>
      </c>
      <c r="AU439">
        <f t="shared" si="333"/>
        <v>6500</v>
      </c>
      <c r="AW439">
        <f>VLOOKUP(AT439,BSFC!A$64:A$82,1,FALSE)</f>
        <v>20</v>
      </c>
      <c r="AX439" t="e" cm="1">
        <f t="array" ref="AX439">_xlfn.XLOOKUP(AT439,BSFC!A$64:A$82,,-1,_xlfn.XLOOKUP(Data!AU439,BSFC!C$63:Q$63,BSFC!B$64:Q$82,,-1))</f>
        <v>#VALUE!</v>
      </c>
      <c r="AY439">
        <f>HLOOKUP(AU439,BSFC!F$63:Q$63,1)</f>
        <v>6500</v>
      </c>
      <c r="AZ439">
        <f>IF(AT439&gt;0,MATCH(AT439,BSFC!A$64:A$83,0),IF(AT439&lt;=0,0))</f>
        <v>3</v>
      </c>
      <c r="BA439">
        <f>MATCH(AU439,BSFC!C$63:Q$63,0)</f>
        <v>13</v>
      </c>
      <c r="BB439" cm="1">
        <f t="array" ref="BB439">IF(AZ439&gt;0,INDEX(BSFC!C$64:Q$83,Data!AZ439,Data!BA439))</f>
        <v>494.7</v>
      </c>
      <c r="BC439">
        <f>0.5*'Vehicle Data'!C$6*Data!Z439^2</f>
        <v>15121.355000000003</v>
      </c>
      <c r="BD439">
        <f t="shared" si="291"/>
        <v>13.465906457145509</v>
      </c>
      <c r="BE439">
        <f t="shared" si="334"/>
        <v>6661.5839243498831</v>
      </c>
      <c r="BF439">
        <f t="shared" si="335"/>
        <v>0.52644773519525723</v>
      </c>
      <c r="BG439">
        <f t="shared" si="292"/>
        <v>163.52278970026447</v>
      </c>
      <c r="BH439">
        <f t="shared" si="316"/>
        <v>13465.906457145509</v>
      </c>
      <c r="BI439" s="148">
        <f t="shared" si="293"/>
        <v>6871.6622130335309</v>
      </c>
      <c r="BO439">
        <f t="shared" si="294"/>
        <v>3835.9169793115061</v>
      </c>
      <c r="BP439">
        <f t="shared" si="295"/>
        <v>633865.78185215802</v>
      </c>
      <c r="BQ439">
        <f t="shared" si="296"/>
        <v>999551.3314201918</v>
      </c>
      <c r="BR439" s="148">
        <f t="shared" si="297"/>
        <v>1001291.6348357029</v>
      </c>
      <c r="BS439" s="156">
        <f t="shared" si="298"/>
        <v>3835.9169793115061</v>
      </c>
      <c r="BT439" s="156">
        <f t="shared" si="299"/>
        <v>13465.906457145509</v>
      </c>
      <c r="BU439">
        <f t="shared" si="300"/>
        <v>1957.4713253025363</v>
      </c>
      <c r="BV439">
        <f t="shared" si="301"/>
        <v>1957.4713253025363</v>
      </c>
      <c r="BW439" s="148">
        <f t="shared" si="302"/>
        <v>455.4</v>
      </c>
      <c r="BX439" s="148">
        <f t="shared" si="303"/>
        <v>3129354.9718154697</v>
      </c>
      <c r="BY439" s="148">
        <f t="shared" si="304"/>
        <v>0.2476201226507708</v>
      </c>
      <c r="BZ439">
        <f t="shared" si="287"/>
        <v>145.4283014108226</v>
      </c>
      <c r="CB439">
        <f t="shared" si="305"/>
        <v>-1878.4456540089698</v>
      </c>
      <c r="CC439" s="162">
        <f t="shared" si="288"/>
        <v>-6602.6515153332502</v>
      </c>
      <c r="CD439">
        <f t="shared" si="313"/>
        <v>1008.3629364846427</v>
      </c>
    </row>
    <row r="440" spans="4:82" x14ac:dyDescent="0.2">
      <c r="D440" s="22">
        <f t="shared" si="319"/>
        <v>0.1268297731488181</v>
      </c>
      <c r="E440" s="23">
        <v>9.1175093154759779</v>
      </c>
      <c r="F440" s="23">
        <f>IF(K440&lt;6,1,IF(Data!K440&lt;9,2,IF(K440&gt;9,3)))</f>
        <v>3</v>
      </c>
      <c r="G440" s="23">
        <v>1031.8417313515729</v>
      </c>
      <c r="H440" s="23">
        <v>219.21666499999998</v>
      </c>
      <c r="I440" s="64">
        <v>47.307499936300559</v>
      </c>
      <c r="J440" s="65">
        <f t="shared" si="320"/>
        <v>1.5682777950178903</v>
      </c>
      <c r="K440" s="65">
        <f t="shared" si="321"/>
        <v>18.922999974520224</v>
      </c>
      <c r="L440" s="65">
        <f t="shared" si="322"/>
        <v>0.62731111800715611</v>
      </c>
      <c r="M440">
        <f t="shared" si="323"/>
        <v>18.235018630951956</v>
      </c>
      <c r="N440">
        <f t="shared" si="324"/>
        <v>0.29999599999990956</v>
      </c>
      <c r="O440">
        <f>IF(L440&lt;'Vehicle Data'!F$21,'Vehicle Data'!C$21,IF(L440&gt;'Vehicle Data'!C$21,'Vehicle Data'!C$20))</f>
        <v>0.6</v>
      </c>
      <c r="P440">
        <f>('Vehicle Data'!C$6*9.81*'Vehicle Data'!C$5*SIN(D440))/'Vehicle Data'!C$9</f>
        <v>84.238245862304268</v>
      </c>
      <c r="Q440" s="107">
        <f>'Vehicle Data'!C$6*9.81*SIN(D440)</f>
        <v>544.74065657623419</v>
      </c>
      <c r="R440" s="101">
        <f t="shared" si="336"/>
        <v>1029.4735543650477</v>
      </c>
      <c r="S440" s="101">
        <f>IF(Data!O440=0.6,'Vehicle Data'!E$21,IF(Data!O440 = 0.9,'Vehicle Data'!E$20))+(P440*O440)</f>
        <v>1600.9153475173823</v>
      </c>
      <c r="T440" s="101">
        <f>IF(F440=3,'Vehicle Data'!H$16,IF(F440=2,'Vehicle Data'!H$15,IF(F440 = 1,'Vehicle Data'!G$14)))</f>
        <v>466.23005239380637</v>
      </c>
      <c r="U440" s="148">
        <f t="shared" si="326"/>
        <v>313.33507224173161</v>
      </c>
      <c r="V440" s="102" t="s">
        <v>77</v>
      </c>
      <c r="W440" s="103" t="s">
        <v>84</v>
      </c>
      <c r="X440" s="101">
        <f>IF(V440="S",'Vehicle Data'!C$14,IF(Data!V440 = "T1",'Vehicle Data'!P$2,IF(Data!V440="T2",'Vehicle Data'!P$3)))</f>
        <v>13.411199999999999</v>
      </c>
      <c r="Y440" s="101"/>
      <c r="Z440" s="105">
        <v>8.3000000000000007</v>
      </c>
      <c r="AA440" s="101"/>
      <c r="AB440" s="101" t="b">
        <f>IF(AA440=1,'Vehicle Data'!I$14,IF(AA440=2,'Vehicle Data'!I$15,IF(AA440=3,'Vehicle Data'!I$16)))</f>
        <v>0</v>
      </c>
      <c r="AC440" s="101">
        <f>IF(Z440&lt;'Vehicle Data'!C$16,'Vehicle Data'!I$15,IF(Z440&lt;'Vehicle Data'!C$15,'Vehicle Data'!I$15,IF(Z439&gt;'Vehicle Data'!C$15,'Vehicle Data'!I$16)))</f>
        <v>0.98256251041858167</v>
      </c>
      <c r="AD440">
        <f>IF(O440=0.6,'Vehicle Data'!F$21,IF(O440=0.9,'Vehicle Data'!F$20))</f>
        <v>3.5315999999999996</v>
      </c>
      <c r="AE440" s="101">
        <f>(Data!H$15-Data!Q440)/'Vehicle Data'!C$6</f>
        <v>-0.75905237261101188</v>
      </c>
      <c r="AF440" s="158">
        <f t="shared" si="328"/>
        <v>0.28486140101441343</v>
      </c>
      <c r="AG440" s="148">
        <f t="shared" si="289"/>
        <v>0</v>
      </c>
      <c r="AH440" s="148">
        <f t="shared" si="307"/>
        <v>145.71316281183701</v>
      </c>
      <c r="AI440" s="101"/>
      <c r="AJ440" s="101">
        <f>(Z440^2)*'Vehicle Data'!C$31</f>
        <v>25.317075000000013</v>
      </c>
      <c r="AK440" s="101">
        <f>IF(O440=0.6,'Vehicle Data'!C$6*'Vehicle Data'!D$21*9.81,IF(O440=0.9,'Vehicle Data'!C$6*9.81*'Vehicle Data'!D$20))</f>
        <v>86.131799999999998</v>
      </c>
      <c r="AL440" s="101">
        <f t="shared" si="329"/>
        <v>656.18953157623423</v>
      </c>
      <c r="AM440" s="101"/>
      <c r="AN440" t="b">
        <f>IF(AG440&gt;0,AG440*'Vehicle Data'!C$6)</f>
        <v>0</v>
      </c>
      <c r="AO440" s="101">
        <f t="shared" si="330"/>
        <v>656.18953157623423</v>
      </c>
      <c r="AP440" s="101">
        <f>AO440*'Vehicle Data'!F$3</f>
        <v>167.72204427088548</v>
      </c>
      <c r="AQ440">
        <v>20</v>
      </c>
      <c r="AR440">
        <f>IF(Z440&lt;'Vehicle Data'!C$16, Z440*'Vehicle Data'!F$7*'Vehicle Data'!G$14,IF(Z440&lt;'Vehicle Data'!C$15,Z440*'Vehicle Data'!F$7*'Vehicle Data'!G$15,IF(Z440&gt;'Vehicle Data'!C$15,Z440*'Vehicle Data'!F$7*'Vehicle Data'!G$16)))</f>
        <v>107.59259259259261</v>
      </c>
      <c r="AS440">
        <f t="shared" si="331"/>
        <v>6455.5555555555566</v>
      </c>
      <c r="AT440">
        <f t="shared" si="332"/>
        <v>20</v>
      </c>
      <c r="AU440">
        <f t="shared" si="333"/>
        <v>6500</v>
      </c>
      <c r="AW440">
        <f>VLOOKUP(AT440,BSFC!A$64:A$82,1,FALSE)</f>
        <v>20</v>
      </c>
      <c r="AX440" t="e" cm="1">
        <f t="array" ref="AX440">_xlfn.XLOOKUP(AT440,BSFC!A$64:A$82,,-1,_xlfn.XLOOKUP(Data!AU440,BSFC!C$63:Q$63,BSFC!B$64:Q$82,,-1))</f>
        <v>#VALUE!</v>
      </c>
      <c r="AY440">
        <f>HLOOKUP(AU440,BSFC!F$63:Q$63,1)</f>
        <v>6500</v>
      </c>
      <c r="AZ440">
        <f>IF(AT440&gt;0,MATCH(AT440,BSFC!A$64:A$83,0),IF(AT440&lt;=0,0))</f>
        <v>3</v>
      </c>
      <c r="BA440">
        <f>MATCH(AU440,BSFC!C$63:Q$63,0)</f>
        <v>13</v>
      </c>
      <c r="BB440" cm="1">
        <f t="array" ref="BB440">IF(AZ440&gt;0,INDEX(BSFC!C$64:Q$83,Data!AZ440,Data!BA440))</f>
        <v>494.7</v>
      </c>
      <c r="BC440">
        <f>0.5*'Vehicle Data'!C$6*Data!Z440^2</f>
        <v>15121.355000000003</v>
      </c>
      <c r="BD440">
        <f t="shared" si="291"/>
        <v>13.465906457145509</v>
      </c>
      <c r="BE440">
        <f t="shared" si="334"/>
        <v>6661.5839243498831</v>
      </c>
      <c r="BF440">
        <f t="shared" si="335"/>
        <v>0.52711892490705614</v>
      </c>
      <c r="BG440">
        <f t="shared" si="292"/>
        <v>164.04990862517153</v>
      </c>
      <c r="BH440">
        <f t="shared" si="316"/>
        <v>13465.906457145509</v>
      </c>
      <c r="BI440" s="148">
        <f t="shared" si="293"/>
        <v>6871.6622130335309</v>
      </c>
      <c r="BO440">
        <f t="shared" si="294"/>
        <v>3842.1264788570202</v>
      </c>
      <c r="BP440">
        <f t="shared" si="295"/>
        <v>637707.90833101503</v>
      </c>
      <c r="BQ440">
        <f t="shared" si="296"/>
        <v>1003393.4578990488</v>
      </c>
      <c r="BR440" s="148">
        <f t="shared" si="297"/>
        <v>1003252.274873303</v>
      </c>
      <c r="BS440" s="156">
        <f t="shared" si="298"/>
        <v>3842.1264788570202</v>
      </c>
      <c r="BT440" s="156">
        <f t="shared" si="299"/>
        <v>13465.906457145509</v>
      </c>
      <c r="BU440">
        <f t="shared" si="300"/>
        <v>1960.6400376001116</v>
      </c>
      <c r="BV440">
        <f t="shared" si="301"/>
        <v>1960.6400376001116</v>
      </c>
      <c r="BW440" s="148">
        <f t="shared" si="302"/>
        <v>455.4</v>
      </c>
      <c r="BX440" s="148">
        <f t="shared" si="303"/>
        <v>3129354.9718154697</v>
      </c>
      <c r="BY440" s="148">
        <f t="shared" si="304"/>
        <v>0.24802096475641408</v>
      </c>
      <c r="BZ440">
        <f t="shared" si="287"/>
        <v>145.71316281183701</v>
      </c>
      <c r="CB440">
        <f t="shared" si="305"/>
        <v>-1881.4864412569086</v>
      </c>
      <c r="CC440" s="162">
        <f t="shared" si="288"/>
        <v>-6604.9188642505105</v>
      </c>
      <c r="CD440">
        <f t="shared" si="313"/>
        <v>-873.12350477226596</v>
      </c>
    </row>
    <row r="441" spans="4:82" x14ac:dyDescent="0.2">
      <c r="D441" s="22">
        <f t="shared" si="319"/>
        <v>0.12666005135049033</v>
      </c>
      <c r="E441" s="23">
        <v>9.4175053154758874</v>
      </c>
      <c r="F441" s="23">
        <f>IF(K441&lt;6,1,IF(Data!K441&lt;9,2,IF(K441&gt;9,3)))</f>
        <v>3</v>
      </c>
      <c r="G441" s="23">
        <v>1034.2134283380981</v>
      </c>
      <c r="H441" s="23">
        <v>219.26666499999999</v>
      </c>
      <c r="I441" s="64">
        <v>47.385913826051471</v>
      </c>
      <c r="J441" s="65">
        <f t="shared" si="320"/>
        <v>1.5120651498572473</v>
      </c>
      <c r="K441" s="65">
        <f t="shared" si="321"/>
        <v>18.954365530420588</v>
      </c>
      <c r="L441" s="65">
        <f t="shared" si="322"/>
        <v>0.60482605994288463</v>
      </c>
      <c r="M441">
        <f t="shared" si="323"/>
        <v>18.835010630951775</v>
      </c>
      <c r="N441">
        <f t="shared" si="324"/>
        <v>0.30000252641903735</v>
      </c>
      <c r="O441">
        <f>IF(L441&lt;'Vehicle Data'!F$21,'Vehicle Data'!C$21,IF(L441&gt;'Vehicle Data'!C$21,'Vehicle Data'!C$20))</f>
        <v>0.6</v>
      </c>
      <c r="P441">
        <f>('Vehicle Data'!C$6*9.81*'Vehicle Data'!C$5*SIN(D441))/'Vehicle Data'!C$9</f>
        <v>84.126123307636263</v>
      </c>
      <c r="Q441" s="107">
        <f>'Vehicle Data'!C$6*9.81*SIN(D441)</f>
        <v>544.01559738938113</v>
      </c>
      <c r="R441" s="101">
        <f t="shared" si="336"/>
        <v>1031.8417313515729</v>
      </c>
      <c r="S441" s="101">
        <f>IF(Data!O441=0.6,'Vehicle Data'!E$21,IF(Data!O441 = 0.9,'Vehicle Data'!E$20))+(P441*O441)</f>
        <v>1600.8480739845816</v>
      </c>
      <c r="T441" s="101">
        <f>IF(F441=3,'Vehicle Data'!H$16,IF(F441=2,'Vehicle Data'!H$15,IF(F441 = 1,'Vehicle Data'!G$14)))</f>
        <v>466.23005239380637</v>
      </c>
      <c r="U441" s="148">
        <f t="shared" si="326"/>
        <v>315.70324922825682</v>
      </c>
      <c r="V441" s="102" t="s">
        <v>77</v>
      </c>
      <c r="W441" s="103" t="s">
        <v>84</v>
      </c>
      <c r="X441" s="101">
        <f>IF(V441="S",'Vehicle Data'!C$14,IF(Data!V441 = "T1",'Vehicle Data'!P$2,IF(Data!V441="T2",'Vehicle Data'!P$3)))</f>
        <v>13.411199999999999</v>
      </c>
      <c r="Y441" s="101"/>
      <c r="Z441" s="105">
        <v>8.3000000000000007</v>
      </c>
      <c r="AA441" s="101"/>
      <c r="AB441" s="101" t="b">
        <f>IF(AA441=1,'Vehicle Data'!I$14,IF(AA441=2,'Vehicle Data'!I$15,IF(AA441=3,'Vehicle Data'!I$16)))</f>
        <v>0</v>
      </c>
      <c r="AC441" s="101">
        <f>IF(Z441&lt;'Vehicle Data'!C$16,'Vehicle Data'!I$15,IF(Z441&lt;'Vehicle Data'!C$15,'Vehicle Data'!I$15,IF(Z440&gt;'Vehicle Data'!C$15,'Vehicle Data'!I$16)))</f>
        <v>0.98256251041858167</v>
      </c>
      <c r="AD441">
        <f>IF(O441=0.6,'Vehicle Data'!F$21,IF(O441=0.9,'Vehicle Data'!F$20))</f>
        <v>3.5315999999999996</v>
      </c>
      <c r="AE441" s="101">
        <f>(Data!H$15-Data!Q441)/'Vehicle Data'!C$6</f>
        <v>-0.75740075715120991</v>
      </c>
      <c r="AF441" s="158">
        <f t="shared" si="328"/>
        <v>0.28532252849701367</v>
      </c>
      <c r="AG441" s="148">
        <f t="shared" si="289"/>
        <v>0</v>
      </c>
      <c r="AH441" s="148">
        <f t="shared" si="307"/>
        <v>145.99848534033401</v>
      </c>
      <c r="AI441" s="101"/>
      <c r="AJ441" s="101">
        <f>(Z441^2)*'Vehicle Data'!C$31</f>
        <v>25.317075000000013</v>
      </c>
      <c r="AK441" s="101">
        <f>IF(O441=0.6,'Vehicle Data'!C$6*'Vehicle Data'!D$21*9.81,IF(O441=0.9,'Vehicle Data'!C$6*9.81*'Vehicle Data'!D$20))</f>
        <v>86.131799999999998</v>
      </c>
      <c r="AL441" s="101">
        <f t="shared" si="329"/>
        <v>655.46447238938117</v>
      </c>
      <c r="AM441" s="101"/>
      <c r="AN441" t="b">
        <f>IF(AG441&gt;0,AG441*'Vehicle Data'!C$6)</f>
        <v>0</v>
      </c>
      <c r="AO441" s="101">
        <f t="shared" si="330"/>
        <v>655.46447238938117</v>
      </c>
      <c r="AP441" s="101">
        <f>AO441*'Vehicle Data'!F$3</f>
        <v>167.53671914272581</v>
      </c>
      <c r="AQ441">
        <v>20</v>
      </c>
      <c r="AR441">
        <f>IF(Z441&lt;'Vehicle Data'!C$16, Z441*'Vehicle Data'!F$7*'Vehicle Data'!G$14,IF(Z441&lt;'Vehicle Data'!C$15,Z441*'Vehicle Data'!F$7*'Vehicle Data'!G$15,IF(Z441&gt;'Vehicle Data'!C$15,Z441*'Vehicle Data'!F$7*'Vehicle Data'!G$16)))</f>
        <v>107.59259259259261</v>
      </c>
      <c r="AS441">
        <f t="shared" si="331"/>
        <v>6455.5555555555566</v>
      </c>
      <c r="AT441">
        <f t="shared" si="332"/>
        <v>20</v>
      </c>
      <c r="AU441">
        <f t="shared" si="333"/>
        <v>6500</v>
      </c>
      <c r="AW441">
        <f>VLOOKUP(AT441,BSFC!A$64:A$82,1,FALSE)</f>
        <v>20</v>
      </c>
      <c r="AX441" t="e" cm="1">
        <f t="array" ref="AX441">_xlfn.XLOOKUP(AT441,BSFC!A$64:A$82,,-1,_xlfn.XLOOKUP(Data!AU441,BSFC!C$63:Q$63,BSFC!B$64:Q$82,,-1))</f>
        <v>#VALUE!</v>
      </c>
      <c r="AY441">
        <f>HLOOKUP(AU441,BSFC!F$63:Q$63,1)</f>
        <v>6500</v>
      </c>
      <c r="AZ441">
        <f>IF(AT441&gt;0,MATCH(AT441,BSFC!A$64:A$83,0),IF(AT441&lt;=0,0))</f>
        <v>3</v>
      </c>
      <c r="BA441">
        <f>MATCH(AU441,BSFC!C$63:Q$63,0)</f>
        <v>13</v>
      </c>
      <c r="BB441" cm="1">
        <f t="array" ref="BB441">IF(AZ441&gt;0,INDEX(BSFC!C$64:Q$83,Data!AZ441,Data!BA441))</f>
        <v>494.7</v>
      </c>
      <c r="BC441">
        <f>0.5*'Vehicle Data'!C$6*Data!Z441^2</f>
        <v>15121.355000000003</v>
      </c>
      <c r="BD441">
        <f t="shared" si="291"/>
        <v>13.465906457145509</v>
      </c>
      <c r="BE441">
        <f t="shared" si="334"/>
        <v>6661.5839243498831</v>
      </c>
      <c r="BF441">
        <f t="shared" si="335"/>
        <v>0.52797221363626878</v>
      </c>
      <c r="BG441">
        <f t="shared" si="292"/>
        <v>164.5778808388078</v>
      </c>
      <c r="BH441">
        <f t="shared" si="316"/>
        <v>13465.906457145509</v>
      </c>
      <c r="BI441" s="148">
        <f t="shared" si="293"/>
        <v>6871.6622130335309</v>
      </c>
      <c r="BO441">
        <f t="shared" si="294"/>
        <v>3847.8373211135126</v>
      </c>
      <c r="BP441">
        <f t="shared" si="295"/>
        <v>641555.74565212859</v>
      </c>
      <c r="BQ441">
        <f t="shared" si="296"/>
        <v>1007241.2952201624</v>
      </c>
      <c r="BR441" s="148">
        <f t="shared" si="297"/>
        <v>1005215.8291580103</v>
      </c>
      <c r="BS441" s="156">
        <f t="shared" si="298"/>
        <v>3847.8373211135126</v>
      </c>
      <c r="BT441" s="156">
        <f t="shared" si="299"/>
        <v>13465.906457145509</v>
      </c>
      <c r="BU441">
        <f t="shared" si="300"/>
        <v>1963.5542847073095</v>
      </c>
      <c r="BV441">
        <f t="shared" si="301"/>
        <v>1963.5542847073095</v>
      </c>
      <c r="BW441" s="148">
        <f t="shared" si="302"/>
        <v>455.4</v>
      </c>
      <c r="BX441" s="148">
        <f t="shared" si="303"/>
        <v>3129354.9718154697</v>
      </c>
      <c r="BY441" s="148">
        <f t="shared" si="304"/>
        <v>0.24838961701547463</v>
      </c>
      <c r="BZ441">
        <f t="shared" si="287"/>
        <v>145.99848534033401</v>
      </c>
      <c r="CB441">
        <f t="shared" si="305"/>
        <v>-1884.2830364062031</v>
      </c>
      <c r="CC441" s="162">
        <f t="shared" si="288"/>
        <v>-6604.0457664946753</v>
      </c>
      <c r="CD441">
        <f t="shared" si="313"/>
        <v>-2757.4065411784691</v>
      </c>
    </row>
    <row r="442" spans="4:82" x14ac:dyDescent="0.2">
      <c r="D442" s="22">
        <f t="shared" si="319"/>
        <v>8.4203435663086926E-2</v>
      </c>
      <c r="E442" s="23">
        <v>9.7175078418949248</v>
      </c>
      <c r="F442" s="23">
        <f>IF(K442&lt;6,1,IF(Data!K442&lt;9,2,IF(K442&gt;9,3)))</f>
        <v>3</v>
      </c>
      <c r="G442" s="23">
        <v>1036.5883379665186</v>
      </c>
      <c r="H442" s="23">
        <v>219.316665</v>
      </c>
      <c r="I442" s="64">
        <v>47.461517083544351</v>
      </c>
      <c r="J442" s="65">
        <f t="shared" si="320"/>
        <v>1.5093780383831219</v>
      </c>
      <c r="K442" s="65">
        <f t="shared" si="321"/>
        <v>18.98460683341774</v>
      </c>
      <c r="L442" s="65">
        <f t="shared" si="322"/>
        <v>0.60375121535329146</v>
      </c>
      <c r="M442">
        <f t="shared" si="323"/>
        <v>19.43501568378985</v>
      </c>
      <c r="N442">
        <f t="shared" si="324"/>
        <v>0.19999747358096087</v>
      </c>
      <c r="O442">
        <f>IF(L442&lt;'Vehicle Data'!F$21,'Vehicle Data'!C$21,IF(L442&gt;'Vehicle Data'!C$21,'Vehicle Data'!C$20))</f>
        <v>0.6</v>
      </c>
      <c r="P442">
        <f>('Vehicle Data'!C$6*9.81*'Vehicle Data'!C$5*SIN(D442))/'Vehicle Data'!C$9</f>
        <v>56.010511124743715</v>
      </c>
      <c r="Q442" s="107">
        <f>'Vehicle Data'!C$6*9.81*SIN(D442)</f>
        <v>362.20130527334265</v>
      </c>
      <c r="R442" s="101">
        <f t="shared" si="336"/>
        <v>1034.2134283380981</v>
      </c>
      <c r="S442" s="101">
        <f>IF(Data!O442=0.6,'Vehicle Data'!E$21,IF(Data!O442 = 0.9,'Vehicle Data'!E$20))+(P442*O442)</f>
        <v>1583.9787066748461</v>
      </c>
      <c r="T442" s="101">
        <f>IF(F442=3,'Vehicle Data'!H$16,IF(F442=2,'Vehicle Data'!H$15,IF(F442 = 1,'Vehicle Data'!G$14)))</f>
        <v>466.23005239380637</v>
      </c>
      <c r="U442" s="148">
        <f t="shared" si="326"/>
        <v>318.07494621478202</v>
      </c>
      <c r="V442" s="102" t="s">
        <v>77</v>
      </c>
      <c r="W442" s="103" t="s">
        <v>84</v>
      </c>
      <c r="X442" s="101">
        <f>IF(V442="S",'Vehicle Data'!C$14,IF(Data!V442 = "T1",'Vehicle Data'!P$2,IF(Data!V442="T2",'Vehicle Data'!P$3)))</f>
        <v>13.411199999999999</v>
      </c>
      <c r="Y442" s="101"/>
      <c r="Z442" s="105">
        <v>8.3000000000000007</v>
      </c>
      <c r="AA442" s="101"/>
      <c r="AB442" s="101" t="b">
        <f>IF(AA442=1,'Vehicle Data'!I$14,IF(AA442=2,'Vehicle Data'!I$15,IF(AA442=3,'Vehicle Data'!I$16)))</f>
        <v>0</v>
      </c>
      <c r="AC442" s="101">
        <f>IF(Z442&lt;'Vehicle Data'!C$16,'Vehicle Data'!I$15,IF(Z442&lt;'Vehicle Data'!C$15,'Vehicle Data'!I$15,IF(Z441&gt;'Vehicle Data'!C$15,'Vehicle Data'!I$16)))</f>
        <v>0.98256251041858167</v>
      </c>
      <c r="AD442">
        <f>IF(O442=0.6,'Vehicle Data'!F$21,IF(O442=0.9,'Vehicle Data'!F$20))</f>
        <v>3.5315999999999996</v>
      </c>
      <c r="AE442" s="101">
        <f>(Data!H$15-Data!Q442)/'Vehicle Data'!C$6</f>
        <v>-0.34324519424451633</v>
      </c>
      <c r="AF442" s="158">
        <f t="shared" si="328"/>
        <v>0.28574662488255348</v>
      </c>
      <c r="AG442" s="148">
        <f t="shared" si="289"/>
        <v>0</v>
      </c>
      <c r="AH442" s="148">
        <f t="shared" si="307"/>
        <v>146.28423196521658</v>
      </c>
      <c r="AI442" s="101"/>
      <c r="AJ442" s="101">
        <f>(Z442^2)*'Vehicle Data'!C$31</f>
        <v>25.317075000000013</v>
      </c>
      <c r="AK442" s="101">
        <f>IF(O442=0.6,'Vehicle Data'!C$6*'Vehicle Data'!D$21*9.81,IF(O442=0.9,'Vehicle Data'!C$6*9.81*'Vehicle Data'!D$20))</f>
        <v>86.131799999999998</v>
      </c>
      <c r="AL442" s="101">
        <f t="shared" si="329"/>
        <v>473.6501802733427</v>
      </c>
      <c r="AM442" s="101"/>
      <c r="AN442" t="b">
        <f>IF(AG442&gt;0,AG442*'Vehicle Data'!C$6)</f>
        <v>0</v>
      </c>
      <c r="AO442" s="101">
        <f t="shared" si="330"/>
        <v>473.6501802733427</v>
      </c>
      <c r="AP442" s="101">
        <f>AO442*'Vehicle Data'!F$3</f>
        <v>121.06498607786639</v>
      </c>
      <c r="AQ442">
        <v>20</v>
      </c>
      <c r="AR442">
        <f>IF(Z442&lt;'Vehicle Data'!C$16, Z442*'Vehicle Data'!F$7*'Vehicle Data'!G$14,IF(Z442&lt;'Vehicle Data'!C$15,Z442*'Vehicle Data'!F$7*'Vehicle Data'!G$15,IF(Z442&gt;'Vehicle Data'!C$15,Z442*'Vehicle Data'!F$7*'Vehicle Data'!G$16)))</f>
        <v>107.59259259259261</v>
      </c>
      <c r="AS442">
        <f t="shared" si="331"/>
        <v>6455.5555555555566</v>
      </c>
      <c r="AT442">
        <f t="shared" si="332"/>
        <v>20</v>
      </c>
      <c r="AU442">
        <f t="shared" si="333"/>
        <v>6500</v>
      </c>
      <c r="AW442">
        <f>VLOOKUP(AT442,BSFC!A$64:A$82,1,FALSE)</f>
        <v>20</v>
      </c>
      <c r="AX442" t="e" cm="1">
        <f t="array" ref="AX442">_xlfn.XLOOKUP(AT442,BSFC!A$64:A$82,,-1,_xlfn.XLOOKUP(Data!AU442,BSFC!C$63:Q$63,BSFC!B$64:Q$82,,-1))</f>
        <v>#VALUE!</v>
      </c>
      <c r="AY442">
        <f>HLOOKUP(AU442,BSFC!F$63:Q$63,1)</f>
        <v>6500</v>
      </c>
      <c r="AZ442">
        <f>IF(AT442&gt;0,MATCH(AT442,BSFC!A$64:A$83,0),IF(AT442&lt;=0,0))</f>
        <v>3</v>
      </c>
      <c r="BA442">
        <f>MATCH(AU442,BSFC!C$63:Q$63,0)</f>
        <v>13</v>
      </c>
      <c r="BB442" cm="1">
        <f t="array" ref="BB442">IF(AZ442&gt;0,INDEX(BSFC!C$64:Q$83,Data!AZ442,Data!BA442))</f>
        <v>494.7</v>
      </c>
      <c r="BC442">
        <f>0.5*'Vehicle Data'!C$6*Data!Z442^2</f>
        <v>15121.355000000003</v>
      </c>
      <c r="BD442">
        <f t="shared" si="291"/>
        <v>13.465906457145509</v>
      </c>
      <c r="BE442">
        <f t="shared" si="334"/>
        <v>6661.5839243498831</v>
      </c>
      <c r="BF442">
        <f t="shared" si="335"/>
        <v>0.52875697854301518</v>
      </c>
      <c r="BG442">
        <f t="shared" si="292"/>
        <v>165.10663781735082</v>
      </c>
      <c r="BH442">
        <f t="shared" si="316"/>
        <v>13465.906457145509</v>
      </c>
      <c r="BI442" s="148">
        <f t="shared" si="293"/>
        <v>6871.6622130335309</v>
      </c>
      <c r="BO442">
        <f t="shared" si="294"/>
        <v>3853.0495060824592</v>
      </c>
      <c r="BP442">
        <f t="shared" si="295"/>
        <v>645408.79515821103</v>
      </c>
      <c r="BQ442">
        <f t="shared" si="296"/>
        <v>1011094.3447262448</v>
      </c>
      <c r="BR442" s="148">
        <f t="shared" si="297"/>
        <v>1007182.0432246352</v>
      </c>
      <c r="BS442" s="156">
        <f t="shared" si="298"/>
        <v>3853.0495060824592</v>
      </c>
      <c r="BT442" s="156">
        <f t="shared" si="299"/>
        <v>13465.906457145509</v>
      </c>
      <c r="BU442">
        <f t="shared" si="300"/>
        <v>1966.2140666248833</v>
      </c>
      <c r="BV442">
        <f t="shared" si="301"/>
        <v>1966.2140666248833</v>
      </c>
      <c r="BW442" s="148">
        <f t="shared" si="302"/>
        <v>455.4</v>
      </c>
      <c r="BX442" s="148">
        <f t="shared" si="303"/>
        <v>3129354.9718154697</v>
      </c>
      <c r="BY442" s="148">
        <f t="shared" si="304"/>
        <v>0.24872607942804772</v>
      </c>
      <c r="BZ442">
        <f t="shared" si="287"/>
        <v>146.28423196521658</v>
      </c>
      <c r="CB442">
        <f t="shared" si="305"/>
        <v>-1886.8354394575758</v>
      </c>
      <c r="CC442" s="162">
        <f t="shared" si="288"/>
        <v>-6603.1766437592487</v>
      </c>
      <c r="CD442">
        <f t="shared" si="313"/>
        <v>-4644.2419806360449</v>
      </c>
    </row>
    <row r="443" spans="4:82" x14ac:dyDescent="0.2">
      <c r="D443" s="22">
        <f t="shared" si="319"/>
        <v>0.11964539312235034</v>
      </c>
      <c r="E443" s="23">
        <v>9.9175053154758857</v>
      </c>
      <c r="F443" s="23">
        <f>IF(K443&lt;6,1,IF(Data!K443&lt;9,2,IF(K443&gt;9,3)))</f>
        <v>3</v>
      </c>
      <c r="G443" s="23">
        <v>1038.9663170273589</v>
      </c>
      <c r="H443" s="23">
        <v>219.36666499999998</v>
      </c>
      <c r="I443" s="64">
        <v>47.536985985463481</v>
      </c>
      <c r="J443" s="65">
        <f t="shared" si="320"/>
        <v>1.5135701037153493</v>
      </c>
      <c r="K443" s="65">
        <f t="shared" si="321"/>
        <v>19.014794394185394</v>
      </c>
      <c r="L443" s="65">
        <f t="shared" si="322"/>
        <v>0.60542804148611129</v>
      </c>
      <c r="M443">
        <f t="shared" si="323"/>
        <v>19.835010630951771</v>
      </c>
      <c r="N443">
        <f t="shared" si="324"/>
        <v>0.28420028452411472</v>
      </c>
      <c r="O443">
        <f>IF(L443&lt;'Vehicle Data'!F$21,'Vehicle Data'!C$21,IF(L443&gt;'Vehicle Data'!C$21,'Vehicle Data'!C$20))</f>
        <v>0.6</v>
      </c>
      <c r="P443">
        <f>('Vehicle Data'!C$6*9.81*'Vehicle Data'!C$5*SIN(D443))/'Vehicle Data'!C$9</f>
        <v>79.489979109089504</v>
      </c>
      <c r="Q443" s="107">
        <f>'Vehicle Data'!C$6*9.81*SIN(D443)</f>
        <v>514.03519823877878</v>
      </c>
      <c r="R443" s="101">
        <f t="shared" si="336"/>
        <v>1036.5883379665186</v>
      </c>
      <c r="S443" s="101">
        <f>IF(Data!O443=0.6,'Vehicle Data'!E$21,IF(Data!O443 = 0.9,'Vehicle Data'!E$20))+(P443*O443)</f>
        <v>1598.0663874654535</v>
      </c>
      <c r="T443" s="101">
        <f>IF(F443=3,'Vehicle Data'!H$16,IF(F443=2,'Vehicle Data'!H$15,IF(F443 = 1,'Vehicle Data'!G$14)))</f>
        <v>466.23005239380637</v>
      </c>
      <c r="U443" s="148">
        <f t="shared" si="326"/>
        <v>320.4498558432025</v>
      </c>
      <c r="V443" s="102" t="s">
        <v>77</v>
      </c>
      <c r="W443" s="103" t="s">
        <v>84</v>
      </c>
      <c r="X443" s="101">
        <f>IF(V443="S",'Vehicle Data'!C$14,IF(Data!V443 = "T1",'Vehicle Data'!P$2,IF(Data!V443="T2",'Vehicle Data'!P$3)))</f>
        <v>13.411199999999999</v>
      </c>
      <c r="Y443" s="101"/>
      <c r="Z443" s="105">
        <v>8.3000000000000007</v>
      </c>
      <c r="AA443" s="101"/>
      <c r="AB443" s="101" t="b">
        <f>IF(AA443=1,'Vehicle Data'!I$14,IF(AA443=2,'Vehicle Data'!I$15,IF(AA443=3,'Vehicle Data'!I$16)))</f>
        <v>0</v>
      </c>
      <c r="AC443" s="101">
        <f>IF(Z443&lt;'Vehicle Data'!C$16,'Vehicle Data'!I$15,IF(Z443&lt;'Vehicle Data'!C$15,'Vehicle Data'!I$15,IF(Z442&gt;'Vehicle Data'!C$15,'Vehicle Data'!I$16)))</f>
        <v>0.98256251041858167</v>
      </c>
      <c r="AD443">
        <f>IF(O443=0.6,'Vehicle Data'!F$21,IF(O443=0.9,'Vehicle Data'!F$20))</f>
        <v>3.5315999999999996</v>
      </c>
      <c r="AE443" s="101">
        <f>(Data!H$15-Data!Q443)/'Vehicle Data'!C$6</f>
        <v>-0.68910827617033887</v>
      </c>
      <c r="AF443" s="158">
        <f t="shared" si="328"/>
        <v>0.28613369017114243</v>
      </c>
      <c r="AG443" s="148">
        <f t="shared" si="289"/>
        <v>0</v>
      </c>
      <c r="AH443" s="148">
        <f t="shared" si="307"/>
        <v>146.57036565538772</v>
      </c>
      <c r="AI443" s="101"/>
      <c r="AJ443" s="101">
        <f>(Z443^2)*'Vehicle Data'!C$31</f>
        <v>25.317075000000013</v>
      </c>
      <c r="AK443" s="101">
        <f>IF(O443=0.6,'Vehicle Data'!C$6*'Vehicle Data'!D$21*9.81,IF(O443=0.9,'Vehicle Data'!C$6*9.81*'Vehicle Data'!D$20))</f>
        <v>86.131799999999998</v>
      </c>
      <c r="AL443" s="101">
        <f t="shared" si="329"/>
        <v>625.48407323877882</v>
      </c>
      <c r="AM443" s="101"/>
      <c r="AN443" t="b">
        <f>IF(AG443&gt;0,AG443*'Vehicle Data'!C$6)</f>
        <v>0</v>
      </c>
      <c r="AO443" s="101">
        <f t="shared" si="330"/>
        <v>625.48407323877882</v>
      </c>
      <c r="AP443" s="101">
        <f>AO443*'Vehicle Data'!F$3</f>
        <v>159.87372911983186</v>
      </c>
      <c r="AQ443">
        <v>20</v>
      </c>
      <c r="AR443">
        <f>IF(Z443&lt;'Vehicle Data'!C$16, Z443*'Vehicle Data'!F$7*'Vehicle Data'!G$14,IF(Z443&lt;'Vehicle Data'!C$15,Z443*'Vehicle Data'!F$7*'Vehicle Data'!G$15,IF(Z443&gt;'Vehicle Data'!C$15,Z443*'Vehicle Data'!F$7*'Vehicle Data'!G$16)))</f>
        <v>107.59259259259261</v>
      </c>
      <c r="AS443">
        <f t="shared" si="331"/>
        <v>6455.5555555555566</v>
      </c>
      <c r="AT443">
        <f t="shared" si="332"/>
        <v>20</v>
      </c>
      <c r="AU443">
        <f t="shared" si="333"/>
        <v>6500</v>
      </c>
      <c r="AW443">
        <f>VLOOKUP(AT443,BSFC!A$64:A$82,1,FALSE)</f>
        <v>20</v>
      </c>
      <c r="AX443" t="e" cm="1">
        <f t="array" ref="AX443">_xlfn.XLOOKUP(AT443,BSFC!A$64:A$82,,-1,_xlfn.XLOOKUP(Data!AU443,BSFC!C$63:Q$63,BSFC!B$64:Q$82,,-1))</f>
        <v>#VALUE!</v>
      </c>
      <c r="AY443">
        <f>HLOOKUP(AU443,BSFC!F$63:Q$63,1)</f>
        <v>6500</v>
      </c>
      <c r="AZ443">
        <f>IF(AT443&gt;0,MATCH(AT443,BSFC!A$64:A$83,0),IF(AT443&lt;=0,0))</f>
        <v>3</v>
      </c>
      <c r="BA443">
        <f>MATCH(AU443,BSFC!C$63:Q$63,0)</f>
        <v>13</v>
      </c>
      <c r="BB443" cm="1">
        <f t="array" ref="BB443">IF(AZ443&gt;0,INDEX(BSFC!C$64:Q$83,Data!AZ443,Data!BA443))</f>
        <v>494.7</v>
      </c>
      <c r="BC443">
        <f>0.5*'Vehicle Data'!C$6*Data!Z443^2</f>
        <v>15121.355000000003</v>
      </c>
      <c r="BD443">
        <f t="shared" si="291"/>
        <v>13.465906457145509</v>
      </c>
      <c r="BE443">
        <f t="shared" si="334"/>
        <v>6661.5839243498831</v>
      </c>
      <c r="BF443">
        <f t="shared" si="335"/>
        <v>0.52947321962749794</v>
      </c>
      <c r="BG443">
        <f t="shared" si="292"/>
        <v>165.63611103697832</v>
      </c>
      <c r="BH443">
        <f t="shared" si="316"/>
        <v>13465.906457145509</v>
      </c>
      <c r="BI443" s="148">
        <f t="shared" si="293"/>
        <v>6871.6622130335309</v>
      </c>
      <c r="BO443">
        <f t="shared" si="294"/>
        <v>3858.0293482320553</v>
      </c>
      <c r="BP443">
        <f t="shared" si="295"/>
        <v>649266.82450644311</v>
      </c>
      <c r="BQ443">
        <f t="shared" si="296"/>
        <v>1014952.3740744769</v>
      </c>
      <c r="BR443" s="148">
        <f t="shared" si="297"/>
        <v>1009150.7985084618</v>
      </c>
      <c r="BS443" s="156">
        <f t="shared" si="298"/>
        <v>3858.0293482320553</v>
      </c>
      <c r="BT443" s="156">
        <f t="shared" si="299"/>
        <v>13465.906457145509</v>
      </c>
      <c r="BU443">
        <f t="shared" si="300"/>
        <v>1968.7552838266477</v>
      </c>
      <c r="BV443">
        <f t="shared" si="301"/>
        <v>1968.7552838266477</v>
      </c>
      <c r="BW443" s="148">
        <f t="shared" si="302"/>
        <v>455.4</v>
      </c>
      <c r="BX443" s="148">
        <f t="shared" si="303"/>
        <v>3129354.9718154697</v>
      </c>
      <c r="BY443" s="148">
        <f t="shared" si="304"/>
        <v>0.24904754340407093</v>
      </c>
      <c r="BZ443">
        <f t="shared" si="287"/>
        <v>146.57036565538772</v>
      </c>
      <c r="CB443">
        <f t="shared" si="305"/>
        <v>-1889.2740644054077</v>
      </c>
      <c r="CC443" s="162">
        <f t="shared" si="288"/>
        <v>-6602.766920859277</v>
      </c>
      <c r="CD443">
        <f t="shared" si="313"/>
        <v>-6533.5160450414523</v>
      </c>
    </row>
    <row r="444" spans="4:82" x14ac:dyDescent="0.2">
      <c r="D444" s="22">
        <f t="shared" si="319"/>
        <v>8.39845225348754E-2</v>
      </c>
      <c r="E444" s="23">
        <v>10.2017056</v>
      </c>
      <c r="F444" s="23">
        <f>IF(K444&lt;6,1,IF(Data!K444&lt;9,2,IF(K444&gt;9,3)))</f>
        <v>3</v>
      </c>
      <c r="G444" s="23">
        <v>1041.3473487300948</v>
      </c>
      <c r="H444" s="23">
        <v>219.41666499999999</v>
      </c>
      <c r="I444" s="64">
        <v>47.612664490649266</v>
      </c>
      <c r="J444" s="65">
        <f t="shared" si="320"/>
        <v>1.6143492494900435</v>
      </c>
      <c r="K444" s="65">
        <f t="shared" si="321"/>
        <v>19.045065796259706</v>
      </c>
      <c r="L444" s="65">
        <f t="shared" si="322"/>
        <v>0.645739699795989</v>
      </c>
      <c r="M444">
        <f t="shared" si="323"/>
        <v>20.403411200000001</v>
      </c>
      <c r="N444">
        <f t="shared" si="324"/>
        <v>0.19999759999999966</v>
      </c>
      <c r="O444">
        <f>IF(L444&lt;'Vehicle Data'!F$21,'Vehicle Data'!C$21,IF(L444&gt;'Vehicle Data'!C$21,'Vehicle Data'!C$20))</f>
        <v>0.6</v>
      </c>
      <c r="P444">
        <f>('Vehicle Data'!C$6*9.81*'Vehicle Data'!C$5*SIN(D444))/'Vehicle Data'!C$9</f>
        <v>55.865237282212533</v>
      </c>
      <c r="Q444" s="107">
        <f>'Vehicle Data'!C$6*9.81*SIN(D444)</f>
        <v>361.26186775830769</v>
      </c>
      <c r="R444" s="101">
        <f t="shared" si="336"/>
        <v>1038.9663170273589</v>
      </c>
      <c r="S444" s="101">
        <f>IF(Data!O444=0.6,'Vehicle Data'!E$21,IF(Data!O444 = 0.9,'Vehicle Data'!E$20))+(P444*O444)</f>
        <v>1583.8915423693272</v>
      </c>
      <c r="T444" s="101">
        <f>IF(F444=3,'Vehicle Data'!H$16,IF(F444=2,'Vehicle Data'!H$15,IF(F444 = 1,'Vehicle Data'!G$14)))</f>
        <v>466.23005239380637</v>
      </c>
      <c r="U444" s="148">
        <f t="shared" si="326"/>
        <v>322.82783490404279</v>
      </c>
      <c r="V444" s="102" t="s">
        <v>77</v>
      </c>
      <c r="W444" s="103" t="s">
        <v>84</v>
      </c>
      <c r="X444" s="101">
        <f>IF(V444="S",'Vehicle Data'!C$14,IF(Data!V444 = "T1",'Vehicle Data'!P$2,IF(Data!V444="T2",'Vehicle Data'!P$3)))</f>
        <v>13.411199999999999</v>
      </c>
      <c r="Y444" s="101"/>
      <c r="Z444" s="105">
        <v>8.3000000000000007</v>
      </c>
      <c r="AA444" s="101"/>
      <c r="AB444" s="101" t="b">
        <f>IF(AA444=1,'Vehicle Data'!I$14,IF(AA444=2,'Vehicle Data'!I$15,IF(AA444=3,'Vehicle Data'!I$16)))</f>
        <v>0</v>
      </c>
      <c r="AC444" s="101">
        <f>IF(Z444&lt;'Vehicle Data'!C$16,'Vehicle Data'!I$15,IF(Z444&lt;'Vehicle Data'!C$15,'Vehicle Data'!I$15,IF(Z443&gt;'Vehicle Data'!C$15,'Vehicle Data'!I$16)))</f>
        <v>0.98256251041858167</v>
      </c>
      <c r="AD444">
        <f>IF(O444=0.6,'Vehicle Data'!F$21,IF(O444=0.9,'Vehicle Data'!F$20))</f>
        <v>3.5315999999999996</v>
      </c>
      <c r="AE444" s="101">
        <f>(Data!H$15-Data!Q444)/'Vehicle Data'!C$6</f>
        <v>-0.34110524546311549</v>
      </c>
      <c r="AF444" s="158">
        <f t="shared" si="328"/>
        <v>0.28650350130605889</v>
      </c>
      <c r="AG444" s="148">
        <f t="shared" si="289"/>
        <v>0</v>
      </c>
      <c r="AH444" s="148">
        <f t="shared" si="307"/>
        <v>146.85686915669379</v>
      </c>
      <c r="AI444" s="101"/>
      <c r="AJ444" s="101">
        <f>(Z444^2)*'Vehicle Data'!C$31</f>
        <v>25.317075000000013</v>
      </c>
      <c r="AK444" s="101">
        <f>IF(O444=0.6,'Vehicle Data'!C$6*'Vehicle Data'!D$21*9.81,IF(O444=0.9,'Vehicle Data'!C$6*9.81*'Vehicle Data'!D$20))</f>
        <v>86.131799999999998</v>
      </c>
      <c r="AL444" s="101">
        <f t="shared" si="329"/>
        <v>472.71074275830767</v>
      </c>
      <c r="AM444" s="101"/>
      <c r="AN444" t="b">
        <f>IF(AG444&gt;0,AG444*'Vehicle Data'!C$6)</f>
        <v>0</v>
      </c>
      <c r="AO444" s="101">
        <f t="shared" si="330"/>
        <v>472.71074275830767</v>
      </c>
      <c r="AP444" s="101">
        <f>AO444*'Vehicle Data'!F$3</f>
        <v>120.82486584902344</v>
      </c>
      <c r="AQ444">
        <v>20</v>
      </c>
      <c r="AR444">
        <f>IF(Z444&lt;'Vehicle Data'!C$16, Z444*'Vehicle Data'!F$7*'Vehicle Data'!G$14,IF(Z444&lt;'Vehicle Data'!C$15,Z444*'Vehicle Data'!F$7*'Vehicle Data'!G$15,IF(Z444&gt;'Vehicle Data'!C$15,Z444*'Vehicle Data'!F$7*'Vehicle Data'!G$16)))</f>
        <v>107.59259259259261</v>
      </c>
      <c r="AS444">
        <f t="shared" si="331"/>
        <v>6455.5555555555566</v>
      </c>
      <c r="AT444">
        <f t="shared" si="332"/>
        <v>20</v>
      </c>
      <c r="AU444">
        <f t="shared" si="333"/>
        <v>6500</v>
      </c>
      <c r="AW444">
        <f>VLOOKUP(AT444,BSFC!A$64:A$82,1,FALSE)</f>
        <v>20</v>
      </c>
      <c r="AX444" t="e" cm="1">
        <f t="array" ref="AX444">_xlfn.XLOOKUP(AT444,BSFC!A$64:A$82,,-1,_xlfn.XLOOKUP(Data!AU444,BSFC!C$63:Q$63,BSFC!B$64:Q$82,,-1))</f>
        <v>#VALUE!</v>
      </c>
      <c r="AY444">
        <f>HLOOKUP(AU444,BSFC!F$63:Q$63,1)</f>
        <v>6500</v>
      </c>
      <c r="AZ444">
        <f>IF(AT444&gt;0,MATCH(AT444,BSFC!A$64:A$83,0),IF(AT444&lt;=0,0))</f>
        <v>3</v>
      </c>
      <c r="BA444">
        <f>MATCH(AU444,BSFC!C$63:Q$63,0)</f>
        <v>13</v>
      </c>
      <c r="BB444" cm="1">
        <f t="array" ref="BB444">IF(AZ444&gt;0,INDEX(BSFC!C$64:Q$83,Data!AZ444,Data!BA444))</f>
        <v>494.7</v>
      </c>
      <c r="BC444">
        <f>0.5*'Vehicle Data'!C$6*Data!Z444^2</f>
        <v>15121.355000000003</v>
      </c>
      <c r="BD444">
        <f t="shared" si="291"/>
        <v>13.465906457145509</v>
      </c>
      <c r="BE444">
        <f t="shared" si="334"/>
        <v>6661.5839243498831</v>
      </c>
      <c r="BF444">
        <f t="shared" si="335"/>
        <v>0.53015753293622159</v>
      </c>
      <c r="BG444">
        <f t="shared" si="292"/>
        <v>166.16626856991454</v>
      </c>
      <c r="BH444">
        <f t="shared" si="316"/>
        <v>13465.906457145509</v>
      </c>
      <c r="BI444" s="148">
        <f t="shared" si="293"/>
        <v>6871.6622130335309</v>
      </c>
      <c r="BO444">
        <f t="shared" si="294"/>
        <v>3862.9819494627254</v>
      </c>
      <c r="BP444">
        <f t="shared" si="295"/>
        <v>653129.80645590578</v>
      </c>
      <c r="BQ444">
        <f t="shared" si="296"/>
        <v>1018815.3560239396</v>
      </c>
      <c r="BR444" s="148">
        <f t="shared" si="297"/>
        <v>1011122.0811084288</v>
      </c>
      <c r="BS444" s="156">
        <f t="shared" si="298"/>
        <v>3862.9819494627254</v>
      </c>
      <c r="BT444" s="156">
        <f t="shared" si="299"/>
        <v>13465.906457145509</v>
      </c>
      <c r="BU444">
        <f t="shared" si="300"/>
        <v>1971.2825999669556</v>
      </c>
      <c r="BV444">
        <f t="shared" si="301"/>
        <v>1971.2825999669556</v>
      </c>
      <c r="BW444" s="148">
        <f t="shared" si="302"/>
        <v>455.4</v>
      </c>
      <c r="BX444" s="148">
        <f t="shared" si="303"/>
        <v>3129354.9718154697</v>
      </c>
      <c r="BY444" s="148">
        <f t="shared" si="304"/>
        <v>0.24936724889581985</v>
      </c>
      <c r="BZ444">
        <f t="shared" si="287"/>
        <v>146.85686915669379</v>
      </c>
      <c r="CB444">
        <f t="shared" si="305"/>
        <v>-1891.6993494957699</v>
      </c>
      <c r="CC444" s="162">
        <f t="shared" si="288"/>
        <v>-6602.7093591253033</v>
      </c>
      <c r="CD444">
        <f t="shared" si="313"/>
        <v>-8425.2153945372229</v>
      </c>
    </row>
    <row r="445" spans="4:82" x14ac:dyDescent="0.2">
      <c r="D445" s="22">
        <f t="shared" si="319"/>
        <v>9.0517733112231255E-2</v>
      </c>
      <c r="E445" s="23">
        <v>10.4017032</v>
      </c>
      <c r="F445" s="23">
        <f>IF(K445&lt;6,1,IF(Data!K445&lt;9,2,IF(K445&gt;9,3)))</f>
        <v>3</v>
      </c>
      <c r="G445" s="23">
        <v>1043.7315130747254</v>
      </c>
      <c r="H445" s="23">
        <v>219.46666499999998</v>
      </c>
      <c r="I445" s="64">
        <v>47.69338195312374</v>
      </c>
      <c r="J445" s="65">
        <f t="shared" si="320"/>
        <v>1.6545321290320705</v>
      </c>
      <c r="K445" s="65">
        <f t="shared" si="321"/>
        <v>19.077352781249495</v>
      </c>
      <c r="L445" s="65">
        <f t="shared" si="322"/>
        <v>0.66181285161284242</v>
      </c>
      <c r="M445">
        <f t="shared" si="323"/>
        <v>20.8034064</v>
      </c>
      <c r="N445">
        <f t="shared" si="324"/>
        <v>0.21580611547588724</v>
      </c>
      <c r="O445">
        <f>IF(L445&lt;'Vehicle Data'!F$21,'Vehicle Data'!C$21,IF(L445&gt;'Vehicle Data'!C$21,'Vehicle Data'!C$20))</f>
        <v>0.6</v>
      </c>
      <c r="P445">
        <f>('Vehicle Data'!C$6*9.81*'Vehicle Data'!C$5*SIN(D445))/'Vehicle Data'!C$9</f>
        <v>60.199584960645986</v>
      </c>
      <c r="Q445" s="107">
        <f>'Vehicle Data'!C$6*9.81*SIN(D445)</f>
        <v>389.29064941217734</v>
      </c>
      <c r="R445" s="101">
        <f t="shared" si="336"/>
        <v>1041.3473487300948</v>
      </c>
      <c r="S445" s="101">
        <f>IF(Data!O445=0.6,'Vehicle Data'!E$21,IF(Data!O445 = 0.9,'Vehicle Data'!E$20))+(P445*O445)</f>
        <v>1586.4921509763874</v>
      </c>
      <c r="T445" s="101">
        <f>IF(F445=3,'Vehicle Data'!H$16,IF(F445=2,'Vehicle Data'!H$15,IF(F445 = 1,'Vehicle Data'!G$14)))</f>
        <v>466.23005239380637</v>
      </c>
      <c r="U445" s="148">
        <f t="shared" si="326"/>
        <v>325.20886660677877</v>
      </c>
      <c r="V445" s="102" t="s">
        <v>77</v>
      </c>
      <c r="W445" s="103" t="s">
        <v>84</v>
      </c>
      <c r="X445" s="101">
        <f>IF(V445="S",'Vehicle Data'!C$14,IF(Data!V445 = "T1",'Vehicle Data'!P$2,IF(Data!V445="T2",'Vehicle Data'!P$3)))</f>
        <v>13.411199999999999</v>
      </c>
      <c r="Y445" s="101"/>
      <c r="Z445" s="105">
        <v>8.3000000000000007</v>
      </c>
      <c r="AA445" s="101"/>
      <c r="AB445" s="101" t="b">
        <f>IF(AA445=1,'Vehicle Data'!I$14,IF(AA445=2,'Vehicle Data'!I$15,IF(AA445=3,'Vehicle Data'!I$16)))</f>
        <v>0</v>
      </c>
      <c r="AC445" s="101">
        <f>IF(Z445&lt;'Vehicle Data'!C$16,'Vehicle Data'!I$15,IF(Z445&lt;'Vehicle Data'!C$15,'Vehicle Data'!I$15,IF(Z444&gt;'Vehicle Data'!C$15,'Vehicle Data'!I$16)))</f>
        <v>0.98256251041858167</v>
      </c>
      <c r="AD445">
        <f>IF(O445=0.6,'Vehicle Data'!F$21,IF(O445=0.9,'Vehicle Data'!F$20))</f>
        <v>3.5315999999999996</v>
      </c>
      <c r="AE445" s="101">
        <f>(Data!H$15-Data!Q445)/'Vehicle Data'!C$6</f>
        <v>-0.40495212850154294</v>
      </c>
      <c r="AF445" s="158">
        <f t="shared" si="328"/>
        <v>0.28687128948626284</v>
      </c>
      <c r="AG445" s="148">
        <f t="shared" si="289"/>
        <v>0</v>
      </c>
      <c r="AH445" s="148">
        <f t="shared" si="307"/>
        <v>147.14374044618006</v>
      </c>
      <c r="AI445" s="101"/>
      <c r="AJ445" s="101">
        <f>(Z445^2)*'Vehicle Data'!C$31</f>
        <v>25.317075000000013</v>
      </c>
      <c r="AK445" s="101">
        <f>IF(O445=0.6,'Vehicle Data'!C$6*'Vehicle Data'!D$21*9.81,IF(O445=0.9,'Vehicle Data'!C$6*9.81*'Vehicle Data'!D$20))</f>
        <v>86.131799999999998</v>
      </c>
      <c r="AL445" s="101">
        <f t="shared" si="329"/>
        <v>500.73952441217739</v>
      </c>
      <c r="AM445" s="101"/>
      <c r="AN445" t="b">
        <f>IF(AG445&gt;0,AG445*'Vehicle Data'!C$6)</f>
        <v>0</v>
      </c>
      <c r="AO445" s="101">
        <f t="shared" si="330"/>
        <v>500.73952441217739</v>
      </c>
      <c r="AP445" s="101">
        <f>AO445*'Vehicle Data'!F$3</f>
        <v>127.98902243975253</v>
      </c>
      <c r="AQ445">
        <v>20</v>
      </c>
      <c r="AR445">
        <f>IF(Z445&lt;'Vehicle Data'!C$16, Z445*'Vehicle Data'!F$7*'Vehicle Data'!G$14,IF(Z445&lt;'Vehicle Data'!C$15,Z445*'Vehicle Data'!F$7*'Vehicle Data'!G$15,IF(Z445&gt;'Vehicle Data'!C$15,Z445*'Vehicle Data'!F$7*'Vehicle Data'!G$16)))</f>
        <v>107.59259259259261</v>
      </c>
      <c r="AS445">
        <f t="shared" si="331"/>
        <v>6455.5555555555566</v>
      </c>
      <c r="AT445">
        <f t="shared" si="332"/>
        <v>20</v>
      </c>
      <c r="AU445">
        <f t="shared" si="333"/>
        <v>6500</v>
      </c>
      <c r="AW445">
        <f>VLOOKUP(AT445,BSFC!A$64:A$82,1,FALSE)</f>
        <v>20</v>
      </c>
      <c r="AX445" t="e" cm="1">
        <f t="array" ref="AX445">_xlfn.XLOOKUP(AT445,BSFC!A$64:A$82,,-1,_xlfn.XLOOKUP(Data!AU445,BSFC!C$63:Q$63,BSFC!B$64:Q$82,,-1))</f>
        <v>#VALUE!</v>
      </c>
      <c r="AY445">
        <f>HLOOKUP(AU445,BSFC!F$63:Q$63,1)</f>
        <v>6500</v>
      </c>
      <c r="AZ445">
        <f>IF(AT445&gt;0,MATCH(AT445,BSFC!A$64:A$83,0),IF(AT445&lt;=0,0))</f>
        <v>3</v>
      </c>
      <c r="BA445">
        <f>MATCH(AU445,BSFC!C$63:Q$63,0)</f>
        <v>13</v>
      </c>
      <c r="BB445" cm="1">
        <f t="array" ref="BB445">IF(AZ445&gt;0,INDEX(BSFC!C$64:Q$83,Data!AZ445,Data!BA445))</f>
        <v>494.7</v>
      </c>
      <c r="BC445">
        <f>0.5*'Vehicle Data'!C$6*Data!Z445^2</f>
        <v>15121.355000000003</v>
      </c>
      <c r="BD445">
        <f t="shared" si="291"/>
        <v>13.465906457145509</v>
      </c>
      <c r="BE445">
        <f t="shared" si="334"/>
        <v>6661.5839243498831</v>
      </c>
      <c r="BF445">
        <f t="shared" si="335"/>
        <v>0.53083810288866951</v>
      </c>
      <c r="BG445">
        <f t="shared" si="292"/>
        <v>166.69710667280322</v>
      </c>
      <c r="BH445">
        <f t="shared" si="316"/>
        <v>13465.906457145509</v>
      </c>
      <c r="BI445" s="148">
        <f t="shared" si="293"/>
        <v>6871.6622130335309</v>
      </c>
      <c r="BO445">
        <f t="shared" si="294"/>
        <v>3868.0643425610574</v>
      </c>
      <c r="BP445">
        <f t="shared" si="295"/>
        <v>656997.87079846684</v>
      </c>
      <c r="BQ445">
        <f t="shared" si="296"/>
        <v>1022683.4203665006</v>
      </c>
      <c r="BR445" s="148">
        <f t="shared" si="297"/>
        <v>1013095.9572574239</v>
      </c>
      <c r="BS445" s="156">
        <f t="shared" si="298"/>
        <v>3868.0643425610574</v>
      </c>
      <c r="BT445" s="156">
        <f t="shared" si="299"/>
        <v>13465.906457145509</v>
      </c>
      <c r="BU445">
        <f t="shared" si="300"/>
        <v>1973.8761489951428</v>
      </c>
      <c r="BV445">
        <f t="shared" si="301"/>
        <v>1973.8761489951428</v>
      </c>
      <c r="BW445" s="148">
        <f t="shared" si="302"/>
        <v>455.4</v>
      </c>
      <c r="BX445" s="148">
        <f t="shared" si="303"/>
        <v>3129354.9718154697</v>
      </c>
      <c r="BY445" s="148">
        <f t="shared" si="304"/>
        <v>0.24969533284788553</v>
      </c>
      <c r="BZ445">
        <f t="shared" si="287"/>
        <v>147.14374044618006</v>
      </c>
      <c r="CB445">
        <f t="shared" si="305"/>
        <v>-1894.1881935659146</v>
      </c>
      <c r="CC445" s="162">
        <f t="shared" si="288"/>
        <v>-6602.9200655040304</v>
      </c>
      <c r="CD445">
        <f t="shared" si="313"/>
        <v>-10319.403588103138</v>
      </c>
    </row>
    <row r="446" spans="4:82" x14ac:dyDescent="0.2">
      <c r="D446" s="22">
        <f t="shared" si="319"/>
        <v>7.7118916197572301E-2</v>
      </c>
      <c r="E446" s="23">
        <v>10.617509315475887</v>
      </c>
      <c r="F446" s="23">
        <f>IF(K446&lt;6,1,IF(Data!K446&lt;9,2,IF(K446&gt;9,3)))</f>
        <v>3</v>
      </c>
      <c r="G446" s="23">
        <v>1046.1189027031448</v>
      </c>
      <c r="H446" s="23">
        <v>219.51666499999999</v>
      </c>
      <c r="I446" s="64">
        <v>47.776108559575363</v>
      </c>
      <c r="J446" s="65">
        <f t="shared" si="320"/>
        <v>1.6119607088608376</v>
      </c>
      <c r="K446" s="65">
        <f t="shared" si="321"/>
        <v>19.110443423830144</v>
      </c>
      <c r="L446" s="65">
        <f t="shared" si="322"/>
        <v>0.64478428354433504</v>
      </c>
      <c r="M446">
        <f t="shared" si="323"/>
        <v>21.235018630951775</v>
      </c>
      <c r="N446">
        <f t="shared" si="324"/>
        <v>0.18419548452411227</v>
      </c>
      <c r="O446">
        <f>IF(L446&lt;'Vehicle Data'!F$21,'Vehicle Data'!C$21,IF(L446&gt;'Vehicle Data'!C$21,'Vehicle Data'!C$20))</f>
        <v>0.6</v>
      </c>
      <c r="P446">
        <f>('Vehicle Data'!C$6*9.81*'Vehicle Data'!C$5*SIN(D446))/'Vehicle Data'!C$9</f>
        <v>51.307801120126392</v>
      </c>
      <c r="Q446" s="107">
        <f>'Vehicle Data'!C$6*9.81*SIN(D446)</f>
        <v>331.79044724348398</v>
      </c>
      <c r="R446" s="101">
        <f t="shared" si="336"/>
        <v>1043.7315130747254</v>
      </c>
      <c r="S446" s="101">
        <f>IF(Data!O446=0.6,'Vehicle Data'!E$21,IF(Data!O446 = 0.9,'Vehicle Data'!E$20))+(P446*O446)</f>
        <v>1581.1570806720756</v>
      </c>
      <c r="T446" s="101">
        <f>IF(F446=3,'Vehicle Data'!H$16,IF(F446=2,'Vehicle Data'!H$15,IF(F446 = 1,'Vehicle Data'!G$14)))</f>
        <v>466.23005239380637</v>
      </c>
      <c r="U446" s="148">
        <f t="shared" si="326"/>
        <v>327.59303095140933</v>
      </c>
      <c r="V446" s="102" t="s">
        <v>77</v>
      </c>
      <c r="W446" s="103" t="s">
        <v>84</v>
      </c>
      <c r="X446" s="101">
        <f>IF(V446="S",'Vehicle Data'!C$14,IF(Data!V446 = "T1",'Vehicle Data'!P$2,IF(Data!V446="T2",'Vehicle Data'!P$3)))</f>
        <v>13.411199999999999</v>
      </c>
      <c r="Y446" s="101"/>
      <c r="Z446" s="105">
        <v>8.3000000000000007</v>
      </c>
      <c r="AA446" s="101"/>
      <c r="AB446" s="101" t="b">
        <f>IF(AA446=1,'Vehicle Data'!I$14,IF(AA446=2,'Vehicle Data'!I$15,IF(AA446=3,'Vehicle Data'!I$16)))</f>
        <v>0</v>
      </c>
      <c r="AC446" s="101">
        <f>IF(Z446&lt;'Vehicle Data'!C$16,'Vehicle Data'!I$15,IF(Z446&lt;'Vehicle Data'!C$15,'Vehicle Data'!I$15,IF(Z445&gt;'Vehicle Data'!C$15,'Vehicle Data'!I$16)))</f>
        <v>0.98256251041858167</v>
      </c>
      <c r="AD446">
        <f>IF(O446=0.6,'Vehicle Data'!F$21,IF(O446=0.9,'Vehicle Data'!F$20))</f>
        <v>3.5315999999999996</v>
      </c>
      <c r="AE446" s="101">
        <f>(Data!H$15-Data!Q446)/'Vehicle Data'!C$6</f>
        <v>-0.27397216911955352</v>
      </c>
      <c r="AF446" s="158">
        <f t="shared" si="328"/>
        <v>0.28724871622054965</v>
      </c>
      <c r="AG446" s="148">
        <f t="shared" si="289"/>
        <v>0</v>
      </c>
      <c r="AH446" s="148">
        <f t="shared" si="307"/>
        <v>147.43098916240061</v>
      </c>
      <c r="AI446" s="101"/>
      <c r="AJ446" s="101">
        <f>(Z446^2)*'Vehicle Data'!C$31</f>
        <v>25.317075000000013</v>
      </c>
      <c r="AK446" s="101">
        <f>IF(O446=0.6,'Vehicle Data'!C$6*'Vehicle Data'!D$21*9.81,IF(O446=0.9,'Vehicle Data'!C$6*9.81*'Vehicle Data'!D$20))</f>
        <v>86.131799999999998</v>
      </c>
      <c r="AL446" s="101">
        <f t="shared" si="329"/>
        <v>443.23932224348403</v>
      </c>
      <c r="AM446" s="101"/>
      <c r="AN446" t="b">
        <f>IF(AG446&gt;0,AG446*'Vehicle Data'!C$6)</f>
        <v>0</v>
      </c>
      <c r="AO446" s="101">
        <f t="shared" si="330"/>
        <v>443.23932224348403</v>
      </c>
      <c r="AP446" s="101">
        <f>AO446*'Vehicle Data'!F$3</f>
        <v>113.29197076543451</v>
      </c>
      <c r="AQ446">
        <v>20</v>
      </c>
      <c r="AR446">
        <f>IF(Z446&lt;'Vehicle Data'!C$16, Z446*'Vehicle Data'!F$7*'Vehicle Data'!G$14,IF(Z446&lt;'Vehicle Data'!C$15,Z446*'Vehicle Data'!F$7*'Vehicle Data'!G$15,IF(Z446&gt;'Vehicle Data'!C$15,Z446*'Vehicle Data'!F$7*'Vehicle Data'!G$16)))</f>
        <v>107.59259259259261</v>
      </c>
      <c r="AS446">
        <f t="shared" si="331"/>
        <v>6455.5555555555566</v>
      </c>
      <c r="AT446">
        <f t="shared" si="332"/>
        <v>20</v>
      </c>
      <c r="AU446">
        <f t="shared" si="333"/>
        <v>6500</v>
      </c>
      <c r="AW446">
        <f>VLOOKUP(AT446,BSFC!A$64:A$82,1,FALSE)</f>
        <v>20</v>
      </c>
      <c r="AX446" t="e" cm="1">
        <f t="array" ref="AX446">_xlfn.XLOOKUP(AT446,BSFC!A$64:A$82,,-1,_xlfn.XLOOKUP(Data!AU446,BSFC!C$63:Q$63,BSFC!B$64:Q$82,,-1))</f>
        <v>#VALUE!</v>
      </c>
      <c r="AY446">
        <f>HLOOKUP(AU446,BSFC!F$63:Q$63,1)</f>
        <v>6500</v>
      </c>
      <c r="AZ446">
        <f>IF(AT446&gt;0,MATCH(AT446,BSFC!A$64:A$83,0),IF(AT446&lt;=0,0))</f>
        <v>3</v>
      </c>
      <c r="BA446">
        <f>MATCH(AU446,BSFC!C$63:Q$63,0)</f>
        <v>13</v>
      </c>
      <c r="BB446" cm="1">
        <f t="array" ref="BB446">IF(AZ446&gt;0,INDEX(BSFC!C$64:Q$83,Data!AZ446,Data!BA446))</f>
        <v>494.7</v>
      </c>
      <c r="BC446">
        <f>0.5*'Vehicle Data'!C$6*Data!Z446^2</f>
        <v>15121.355000000003</v>
      </c>
      <c r="BD446">
        <f t="shared" si="291"/>
        <v>13.465906457145509</v>
      </c>
      <c r="BE446">
        <f t="shared" si="334"/>
        <v>6661.5839243498831</v>
      </c>
      <c r="BF446">
        <f t="shared" si="335"/>
        <v>0.5315365084069319</v>
      </c>
      <c r="BG446">
        <f t="shared" si="292"/>
        <v>167.22864318121015</v>
      </c>
      <c r="BH446">
        <f t="shared" si="316"/>
        <v>13465.906457145509</v>
      </c>
      <c r="BI446" s="148">
        <f t="shared" si="293"/>
        <v>6871.6622130335309</v>
      </c>
      <c r="BO446">
        <f t="shared" si="294"/>
        <v>3873.2970377175388</v>
      </c>
      <c r="BP446">
        <f t="shared" si="295"/>
        <v>660871.16783618438</v>
      </c>
      <c r="BQ446">
        <f t="shared" si="296"/>
        <v>1026556.7174042182</v>
      </c>
      <c r="BR446" s="148">
        <f t="shared" si="297"/>
        <v>1015072.5036547008</v>
      </c>
      <c r="BS446" s="156">
        <f t="shared" si="298"/>
        <v>3873.2970377175388</v>
      </c>
      <c r="BT446" s="156">
        <f t="shared" si="299"/>
        <v>13465.906457145509</v>
      </c>
      <c r="BU446">
        <f t="shared" si="300"/>
        <v>1976.5463972768719</v>
      </c>
      <c r="BV446">
        <f t="shared" si="301"/>
        <v>1976.5463972768719</v>
      </c>
      <c r="BW446" s="148">
        <f t="shared" si="302"/>
        <v>455.4</v>
      </c>
      <c r="BX446" s="148">
        <f t="shared" si="303"/>
        <v>3129354.9718154697</v>
      </c>
      <c r="BY446" s="148">
        <f t="shared" si="304"/>
        <v>0.25003311925552429</v>
      </c>
      <c r="BZ446">
        <f t="shared" si="287"/>
        <v>147.43098916240061</v>
      </c>
      <c r="CB446">
        <f t="shared" si="305"/>
        <v>-1896.750640440667</v>
      </c>
      <c r="CC446" s="162">
        <f t="shared" si="288"/>
        <v>-6603.1648997322791</v>
      </c>
      <c r="CD446">
        <f t="shared" si="313"/>
        <v>-12216.154228543804</v>
      </c>
    </row>
    <row r="447" spans="4:82" x14ac:dyDescent="0.2">
      <c r="D447" s="22">
        <f t="shared" si="319"/>
        <v>8.3626532506466691E-2</v>
      </c>
      <c r="E447" s="23">
        <v>10.8017048</v>
      </c>
      <c r="F447" s="23">
        <f>IF(K447&lt;6,1,IF(Data!K447&lt;9,2,IF(K447&gt;9,3)))</f>
        <v>3</v>
      </c>
      <c r="G447" s="23">
        <v>1048.5097323315656</v>
      </c>
      <c r="H447" s="23">
        <v>219.566665</v>
      </c>
      <c r="I447" s="64">
        <v>47.856706595018423</v>
      </c>
      <c r="J447" s="65">
        <f t="shared" si="320"/>
        <v>1.6314679559003644</v>
      </c>
      <c r="K447" s="65">
        <f t="shared" si="321"/>
        <v>19.142682638007368</v>
      </c>
      <c r="L447" s="65">
        <f t="shared" si="322"/>
        <v>0.65258718236017421</v>
      </c>
      <c r="M447">
        <f t="shared" si="323"/>
        <v>21.603409599999999</v>
      </c>
      <c r="N447">
        <f t="shared" si="324"/>
        <v>0.1999967999999992</v>
      </c>
      <c r="O447">
        <f>IF(L447&lt;'Vehicle Data'!F$21,'Vehicle Data'!C$21,IF(L447&gt;'Vehicle Data'!C$21,'Vehicle Data'!C$20))</f>
        <v>0.6</v>
      </c>
      <c r="P447">
        <f>('Vehicle Data'!C$6*9.81*'Vehicle Data'!C$5*SIN(D447))/'Vehicle Data'!C$9</f>
        <v>55.627664279577644</v>
      </c>
      <c r="Q447" s="107">
        <f>'Vehicle Data'!C$6*9.81*SIN(D447)</f>
        <v>359.7255623412687</v>
      </c>
      <c r="R447" s="101">
        <f t="shared" si="336"/>
        <v>1046.1189027031448</v>
      </c>
      <c r="S447" s="101">
        <f>IF(Data!O447=0.6,'Vehicle Data'!E$21,IF(Data!O447 = 0.9,'Vehicle Data'!E$20))+(P447*O447)</f>
        <v>1583.7489985677464</v>
      </c>
      <c r="T447" s="101">
        <f>IF(F447=3,'Vehicle Data'!H$16,IF(F447=2,'Vehicle Data'!H$15,IF(F447 = 1,'Vehicle Data'!G$14)))</f>
        <v>466.23005239380637</v>
      </c>
      <c r="U447" s="148">
        <f t="shared" si="326"/>
        <v>329.98042057982877</v>
      </c>
      <c r="V447" s="102" t="s">
        <v>77</v>
      </c>
      <c r="W447" s="103" t="s">
        <v>84</v>
      </c>
      <c r="X447" s="101">
        <f>IF(V447="S",'Vehicle Data'!C$14,IF(Data!V447 = "T1",'Vehicle Data'!P$2,IF(Data!V447="T2",'Vehicle Data'!P$3)))</f>
        <v>13.411199999999999</v>
      </c>
      <c r="Y447" s="101"/>
      <c r="Z447" s="105">
        <v>8.3000000000000007</v>
      </c>
      <c r="AA447" s="101"/>
      <c r="AB447" s="101" t="b">
        <f>IF(AA447=1,'Vehicle Data'!I$14,IF(AA447=2,'Vehicle Data'!I$15,IF(AA447=3,'Vehicle Data'!I$16)))</f>
        <v>0</v>
      </c>
      <c r="AC447" s="101">
        <f>IF(Z447&lt;'Vehicle Data'!C$16,'Vehicle Data'!I$15,IF(Z447&lt;'Vehicle Data'!C$15,'Vehicle Data'!I$15,IF(Z446&gt;'Vehicle Data'!C$15,'Vehicle Data'!I$16)))</f>
        <v>0.98256251041858167</v>
      </c>
      <c r="AD447">
        <f>IF(O447=0.6,'Vehicle Data'!F$21,IF(O447=0.9,'Vehicle Data'!F$20))</f>
        <v>3.5315999999999996</v>
      </c>
      <c r="AE447" s="101">
        <f>(Data!H$15-Data!Q447)/'Vehicle Data'!C$6</f>
        <v>-0.33760568870448454</v>
      </c>
      <c r="AF447" s="158">
        <f t="shared" si="328"/>
        <v>0.28763730462884834</v>
      </c>
      <c r="AG447" s="148">
        <f t="shared" si="289"/>
        <v>0</v>
      </c>
      <c r="AH447" s="148">
        <f t="shared" si="307"/>
        <v>147.71862646702945</v>
      </c>
      <c r="AI447" s="101"/>
      <c r="AJ447" s="101">
        <f>(Z447^2)*'Vehicle Data'!C$31</f>
        <v>25.317075000000013</v>
      </c>
      <c r="AK447" s="101">
        <f>IF(O447=0.6,'Vehicle Data'!C$6*'Vehicle Data'!D$21*9.81,IF(O447=0.9,'Vehicle Data'!C$6*9.81*'Vehicle Data'!D$20))</f>
        <v>86.131799999999998</v>
      </c>
      <c r="AL447" s="101">
        <f t="shared" si="329"/>
        <v>471.17443734126869</v>
      </c>
      <c r="AM447" s="101"/>
      <c r="AN447" t="b">
        <f>IF(AG447&gt;0,AG447*'Vehicle Data'!C$6)</f>
        <v>0</v>
      </c>
      <c r="AO447" s="101">
        <f t="shared" si="330"/>
        <v>471.17443734126869</v>
      </c>
      <c r="AP447" s="101">
        <f>AO447*'Vehicle Data'!F$3</f>
        <v>120.43218618442828</v>
      </c>
      <c r="AQ447">
        <v>20</v>
      </c>
      <c r="AR447">
        <f>IF(Z447&lt;'Vehicle Data'!C$16, Z447*'Vehicle Data'!F$7*'Vehicle Data'!G$14,IF(Z447&lt;'Vehicle Data'!C$15,Z447*'Vehicle Data'!F$7*'Vehicle Data'!G$15,IF(Z447&gt;'Vehicle Data'!C$15,Z447*'Vehicle Data'!F$7*'Vehicle Data'!G$16)))</f>
        <v>107.59259259259261</v>
      </c>
      <c r="AS447">
        <f t="shared" si="331"/>
        <v>6455.5555555555566</v>
      </c>
      <c r="AT447">
        <f t="shared" si="332"/>
        <v>20</v>
      </c>
      <c r="AU447">
        <f t="shared" si="333"/>
        <v>6500</v>
      </c>
      <c r="AW447">
        <f>VLOOKUP(AT447,BSFC!A$64:A$82,1,FALSE)</f>
        <v>20</v>
      </c>
      <c r="AX447" t="e" cm="1">
        <f t="array" ref="AX447">_xlfn.XLOOKUP(AT447,BSFC!A$64:A$82,,-1,_xlfn.XLOOKUP(Data!AU447,BSFC!C$63:Q$63,BSFC!B$64:Q$82,,-1))</f>
        <v>#VALUE!</v>
      </c>
      <c r="AY447">
        <f>HLOOKUP(AU447,BSFC!F$63:Q$63,1)</f>
        <v>6500</v>
      </c>
      <c r="AZ447">
        <f>IF(AT447&gt;0,MATCH(AT447,BSFC!A$64:A$83,0),IF(AT447&lt;=0,0))</f>
        <v>3</v>
      </c>
      <c r="BA447">
        <f>MATCH(AU447,BSFC!C$63:Q$63,0)</f>
        <v>13</v>
      </c>
      <c r="BB447" cm="1">
        <f t="array" ref="BB447">IF(AZ447&gt;0,INDEX(BSFC!C$64:Q$83,Data!AZ447,Data!BA447))</f>
        <v>494.7</v>
      </c>
      <c r="BC447">
        <f>0.5*'Vehicle Data'!C$6*Data!Z447^2</f>
        <v>15121.355000000003</v>
      </c>
      <c r="BD447">
        <f t="shared" si="291"/>
        <v>13.465906457145509</v>
      </c>
      <c r="BE447">
        <f t="shared" si="334"/>
        <v>6661.5839243498831</v>
      </c>
      <c r="BF447">
        <f t="shared" si="335"/>
        <v>0.53225556793301843</v>
      </c>
      <c r="BG447">
        <f t="shared" si="292"/>
        <v>167.76089874914317</v>
      </c>
      <c r="BH447">
        <f t="shared" si="316"/>
        <v>13465.906457145509</v>
      </c>
      <c r="BI447" s="148">
        <f t="shared" si="293"/>
        <v>6871.6622130335309</v>
      </c>
      <c r="BO447">
        <f t="shared" si="294"/>
        <v>3878.8780881067369</v>
      </c>
      <c r="BP447">
        <f t="shared" si="295"/>
        <v>664750.04592429113</v>
      </c>
      <c r="BQ447">
        <f t="shared" si="296"/>
        <v>1030435.5954923249</v>
      </c>
      <c r="BR447" s="148">
        <f t="shared" si="297"/>
        <v>1017051.8980661972</v>
      </c>
      <c r="BS447" s="156">
        <f t="shared" si="298"/>
        <v>3878.8780881067369</v>
      </c>
      <c r="BT447" s="156">
        <f t="shared" si="299"/>
        <v>13465.906457145509</v>
      </c>
      <c r="BU447">
        <f t="shared" si="300"/>
        <v>1979.3944114963781</v>
      </c>
      <c r="BV447">
        <f t="shared" si="301"/>
        <v>1979.3944114963781</v>
      </c>
      <c r="BW447" s="148">
        <f t="shared" si="302"/>
        <v>455.4</v>
      </c>
      <c r="BX447" s="148">
        <f t="shared" si="303"/>
        <v>3129354.9718154697</v>
      </c>
      <c r="BY447" s="148">
        <f t="shared" si="304"/>
        <v>0.25039339305429176</v>
      </c>
      <c r="BZ447">
        <f t="shared" si="287"/>
        <v>147.71862646702945</v>
      </c>
      <c r="CB447">
        <f t="shared" si="305"/>
        <v>-1899.4836766103588</v>
      </c>
      <c r="CC447" s="162">
        <f t="shared" si="288"/>
        <v>-6603.745919053762</v>
      </c>
      <c r="CD447">
        <f t="shared" si="313"/>
        <v>-14115.637905154163</v>
      </c>
    </row>
    <row r="448" spans="4:82" x14ac:dyDescent="0.2">
      <c r="D448" s="22">
        <f t="shared" si="319"/>
        <v>4.8314625047584658E-2</v>
      </c>
      <c r="E448" s="23">
        <v>11.001701599999999</v>
      </c>
      <c r="F448" s="23">
        <f>IF(K448&lt;6,1,IF(Data!K448&lt;9,2,IF(K448&gt;9,3)))</f>
        <v>3</v>
      </c>
      <c r="G448" s="23">
        <v>1050.90406931809</v>
      </c>
      <c r="H448" s="23">
        <v>219.61666499999998</v>
      </c>
      <c r="I448" s="64">
        <v>47.938279992813413</v>
      </c>
      <c r="J448" s="65">
        <f t="shared" si="320"/>
        <v>1.612882005716247</v>
      </c>
      <c r="K448" s="65">
        <f t="shared" si="321"/>
        <v>19.175311997125366</v>
      </c>
      <c r="L448" s="65">
        <f t="shared" si="322"/>
        <v>0.64515280228647043</v>
      </c>
      <c r="M448">
        <f t="shared" si="323"/>
        <v>22.003403199999997</v>
      </c>
      <c r="N448">
        <f t="shared" si="324"/>
        <v>0.11580771547588853</v>
      </c>
      <c r="O448">
        <f>IF(L448&lt;'Vehicle Data'!F$21,'Vehicle Data'!C$21,IF(L448&gt;'Vehicle Data'!C$21,'Vehicle Data'!C$20))</f>
        <v>0.6</v>
      </c>
      <c r="P448">
        <f>('Vehicle Data'!C$6*9.81*'Vehicle Data'!C$5*SIN(D448))/'Vehicle Data'!C$9</f>
        <v>32.163454684879788</v>
      </c>
      <c r="Q448" s="107">
        <f>'Vehicle Data'!C$6*9.81*SIN(D448)</f>
        <v>207.99034029555594</v>
      </c>
      <c r="R448" s="101">
        <f t="shared" si="336"/>
        <v>1048.5097323315656</v>
      </c>
      <c r="S448" s="101">
        <f>IF(Data!O448=0.6,'Vehicle Data'!E$21,IF(Data!O448 = 0.9,'Vehicle Data'!E$20))+(P448*O448)</f>
        <v>1569.6704728109275</v>
      </c>
      <c r="T448" s="101">
        <f>IF(F448=3,'Vehicle Data'!H$16,IF(F448=2,'Vehicle Data'!H$15,IF(F448 = 1,'Vehicle Data'!G$14)))</f>
        <v>466.23005239380637</v>
      </c>
      <c r="U448" s="148">
        <f t="shared" si="326"/>
        <v>332.37125020824953</v>
      </c>
      <c r="V448" s="102" t="s">
        <v>77</v>
      </c>
      <c r="W448" s="103" t="s">
        <v>84</v>
      </c>
      <c r="X448" s="101">
        <f>IF(V448="S",'Vehicle Data'!C$14,IF(Data!V448 = "T1",'Vehicle Data'!P$2,IF(Data!V448="T2",'Vehicle Data'!P$3)))</f>
        <v>13.411199999999999</v>
      </c>
      <c r="Y448" s="101"/>
      <c r="Z448" s="105">
        <v>8.3000000000000007</v>
      </c>
      <c r="AA448" s="101"/>
      <c r="AB448" s="101" t="b">
        <f>IF(AA448=1,'Vehicle Data'!I$14,IF(AA448=2,'Vehicle Data'!I$15,IF(AA448=3,'Vehicle Data'!I$16)))</f>
        <v>0</v>
      </c>
      <c r="AC448" s="101">
        <f>IF(Z448&lt;'Vehicle Data'!C$16,'Vehicle Data'!I$15,IF(Z448&lt;'Vehicle Data'!C$15,'Vehicle Data'!I$15,IF(Z447&gt;'Vehicle Data'!C$15,'Vehicle Data'!I$16)))</f>
        <v>0.98256251041858167</v>
      </c>
      <c r="AD448">
        <f>IF(O448=0.6,'Vehicle Data'!F$21,IF(O448=0.9,'Vehicle Data'!F$20))</f>
        <v>3.5315999999999996</v>
      </c>
      <c r="AE448" s="101">
        <f>(Data!H$15-Data!Q448)/'Vehicle Data'!C$6</f>
        <v>8.0326303062506852E-3</v>
      </c>
      <c r="AF448" s="158">
        <f t="shared" si="328"/>
        <v>0.28805176246033259</v>
      </c>
      <c r="AG448" s="148">
        <f t="shared" si="289"/>
        <v>0</v>
      </c>
      <c r="AH448" s="148">
        <f t="shared" si="307"/>
        <v>148.00667822948978</v>
      </c>
      <c r="AI448" s="101"/>
      <c r="AJ448" s="101">
        <f>(Z448^2)*'Vehicle Data'!C$31</f>
        <v>25.317075000000013</v>
      </c>
      <c r="AK448" s="101">
        <f>IF(O448=0.6,'Vehicle Data'!C$6*'Vehicle Data'!D$21*9.81,IF(O448=0.9,'Vehicle Data'!C$6*9.81*'Vehicle Data'!D$20))</f>
        <v>86.131799999999998</v>
      </c>
      <c r="AL448" s="101">
        <f t="shared" si="329"/>
        <v>319.43921529555598</v>
      </c>
      <c r="AM448" s="101"/>
      <c r="AN448" t="b">
        <f>IF(AG448&gt;0,AG448*'Vehicle Data'!C$6)</f>
        <v>0</v>
      </c>
      <c r="AO448" s="101">
        <f t="shared" si="330"/>
        <v>319.43921529555598</v>
      </c>
      <c r="AP448" s="101">
        <f>AO448*'Vehicle Data'!F$3</f>
        <v>81.648663429544101</v>
      </c>
      <c r="AQ448">
        <v>20</v>
      </c>
      <c r="AR448">
        <f>IF(Z448&lt;'Vehicle Data'!C$16, Z448*'Vehicle Data'!F$7*'Vehicle Data'!G$14,IF(Z448&lt;'Vehicle Data'!C$15,Z448*'Vehicle Data'!F$7*'Vehicle Data'!G$15,IF(Z448&gt;'Vehicle Data'!C$15,Z448*'Vehicle Data'!F$7*'Vehicle Data'!G$16)))</f>
        <v>107.59259259259261</v>
      </c>
      <c r="AS448">
        <f t="shared" si="331"/>
        <v>6455.5555555555566</v>
      </c>
      <c r="AT448">
        <f t="shared" si="332"/>
        <v>20</v>
      </c>
      <c r="AU448">
        <f t="shared" si="333"/>
        <v>6500</v>
      </c>
      <c r="AW448">
        <f>VLOOKUP(AT448,BSFC!A$64:A$82,1,FALSE)</f>
        <v>20</v>
      </c>
      <c r="AX448" t="e" cm="1">
        <f t="array" ref="AX448">_xlfn.XLOOKUP(AT448,BSFC!A$64:A$82,,-1,_xlfn.XLOOKUP(Data!AU448,BSFC!C$63:Q$63,BSFC!B$64:Q$82,,-1))</f>
        <v>#VALUE!</v>
      </c>
      <c r="AY448">
        <f>HLOOKUP(AU448,BSFC!F$63:Q$63,1)</f>
        <v>6500</v>
      </c>
      <c r="AZ448">
        <f>IF(AT448&gt;0,MATCH(AT448,BSFC!A$64:A$83,0),IF(AT448&lt;=0,0))</f>
        <v>3</v>
      </c>
      <c r="BA448">
        <f>MATCH(AU448,BSFC!C$63:Q$63,0)</f>
        <v>13</v>
      </c>
      <c r="BB448" cm="1">
        <f t="array" ref="BB448">IF(AZ448&gt;0,INDEX(BSFC!C$64:Q$83,Data!AZ448,Data!BA448))</f>
        <v>494.7</v>
      </c>
      <c r="BC448">
        <f>0.5*'Vehicle Data'!C$6*Data!Z448^2</f>
        <v>15121.355000000003</v>
      </c>
      <c r="BD448">
        <f t="shared" si="291"/>
        <v>13.465906457145509</v>
      </c>
      <c r="BE448">
        <f t="shared" si="334"/>
        <v>6661.5839243498831</v>
      </c>
      <c r="BF448">
        <f t="shared" si="335"/>
        <v>0.53302249727400075</v>
      </c>
      <c r="BG448">
        <f t="shared" si="292"/>
        <v>168.29392124641717</v>
      </c>
      <c r="BH448">
        <f t="shared" si="316"/>
        <v>13465.906457145509</v>
      </c>
      <c r="BI448" s="148">
        <f t="shared" si="293"/>
        <v>6871.6622130335309</v>
      </c>
      <c r="BO448">
        <f t="shared" si="294"/>
        <v>3884.5684201712693</v>
      </c>
      <c r="BP448">
        <f t="shared" si="295"/>
        <v>668634.6143444624</v>
      </c>
      <c r="BQ448">
        <f t="shared" si="296"/>
        <v>1034320.1639124962</v>
      </c>
      <c r="BR448" s="148">
        <f t="shared" si="297"/>
        <v>1019034.1962584343</v>
      </c>
      <c r="BS448" s="156">
        <f t="shared" si="298"/>
        <v>3884.5684201712693</v>
      </c>
      <c r="BT448" s="156">
        <f t="shared" si="299"/>
        <v>13465.906457145509</v>
      </c>
      <c r="BU448">
        <f t="shared" si="300"/>
        <v>1982.2981922371621</v>
      </c>
      <c r="BV448">
        <f t="shared" si="301"/>
        <v>1982.2981922371621</v>
      </c>
      <c r="BW448" s="148">
        <f t="shared" si="302"/>
        <v>455.4</v>
      </c>
      <c r="BX448" s="148">
        <f t="shared" si="303"/>
        <v>3129354.9718154697</v>
      </c>
      <c r="BY448" s="148">
        <f t="shared" si="304"/>
        <v>0.25076072131800098</v>
      </c>
      <c r="BZ448">
        <f t="shared" si="287"/>
        <v>148.00667822948978</v>
      </c>
      <c r="CB448">
        <f t="shared" si="305"/>
        <v>-1902.2702279341072</v>
      </c>
      <c r="CC448" s="162">
        <f t="shared" si="288"/>
        <v>-6603.9180308646901</v>
      </c>
      <c r="CD448">
        <f t="shared" si="313"/>
        <v>-16017.908133088269</v>
      </c>
    </row>
    <row r="449" spans="4:82" x14ac:dyDescent="0.2">
      <c r="D449" s="22">
        <f t="shared" si="319"/>
        <v>4.1651209028775893E-2</v>
      </c>
      <c r="E449" s="23">
        <v>11.117509315475887</v>
      </c>
      <c r="F449" s="23">
        <f>IF(K449&lt;6,1,IF(Data!K449&lt;9,2,IF(K449&gt;9,3)))</f>
        <v>3</v>
      </c>
      <c r="G449" s="23">
        <v>1053.3019515884041</v>
      </c>
      <c r="H449" s="23">
        <v>219.66666499999999</v>
      </c>
      <c r="I449" s="64">
        <v>48.018924093099244</v>
      </c>
      <c r="J449" s="65">
        <f t="shared" si="320"/>
        <v>1.616747093508178</v>
      </c>
      <c r="K449" s="65">
        <f t="shared" si="321"/>
        <v>19.207569637239697</v>
      </c>
      <c r="L449" s="65">
        <f t="shared" si="322"/>
        <v>0.6466988374032997</v>
      </c>
      <c r="M449">
        <f t="shared" si="323"/>
        <v>22.235018630951775</v>
      </c>
      <c r="N449">
        <f t="shared" si="324"/>
        <v>9.9998526419128098E-2</v>
      </c>
      <c r="O449">
        <f>IF(L449&lt;'Vehicle Data'!F$21,'Vehicle Data'!C$21,IF(L449&gt;'Vehicle Data'!C$21,'Vehicle Data'!C$20))</f>
        <v>0.6</v>
      </c>
      <c r="P449">
        <f>('Vehicle Data'!C$6*9.81*'Vehicle Data'!C$5*SIN(D449))/'Vehicle Data'!C$9</f>
        <v>27.730333128335385</v>
      </c>
      <c r="Q449" s="107">
        <f>'Vehicle Data'!C$6*9.81*SIN(D449)</f>
        <v>179.3228208965688</v>
      </c>
      <c r="R449" s="101">
        <f t="shared" si="336"/>
        <v>1050.90406931809</v>
      </c>
      <c r="S449" s="101">
        <f>IF(Data!O449=0.6,'Vehicle Data'!E$21,IF(Data!O449 = 0.9,'Vehicle Data'!E$20))+(P449*O449)</f>
        <v>1567.0105998770009</v>
      </c>
      <c r="T449" s="101">
        <f>IF(F449=3,'Vehicle Data'!H$16,IF(F449=2,'Vehicle Data'!H$15,IF(F449 = 1,'Vehicle Data'!G$14)))</f>
        <v>466.23005239380637</v>
      </c>
      <c r="U449" s="148">
        <f t="shared" si="326"/>
        <v>334.76558719477396</v>
      </c>
      <c r="V449" s="102" t="s">
        <v>77</v>
      </c>
      <c r="W449" s="103" t="s">
        <v>84</v>
      </c>
      <c r="X449" s="101">
        <f>IF(V449="S",'Vehicle Data'!C$14,IF(Data!V449 = "T1",'Vehicle Data'!P$2,IF(Data!V449="T2",'Vehicle Data'!P$3)))</f>
        <v>13.411199999999999</v>
      </c>
      <c r="Y449" s="101"/>
      <c r="Z449" s="105">
        <v>8.3000000000000007</v>
      </c>
      <c r="AA449" s="101"/>
      <c r="AB449" s="101" t="b">
        <f>IF(AA449=1,'Vehicle Data'!I$14,IF(AA449=2,'Vehicle Data'!I$15,IF(AA449=3,'Vehicle Data'!I$16)))</f>
        <v>0</v>
      </c>
      <c r="AC449" s="101">
        <f>IF(Z449&lt;'Vehicle Data'!C$16,'Vehicle Data'!I$15,IF(Z449&lt;'Vehicle Data'!C$15,'Vehicle Data'!I$15,IF(Z448&gt;'Vehicle Data'!C$15,'Vehicle Data'!I$16)))</f>
        <v>0.98256251041858167</v>
      </c>
      <c r="AD449">
        <f>IF(O449=0.6,'Vehicle Data'!F$21,IF(O449=0.9,'Vehicle Data'!F$20))</f>
        <v>3.5315999999999996</v>
      </c>
      <c r="AE449" s="101">
        <f>(Data!H$15-Data!Q449)/'Vehicle Data'!C$6</f>
        <v>7.3334496818749859E-2</v>
      </c>
      <c r="AF449" s="158">
        <f t="shared" si="328"/>
        <v>0.28847433572583397</v>
      </c>
      <c r="AG449" s="148">
        <f t="shared" si="289"/>
        <v>0</v>
      </c>
      <c r="AH449" s="148">
        <f t="shared" si="307"/>
        <v>148.2951525652156</v>
      </c>
      <c r="AI449" s="101"/>
      <c r="AJ449" s="101">
        <f>(Z449^2)*'Vehicle Data'!C$31</f>
        <v>25.317075000000013</v>
      </c>
      <c r="AK449" s="101">
        <f>IF(O449=0.6,'Vehicle Data'!C$6*'Vehicle Data'!D$21*9.81,IF(O449=0.9,'Vehicle Data'!C$6*9.81*'Vehicle Data'!D$20))</f>
        <v>86.131799999999998</v>
      </c>
      <c r="AL449" s="101">
        <f t="shared" si="329"/>
        <v>290.77169589656881</v>
      </c>
      <c r="AM449" s="101"/>
      <c r="AN449" t="b">
        <f>IF(AG449&gt;0,AG449*'Vehicle Data'!C$6)</f>
        <v>0</v>
      </c>
      <c r="AO449" s="101">
        <f t="shared" si="330"/>
        <v>290.77169589656881</v>
      </c>
      <c r="AP449" s="101">
        <f>AO449*'Vehicle Data'!F$3</f>
        <v>74.321245471162982</v>
      </c>
      <c r="AQ449">
        <v>20</v>
      </c>
      <c r="AR449">
        <f>IF(Z449&lt;'Vehicle Data'!C$16, Z449*'Vehicle Data'!F$7*'Vehicle Data'!G$14,IF(Z449&lt;'Vehicle Data'!C$15,Z449*'Vehicle Data'!F$7*'Vehicle Data'!G$15,IF(Z449&gt;'Vehicle Data'!C$15,Z449*'Vehicle Data'!F$7*'Vehicle Data'!G$16)))</f>
        <v>107.59259259259261</v>
      </c>
      <c r="AS449">
        <f t="shared" si="331"/>
        <v>6455.5555555555566</v>
      </c>
      <c r="AT449">
        <f t="shared" si="332"/>
        <v>20</v>
      </c>
      <c r="AU449">
        <f t="shared" si="333"/>
        <v>6500</v>
      </c>
      <c r="AW449">
        <f>VLOOKUP(AT449,BSFC!A$64:A$82,1,FALSE)</f>
        <v>20</v>
      </c>
      <c r="AX449" t="e" cm="1">
        <f t="array" ref="AX449">_xlfn.XLOOKUP(AT449,BSFC!A$64:A$82,,-1,_xlfn.XLOOKUP(Data!AU449,BSFC!C$63:Q$63,BSFC!B$64:Q$82,,-1))</f>
        <v>#VALUE!</v>
      </c>
      <c r="AY449">
        <f>HLOOKUP(AU449,BSFC!F$63:Q$63,1)</f>
        <v>6500</v>
      </c>
      <c r="AZ449">
        <f>IF(AT449&gt;0,MATCH(AT449,BSFC!A$64:A$83,0),IF(AT449&lt;=0,0))</f>
        <v>3</v>
      </c>
      <c r="BA449">
        <f>MATCH(AU449,BSFC!C$63:Q$63,0)</f>
        <v>13</v>
      </c>
      <c r="BB449" cm="1">
        <f t="array" ref="BB449">IF(AZ449&gt;0,INDEX(BSFC!C$64:Q$83,Data!AZ449,Data!BA449))</f>
        <v>494.7</v>
      </c>
      <c r="BC449">
        <f>0.5*'Vehicle Data'!C$6*Data!Z449^2</f>
        <v>15121.355000000003</v>
      </c>
      <c r="BD449">
        <f t="shared" si="291"/>
        <v>13.465906457145509</v>
      </c>
      <c r="BE449">
        <f t="shared" si="334"/>
        <v>6661.5839243498831</v>
      </c>
      <c r="BF449">
        <f t="shared" si="335"/>
        <v>0.53380444373853519</v>
      </c>
      <c r="BG449">
        <f t="shared" si="292"/>
        <v>168.82772569015572</v>
      </c>
      <c r="BH449">
        <f t="shared" si="316"/>
        <v>13465.906457145509</v>
      </c>
      <c r="BI449" s="148">
        <f t="shared" si="293"/>
        <v>6871.6622130335309</v>
      </c>
      <c r="BO449">
        <f t="shared" si="294"/>
        <v>3890.3202828068875</v>
      </c>
      <c r="BP449">
        <f t="shared" si="295"/>
        <v>672524.93462726928</v>
      </c>
      <c r="BQ449">
        <f t="shared" si="296"/>
        <v>1038210.4841953031</v>
      </c>
      <c r="BR449" s="148">
        <f t="shared" si="297"/>
        <v>1021019.4296305091</v>
      </c>
      <c r="BS449" s="156">
        <f t="shared" si="298"/>
        <v>3890.3202828068875</v>
      </c>
      <c r="BT449" s="156">
        <f t="shared" si="299"/>
        <v>13465.906457145509</v>
      </c>
      <c r="BU449">
        <f t="shared" si="300"/>
        <v>1985.2333720747411</v>
      </c>
      <c r="BV449">
        <f t="shared" si="301"/>
        <v>1985.2333720747411</v>
      </c>
      <c r="BW449" s="148">
        <f t="shared" si="302"/>
        <v>455.4</v>
      </c>
      <c r="BX449" s="148">
        <f t="shared" si="303"/>
        <v>3129354.9718154697</v>
      </c>
      <c r="BY449" s="148">
        <f t="shared" si="304"/>
        <v>0.25113202156745468</v>
      </c>
      <c r="BZ449">
        <f t="shared" si="287"/>
        <v>148.2951525652156</v>
      </c>
      <c r="CB449">
        <f t="shared" si="305"/>
        <v>-1905.0869107321464</v>
      </c>
      <c r="CC449" s="162">
        <f t="shared" si="288"/>
        <v>-6604.0083113071569</v>
      </c>
      <c r="CD449">
        <f t="shared" si="313"/>
        <v>-17922.995043820414</v>
      </c>
    </row>
    <row r="450" spans="4:82" x14ac:dyDescent="0.2">
      <c r="D450" s="22">
        <f t="shared" si="319"/>
        <v>7.6649926927881112E-2</v>
      </c>
      <c r="E450" s="23">
        <v>11.217507841895015</v>
      </c>
      <c r="F450" s="23">
        <f>IF(K450&lt;6,1,IF(Data!K450&lt;9,2,IF(K450&gt;9,3)))</f>
        <v>3</v>
      </c>
      <c r="G450" s="23">
        <v>1055.703501216824</v>
      </c>
      <c r="H450" s="23">
        <v>219.71666499999998</v>
      </c>
      <c r="I450" s="64">
        <v>48.099761447774625</v>
      </c>
      <c r="J450" s="65">
        <f t="shared" si="320"/>
        <v>1.757489287055618</v>
      </c>
      <c r="K450" s="65">
        <f t="shared" si="321"/>
        <v>19.239904579109851</v>
      </c>
      <c r="L450" s="65">
        <f t="shared" si="322"/>
        <v>0.70299571482221879</v>
      </c>
      <c r="M450">
        <f t="shared" si="323"/>
        <v>22.435015683790031</v>
      </c>
      <c r="N450">
        <f t="shared" si="324"/>
        <v>0.18419535810498466</v>
      </c>
      <c r="O450">
        <f>IF(L450&lt;'Vehicle Data'!F$21,'Vehicle Data'!C$21,IF(L450&gt;'Vehicle Data'!C$21,'Vehicle Data'!C$20))</f>
        <v>0.6</v>
      </c>
      <c r="P450">
        <f>('Vehicle Data'!C$6*9.81*'Vehicle Data'!C$5*SIN(D450))/'Vehicle Data'!C$9</f>
        <v>50.996392174361247</v>
      </c>
      <c r="Q450" s="107">
        <f>'Vehicle Data'!C$6*9.81*SIN(D450)</f>
        <v>329.77666939420271</v>
      </c>
      <c r="R450" s="101">
        <f t="shared" si="336"/>
        <v>1053.3019515884041</v>
      </c>
      <c r="S450" s="101">
        <f>IF(Data!O450=0.6,'Vehicle Data'!E$21,IF(Data!O450 = 0.9,'Vehicle Data'!E$20))+(P450*O450)</f>
        <v>1580.9702353046164</v>
      </c>
      <c r="T450" s="101">
        <f>IF(F450=3,'Vehicle Data'!H$16,IF(F450=2,'Vehicle Data'!H$15,IF(F450 = 1,'Vehicle Data'!G$14)))</f>
        <v>466.23005239380637</v>
      </c>
      <c r="U450" s="148">
        <f t="shared" si="326"/>
        <v>337.16346946508804</v>
      </c>
      <c r="V450" s="102" t="s">
        <v>77</v>
      </c>
      <c r="W450" s="103" t="s">
        <v>84</v>
      </c>
      <c r="X450" s="101">
        <f>IF(V450="S",'Vehicle Data'!C$14,IF(Data!V450 = "T1",'Vehicle Data'!P$2,IF(Data!V450="T2",'Vehicle Data'!P$3)))</f>
        <v>13.411199999999999</v>
      </c>
      <c r="Y450" s="101"/>
      <c r="Z450" s="105">
        <v>8.3000000000000007</v>
      </c>
      <c r="AA450" s="101"/>
      <c r="AB450" s="101" t="b">
        <f>IF(AA450=1,'Vehicle Data'!I$14,IF(AA450=2,'Vehicle Data'!I$15,IF(AA450=3,'Vehicle Data'!I$16)))</f>
        <v>0</v>
      </c>
      <c r="AC450" s="101">
        <f>IF(Z450&lt;'Vehicle Data'!C$16,'Vehicle Data'!I$15,IF(Z450&lt;'Vehicle Data'!C$15,'Vehicle Data'!I$15,IF(Z449&gt;'Vehicle Data'!C$15,'Vehicle Data'!I$16)))</f>
        <v>0.98256251041858167</v>
      </c>
      <c r="AD450">
        <f>IF(O450=0.6,'Vehicle Data'!F$21,IF(O450=0.9,'Vehicle Data'!F$20))</f>
        <v>3.5315999999999996</v>
      </c>
      <c r="AE450" s="101">
        <f>(Data!H$15-Data!Q450)/'Vehicle Data'!C$6</f>
        <v>-0.26938497584100846</v>
      </c>
      <c r="AF450" s="158">
        <f t="shared" si="328"/>
        <v>0.28890147835109453</v>
      </c>
      <c r="AG450" s="148">
        <f t="shared" si="289"/>
        <v>0</v>
      </c>
      <c r="AH450" s="148">
        <f t="shared" si="307"/>
        <v>148.58405404356671</v>
      </c>
      <c r="AI450" s="101"/>
      <c r="AJ450" s="101">
        <f>(Z450^2)*'Vehicle Data'!C$31</f>
        <v>25.317075000000013</v>
      </c>
      <c r="AK450" s="101">
        <f>IF(O450=0.6,'Vehicle Data'!C$6*'Vehicle Data'!D$21*9.81,IF(O450=0.9,'Vehicle Data'!C$6*9.81*'Vehicle Data'!D$20))</f>
        <v>86.131799999999998</v>
      </c>
      <c r="AL450" s="101">
        <f t="shared" si="329"/>
        <v>441.22554439420276</v>
      </c>
      <c r="AM450" s="101"/>
      <c r="AN450" t="b">
        <f>IF(AG450&gt;0,AG450*'Vehicle Data'!C$6)</f>
        <v>0</v>
      </c>
      <c r="AO450" s="101">
        <f t="shared" si="330"/>
        <v>441.22554439420276</v>
      </c>
      <c r="AP450" s="101">
        <f>AO450*'Vehicle Data'!F$3</f>
        <v>112.77724914715822</v>
      </c>
      <c r="AQ450">
        <v>20</v>
      </c>
      <c r="AR450">
        <f>IF(Z450&lt;'Vehicle Data'!C$16, Z450*'Vehicle Data'!F$7*'Vehicle Data'!G$14,IF(Z450&lt;'Vehicle Data'!C$15,Z450*'Vehicle Data'!F$7*'Vehicle Data'!G$15,IF(Z450&gt;'Vehicle Data'!C$15,Z450*'Vehicle Data'!F$7*'Vehicle Data'!G$16)))</f>
        <v>107.59259259259261</v>
      </c>
      <c r="AS450">
        <f t="shared" si="331"/>
        <v>6455.5555555555566</v>
      </c>
      <c r="AT450">
        <f t="shared" si="332"/>
        <v>20</v>
      </c>
      <c r="AU450">
        <f t="shared" si="333"/>
        <v>6500</v>
      </c>
      <c r="AW450">
        <f>VLOOKUP(AT450,BSFC!A$64:A$82,1,FALSE)</f>
        <v>20</v>
      </c>
      <c r="AX450" t="e" cm="1">
        <f t="array" ref="AX450">_xlfn.XLOOKUP(AT450,BSFC!A$64:A$82,,-1,_xlfn.XLOOKUP(Data!AU450,BSFC!C$63:Q$63,BSFC!B$64:Q$82,,-1))</f>
        <v>#VALUE!</v>
      </c>
      <c r="AY450">
        <f>HLOOKUP(AU450,BSFC!F$63:Q$63,1)</f>
        <v>6500</v>
      </c>
      <c r="AZ450">
        <f>IF(AT450&gt;0,MATCH(AT450,BSFC!A$64:A$83,0),IF(AT450&lt;=0,0))</f>
        <v>3</v>
      </c>
      <c r="BA450">
        <f>MATCH(AU450,BSFC!C$63:Q$63,0)</f>
        <v>13</v>
      </c>
      <c r="BB450" cm="1">
        <f t="array" ref="BB450">IF(AZ450&gt;0,INDEX(BSFC!C$64:Q$83,Data!AZ450,Data!BA450))</f>
        <v>494.7</v>
      </c>
      <c r="BC450">
        <f>0.5*'Vehicle Data'!C$6*Data!Z450^2</f>
        <v>15121.355000000003</v>
      </c>
      <c r="BD450">
        <f t="shared" si="291"/>
        <v>13.465906457145509</v>
      </c>
      <c r="BE450">
        <f t="shared" si="334"/>
        <v>6661.5839243498831</v>
      </c>
      <c r="BF450">
        <f t="shared" si="335"/>
        <v>0.53459484552904646</v>
      </c>
      <c r="BG450">
        <f t="shared" si="292"/>
        <v>169.36232053568477</v>
      </c>
      <c r="BH450">
        <f t="shared" si="316"/>
        <v>13465.906457145509</v>
      </c>
      <c r="BI450" s="148">
        <f t="shared" si="293"/>
        <v>6871.6622130335309</v>
      </c>
      <c r="BO450">
        <f t="shared" si="294"/>
        <v>3896.2701986137545</v>
      </c>
      <c r="BP450">
        <f t="shared" si="295"/>
        <v>676421.20482588303</v>
      </c>
      <c r="BQ450">
        <f t="shared" si="296"/>
        <v>1042106.7543939168</v>
      </c>
      <c r="BR450" s="148">
        <f t="shared" si="297"/>
        <v>1023007.699249104</v>
      </c>
      <c r="BS450" s="156">
        <f t="shared" si="298"/>
        <v>3896.2701986137545</v>
      </c>
      <c r="BT450" s="156">
        <f t="shared" si="299"/>
        <v>13465.906457145509</v>
      </c>
      <c r="BU450">
        <f t="shared" si="300"/>
        <v>1988.2696185948616</v>
      </c>
      <c r="BV450">
        <f t="shared" si="301"/>
        <v>1988.2696185948616</v>
      </c>
      <c r="BW450" s="148">
        <f t="shared" si="302"/>
        <v>455.4</v>
      </c>
      <c r="BX450" s="148">
        <f t="shared" si="303"/>
        <v>3129354.9718154697</v>
      </c>
      <c r="BY450" s="148">
        <f t="shared" si="304"/>
        <v>0.25151610675225</v>
      </c>
      <c r="BZ450">
        <f t="shared" si="287"/>
        <v>148.58405404356671</v>
      </c>
      <c r="CB450">
        <f t="shared" si="305"/>
        <v>-1908.0005800188928</v>
      </c>
      <c r="CC450" s="162">
        <f t="shared" si="288"/>
        <v>-6604.3295829039162</v>
      </c>
      <c r="CD450">
        <f t="shared" si="313"/>
        <v>-19830.995623839306</v>
      </c>
    </row>
    <row r="451" spans="4:82" x14ac:dyDescent="0.2">
      <c r="D451" s="22">
        <f t="shared" ref="D451:D482" si="337">ASIN((N451)/(G452-G451))</f>
        <v>0</v>
      </c>
      <c r="E451" s="23">
        <v>11.4017032</v>
      </c>
      <c r="F451" s="23">
        <f>IF(K451&lt;6,1,IF(Data!K451&lt;9,2,IF(K451&gt;9,3)))</f>
        <v>3</v>
      </c>
      <c r="G451" s="23">
        <v>1058.1089287709276</v>
      </c>
      <c r="H451" s="23">
        <v>219.76666499999999</v>
      </c>
      <c r="I451" s="64">
        <v>48.187635912127426</v>
      </c>
      <c r="J451" s="65">
        <f t="shared" ref="J451:J482" si="338">(I452-I451)/(H452-H451)</f>
        <v>1.8680885259291828</v>
      </c>
      <c r="K451" s="65">
        <f t="shared" ref="K451:K482" si="339">I451/2.5</f>
        <v>19.27505436485097</v>
      </c>
      <c r="L451" s="65">
        <f t="shared" ref="L451:L482" si="340">(K452-K451)/(H452-H451)</f>
        <v>0.7472354103717016</v>
      </c>
      <c r="M451">
        <f t="shared" ref="M451:M482" si="341">2*E451</f>
        <v>22.8034064</v>
      </c>
      <c r="N451">
        <f t="shared" ref="N451:N478" si="342">E452-E451</f>
        <v>0</v>
      </c>
      <c r="O451">
        <f>IF(L451&lt;'Vehicle Data'!F$21,'Vehicle Data'!C$21,IF(L451&gt;'Vehicle Data'!C$21,'Vehicle Data'!C$20))</f>
        <v>0.6</v>
      </c>
      <c r="P451">
        <f>('Vehicle Data'!C$6*9.81*'Vehicle Data'!C$5*SIN(D451))/'Vehicle Data'!C$9</f>
        <v>0</v>
      </c>
      <c r="Q451" s="107">
        <f>'Vehicle Data'!C$6*9.81*SIN(D451)</f>
        <v>0</v>
      </c>
      <c r="R451" s="101">
        <f t="shared" si="336"/>
        <v>1055.703501216824</v>
      </c>
      <c r="S451" s="101">
        <f>IF(Data!O451=0.6,'Vehicle Data'!E$21,IF(Data!O451 = 0.9,'Vehicle Data'!E$20))+(P451*O451)</f>
        <v>1550.3723999999997</v>
      </c>
      <c r="T451" s="101">
        <f>IF(F451=3,'Vehicle Data'!H$16,IF(F451=2,'Vehicle Data'!H$15,IF(F451 = 1,'Vehicle Data'!G$14)))</f>
        <v>466.23005239380637</v>
      </c>
      <c r="U451" s="148">
        <f t="shared" ref="U451:U482" si="343">R451-R$2</f>
        <v>339.56501909350789</v>
      </c>
      <c r="V451" s="102" t="s">
        <v>77</v>
      </c>
      <c r="W451" s="103" t="s">
        <v>84</v>
      </c>
      <c r="X451" s="101">
        <f>IF(V451="S",'Vehicle Data'!C$14,IF(Data!V451 = "T1",'Vehicle Data'!P$2,IF(Data!V451="T2",'Vehicle Data'!P$3)))</f>
        <v>13.411199999999999</v>
      </c>
      <c r="Y451" s="101"/>
      <c r="Z451" s="105">
        <v>8.3000000000000007</v>
      </c>
      <c r="AA451" s="101"/>
      <c r="AB451" s="101" t="b">
        <f>IF(AA451=1,'Vehicle Data'!I$14,IF(AA451=2,'Vehicle Data'!I$15,IF(AA451=3,'Vehicle Data'!I$16)))</f>
        <v>0</v>
      </c>
      <c r="AC451" s="101">
        <f>IF(Z451&lt;'Vehicle Data'!C$16,'Vehicle Data'!I$15,IF(Z451&lt;'Vehicle Data'!C$15,'Vehicle Data'!I$15,IF(Z450&gt;'Vehicle Data'!C$15,'Vehicle Data'!I$16)))</f>
        <v>0.98256251041858167</v>
      </c>
      <c r="AD451">
        <f>IF(O451=0.6,'Vehicle Data'!F$21,IF(O451=0.9,'Vehicle Data'!F$20))</f>
        <v>3.5315999999999996</v>
      </c>
      <c r="AE451" s="101">
        <f>(Data!H$15-Data!Q451)/'Vehicle Data'!C$6</f>
        <v>0.48181472665148062</v>
      </c>
      <c r="AF451" s="158">
        <f t="shared" si="328"/>
        <v>0.28934332872528229</v>
      </c>
      <c r="AG451" s="148">
        <f t="shared" si="289"/>
        <v>0</v>
      </c>
      <c r="AH451" s="148">
        <f t="shared" si="307"/>
        <v>148.873397372292</v>
      </c>
      <c r="AI451" s="101"/>
      <c r="AJ451" s="101">
        <f>(Z451^2)*'Vehicle Data'!C$31</f>
        <v>25.317075000000013</v>
      </c>
      <c r="AK451" s="101">
        <f>IF(O451=0.6,'Vehicle Data'!C$6*'Vehicle Data'!D$21*9.81,IF(O451=0.9,'Vehicle Data'!C$6*9.81*'Vehicle Data'!D$20))</f>
        <v>86.131799999999998</v>
      </c>
      <c r="AL451" s="101">
        <f t="shared" ref="AL451:AL482" si="344">AJ451+AK451+Q451</f>
        <v>111.44887500000002</v>
      </c>
      <c r="AM451" s="101"/>
      <c r="AN451" t="b">
        <f>IF(AG451&gt;0,AG451*'Vehicle Data'!C$6)</f>
        <v>0</v>
      </c>
      <c r="AO451" s="101">
        <f t="shared" si="330"/>
        <v>111.44887500000002</v>
      </c>
      <c r="AP451" s="101">
        <f>AO451*'Vehicle Data'!F$3</f>
        <v>28.486332450000003</v>
      </c>
      <c r="AQ451">
        <v>20</v>
      </c>
      <c r="AR451">
        <f>IF(Z451&lt;'Vehicle Data'!C$16, Z451*'Vehicle Data'!F$7*'Vehicle Data'!G$14,IF(Z451&lt;'Vehicle Data'!C$15,Z451*'Vehicle Data'!F$7*'Vehicle Data'!G$15,IF(Z451&gt;'Vehicle Data'!C$15,Z451*'Vehicle Data'!F$7*'Vehicle Data'!G$16)))</f>
        <v>107.59259259259261</v>
      </c>
      <c r="AS451">
        <f t="shared" si="331"/>
        <v>6455.5555555555566</v>
      </c>
      <c r="AT451">
        <f t="shared" si="332"/>
        <v>20</v>
      </c>
      <c r="AU451">
        <f t="shared" si="333"/>
        <v>6500</v>
      </c>
      <c r="AW451">
        <f>VLOOKUP(AT451,BSFC!A$64:A$82,1,FALSE)</f>
        <v>20</v>
      </c>
      <c r="AX451" t="e" cm="1">
        <f t="array" ref="AX451">_xlfn.XLOOKUP(AT451,BSFC!A$64:A$82,,-1,_xlfn.XLOOKUP(Data!AU451,BSFC!C$63:Q$63,BSFC!B$64:Q$82,,-1))</f>
        <v>#VALUE!</v>
      </c>
      <c r="AY451">
        <f>HLOOKUP(AU451,BSFC!F$63:Q$63,1)</f>
        <v>6500</v>
      </c>
      <c r="AZ451">
        <f>IF(AT451&gt;0,MATCH(AT451,BSFC!A$64:A$83,0),IF(AT451&lt;=0,0))</f>
        <v>3</v>
      </c>
      <c r="BA451">
        <f>MATCH(AU451,BSFC!C$63:Q$63,0)</f>
        <v>13</v>
      </c>
      <c r="BB451" cm="1">
        <f t="array" ref="BB451">IF(AZ451&gt;0,INDEX(BSFC!C$64:Q$83,Data!AZ451,Data!BA451))</f>
        <v>494.7</v>
      </c>
      <c r="BC451">
        <f>0.5*'Vehicle Data'!C$6*Data!Z451^2</f>
        <v>15121.355000000003</v>
      </c>
      <c r="BD451">
        <f t="shared" si="291"/>
        <v>13.465906457145509</v>
      </c>
      <c r="BE451">
        <f t="shared" si="334"/>
        <v>6661.5839243498831</v>
      </c>
      <c r="BF451">
        <f t="shared" si="335"/>
        <v>0.53541246312617341</v>
      </c>
      <c r="BG451">
        <f t="shared" si="292"/>
        <v>169.89773299881094</v>
      </c>
      <c r="BH451">
        <f t="shared" si="316"/>
        <v>13465.906457145509</v>
      </c>
      <c r="BI451" s="148">
        <f t="shared" si="293"/>
        <v>6871.6622130335309</v>
      </c>
      <c r="BO451">
        <f t="shared" si="294"/>
        <v>3902.5617389156755</v>
      </c>
      <c r="BP451">
        <f t="shared" si="295"/>
        <v>680323.76656479866</v>
      </c>
      <c r="BQ451">
        <f t="shared" si="296"/>
        <v>1046009.3161328324</v>
      </c>
      <c r="BR451" s="148">
        <f t="shared" si="297"/>
        <v>1024999.1794454562</v>
      </c>
      <c r="BS451" s="156">
        <f t="shared" si="298"/>
        <v>3902.5617389156755</v>
      </c>
      <c r="BT451" s="156">
        <f t="shared" si="299"/>
        <v>13465.906457145509</v>
      </c>
      <c r="BU451">
        <f t="shared" si="300"/>
        <v>1991.480196352258</v>
      </c>
      <c r="BV451">
        <f t="shared" si="301"/>
        <v>1991.480196352258</v>
      </c>
      <c r="BW451" s="148">
        <f t="shared" si="302"/>
        <v>455.4</v>
      </c>
      <c r="BX451" s="148">
        <f t="shared" si="303"/>
        <v>3129354.9718154697</v>
      </c>
      <c r="BY451" s="148">
        <f t="shared" si="304"/>
        <v>0.25192224483856063</v>
      </c>
      <c r="BZ451">
        <f t="shared" ref="BZ451:BZ514" si="345">AH451</f>
        <v>148.873397372292</v>
      </c>
      <c r="CB451">
        <f t="shared" si="305"/>
        <v>-1911.0815425634175</v>
      </c>
      <c r="CC451" s="162">
        <f t="shared" ref="CC451:CC514" si="346">CB451/(BZ451-BZ450)</f>
        <v>-6604.8923643158078</v>
      </c>
      <c r="CD451">
        <f t="shared" si="313"/>
        <v>-21742.077166402723</v>
      </c>
    </row>
    <row r="452" spans="4:82" x14ac:dyDescent="0.2">
      <c r="D452" s="22">
        <f t="shared" si="337"/>
        <v>4.142616122772616E-2</v>
      </c>
      <c r="E452" s="23">
        <v>11.4017032</v>
      </c>
      <c r="F452" s="23">
        <f>IF(K452&lt;6,1,IF(Data!K452&lt;9,2,IF(K452&gt;9,3)))</f>
        <v>3</v>
      </c>
      <c r="G452" s="23">
        <v>1060.5186889669269</v>
      </c>
      <c r="H452" s="23">
        <v>219.816665</v>
      </c>
      <c r="I452" s="64">
        <v>48.281040338423907</v>
      </c>
      <c r="J452" s="65">
        <f t="shared" si="338"/>
        <v>1.9321061135158342</v>
      </c>
      <c r="K452" s="65">
        <f t="shared" si="339"/>
        <v>19.312416135369563</v>
      </c>
      <c r="L452" s="65">
        <f t="shared" si="340"/>
        <v>0.77284244540633362</v>
      </c>
      <c r="M452">
        <f t="shared" si="341"/>
        <v>22.8034064</v>
      </c>
      <c r="N452">
        <f t="shared" si="342"/>
        <v>9.9998399999998711E-2</v>
      </c>
      <c r="O452">
        <f>IF(L452&lt;'Vehicle Data'!F$21,'Vehicle Data'!C$21,IF(L452&gt;'Vehicle Data'!C$21,'Vehicle Data'!C$20))</f>
        <v>0.6</v>
      </c>
      <c r="P452">
        <f>('Vehicle Data'!C$6*9.81*'Vehicle Data'!C$5*SIN(D452))/'Vehicle Data'!C$9</f>
        <v>27.580587884242512</v>
      </c>
      <c r="Q452" s="107">
        <f>'Vehicle Data'!C$6*9.81*SIN(D452)</f>
        <v>178.35446831810157</v>
      </c>
      <c r="R452" s="101">
        <f t="shared" si="336"/>
        <v>1058.1089287709276</v>
      </c>
      <c r="S452" s="101">
        <f>IF(Data!O452=0.6,'Vehicle Data'!E$21,IF(Data!O452 = 0.9,'Vehicle Data'!E$20))+(P452*O452)</f>
        <v>1566.9207527305452</v>
      </c>
      <c r="T452" s="101">
        <f>IF(F452=3,'Vehicle Data'!H$16,IF(F452=2,'Vehicle Data'!H$15,IF(F452 = 1,'Vehicle Data'!G$14)))</f>
        <v>466.23005239380637</v>
      </c>
      <c r="U452" s="148">
        <f t="shared" si="343"/>
        <v>341.97044664761154</v>
      </c>
      <c r="V452" s="102" t="s">
        <v>77</v>
      </c>
      <c r="W452" s="103" t="s">
        <v>84</v>
      </c>
      <c r="X452" s="101">
        <f>IF(V452="S",'Vehicle Data'!C$14,IF(Data!V452 = "T1",'Vehicle Data'!P$2,IF(Data!V452="T2",'Vehicle Data'!P$3)))</f>
        <v>13.411199999999999</v>
      </c>
      <c r="Y452" s="101"/>
      <c r="Z452" s="105">
        <v>8.3000000000000007</v>
      </c>
      <c r="AA452" s="101"/>
      <c r="AB452" s="101" t="b">
        <f>IF(AA452=1,'Vehicle Data'!I$14,IF(AA452=2,'Vehicle Data'!I$15,IF(AA452=3,'Vehicle Data'!I$16)))</f>
        <v>0</v>
      </c>
      <c r="AC452" s="101">
        <f>IF(Z452&lt;'Vehicle Data'!C$16,'Vehicle Data'!I$15,IF(Z452&lt;'Vehicle Data'!C$15,'Vehicle Data'!I$15,IF(Z451&gt;'Vehicle Data'!C$15,'Vehicle Data'!I$16)))</f>
        <v>0.98256251041858167</v>
      </c>
      <c r="AD452">
        <f>IF(O452=0.6,'Vehicle Data'!F$21,IF(O452=0.9,'Vehicle Data'!F$20))</f>
        <v>3.5315999999999996</v>
      </c>
      <c r="AE452" s="101">
        <f>(Data!H$15-Data!Q452)/'Vehicle Data'!C$6</f>
        <v>7.5540311348287981E-2</v>
      </c>
      <c r="AF452" s="158">
        <f t="shared" si="328"/>
        <v>0.28981054868718709</v>
      </c>
      <c r="AG452" s="148">
        <f t="shared" ref="AG452:AG515" si="347">(Z452-Z451)/AF452</f>
        <v>0</v>
      </c>
      <c r="AH452" s="148">
        <f t="shared" si="307"/>
        <v>149.1632079209792</v>
      </c>
      <c r="AI452" s="101"/>
      <c r="AJ452" s="101">
        <f>(Z452^2)*'Vehicle Data'!C$31</f>
        <v>25.317075000000013</v>
      </c>
      <c r="AK452" s="101">
        <f>IF(O452=0.6,'Vehicle Data'!C$6*'Vehicle Data'!D$21*9.81,IF(O452=0.9,'Vehicle Data'!C$6*9.81*'Vehicle Data'!D$20))</f>
        <v>86.131799999999998</v>
      </c>
      <c r="AL452" s="101">
        <f t="shared" si="344"/>
        <v>289.80334331810161</v>
      </c>
      <c r="AM452" s="101"/>
      <c r="AN452" t="b">
        <f>IF(AG452&gt;0,AG452*'Vehicle Data'!C$6)</f>
        <v>0</v>
      </c>
      <c r="AO452" s="101">
        <f t="shared" ref="AO452:AO482" si="348">AN452+AL452</f>
        <v>289.80334331810161</v>
      </c>
      <c r="AP452" s="101">
        <f>AO452*'Vehicle Data'!F$3</f>
        <v>74.073734552106771</v>
      </c>
      <c r="AQ452">
        <v>20</v>
      </c>
      <c r="AR452">
        <f>IF(Z452&lt;'Vehicle Data'!C$16, Z452*'Vehicle Data'!F$7*'Vehicle Data'!G$14,IF(Z452&lt;'Vehicle Data'!C$15,Z452*'Vehicle Data'!F$7*'Vehicle Data'!G$15,IF(Z452&gt;'Vehicle Data'!C$15,Z452*'Vehicle Data'!F$7*'Vehicle Data'!G$16)))</f>
        <v>107.59259259259261</v>
      </c>
      <c r="AS452">
        <f t="shared" si="331"/>
        <v>6455.5555555555566</v>
      </c>
      <c r="AT452">
        <f t="shared" si="332"/>
        <v>20</v>
      </c>
      <c r="AU452">
        <f t="shared" si="333"/>
        <v>6500</v>
      </c>
      <c r="AW452">
        <f>VLOOKUP(AT452,BSFC!A$64:A$82,1,FALSE)</f>
        <v>20</v>
      </c>
      <c r="AX452" t="e" cm="1">
        <f t="array" ref="AX452">_xlfn.XLOOKUP(AT452,BSFC!A$64:A$82,,-1,_xlfn.XLOOKUP(Data!AU452,BSFC!C$63:Q$63,BSFC!B$64:Q$82,,-1))</f>
        <v>#VALUE!</v>
      </c>
      <c r="AY452">
        <f>HLOOKUP(AU452,BSFC!F$63:Q$63,1)</f>
        <v>6500</v>
      </c>
      <c r="AZ452">
        <f>IF(AT452&gt;0,MATCH(AT452,BSFC!A$64:A$83,0),IF(AT452&lt;=0,0))</f>
        <v>3</v>
      </c>
      <c r="BA452">
        <f>MATCH(AU452,BSFC!C$63:Q$63,0)</f>
        <v>13</v>
      </c>
      <c r="BB452" cm="1">
        <f t="array" ref="BB452">IF(AZ452&gt;0,INDEX(BSFC!C$64:Q$83,Data!AZ452,Data!BA452))</f>
        <v>494.7</v>
      </c>
      <c r="BC452">
        <f>0.5*'Vehicle Data'!C$6*Data!Z452^2</f>
        <v>15121.355000000003</v>
      </c>
      <c r="BD452">
        <f t="shared" ref="BD452:BD515" si="349">ABS(AQ453*(AS453/9.588))/1000</f>
        <v>13.465906457145509</v>
      </c>
      <c r="BE452">
        <f t="shared" si="334"/>
        <v>6661.5839243498831</v>
      </c>
      <c r="BF452">
        <f t="shared" si="335"/>
        <v>0.53627702562266233</v>
      </c>
      <c r="BG452">
        <f t="shared" ref="BG452:BG515" si="350">BG451+BF452</f>
        <v>170.4340100244336</v>
      </c>
      <c r="BH452">
        <f t="shared" si="316"/>
        <v>13465.906457145509</v>
      </c>
      <c r="BI452" s="148">
        <f t="shared" ref="BI452:BI515" si="351">BM$9</f>
        <v>6871.6622130335309</v>
      </c>
      <c r="BO452">
        <f t="shared" ref="BO452:BO515" si="352">BH452*AF453</f>
        <v>3909.5910100577303</v>
      </c>
      <c r="BP452">
        <f t="shared" ref="BP452:BP515" si="353">BP451+BO452</f>
        <v>684233.35757485637</v>
      </c>
      <c r="BQ452">
        <f t="shared" ref="BQ452:BQ515" si="354">IF(BO452&gt;0,BQ451+BO452,IF(BO452&lt;=0,BQ451))</f>
        <v>1049918.9071428902</v>
      </c>
      <c r="BR452" s="148">
        <f t="shared" ref="BR452:BR515" si="355">(BM$9*AF453)+BR451</f>
        <v>1026994.2466841696</v>
      </c>
      <c r="BS452" s="156">
        <f t="shared" ref="BS452:BS515" si="356">IF(BO452&gt;0,BO452)</f>
        <v>3909.5910100577303</v>
      </c>
      <c r="BT452" s="156">
        <f t="shared" ref="BT452:BT515" si="357">IF(BH452&gt;=0,BH452, IF(BH452&lt;0,0))</f>
        <v>13465.906457145509</v>
      </c>
      <c r="BU452">
        <f t="shared" ref="BU452:BU515" si="358">BI452*AF453</f>
        <v>1995.0672387133307</v>
      </c>
      <c r="BV452">
        <f t="shared" ref="BV452:BV515" si="359">BM$9*AF453</f>
        <v>1995.0672387133307</v>
      </c>
      <c r="BW452" s="148">
        <f t="shared" ref="BW452:BW515" si="360">BN$9</f>
        <v>455.4</v>
      </c>
      <c r="BX452" s="148">
        <f t="shared" ref="BX452:BX515" si="361">BW452*BI452</f>
        <v>3129354.9718154697</v>
      </c>
      <c r="BY452" s="148">
        <f t="shared" ref="BY452:BY515" si="362">((BX452/3600)*AF453)/1000</f>
        <v>0.25237600569723628</v>
      </c>
      <c r="BZ452">
        <f t="shared" si="345"/>
        <v>149.1632079209792</v>
      </c>
      <c r="CB452">
        <f t="shared" ref="CB452:CB515" si="363">BU452-BS452</f>
        <v>-1914.5237713443996</v>
      </c>
      <c r="CC452" s="162">
        <f t="shared" si="346"/>
        <v>-6606.1217578756796</v>
      </c>
      <c r="CD452">
        <f t="shared" si="313"/>
        <v>-23656.600937747124</v>
      </c>
    </row>
    <row r="453" spans="4:82" x14ac:dyDescent="0.2">
      <c r="D453" s="22">
        <f t="shared" si="337"/>
        <v>0</v>
      </c>
      <c r="E453" s="23">
        <v>11.501701599999999</v>
      </c>
      <c r="F453" s="23">
        <f>IF(K453&lt;6,1,IF(Data!K453&lt;9,2,IF(K453&gt;9,3)))</f>
        <v>3</v>
      </c>
      <c r="G453" s="23">
        <v>1062.9332744467138</v>
      </c>
      <c r="H453" s="23">
        <v>219.86666499999998</v>
      </c>
      <c r="I453" s="64">
        <v>48.377645644099665</v>
      </c>
      <c r="J453" s="65">
        <f t="shared" si="338"/>
        <v>1.8949605291949423</v>
      </c>
      <c r="K453" s="65">
        <f t="shared" si="339"/>
        <v>19.351058257639867</v>
      </c>
      <c r="L453" s="65">
        <f t="shared" si="340"/>
        <v>0.75798421167793428</v>
      </c>
      <c r="M453">
        <f t="shared" si="341"/>
        <v>23.003403199999997</v>
      </c>
      <c r="N453">
        <f t="shared" si="342"/>
        <v>0</v>
      </c>
      <c r="O453">
        <f>IF(L453&lt;'Vehicle Data'!F$21,'Vehicle Data'!C$21,IF(L453&gt;'Vehicle Data'!C$21,'Vehicle Data'!C$20))</f>
        <v>0.6</v>
      </c>
      <c r="P453">
        <f>('Vehicle Data'!C$6*9.81*'Vehicle Data'!C$5*SIN(D453))/'Vehicle Data'!C$9</f>
        <v>0</v>
      </c>
      <c r="Q453" s="107">
        <f>'Vehicle Data'!C$6*9.81*SIN(D453)</f>
        <v>0</v>
      </c>
      <c r="R453" s="101">
        <f t="shared" si="336"/>
        <v>1060.5186889669269</v>
      </c>
      <c r="S453" s="101">
        <f>IF(Data!O453=0.6,'Vehicle Data'!E$21,IF(Data!O453 = 0.9,'Vehicle Data'!E$20))+(P453*O453)</f>
        <v>1550.3723999999997</v>
      </c>
      <c r="T453" s="101">
        <f>IF(F453=3,'Vehicle Data'!H$16,IF(F453=2,'Vehicle Data'!H$15,IF(F453 = 1,'Vehicle Data'!G$14)))</f>
        <v>466.23005239380637</v>
      </c>
      <c r="U453" s="148">
        <f t="shared" si="343"/>
        <v>344.38020684361084</v>
      </c>
      <c r="V453" s="102" t="s">
        <v>77</v>
      </c>
      <c r="W453" s="103" t="s">
        <v>84</v>
      </c>
      <c r="X453" s="101">
        <f>IF(V453="S",'Vehicle Data'!C$14,IF(Data!V453 = "T1",'Vehicle Data'!P$2,IF(Data!V453="T2",'Vehicle Data'!P$3)))</f>
        <v>13.411199999999999</v>
      </c>
      <c r="Y453" s="101"/>
      <c r="Z453" s="105">
        <v>8.3000000000000007</v>
      </c>
      <c r="AA453" s="101"/>
      <c r="AB453" s="101" t="b">
        <f>IF(AA453=1,'Vehicle Data'!I$14,IF(AA453=2,'Vehicle Data'!I$15,IF(AA453=3,'Vehicle Data'!I$16)))</f>
        <v>0</v>
      </c>
      <c r="AC453" s="101">
        <f>IF(Z453&lt;'Vehicle Data'!C$16,'Vehicle Data'!I$15,IF(Z453&lt;'Vehicle Data'!C$15,'Vehicle Data'!I$15,IF(Z452&gt;'Vehicle Data'!C$15,'Vehicle Data'!I$16)))</f>
        <v>0.98256251041858167</v>
      </c>
      <c r="AD453">
        <f>IF(O453=0.6,'Vehicle Data'!F$21,IF(O453=0.9,'Vehicle Data'!F$20))</f>
        <v>3.5315999999999996</v>
      </c>
      <c r="AE453" s="101">
        <f>(Data!H$15-Data!Q453)/'Vehicle Data'!C$6</f>
        <v>0.48181472665148062</v>
      </c>
      <c r="AF453" s="158">
        <f t="shared" ref="AF453:AF482" si="364">(U453-U452)/Z453</f>
        <v>0.29033255373485506</v>
      </c>
      <c r="AG453" s="148">
        <f t="shared" si="347"/>
        <v>0</v>
      </c>
      <c r="AH453" s="148">
        <f t="shared" ref="AH453:AH516" si="365">AH452+AF453</f>
        <v>149.45354047471406</v>
      </c>
      <c r="AI453" s="101"/>
      <c r="AJ453" s="101">
        <f>(Z453^2)*'Vehicle Data'!C$31</f>
        <v>25.317075000000013</v>
      </c>
      <c r="AK453" s="101">
        <f>IF(O453=0.6,'Vehicle Data'!C$6*'Vehicle Data'!D$21*9.81,IF(O453=0.9,'Vehicle Data'!C$6*9.81*'Vehicle Data'!D$20))</f>
        <v>86.131799999999998</v>
      </c>
      <c r="AL453" s="101">
        <f t="shared" si="344"/>
        <v>111.44887500000002</v>
      </c>
      <c r="AM453" s="101"/>
      <c r="AN453" t="b">
        <f>IF(AG453&gt;0,AG453*'Vehicle Data'!C$6)</f>
        <v>0</v>
      </c>
      <c r="AO453" s="101">
        <f t="shared" si="348"/>
        <v>111.44887500000002</v>
      </c>
      <c r="AP453" s="101">
        <f>AO453*'Vehicle Data'!F$3</f>
        <v>28.486332450000003</v>
      </c>
      <c r="AQ453">
        <v>20</v>
      </c>
      <c r="AR453">
        <f>IF(Z453&lt;'Vehicle Data'!C$16, Z453*'Vehicle Data'!F$7*'Vehicle Data'!G$14,IF(Z453&lt;'Vehicle Data'!C$15,Z453*'Vehicle Data'!F$7*'Vehicle Data'!G$15,IF(Z453&gt;'Vehicle Data'!C$15,Z453*'Vehicle Data'!F$7*'Vehicle Data'!G$16)))</f>
        <v>107.59259259259261</v>
      </c>
      <c r="AS453">
        <f t="shared" ref="AS453:AS482" si="366">AR453*60</f>
        <v>6455.5555555555566</v>
      </c>
      <c r="AT453">
        <f t="shared" ref="AT453:AT482" si="367">ROUND(AQ453,0)</f>
        <v>20</v>
      </c>
      <c r="AU453">
        <f t="shared" ref="AU453:AU482" si="368">MROUND(AS453,500)</f>
        <v>6500</v>
      </c>
      <c r="AW453">
        <f>VLOOKUP(AT453,BSFC!A$64:A$82,1,FALSE)</f>
        <v>20</v>
      </c>
      <c r="AX453" t="e" cm="1">
        <f t="array" ref="AX453">_xlfn.XLOOKUP(AT453,BSFC!A$64:A$82,,-1,_xlfn.XLOOKUP(Data!AU453,BSFC!C$63:Q$63,BSFC!B$64:Q$82,,-1))</f>
        <v>#VALUE!</v>
      </c>
      <c r="AY453">
        <f>HLOOKUP(AU453,BSFC!F$63:Q$63,1)</f>
        <v>6500</v>
      </c>
      <c r="AZ453">
        <f>IF(AT453&gt;0,MATCH(AT453,BSFC!A$64:A$83,0),IF(AT453&lt;=0,0))</f>
        <v>3</v>
      </c>
      <c r="BA453">
        <f>MATCH(AU453,BSFC!C$63:Q$63,0)</f>
        <v>13</v>
      </c>
      <c r="BB453" cm="1">
        <f t="array" ref="BB453">IF(AZ453&gt;0,INDEX(BSFC!C$64:Q$83,Data!AZ453,Data!BA453))</f>
        <v>494.7</v>
      </c>
      <c r="BC453">
        <f>0.5*'Vehicle Data'!C$6*Data!Z453^2</f>
        <v>15121.355000000003</v>
      </c>
      <c r="BD453">
        <f t="shared" si="349"/>
        <v>13.465906457145509</v>
      </c>
      <c r="BE453">
        <f t="shared" ref="BE453:BE482" si="369">BB453*BD453</f>
        <v>6661.5839243498831</v>
      </c>
      <c r="BF453">
        <f t="shared" ref="BF453:BF482" si="370">(BE453/3600)*AF453</f>
        <v>0.53724296463209975</v>
      </c>
      <c r="BG453">
        <f t="shared" si="350"/>
        <v>170.9712529890657</v>
      </c>
      <c r="BH453">
        <f t="shared" si="316"/>
        <v>13465.906457145509</v>
      </c>
      <c r="BI453" s="148">
        <f t="shared" si="351"/>
        <v>6871.6622130335309</v>
      </c>
      <c r="BO453">
        <f t="shared" si="352"/>
        <v>3917.4195426014135</v>
      </c>
      <c r="BP453">
        <f t="shared" si="353"/>
        <v>688150.77711745782</v>
      </c>
      <c r="BQ453">
        <f t="shared" si="354"/>
        <v>1053836.3266854915</v>
      </c>
      <c r="BR453" s="148">
        <f t="shared" si="355"/>
        <v>1028993.3088289396</v>
      </c>
      <c r="BS453" s="156">
        <f t="shared" si="356"/>
        <v>3917.4195426014135</v>
      </c>
      <c r="BT453" s="156">
        <f t="shared" si="357"/>
        <v>13465.906457145509</v>
      </c>
      <c r="BU453">
        <f t="shared" si="358"/>
        <v>1999.0621447699805</v>
      </c>
      <c r="BV453">
        <f t="shared" si="359"/>
        <v>1999.0621447699805</v>
      </c>
      <c r="BW453" s="148">
        <f t="shared" si="360"/>
        <v>455.4</v>
      </c>
      <c r="BX453" s="148">
        <f t="shared" si="361"/>
        <v>3129354.9718154697</v>
      </c>
      <c r="BY453" s="148">
        <f t="shared" si="362"/>
        <v>0.2528813613134025</v>
      </c>
      <c r="BZ453">
        <f t="shared" si="345"/>
        <v>149.45354047471406</v>
      </c>
      <c r="CB453">
        <f t="shared" si="363"/>
        <v>-1918.357397831433</v>
      </c>
      <c r="CC453" s="162">
        <f t="shared" si="346"/>
        <v>-6607.4485039778056</v>
      </c>
      <c r="CD453">
        <f t="shared" ref="CD453:CD516" si="371">CB453+CD452</f>
        <v>-25574.958335578558</v>
      </c>
    </row>
    <row r="454" spans="4:82" x14ac:dyDescent="0.2">
      <c r="D454" s="22">
        <f t="shared" si="337"/>
        <v>0</v>
      </c>
      <c r="E454" s="23">
        <v>11.501701599999999</v>
      </c>
      <c r="F454" s="23">
        <f>IF(K454&lt;6,1,IF(Data!K454&lt;9,2,IF(K454&gt;9,3)))</f>
        <v>3</v>
      </c>
      <c r="G454" s="23">
        <v>1065.3528199265015</v>
      </c>
      <c r="H454" s="23">
        <v>219.91666499999999</v>
      </c>
      <c r="I454" s="64">
        <v>48.472393670559434</v>
      </c>
      <c r="J454" s="65">
        <f t="shared" si="338"/>
        <v>1.9343653736226887</v>
      </c>
      <c r="K454" s="65">
        <f t="shared" si="339"/>
        <v>19.388957468223772</v>
      </c>
      <c r="L454" s="65">
        <f t="shared" si="340"/>
        <v>0.77374614944913234</v>
      </c>
      <c r="M454">
        <f t="shared" si="341"/>
        <v>23.003403199999997</v>
      </c>
      <c r="N454">
        <f t="shared" si="342"/>
        <v>0</v>
      </c>
      <c r="O454">
        <f>IF(L454&lt;'Vehicle Data'!F$21,'Vehicle Data'!C$21,IF(L454&gt;'Vehicle Data'!C$21,'Vehicle Data'!C$20))</f>
        <v>0.6</v>
      </c>
      <c r="P454">
        <f>('Vehicle Data'!C$6*9.81*'Vehicle Data'!C$5*SIN(D454))/'Vehicle Data'!C$9</f>
        <v>0</v>
      </c>
      <c r="Q454" s="107">
        <f>'Vehicle Data'!C$6*9.81*SIN(D454)</f>
        <v>0</v>
      </c>
      <c r="R454" s="101">
        <f t="shared" si="336"/>
        <v>1062.9332744467138</v>
      </c>
      <c r="S454" s="101">
        <f>IF(Data!O454=0.6,'Vehicle Data'!E$21,IF(Data!O454 = 0.9,'Vehicle Data'!E$20))+(P454*O454)</f>
        <v>1550.3723999999997</v>
      </c>
      <c r="T454" s="101">
        <f>IF(F454=3,'Vehicle Data'!H$16,IF(F454=2,'Vehicle Data'!H$15,IF(F454 = 1,'Vehicle Data'!G$14)))</f>
        <v>466.23005239380637</v>
      </c>
      <c r="U454" s="148">
        <f t="shared" si="343"/>
        <v>346.7947923233977</v>
      </c>
      <c r="V454" s="102" t="s">
        <v>77</v>
      </c>
      <c r="W454" s="103" t="s">
        <v>84</v>
      </c>
      <c r="X454" s="101">
        <f>IF(V454="S",'Vehicle Data'!C$14,IF(Data!V454 = "T1",'Vehicle Data'!P$2,IF(Data!V454="T2",'Vehicle Data'!P$3)))</f>
        <v>13.411199999999999</v>
      </c>
      <c r="Y454" s="101"/>
      <c r="Z454" s="105">
        <v>8.3000000000000007</v>
      </c>
      <c r="AA454" s="101"/>
      <c r="AB454" s="101" t="b">
        <f>IF(AA454=1,'Vehicle Data'!I$14,IF(AA454=2,'Vehicle Data'!I$15,IF(AA454=3,'Vehicle Data'!I$16)))</f>
        <v>0</v>
      </c>
      <c r="AC454" s="101">
        <f>IF(Z454&lt;'Vehicle Data'!C$16,'Vehicle Data'!I$15,IF(Z454&lt;'Vehicle Data'!C$15,'Vehicle Data'!I$15,IF(Z453&gt;'Vehicle Data'!C$15,'Vehicle Data'!I$16)))</f>
        <v>0.98256251041858167</v>
      </c>
      <c r="AD454">
        <f>IF(O454=0.6,'Vehicle Data'!F$21,IF(O454=0.9,'Vehicle Data'!F$20))</f>
        <v>3.5315999999999996</v>
      </c>
      <c r="AE454" s="101">
        <f>(Data!H$15-Data!Q454)/'Vehicle Data'!C$6</f>
        <v>0.48181472665148062</v>
      </c>
      <c r="AF454" s="158">
        <f t="shared" si="364"/>
        <v>0.29091391322733312</v>
      </c>
      <c r="AG454" s="148">
        <f t="shared" si="347"/>
        <v>0</v>
      </c>
      <c r="AH454" s="148">
        <f t="shared" si="365"/>
        <v>149.7444543879414</v>
      </c>
      <c r="AI454" s="101"/>
      <c r="AJ454" s="101">
        <f>(Z454^2)*'Vehicle Data'!C$31</f>
        <v>25.317075000000013</v>
      </c>
      <c r="AK454" s="101">
        <f>IF(O454=0.6,'Vehicle Data'!C$6*'Vehicle Data'!D$21*9.81,IF(O454=0.9,'Vehicle Data'!C$6*9.81*'Vehicle Data'!D$20))</f>
        <v>86.131799999999998</v>
      </c>
      <c r="AL454" s="101">
        <f t="shared" si="344"/>
        <v>111.44887500000002</v>
      </c>
      <c r="AM454" s="101"/>
      <c r="AN454" t="b">
        <f>IF(AG454&gt;0,AG454*'Vehicle Data'!C$6)</f>
        <v>0</v>
      </c>
      <c r="AO454" s="101">
        <f t="shared" si="348"/>
        <v>111.44887500000002</v>
      </c>
      <c r="AP454" s="101">
        <f>AO454*'Vehicle Data'!F$3</f>
        <v>28.486332450000003</v>
      </c>
      <c r="AQ454">
        <v>20</v>
      </c>
      <c r="AR454">
        <f>IF(Z454&lt;'Vehicle Data'!C$16, Z454*'Vehicle Data'!F$7*'Vehicle Data'!G$14,IF(Z454&lt;'Vehicle Data'!C$15,Z454*'Vehicle Data'!F$7*'Vehicle Data'!G$15,IF(Z454&gt;'Vehicle Data'!C$15,Z454*'Vehicle Data'!F$7*'Vehicle Data'!G$16)))</f>
        <v>107.59259259259261</v>
      </c>
      <c r="AS454">
        <f t="shared" si="366"/>
        <v>6455.5555555555566</v>
      </c>
      <c r="AT454">
        <f t="shared" si="367"/>
        <v>20</v>
      </c>
      <c r="AU454">
        <f t="shared" si="368"/>
        <v>6500</v>
      </c>
      <c r="AW454">
        <f>VLOOKUP(AT454,BSFC!A$64:A$82,1,FALSE)</f>
        <v>20</v>
      </c>
      <c r="AX454" t="e" cm="1">
        <f t="array" ref="AX454">_xlfn.XLOOKUP(AT454,BSFC!A$64:A$82,,-1,_xlfn.XLOOKUP(Data!AU454,BSFC!C$63:Q$63,BSFC!B$64:Q$82,,-1))</f>
        <v>#VALUE!</v>
      </c>
      <c r="AY454">
        <f>HLOOKUP(AU454,BSFC!F$63:Q$63,1)</f>
        <v>6500</v>
      </c>
      <c r="AZ454">
        <f>IF(AT454&gt;0,MATCH(AT454,BSFC!A$64:A$83,0),IF(AT454&lt;=0,0))</f>
        <v>3</v>
      </c>
      <c r="BA454">
        <f>MATCH(AU454,BSFC!C$63:Q$63,0)</f>
        <v>13</v>
      </c>
      <c r="BB454" cm="1">
        <f t="array" ref="BB454">IF(AZ454&gt;0,INDEX(BSFC!C$64:Q$83,Data!AZ454,Data!BA454))</f>
        <v>494.7</v>
      </c>
      <c r="BC454">
        <f>0.5*'Vehicle Data'!C$6*Data!Z454^2</f>
        <v>15121.355000000003</v>
      </c>
      <c r="BD454">
        <f t="shared" si="349"/>
        <v>13.465906457145509</v>
      </c>
      <c r="BE454">
        <f t="shared" si="369"/>
        <v>6661.5839243498831</v>
      </c>
      <c r="BF454">
        <f t="shared" si="370"/>
        <v>0.53831873547914422</v>
      </c>
      <c r="BG454">
        <f t="shared" si="350"/>
        <v>171.50957172454486</v>
      </c>
      <c r="BH454">
        <f t="shared" si="316"/>
        <v>13465.906457145509</v>
      </c>
      <c r="BI454" s="148">
        <f t="shared" si="351"/>
        <v>6871.6622130335309</v>
      </c>
      <c r="BO454">
        <f t="shared" si="352"/>
        <v>3925.4666385097817</v>
      </c>
      <c r="BP454">
        <f t="shared" si="353"/>
        <v>692076.24375596759</v>
      </c>
      <c r="BQ454">
        <f t="shared" si="354"/>
        <v>1057761.7933240014</v>
      </c>
      <c r="BR454" s="148">
        <f t="shared" si="355"/>
        <v>1030996.4774128159</v>
      </c>
      <c r="BS454" s="156">
        <f t="shared" si="356"/>
        <v>3925.4666385097817</v>
      </c>
      <c r="BT454" s="156">
        <f t="shared" si="357"/>
        <v>13465.906457145509</v>
      </c>
      <c r="BU454">
        <f t="shared" si="358"/>
        <v>2003.1685838763392</v>
      </c>
      <c r="BV454">
        <f t="shared" si="359"/>
        <v>2003.1685838763392</v>
      </c>
      <c r="BW454" s="148">
        <f t="shared" si="360"/>
        <v>455.4</v>
      </c>
      <c r="BX454" s="148">
        <f t="shared" si="361"/>
        <v>3129354.9718154697</v>
      </c>
      <c r="BY454" s="148">
        <f t="shared" si="362"/>
        <v>0.25340082586035684</v>
      </c>
      <c r="BZ454">
        <f t="shared" si="345"/>
        <v>149.7444543879414</v>
      </c>
      <c r="CB454">
        <f t="shared" si="363"/>
        <v>-1922.2980546334425</v>
      </c>
      <c r="CC454" s="162">
        <f t="shared" si="346"/>
        <v>-6607.7900273240339</v>
      </c>
      <c r="CD454">
        <f t="shared" si="371"/>
        <v>-27497.256390212002</v>
      </c>
    </row>
    <row r="455" spans="4:82" ht="16" thickBot="1" x14ac:dyDescent="0.25">
      <c r="D455" s="22">
        <f t="shared" si="337"/>
        <v>0</v>
      </c>
      <c r="E455" s="23">
        <v>11.501701599999999</v>
      </c>
      <c r="F455" s="23">
        <f>IF(K455&lt;6,1,IF(Data!K455&lt;9,2,IF(K455&gt;9,3)))</f>
        <v>3</v>
      </c>
      <c r="G455" s="23">
        <v>1067.7775654062891</v>
      </c>
      <c r="H455" s="23">
        <v>219.96666499999998</v>
      </c>
      <c r="I455" s="64">
        <v>48.569111939240535</v>
      </c>
      <c r="J455" s="65">
        <f t="shared" si="338"/>
        <v>1.9153387929762198</v>
      </c>
      <c r="K455" s="65">
        <f t="shared" si="339"/>
        <v>19.427644775696216</v>
      </c>
      <c r="L455" s="65">
        <f t="shared" si="340"/>
        <v>0.76613551719045947</v>
      </c>
      <c r="M455">
        <f t="shared" si="341"/>
        <v>23.003403199999997</v>
      </c>
      <c r="N455">
        <f t="shared" si="342"/>
        <v>0</v>
      </c>
      <c r="O455">
        <f>IF(L455&lt;'Vehicle Data'!F$21,'Vehicle Data'!C$21,IF(L455&gt;'Vehicle Data'!C$21,'Vehicle Data'!C$20))</f>
        <v>0.6</v>
      </c>
      <c r="P455">
        <f>('Vehicle Data'!C$6*9.81*'Vehicle Data'!C$5*SIN(D455))/'Vehicle Data'!C$9</f>
        <v>0</v>
      </c>
      <c r="Q455" s="107">
        <f>'Vehicle Data'!C$6*9.81*SIN(D455)</f>
        <v>0</v>
      </c>
      <c r="R455" s="101">
        <f t="shared" si="336"/>
        <v>1065.3528199265015</v>
      </c>
      <c r="S455" s="101">
        <f>IF(Data!O455=0.6,'Vehicle Data'!E$21,IF(Data!O455 = 0.9,'Vehicle Data'!E$20))+(P455*O455)</f>
        <v>1550.3723999999997</v>
      </c>
      <c r="T455" s="101">
        <f>IF(F455=3,'Vehicle Data'!H$16,IF(F455=2,'Vehicle Data'!H$15,IF(F455 = 1,'Vehicle Data'!G$14)))</f>
        <v>466.23005239380637</v>
      </c>
      <c r="U455" s="148">
        <f t="shared" si="343"/>
        <v>349.21433780318546</v>
      </c>
      <c r="V455" s="102" t="s">
        <v>77</v>
      </c>
      <c r="W455" s="103" t="s">
        <v>84</v>
      </c>
      <c r="X455" s="101">
        <f>IF(V455="S",'Vehicle Data'!C$14,IF(Data!V455 = "T1",'Vehicle Data'!P$2,IF(Data!V455="T2",'Vehicle Data'!P$3)))</f>
        <v>13.411199999999999</v>
      </c>
      <c r="Y455" s="101"/>
      <c r="Z455" s="106">
        <v>8.3000000000000007</v>
      </c>
      <c r="AA455" s="101"/>
      <c r="AB455" s="101" t="b">
        <f>IF(AA455=1,'Vehicle Data'!I$14,IF(AA455=2,'Vehicle Data'!I$15,IF(AA455=3,'Vehicle Data'!I$16)))</f>
        <v>0</v>
      </c>
      <c r="AC455" s="101">
        <f>IF(Z455&lt;'Vehicle Data'!C$16,'Vehicle Data'!I$15,IF(Z455&lt;'Vehicle Data'!C$15,'Vehicle Data'!I$15,IF(Z454&gt;'Vehicle Data'!C$15,'Vehicle Data'!I$16)))</f>
        <v>0.98256251041858167</v>
      </c>
      <c r="AD455">
        <f>IF(O455=0.6,'Vehicle Data'!F$21,IF(O455=0.9,'Vehicle Data'!F$20))</f>
        <v>3.5315999999999996</v>
      </c>
      <c r="AE455" s="101">
        <f>(Data!H$15-Data!Q455)/'Vehicle Data'!C$6</f>
        <v>0.48181472665148062</v>
      </c>
      <c r="AF455" s="158">
        <f t="shared" si="364"/>
        <v>0.29151150358888639</v>
      </c>
      <c r="AG455" s="148">
        <f t="shared" si="347"/>
        <v>0</v>
      </c>
      <c r="AH455" s="148">
        <f t="shared" si="365"/>
        <v>150.03596589153028</v>
      </c>
      <c r="AI455" s="101"/>
      <c r="AJ455" s="101">
        <f>(Z455^2)*'Vehicle Data'!C$31</f>
        <v>25.317075000000013</v>
      </c>
      <c r="AK455" s="101">
        <f>IF(O455=0.6,'Vehicle Data'!C$6*'Vehicle Data'!D$21*9.81,IF(O455=0.9,'Vehicle Data'!C$6*9.81*'Vehicle Data'!D$20))</f>
        <v>86.131799999999998</v>
      </c>
      <c r="AL455" s="101">
        <f t="shared" si="344"/>
        <v>111.44887500000002</v>
      </c>
      <c r="AM455" s="101"/>
      <c r="AN455" t="b">
        <f>IF(AG455&gt;0,AG455*'Vehicle Data'!C$6)</f>
        <v>0</v>
      </c>
      <c r="AO455" s="101">
        <f t="shared" si="348"/>
        <v>111.44887500000002</v>
      </c>
      <c r="AP455" s="101">
        <f>AO455*'Vehicle Data'!F$3</f>
        <v>28.486332450000003</v>
      </c>
      <c r="AQ455">
        <v>20</v>
      </c>
      <c r="AR455">
        <f>IF(Z455&lt;'Vehicle Data'!C$16, Z455*'Vehicle Data'!F$7*'Vehicle Data'!G$14,IF(Z455&lt;'Vehicle Data'!C$15,Z455*'Vehicle Data'!F$7*'Vehicle Data'!G$15,IF(Z455&gt;'Vehicle Data'!C$15,Z455*'Vehicle Data'!F$7*'Vehicle Data'!G$16)))</f>
        <v>107.59259259259261</v>
      </c>
      <c r="AS455">
        <f t="shared" si="366"/>
        <v>6455.5555555555566</v>
      </c>
      <c r="AT455">
        <f t="shared" si="367"/>
        <v>20</v>
      </c>
      <c r="AU455">
        <f t="shared" si="368"/>
        <v>6500</v>
      </c>
      <c r="AW455">
        <f>VLOOKUP(AT455,BSFC!A$64:A$82,1,FALSE)</f>
        <v>20</v>
      </c>
      <c r="AX455" t="e" cm="1">
        <f t="array" ref="AX455">_xlfn.XLOOKUP(AT455,BSFC!A$64:A$82,,-1,_xlfn.XLOOKUP(Data!AU455,BSFC!C$63:Q$63,BSFC!B$64:Q$82,,-1))</f>
        <v>#VALUE!</v>
      </c>
      <c r="AY455">
        <f>HLOOKUP(AU455,BSFC!F$63:Q$63,1)</f>
        <v>6500</v>
      </c>
      <c r="AZ455">
        <f>IF(AT455&gt;0,MATCH(AT455,BSFC!A$64:A$83,0),IF(AT455&lt;=0,0))</f>
        <v>3</v>
      </c>
      <c r="BA455">
        <f>MATCH(AU455,BSFC!C$63:Q$63,0)</f>
        <v>13</v>
      </c>
      <c r="BB455" cm="1">
        <f t="array" ref="BB455">IF(AZ455&gt;0,INDEX(BSFC!C$64:Q$83,Data!AZ455,Data!BA455))</f>
        <v>494.7</v>
      </c>
      <c r="BC455">
        <f>0.5*'Vehicle Data'!C$6*Data!Z455^2</f>
        <v>15121.355000000003</v>
      </c>
      <c r="BD455">
        <f t="shared" si="349"/>
        <v>3.2250722167563075</v>
      </c>
      <c r="BE455">
        <f t="shared" si="369"/>
        <v>1595.4432256293453</v>
      </c>
      <c r="BF455">
        <f t="shared" si="370"/>
        <v>0.12919168155386482</v>
      </c>
      <c r="BG455">
        <f t="shared" si="350"/>
        <v>171.63876340609872</v>
      </c>
      <c r="BH455">
        <f t="shared" si="316"/>
        <v>13465.906457145509</v>
      </c>
      <c r="BI455" s="148">
        <f t="shared" si="351"/>
        <v>6871.6622130335309</v>
      </c>
      <c r="BO455">
        <f t="shared" si="352"/>
        <v>3868.8400802917517</v>
      </c>
      <c r="BP455">
        <f t="shared" si="353"/>
        <v>695945.08383625932</v>
      </c>
      <c r="BQ455">
        <f t="shared" si="354"/>
        <v>1061630.6334042931</v>
      </c>
      <c r="BR455" s="148">
        <f t="shared" si="355"/>
        <v>1032970.7494213596</v>
      </c>
      <c r="BS455" s="156">
        <f t="shared" si="356"/>
        <v>3868.8400802917517</v>
      </c>
      <c r="BT455" s="156">
        <f t="shared" si="357"/>
        <v>13465.906457145509</v>
      </c>
      <c r="BU455">
        <f t="shared" si="358"/>
        <v>1974.2720085437147</v>
      </c>
      <c r="BV455">
        <f t="shared" si="359"/>
        <v>1974.2720085437147</v>
      </c>
      <c r="BW455" s="148">
        <f t="shared" si="360"/>
        <v>455.4</v>
      </c>
      <c r="BX455" s="148">
        <f t="shared" si="361"/>
        <v>3129354.9718154697</v>
      </c>
      <c r="BY455" s="148">
        <f t="shared" si="362"/>
        <v>0.24974540908077988</v>
      </c>
      <c r="BZ455">
        <f t="shared" si="345"/>
        <v>150.03596589153028</v>
      </c>
      <c r="CB455">
        <f t="shared" si="363"/>
        <v>-1894.568071748037</v>
      </c>
      <c r="CC455" s="162">
        <f t="shared" si="346"/>
        <v>-6499.1194118361864</v>
      </c>
      <c r="CD455">
        <f t="shared" si="371"/>
        <v>-29391.824461960037</v>
      </c>
    </row>
    <row r="456" spans="4:82" x14ac:dyDescent="0.2">
      <c r="D456" s="22">
        <f t="shared" si="337"/>
        <v>-4.107080121875966E-2</v>
      </c>
      <c r="E456" s="23">
        <v>11.501701599999999</v>
      </c>
      <c r="F456" s="23">
        <f>IF(K456&lt;6,1,IF(Data!K456&lt;9,2,IF(K456&gt;9,3)))</f>
        <v>3</v>
      </c>
      <c r="G456" s="23">
        <v>1070.2076035279713</v>
      </c>
      <c r="H456" s="23">
        <v>220.01666499999999</v>
      </c>
      <c r="I456" s="64">
        <v>48.664878878889368</v>
      </c>
      <c r="J456" s="65">
        <f t="shared" si="338"/>
        <v>1.7855161126991197</v>
      </c>
      <c r="K456" s="65">
        <f t="shared" si="339"/>
        <v>19.465951551555747</v>
      </c>
      <c r="L456" s="65">
        <f t="shared" si="340"/>
        <v>0.71420644507964781</v>
      </c>
      <c r="M456">
        <f t="shared" si="341"/>
        <v>23.003403199999997</v>
      </c>
      <c r="N456">
        <f t="shared" si="342"/>
        <v>-9.9998399999998711E-2</v>
      </c>
      <c r="O456">
        <f>IF(L456&lt;'Vehicle Data'!F$21,'Vehicle Data'!C$21,IF(L456&gt;'Vehicle Data'!C$21,'Vehicle Data'!C$20))</f>
        <v>0.6</v>
      </c>
      <c r="P456">
        <f>('Vehicle Data'!C$6*9.81*'Vehicle Data'!C$5*SIN(D456))/'Vehicle Data'!C$9</f>
        <v>-27.344130960567359</v>
      </c>
      <c r="Q456" s="107">
        <f>'Vehicle Data'!C$6*9.81*SIN(D456)</f>
        <v>-176.82538021166891</v>
      </c>
      <c r="R456">
        <f t="shared" si="336"/>
        <v>1067.7775654062891</v>
      </c>
      <c r="S456">
        <f>IF(Data!O456=0.6,'Vehicle Data'!E$21,IF(Data!O456 = 0.9,'Vehicle Data'!E$20))+(P456*O456)</f>
        <v>1533.9659214236594</v>
      </c>
      <c r="T456">
        <f>IF(F456=3,'Vehicle Data'!H$16,IF(F456=2,'Vehicle Data'!H$15,IF(F456 = 1,'Vehicle Data'!G$14)))</f>
        <v>466.23005239380637</v>
      </c>
      <c r="U456" s="148">
        <f t="shared" si="343"/>
        <v>351.63908328297305</v>
      </c>
      <c r="V456" s="70" t="s">
        <v>77</v>
      </c>
      <c r="W456" s="99" t="s">
        <v>84</v>
      </c>
      <c r="X456">
        <f>IF(V456="S",'Vehicle Data'!C$14,IF(Data!V456 = "T1",'Vehicle Data'!P$2,IF(Data!V456="T2",'Vehicle Data'!P$3)))</f>
        <v>13.411199999999999</v>
      </c>
      <c r="Z456">
        <f>SQRT(Z455^2+2*AE455*(U456-U455))</f>
        <v>8.4395827006485664</v>
      </c>
      <c r="AB456" t="b">
        <f>IF(AA456=1,'Vehicle Data'!I$14,IF(AA456=2,'Vehicle Data'!I$15,IF(AA456=3,'Vehicle Data'!I$16)))</f>
        <v>0</v>
      </c>
      <c r="AC456">
        <f>IF(Z456&lt;'Vehicle Data'!C$16,'Vehicle Data'!I$15,IF(Z456&lt;'Vehicle Data'!C$15,'Vehicle Data'!I$15,IF(Z455&gt;'Vehicle Data'!C$15,'Vehicle Data'!I$16)))</f>
        <v>0.98256251041858167</v>
      </c>
      <c r="AD456">
        <f>IF(O456=0.6,'Vehicle Data'!F$21,IF(O456=0.9,'Vehicle Data'!F$20))</f>
        <v>3.5315999999999996</v>
      </c>
      <c r="AE456" s="100">
        <f t="shared" ref="AE456:AE482" si="372">IF(W456="a",AC456,IF(W456="b",AD456*-1))</f>
        <v>0.98256251041858167</v>
      </c>
      <c r="AF456" s="158">
        <f t="shared" si="364"/>
        <v>0.28730632375949722</v>
      </c>
      <c r="AG456" s="148">
        <f t="shared" si="347"/>
        <v>0.48583232983555813</v>
      </c>
      <c r="AH456" s="148">
        <f t="shared" si="365"/>
        <v>150.32327221528979</v>
      </c>
      <c r="AJ456">
        <f>(Z456^2)*'Vehicle Data'!C$31</f>
        <v>26.175759389199314</v>
      </c>
      <c r="AK456">
        <f>IF(O456=0.6,'Vehicle Data'!C$6*'Vehicle Data'!D$21*9.81,IF(O456=0.9,'Vehicle Data'!C$6*9.81*'Vehicle Data'!D$20))</f>
        <v>86.131799999999998</v>
      </c>
      <c r="AL456">
        <f t="shared" si="344"/>
        <v>-64.517820822469602</v>
      </c>
      <c r="AN456">
        <f>IF(AG456&gt;0,AG456*'Vehicle Data'!C$6)</f>
        <v>213.28039279781001</v>
      </c>
      <c r="AO456">
        <f t="shared" si="348"/>
        <v>148.76257197534039</v>
      </c>
      <c r="AP456">
        <f>AO456*'Vehicle Data'!F$3</f>
        <v>38.023713396897001</v>
      </c>
      <c r="AQ456">
        <f>IF(AE456='Vehicle Data'!I$15,AP456/'Vehicle Data'!G$15,IF(AE456='Vehicle Data'!I$16,AP456/'Vehicle Data'!G$16,IF(AE456='Vehicle Data'!I$14,Data!AP456/'Vehicle Data'!G467)))</f>
        <v>4.7107598562553266</v>
      </c>
      <c r="AR456">
        <f>IF(Z456&lt;'Vehicle Data'!C$16, Z456*'Vehicle Data'!F$7*'Vehicle Data'!G$14,IF(Z456&lt;'Vehicle Data'!C$15,Z456*'Vehicle Data'!F$7*'Vehicle Data'!G$15,IF(Z456&gt;'Vehicle Data'!C$15,Z456*'Vehicle Data'!F$7*'Vehicle Data'!G$16)))</f>
        <v>109.40199797137031</v>
      </c>
      <c r="AS456">
        <f t="shared" si="366"/>
        <v>6564.1198782822185</v>
      </c>
      <c r="AT456">
        <f t="shared" si="367"/>
        <v>5</v>
      </c>
      <c r="AU456">
        <f t="shared" si="368"/>
        <v>6500</v>
      </c>
      <c r="AW456">
        <f>VLOOKUP(AT456,BSFC!A$64:A$82,1,FALSE)</f>
        <v>5</v>
      </c>
      <c r="AX456" t="e" cm="1">
        <f t="array" ref="AX456">_xlfn.XLOOKUP(AT456,BSFC!A$64:A$82,,-1,_xlfn.XLOOKUP(Data!AU456,BSFC!C$63:Q$63,BSFC!B$64:Q$82,,-1))</f>
        <v>#VALUE!</v>
      </c>
      <c r="AY456">
        <f>HLOOKUP(AU456,BSFC!F$63:Q$63,1)</f>
        <v>6500</v>
      </c>
      <c r="AZ456">
        <f>IF(AT456&gt;0,MATCH(AT456,BSFC!A$64:A$83,0),IF(AT456&lt;=0,0))</f>
        <v>18</v>
      </c>
      <c r="BA456">
        <f>MATCH(AU456,BSFC!C$63:Q$63,0)</f>
        <v>13</v>
      </c>
      <c r="BB456" cm="1">
        <f t="array" ref="BB456">IF(AZ456&gt;0,INDEX(BSFC!C$64:Q$83,Data!AZ456,Data!BA456))</f>
        <v>600</v>
      </c>
      <c r="BC456">
        <f>0.5*'Vehicle Data'!C$6*Data!Z456^2</f>
        <v>15634.229077358497</v>
      </c>
      <c r="BD456">
        <f t="shared" si="349"/>
        <v>11.746270514507263</v>
      </c>
      <c r="BE456">
        <f t="shared" si="369"/>
        <v>7047.7623087043576</v>
      </c>
      <c r="BF456">
        <f t="shared" si="370"/>
        <v>0.56246296656794326</v>
      </c>
      <c r="BG456">
        <f t="shared" si="350"/>
        <v>172.20122637266667</v>
      </c>
      <c r="BH456">
        <f t="shared" si="316"/>
        <v>3225.0722167563076</v>
      </c>
      <c r="BI456" s="148">
        <f t="shared" si="351"/>
        <v>6871.6622130335309</v>
      </c>
      <c r="BO456">
        <f t="shared" si="352"/>
        <v>898.959961209791</v>
      </c>
      <c r="BP456">
        <f t="shared" si="353"/>
        <v>696844.04379746912</v>
      </c>
      <c r="BQ456">
        <f t="shared" si="354"/>
        <v>1062529.5933655028</v>
      </c>
      <c r="BR456" s="148">
        <f t="shared" si="355"/>
        <v>1034886.1636450723</v>
      </c>
      <c r="BS456" s="156">
        <f t="shared" si="356"/>
        <v>898.959961209791</v>
      </c>
      <c r="BT456" s="156">
        <f t="shared" si="357"/>
        <v>3225.0722167563076</v>
      </c>
      <c r="BU456">
        <f t="shared" si="358"/>
        <v>1915.4142237126161</v>
      </c>
      <c r="BV456">
        <f t="shared" si="359"/>
        <v>1915.4142237126161</v>
      </c>
      <c r="BW456" s="148">
        <f t="shared" si="360"/>
        <v>455.4</v>
      </c>
      <c r="BX456" s="148">
        <f t="shared" si="361"/>
        <v>3129354.9718154697</v>
      </c>
      <c r="BY456" s="148">
        <f t="shared" si="362"/>
        <v>0.2422998992996459</v>
      </c>
      <c r="BZ456">
        <f t="shared" si="345"/>
        <v>150.32327221528979</v>
      </c>
      <c r="CB456">
        <f t="shared" si="363"/>
        <v>1016.4542625028251</v>
      </c>
      <c r="CC456" s="162">
        <f t="shared" si="346"/>
        <v>3537.8764003595425</v>
      </c>
      <c r="CD456">
        <f t="shared" si="371"/>
        <v>-28375.370199457211</v>
      </c>
    </row>
    <row r="457" spans="4:82" x14ac:dyDescent="0.2">
      <c r="D457" s="22">
        <f t="shared" si="337"/>
        <v>-6.4746343068807508E-3</v>
      </c>
      <c r="E457" s="23">
        <v>11.4017032</v>
      </c>
      <c r="F457" s="23">
        <f>IF(K457&lt;6,1,IF(Data!K457&lt;9,2,IF(K457&gt;9,3)))</f>
        <v>3</v>
      </c>
      <c r="G457" s="23">
        <v>1072.6430690077598</v>
      </c>
      <c r="H457" s="23">
        <v>220.066665</v>
      </c>
      <c r="I457" s="64">
        <v>48.754154684524345</v>
      </c>
      <c r="J457" s="65">
        <f t="shared" si="338"/>
        <v>1.737401231523019</v>
      </c>
      <c r="K457" s="65">
        <f t="shared" si="339"/>
        <v>19.501661873809738</v>
      </c>
      <c r="L457" s="65">
        <f t="shared" si="340"/>
        <v>0.69496049260922177</v>
      </c>
      <c r="M457">
        <f t="shared" si="341"/>
        <v>22.8034064</v>
      </c>
      <c r="N457">
        <f t="shared" si="342"/>
        <v>-1.5802115475887391E-2</v>
      </c>
      <c r="O457">
        <f>IF(L457&lt;'Vehicle Data'!F$21,'Vehicle Data'!C$21,IF(L457&gt;'Vehicle Data'!C$21,'Vehicle Data'!C$20))</f>
        <v>0.6</v>
      </c>
      <c r="P457">
        <f>('Vehicle Data'!C$6*9.81*'Vehicle Data'!C$5*SIN(D457))/'Vehicle Data'!C$9</f>
        <v>-4.3118660632822206</v>
      </c>
      <c r="Q457" s="107">
        <f>'Vehicle Data'!C$6*9.81*SIN(D457)</f>
        <v>-27.883400542558359</v>
      </c>
      <c r="R457">
        <f t="shared" si="336"/>
        <v>1070.2076035279713</v>
      </c>
      <c r="S457">
        <f>IF(Data!O457=0.6,'Vehicle Data'!E$21,IF(Data!O457 = 0.9,'Vehicle Data'!E$20))+(P457*O457)</f>
        <v>1547.7852803620303</v>
      </c>
      <c r="T457">
        <f>IF(F457=3,'Vehicle Data'!H$16,IF(F457=2,'Vehicle Data'!H$15,IF(F457 = 1,'Vehicle Data'!G$14)))</f>
        <v>466.23005239380637</v>
      </c>
      <c r="U457" s="148">
        <f t="shared" si="343"/>
        <v>354.06912140465522</v>
      </c>
      <c r="V457" s="70" t="s">
        <v>77</v>
      </c>
      <c r="W457" s="99" t="s">
        <v>84</v>
      </c>
      <c r="X457">
        <f>IF(V457="S",'Vehicle Data'!C$14,IF(Data!V457 = "T1",'Vehicle Data'!P$2,IF(Data!V457="T2",'Vehicle Data'!P$3)))</f>
        <v>13.411199999999999</v>
      </c>
      <c r="Z457">
        <f t="shared" ref="Z457:Z474" si="373">SQRT(Z456^2+2*AE456*(U457-U456))</f>
        <v>8.7179059914403947</v>
      </c>
      <c r="AB457" t="b">
        <f>IF(AA457=1,'Vehicle Data'!I$14,IF(AA457=2,'Vehicle Data'!I$15,IF(AA457=3,'Vehicle Data'!I$16)))</f>
        <v>0</v>
      </c>
      <c r="AC457">
        <f>IF(Z457&lt;'Vehicle Data'!C$16,'Vehicle Data'!I$15,IF(Z457&lt;'Vehicle Data'!C$15,'Vehicle Data'!I$15,IF(Z456&gt;'Vehicle Data'!C$15,'Vehicle Data'!I$16)))</f>
        <v>0.98256251041858167</v>
      </c>
      <c r="AD457">
        <f>IF(O457=0.6,'Vehicle Data'!F$21,IF(O457=0.9,'Vehicle Data'!F$20))</f>
        <v>3.5315999999999996</v>
      </c>
      <c r="AE457" s="100">
        <f t="shared" si="372"/>
        <v>0.98256251041858167</v>
      </c>
      <c r="AF457" s="158">
        <f t="shared" si="364"/>
        <v>0.27874103300357755</v>
      </c>
      <c r="AG457" s="148">
        <f t="shared" si="347"/>
        <v>0.99850132502112121</v>
      </c>
      <c r="AH457" s="148">
        <f t="shared" si="365"/>
        <v>150.60201324829336</v>
      </c>
      <c r="AJ457">
        <f>(Z457^2)*'Vehicle Data'!C$31</f>
        <v>27.930692691780187</v>
      </c>
      <c r="AK457">
        <f>IF(O457=0.6,'Vehicle Data'!C$6*'Vehicle Data'!D$21*9.81,IF(O457=0.9,'Vehicle Data'!C$6*9.81*'Vehicle Data'!D$20))</f>
        <v>86.131799999999998</v>
      </c>
      <c r="AL457">
        <f t="shared" si="344"/>
        <v>86.17909214922183</v>
      </c>
      <c r="AN457">
        <f>IF(AG457&gt;0,AG457*'Vehicle Data'!C$6)</f>
        <v>438.34208168427222</v>
      </c>
      <c r="AO457">
        <f t="shared" si="348"/>
        <v>524.521173833494</v>
      </c>
      <c r="AP457">
        <f>AO457*'Vehicle Data'!F$3</f>
        <v>134.06761203184107</v>
      </c>
      <c r="AQ457">
        <f>IF(AE457='Vehicle Data'!I$15,AP457/'Vehicle Data'!G$15,IF(AE457='Vehicle Data'!I$16,AP457/'Vehicle Data'!G$16,IF(AE457='Vehicle Data'!I$14,Data!AP457/'Vehicle Data'!G468)))</f>
        <v>16.609643518803459</v>
      </c>
      <c r="AR457">
        <f>IF(Z457&lt;'Vehicle Data'!C$16, Z457*'Vehicle Data'!F$7*'Vehicle Data'!G$14,IF(Z457&lt;'Vehicle Data'!C$15,Z457*'Vehicle Data'!F$7*'Vehicle Data'!G$15,IF(Z457&gt;'Vehicle Data'!C$15,Z457*'Vehicle Data'!F$7*'Vehicle Data'!G$16)))</f>
        <v>113.00989248163475</v>
      </c>
      <c r="AS457">
        <f t="shared" si="366"/>
        <v>6780.5935488980849</v>
      </c>
      <c r="AT457">
        <f t="shared" si="367"/>
        <v>17</v>
      </c>
      <c r="AU457">
        <f t="shared" si="368"/>
        <v>7000</v>
      </c>
      <c r="AW457">
        <f>VLOOKUP(AT457,BSFC!A$64:A$82,1,FALSE)</f>
        <v>17</v>
      </c>
      <c r="AX457" t="e" cm="1">
        <f t="array" ref="AX457">_xlfn.XLOOKUP(AT457,BSFC!A$64:A$82,,-1,_xlfn.XLOOKUP(Data!AU457,BSFC!C$63:Q$63,BSFC!B$64:Q$82,,-1))</f>
        <v>#VALUE!</v>
      </c>
      <c r="AY457">
        <f>HLOOKUP(AU457,BSFC!F$63:Q$63,1)</f>
        <v>7000</v>
      </c>
      <c r="AZ457">
        <f>IF(AT457&gt;0,MATCH(AT457,BSFC!A$64:A$83,0),IF(AT457&lt;=0,0))</f>
        <v>6</v>
      </c>
      <c r="BA457">
        <f>MATCH(AU457,BSFC!C$63:Q$63,0)</f>
        <v>14</v>
      </c>
      <c r="BB457" cm="1">
        <f t="array" ref="BB457">IF(AZ457&gt;0,INDEX(BSFC!C$64:Q$83,Data!AZ457,Data!BA457))</f>
        <v>500</v>
      </c>
      <c r="BC457">
        <f>0.5*'Vehicle Data'!C$6*Data!Z457^2</f>
        <v>16682.413730192515</v>
      </c>
      <c r="BD457">
        <f t="shared" si="349"/>
        <v>8.7192170294856286</v>
      </c>
      <c r="BE457">
        <f t="shared" si="369"/>
        <v>4359.6085147428139</v>
      </c>
      <c r="BF457">
        <f t="shared" si="370"/>
        <v>0.3375560502473901</v>
      </c>
      <c r="BG457">
        <f t="shared" si="350"/>
        <v>172.53878242291407</v>
      </c>
      <c r="BH457">
        <f t="shared" si="316"/>
        <v>11746.270514507263</v>
      </c>
      <c r="BI457" s="148">
        <f t="shared" si="351"/>
        <v>6871.6622130335309</v>
      </c>
      <c r="BO457">
        <f t="shared" si="352"/>
        <v>3182.7965114733715</v>
      </c>
      <c r="BP457">
        <f t="shared" si="353"/>
        <v>700026.84030894248</v>
      </c>
      <c r="BQ457">
        <f t="shared" si="354"/>
        <v>1065712.3898769761</v>
      </c>
      <c r="BR457" s="148">
        <f t="shared" si="355"/>
        <v>1036748.1250644568</v>
      </c>
      <c r="BS457" s="156">
        <f t="shared" si="356"/>
        <v>3182.7965114733715</v>
      </c>
      <c r="BT457" s="156">
        <f t="shared" si="357"/>
        <v>11746.270514507263</v>
      </c>
      <c r="BU457">
        <f t="shared" si="358"/>
        <v>1861.9614193845225</v>
      </c>
      <c r="BV457">
        <f t="shared" si="359"/>
        <v>1861.9614193845225</v>
      </c>
      <c r="BW457" s="148">
        <f t="shared" si="360"/>
        <v>455.4</v>
      </c>
      <c r="BX457" s="148">
        <f t="shared" si="361"/>
        <v>3129354.9718154697</v>
      </c>
      <c r="BY457" s="148">
        <f t="shared" si="362"/>
        <v>0.23553811955214207</v>
      </c>
      <c r="BZ457">
        <f t="shared" si="345"/>
        <v>150.60201324829336</v>
      </c>
      <c r="CB457">
        <f t="shared" si="363"/>
        <v>-1320.835092088849</v>
      </c>
      <c r="CC457" s="162">
        <f t="shared" si="346"/>
        <v>-4738.5742883141766</v>
      </c>
      <c r="CD457">
        <f t="shared" si="371"/>
        <v>-29696.205291546059</v>
      </c>
    </row>
    <row r="458" spans="4:82" x14ac:dyDescent="0.2">
      <c r="D458" s="22">
        <f t="shared" si="337"/>
        <v>-4.0904504877040788E-2</v>
      </c>
      <c r="E458" s="23">
        <v>11.385901084524113</v>
      </c>
      <c r="F458" s="23">
        <f>IF(K458&lt;6,1,IF(Data!K458&lt;9,2,IF(K458&gt;9,3)))</f>
        <v>3</v>
      </c>
      <c r="G458" s="23">
        <v>1075.0837050551254</v>
      </c>
      <c r="H458" s="23">
        <v>220.11666499999998</v>
      </c>
      <c r="I458" s="64">
        <v>48.841024746100466</v>
      </c>
      <c r="J458" s="65">
        <f t="shared" si="338"/>
        <v>1.6514353025723036</v>
      </c>
      <c r="K458" s="65">
        <f t="shared" si="339"/>
        <v>19.536409898440187</v>
      </c>
      <c r="L458" s="65">
        <f t="shared" si="340"/>
        <v>0.66057412102892143</v>
      </c>
      <c r="M458">
        <f t="shared" si="341"/>
        <v>22.771802169048225</v>
      </c>
      <c r="N458">
        <f t="shared" si="342"/>
        <v>-9.9998526418946909E-2</v>
      </c>
      <c r="O458">
        <f>IF(L458&lt;'Vehicle Data'!F$21,'Vehicle Data'!C$21,IF(L458&gt;'Vehicle Data'!C$21,'Vehicle Data'!C$20))</f>
        <v>0.6</v>
      </c>
      <c r="P458">
        <f>('Vehicle Data'!C$6*9.81*'Vehicle Data'!C$5*SIN(D458))/'Vehicle Data'!C$9</f>
        <v>-27.233476012040324</v>
      </c>
      <c r="Q458" s="107">
        <f>'Vehicle Data'!C$6*9.81*SIN(D458)</f>
        <v>-176.10981154452742</v>
      </c>
      <c r="R458">
        <f t="shared" si="336"/>
        <v>1072.6430690077598</v>
      </c>
      <c r="S458">
        <f>IF(Data!O458=0.6,'Vehicle Data'!E$21,IF(Data!O458 = 0.9,'Vehicle Data'!E$20))+(P458*O458)</f>
        <v>1534.0323143927756</v>
      </c>
      <c r="T458">
        <f>IF(F458=3,'Vehicle Data'!H$16,IF(F458=2,'Vehicle Data'!H$15,IF(F458 = 1,'Vehicle Data'!G$14)))</f>
        <v>466.23005239380637</v>
      </c>
      <c r="U458" s="148">
        <f t="shared" si="343"/>
        <v>356.50458688444371</v>
      </c>
      <c r="V458" s="70" t="s">
        <v>77</v>
      </c>
      <c r="W458" s="99" t="s">
        <v>84</v>
      </c>
      <c r="X458">
        <f>IF(V458="S",'Vehicle Data'!C$14,IF(Data!V458 = "T1",'Vehicle Data'!P$2,IF(Data!V458="T2",'Vehicle Data'!P$3)))</f>
        <v>13.411199999999999</v>
      </c>
      <c r="Z458">
        <f t="shared" si="373"/>
        <v>8.9882077761537023</v>
      </c>
      <c r="AB458" t="b">
        <f>IF(AA458=1,'Vehicle Data'!I$14,IF(AA458=2,'Vehicle Data'!I$15,IF(AA458=3,'Vehicle Data'!I$16)))</f>
        <v>0</v>
      </c>
      <c r="AC458">
        <f>IF(Z458&lt;'Vehicle Data'!C$16,'Vehicle Data'!I$15,IF(Z458&lt;'Vehicle Data'!C$15,'Vehicle Data'!I$15,IF(Z457&gt;'Vehicle Data'!C$15,'Vehicle Data'!I$16)))</f>
        <v>0.98256251041858167</v>
      </c>
      <c r="AD458">
        <f>IF(O458=0.6,'Vehicle Data'!F$21,IF(O458=0.9,'Vehicle Data'!F$20))</f>
        <v>3.5315999999999996</v>
      </c>
      <c r="AE458" s="100">
        <f t="shared" si="372"/>
        <v>0.98256251041858167</v>
      </c>
      <c r="AF458" s="158">
        <f t="shared" si="364"/>
        <v>0.27096230310228681</v>
      </c>
      <c r="AG458" s="148">
        <f t="shared" si="347"/>
        <v>0.99756232368334319</v>
      </c>
      <c r="AH458" s="148">
        <f t="shared" si="365"/>
        <v>150.87297555139565</v>
      </c>
      <c r="AJ458">
        <f>(Z458^2)*'Vehicle Data'!C$31</f>
        <v>29.68954554253639</v>
      </c>
      <c r="AK458">
        <f>IF(O458=0.6,'Vehicle Data'!C$6*'Vehicle Data'!D$21*9.81,IF(O458=0.9,'Vehicle Data'!C$6*9.81*'Vehicle Data'!D$20))</f>
        <v>86.131799999999998</v>
      </c>
      <c r="AL458">
        <f t="shared" si="344"/>
        <v>-60.288466001991026</v>
      </c>
      <c r="AN458">
        <f>IF(AG458&gt;0,AG458*'Vehicle Data'!C$6)</f>
        <v>437.92986009698768</v>
      </c>
      <c r="AO458">
        <f t="shared" si="348"/>
        <v>377.64139409499666</v>
      </c>
      <c r="AP458">
        <f>AO458*'Vehicle Data'!F$3</f>
        <v>96.52514033068114</v>
      </c>
      <c r="AQ458">
        <f>IF(AE458='Vehicle Data'!I$15,AP458/'Vehicle Data'!G$15,IF(AE458='Vehicle Data'!I$16,AP458/'Vehicle Data'!G$16,IF(AE458='Vehicle Data'!I$14,Data!AP458/'Vehicle Data'!G469)))</f>
        <v>11.958504721590185</v>
      </c>
      <c r="AR458">
        <f>IF(Z458&lt;'Vehicle Data'!C$16, Z458*'Vehicle Data'!F$7*'Vehicle Data'!G$14,IF(Z458&lt;'Vehicle Data'!C$15,Z458*'Vehicle Data'!F$7*'Vehicle Data'!G$15,IF(Z458&gt;'Vehicle Data'!C$15,Z458*'Vehicle Data'!F$7*'Vehicle Data'!G$16)))</f>
        <v>116.51380450569616</v>
      </c>
      <c r="AS458">
        <f t="shared" si="366"/>
        <v>6990.8282703417699</v>
      </c>
      <c r="AT458">
        <f t="shared" si="367"/>
        <v>12</v>
      </c>
      <c r="AU458">
        <f t="shared" si="368"/>
        <v>7000</v>
      </c>
      <c r="AW458">
        <f>VLOOKUP(AT458,BSFC!A$64:A$82,1,FALSE)</f>
        <v>12</v>
      </c>
      <c r="AX458" t="e" cm="1">
        <f t="array" ref="AX458">_xlfn.XLOOKUP(AT458,BSFC!A$64:A$82,,-1,_xlfn.XLOOKUP(Data!AU458,BSFC!C$63:Q$63,BSFC!B$64:Q$82,,-1))</f>
        <v>#VALUE!</v>
      </c>
      <c r="AY458">
        <f>HLOOKUP(AU458,BSFC!F$63:Q$63,1)</f>
        <v>7000</v>
      </c>
      <c r="AZ458">
        <f>IF(AT458&gt;0,MATCH(AT458,BSFC!A$64:A$83,0),IF(AT458&lt;=0,0))</f>
        <v>11</v>
      </c>
      <c r="BA458">
        <f>MATCH(AU458,BSFC!C$63:Q$63,0)</f>
        <v>14</v>
      </c>
      <c r="BB458" cm="1">
        <f t="array" ref="BB458">IF(AZ458&gt;0,INDEX(BSFC!C$64:Q$83,Data!AZ458,Data!BA458))</f>
        <v>474.5</v>
      </c>
      <c r="BC458">
        <f>0.5*'Vehicle Data'!C$6*Data!Z458^2</f>
        <v>17732.939446494518</v>
      </c>
      <c r="BD458">
        <f t="shared" si="349"/>
        <v>0</v>
      </c>
      <c r="BE458">
        <f t="shared" si="369"/>
        <v>0</v>
      </c>
      <c r="BF458">
        <f t="shared" si="370"/>
        <v>0</v>
      </c>
      <c r="BG458">
        <f t="shared" si="350"/>
        <v>172.53878242291407</v>
      </c>
      <c r="BH458">
        <f t="shared" si="316"/>
        <v>8719.2170294856278</v>
      </c>
      <c r="BI458" s="148">
        <f t="shared" si="351"/>
        <v>6871.6622130335309</v>
      </c>
      <c r="BO458">
        <f t="shared" si="352"/>
        <v>2300.2981631894686</v>
      </c>
      <c r="BP458">
        <f t="shared" si="353"/>
        <v>702327.13847213192</v>
      </c>
      <c r="BQ458">
        <f t="shared" si="354"/>
        <v>1068012.6880401657</v>
      </c>
      <c r="BR458" s="148">
        <f t="shared" si="355"/>
        <v>1038561.00251816</v>
      </c>
      <c r="BS458" s="156">
        <f t="shared" si="356"/>
        <v>2300.2981631894686</v>
      </c>
      <c r="BT458" s="156">
        <f t="shared" si="357"/>
        <v>8719.2170294856278</v>
      </c>
      <c r="BU458">
        <f t="shared" si="358"/>
        <v>1812.8774537032027</v>
      </c>
      <c r="BV458">
        <f t="shared" si="359"/>
        <v>1812.8774537032027</v>
      </c>
      <c r="BW458" s="148">
        <f t="shared" si="360"/>
        <v>455.4</v>
      </c>
      <c r="BX458" s="148">
        <f t="shared" si="361"/>
        <v>3129354.9718154697</v>
      </c>
      <c r="BY458" s="148">
        <f t="shared" si="362"/>
        <v>0.22932899789345512</v>
      </c>
      <c r="BZ458">
        <f t="shared" si="345"/>
        <v>150.87297555139565</v>
      </c>
      <c r="CB458">
        <f t="shared" si="363"/>
        <v>-487.42070948626588</v>
      </c>
      <c r="CC458" s="162">
        <f t="shared" si="346"/>
        <v>-1798.8506294259453</v>
      </c>
      <c r="CD458">
        <f t="shared" si="371"/>
        <v>-30183.626001032324</v>
      </c>
    </row>
    <row r="459" spans="4:82" x14ac:dyDescent="0.2">
      <c r="D459" s="22">
        <f t="shared" si="337"/>
        <v>-7.5293619300337275E-2</v>
      </c>
      <c r="E459" s="23">
        <v>11.285902558105166</v>
      </c>
      <c r="F459" s="23">
        <f>IF(K459&lt;6,1,IF(Data!K459&lt;9,2,IF(K459&gt;9,3)))</f>
        <v>3</v>
      </c>
      <c r="G459" s="23">
        <v>1077.5290693997558</v>
      </c>
      <c r="H459" s="23">
        <v>220.16666499999999</v>
      </c>
      <c r="I459" s="64">
        <v>48.9235965112291</v>
      </c>
      <c r="J459" s="65">
        <f t="shared" si="338"/>
        <v>0.98040533768828952</v>
      </c>
      <c r="K459" s="65">
        <f t="shared" si="339"/>
        <v>19.569438604491641</v>
      </c>
      <c r="L459" s="65">
        <f t="shared" si="340"/>
        <v>0.39216213507528735</v>
      </c>
      <c r="M459">
        <f t="shared" si="341"/>
        <v>22.571805116210331</v>
      </c>
      <c r="N459">
        <f t="shared" si="342"/>
        <v>-0.18419535810516585</v>
      </c>
      <c r="O459">
        <f>IF(L459&lt;'Vehicle Data'!F$21,'Vehicle Data'!C$21,IF(L459&gt;'Vehicle Data'!C$21,'Vehicle Data'!C$20))</f>
        <v>0.6</v>
      </c>
      <c r="P459">
        <f>('Vehicle Data'!C$6*9.81*'Vehicle Data'!C$5*SIN(D459))/'Vehicle Data'!C$9</f>
        <v>-50.095740823382329</v>
      </c>
      <c r="Q459" s="107">
        <f>'Vehicle Data'!C$6*9.81*SIN(D459)</f>
        <v>-323.95245732453901</v>
      </c>
      <c r="R459">
        <f t="shared" si="336"/>
        <v>1075.0837050551254</v>
      </c>
      <c r="S459">
        <f>IF(Data!O459=0.6,'Vehicle Data'!E$21,IF(Data!O459 = 0.9,'Vehicle Data'!E$20))+(P459*O459)</f>
        <v>1520.3149555059704</v>
      </c>
      <c r="T459">
        <f>IF(F459=3,'Vehicle Data'!H$16,IF(F459=2,'Vehicle Data'!H$15,IF(F459 = 1,'Vehicle Data'!G$14)))</f>
        <v>466.23005239380637</v>
      </c>
      <c r="U459" s="148">
        <f t="shared" si="343"/>
        <v>358.94522293180933</v>
      </c>
      <c r="V459" s="70" t="s">
        <v>77</v>
      </c>
      <c r="W459" s="99" t="s">
        <v>84</v>
      </c>
      <c r="X459">
        <f>IF(V459="S",'Vehicle Data'!C$14,IF(Data!V459 = "T1",'Vehicle Data'!P$2,IF(Data!V459="T2",'Vehicle Data'!P$3)))</f>
        <v>13.411199999999999</v>
      </c>
      <c r="Z459">
        <f t="shared" si="373"/>
        <v>9.2511639262713956</v>
      </c>
      <c r="AB459" t="b">
        <f>IF(AA459=1,'Vehicle Data'!I$14,IF(AA459=2,'Vehicle Data'!I$15,IF(AA459=3,'Vehicle Data'!I$16)))</f>
        <v>0</v>
      </c>
      <c r="AC459" t="b">
        <f>IF(Z459&lt;'Vehicle Data'!C$16,'Vehicle Data'!I$15,IF(Z459&lt;'Vehicle Data'!C$15,'Vehicle Data'!I$15,IF(Z458&gt;'Vehicle Data'!C$15,'Vehicle Data'!I$16)))</f>
        <v>0</v>
      </c>
      <c r="AD459">
        <f>IF(O459=0.6,'Vehicle Data'!F$21,IF(O459=0.9,'Vehicle Data'!F$20))</f>
        <v>3.5315999999999996</v>
      </c>
      <c r="AE459" s="100" t="b">
        <f t="shared" si="372"/>
        <v>0</v>
      </c>
      <c r="AF459" s="158">
        <f t="shared" si="364"/>
        <v>0.26381934930746526</v>
      </c>
      <c r="AG459" s="148">
        <f t="shared" si="347"/>
        <v>0.99672806717157847</v>
      </c>
      <c r="AH459" s="148">
        <f t="shared" si="365"/>
        <v>151.13679490070311</v>
      </c>
      <c r="AJ459">
        <f>(Z459^2)*'Vehicle Data'!C$31</f>
        <v>31.452132491598864</v>
      </c>
      <c r="AK459">
        <f>IF(O459=0.6,'Vehicle Data'!C$6*'Vehicle Data'!D$21*9.81,IF(O459=0.9,'Vehicle Data'!C$6*9.81*'Vehicle Data'!D$20))</f>
        <v>86.131799999999998</v>
      </c>
      <c r="AL459">
        <f t="shared" si="344"/>
        <v>-206.36852483294015</v>
      </c>
      <c r="AN459">
        <f>IF(AG459&gt;0,AG459*'Vehicle Data'!C$6)</f>
        <v>437.56362148832295</v>
      </c>
      <c r="AO459">
        <f t="shared" si="348"/>
        <v>231.1950966553828</v>
      </c>
      <c r="AP459">
        <f>AO459*'Vehicle Data'!F$3</f>
        <v>59.093466705115844</v>
      </c>
      <c r="AQ459" t="b">
        <f>IF(AE459='Vehicle Data'!I$15,AP459/'Vehicle Data'!G$15,IF(AE459='Vehicle Data'!I$16,AP459/'Vehicle Data'!G$16,IF(AE459='Vehicle Data'!I$14,Data!AP459/'Vehicle Data'!G470)))</f>
        <v>0</v>
      </c>
      <c r="AR459">
        <f>IF(Z459&lt;'Vehicle Data'!C$16, Z459*'Vehicle Data'!F$7*'Vehicle Data'!G$14,IF(Z459&lt;'Vehicle Data'!C$15,Z459*'Vehicle Data'!F$7*'Vehicle Data'!G$15,IF(Z459&gt;'Vehicle Data'!C$15,Z459*'Vehicle Data'!F$7*'Vehicle Data'!G$16)))</f>
        <v>80.477694618303829</v>
      </c>
      <c r="AS459">
        <f t="shared" si="366"/>
        <v>4828.66167709823</v>
      </c>
      <c r="AT459">
        <f t="shared" si="367"/>
        <v>0</v>
      </c>
      <c r="AU459">
        <f t="shared" si="368"/>
        <v>5000</v>
      </c>
      <c r="AW459" t="e">
        <f>VLOOKUP(AT459,BSFC!A$64:A$82,1,FALSE)</f>
        <v>#N/A</v>
      </c>
      <c r="AX459" t="e" cm="1">
        <f t="array" ref="AX459">_xlfn.XLOOKUP(AT459,BSFC!A$64:A$82,,-1,_xlfn.XLOOKUP(Data!AU459,BSFC!C$63:Q$63,BSFC!B$64:Q$82,,-1))</f>
        <v>#VALUE!</v>
      </c>
      <c r="AY459">
        <f>HLOOKUP(AU459,BSFC!F$63:Q$63,1)</f>
        <v>5000</v>
      </c>
      <c r="AZ459">
        <f>IF(AT459&gt;0,MATCH(AT459,BSFC!A$64:A$83,0),IF(AT459&lt;=0,0))</f>
        <v>0</v>
      </c>
      <c r="BA459">
        <f>MATCH(AU459,BSFC!C$63:Q$63,0)</f>
        <v>10</v>
      </c>
      <c r="BB459" t="b" cm="1">
        <f t="array" ref="BB459">IF(AZ459&gt;0,INDEX(BSFC!C$64:Q$83,Data!AZ459,Data!BA459))</f>
        <v>0</v>
      </c>
      <c r="BC459">
        <f>0.5*'Vehicle Data'!C$6*Data!Z459^2</f>
        <v>18785.695460968567</v>
      </c>
      <c r="BD459">
        <f t="shared" si="349"/>
        <v>2.0516947603002373</v>
      </c>
      <c r="BE459">
        <f t="shared" si="369"/>
        <v>0</v>
      </c>
      <c r="BF459">
        <f t="shared" si="370"/>
        <v>0</v>
      </c>
      <c r="BG459">
        <f t="shared" si="350"/>
        <v>172.53878242291407</v>
      </c>
      <c r="BH459">
        <f t="shared" si="316"/>
        <v>0</v>
      </c>
      <c r="BI459" s="148">
        <f t="shared" si="351"/>
        <v>6871.6622130335309</v>
      </c>
      <c r="BO459">
        <f t="shared" si="352"/>
        <v>0</v>
      </c>
      <c r="BP459">
        <f t="shared" si="353"/>
        <v>702327.13847213192</v>
      </c>
      <c r="BQ459">
        <f t="shared" si="354"/>
        <v>1068012.6880401657</v>
      </c>
      <c r="BR459" s="148">
        <f t="shared" si="355"/>
        <v>1040377.3920987594</v>
      </c>
      <c r="BS459" s="156" t="b">
        <f t="shared" si="356"/>
        <v>0</v>
      </c>
      <c r="BT459" s="156">
        <f t="shared" si="357"/>
        <v>0</v>
      </c>
      <c r="BU459">
        <f t="shared" si="358"/>
        <v>1816.3895805994066</v>
      </c>
      <c r="BV459">
        <f t="shared" si="359"/>
        <v>1816.3895805994066</v>
      </c>
      <c r="BW459" s="148">
        <f t="shared" si="360"/>
        <v>455.4</v>
      </c>
      <c r="BX459" s="148">
        <f t="shared" si="361"/>
        <v>3129354.9718154697</v>
      </c>
      <c r="BY459" s="148">
        <f t="shared" si="362"/>
        <v>0.22977328194582489</v>
      </c>
      <c r="BZ459">
        <f t="shared" si="345"/>
        <v>151.13679490070311</v>
      </c>
      <c r="CB459">
        <f t="shared" si="363"/>
        <v>1816.3895805994066</v>
      </c>
      <c r="CC459" s="162">
        <f t="shared" si="346"/>
        <v>6884.9748336032562</v>
      </c>
      <c r="CD459">
        <f t="shared" si="371"/>
        <v>-28367.236420432917</v>
      </c>
    </row>
    <row r="460" spans="4:82" x14ac:dyDescent="0.2">
      <c r="D460" s="22">
        <f t="shared" si="337"/>
        <v>-4.7368368520190052E-2</v>
      </c>
      <c r="E460" s="23">
        <v>11.1017072</v>
      </c>
      <c r="F460" s="23">
        <f>IF(K460&lt;6,1,IF(Data!K460&lt;9,2,IF(K460&gt;9,3)))</f>
        <v>3</v>
      </c>
      <c r="G460" s="23">
        <v>1079.9777431768077</v>
      </c>
      <c r="H460" s="23">
        <v>220.21666499999998</v>
      </c>
      <c r="I460" s="64">
        <v>48.972616778113498</v>
      </c>
      <c r="J460" s="65">
        <f t="shared" si="338"/>
        <v>-4.4257151947752389</v>
      </c>
      <c r="K460" s="65">
        <f t="shared" si="339"/>
        <v>19.589046711245398</v>
      </c>
      <c r="L460" s="65">
        <f t="shared" si="340"/>
        <v>-1.7702860779101097</v>
      </c>
      <c r="M460">
        <f t="shared" si="341"/>
        <v>22.2034144</v>
      </c>
      <c r="N460">
        <f t="shared" si="342"/>
        <v>-0.11580771547588675</v>
      </c>
      <c r="O460">
        <f>IF(L460&lt;'Vehicle Data'!F$21,'Vehicle Data'!C$21,IF(L460&gt;'Vehicle Data'!C$21,'Vehicle Data'!C$20))</f>
        <v>0.6</v>
      </c>
      <c r="P460">
        <f>('Vehicle Data'!C$6*9.81*'Vehicle Data'!C$5*SIN(D460))/'Vehicle Data'!C$9</f>
        <v>-31.533999628852754</v>
      </c>
      <c r="Q460" s="107">
        <f>'Vehicle Data'!C$6*9.81*SIN(D460)</f>
        <v>-203.91986426658113</v>
      </c>
      <c r="R460">
        <f t="shared" si="336"/>
        <v>1077.5290693997558</v>
      </c>
      <c r="S460">
        <f>IF(Data!O460=0.6,'Vehicle Data'!E$21,IF(Data!O460 = 0.9,'Vehicle Data'!E$20))+(P460*O460)</f>
        <v>1531.4520002226882</v>
      </c>
      <c r="T460">
        <f>IF(F460=3,'Vehicle Data'!H$16,IF(F460=2,'Vehicle Data'!H$15,IF(F460 = 1,'Vehicle Data'!G$14)))</f>
        <v>466.23005239380637</v>
      </c>
      <c r="U460" s="148">
        <f t="shared" si="343"/>
        <v>361.39058727643976</v>
      </c>
      <c r="V460" s="70" t="s">
        <v>77</v>
      </c>
      <c r="W460" s="99" t="s">
        <v>84</v>
      </c>
      <c r="X460">
        <f>IF(V460="S",'Vehicle Data'!C$14,IF(Data!V460 = "T1",'Vehicle Data'!P$2,IF(Data!V460="T2",'Vehicle Data'!P$3)))</f>
        <v>13.411199999999999</v>
      </c>
      <c r="Z460">
        <f t="shared" si="373"/>
        <v>9.2511639262713956</v>
      </c>
      <c r="AB460" t="b">
        <f>IF(AA460=1,'Vehicle Data'!I$14,IF(AA460=2,'Vehicle Data'!I$15,IF(AA460=3,'Vehicle Data'!I$16)))</f>
        <v>0</v>
      </c>
      <c r="AC460">
        <f>IF(Z460&lt;'Vehicle Data'!C$16,'Vehicle Data'!I$15,IF(Z460&lt;'Vehicle Data'!C$15,'Vehicle Data'!I$15,IF(Z459&gt;'Vehicle Data'!C$15,'Vehicle Data'!I$16)))</f>
        <v>0.46202745420001456</v>
      </c>
      <c r="AD460">
        <f>IF(O460=0.6,'Vehicle Data'!F$21,IF(O460=0.9,'Vehicle Data'!F$20))</f>
        <v>3.5315999999999996</v>
      </c>
      <c r="AE460" s="100">
        <f t="shared" si="372"/>
        <v>0.46202745420001456</v>
      </c>
      <c r="AF460" s="158">
        <f t="shared" si="364"/>
        <v>0.26433045226732005</v>
      </c>
      <c r="AG460" s="148">
        <f t="shared" si="347"/>
        <v>0</v>
      </c>
      <c r="AH460" s="148">
        <f t="shared" si="365"/>
        <v>151.40112535297044</v>
      </c>
      <c r="AJ460">
        <f>(Z460^2)*'Vehicle Data'!C$31</f>
        <v>31.452132491598864</v>
      </c>
      <c r="AK460">
        <f>IF(O460=0.6,'Vehicle Data'!C$6*'Vehicle Data'!D$21*9.81,IF(O460=0.9,'Vehicle Data'!C$6*9.81*'Vehicle Data'!D$20))</f>
        <v>86.131799999999998</v>
      </c>
      <c r="AL460">
        <f t="shared" si="344"/>
        <v>-86.335931774982271</v>
      </c>
      <c r="AN460" t="b">
        <f>IF(AG460&gt;0,AG460*'Vehicle Data'!C$6)</f>
        <v>0</v>
      </c>
      <c r="AO460">
        <f t="shared" si="348"/>
        <v>-86.335931774982271</v>
      </c>
      <c r="AP460">
        <f>AO460*'Vehicle Data'!F$3</f>
        <v>-22.067464161685468</v>
      </c>
      <c r="AQ460">
        <f>IF(AE460='Vehicle Data'!I$15,AP460/'Vehicle Data'!G$15,IF(AE460='Vehicle Data'!I$16,AP460/'Vehicle Data'!G$16,IF(AE460='Vehicle Data'!I$14,Data!AP460/'Vehicle Data'!G471)))</f>
        <v>-4.0739340788895966</v>
      </c>
      <c r="AR460">
        <f>IF(Z460&lt;'Vehicle Data'!C$16, Z460*'Vehicle Data'!F$7*'Vehicle Data'!G$14,IF(Z460&lt;'Vehicle Data'!C$15,Z460*'Vehicle Data'!F$7*'Vehicle Data'!G$15,IF(Z460&gt;'Vehicle Data'!C$15,Z460*'Vehicle Data'!F$7*'Vehicle Data'!G$16)))</f>
        <v>80.477694618303829</v>
      </c>
      <c r="AS460">
        <f t="shared" si="366"/>
        <v>4828.66167709823</v>
      </c>
      <c r="AT460">
        <v>4</v>
      </c>
      <c r="AU460">
        <f t="shared" si="368"/>
        <v>5000</v>
      </c>
      <c r="AW460">
        <f>VLOOKUP(AT460,BSFC!A$64:A$82,1,FALSE)</f>
        <v>4</v>
      </c>
      <c r="AX460" t="e" cm="1">
        <f t="array" ref="AX460">_xlfn.XLOOKUP(AT460,BSFC!A$64:A$82,,-1,_xlfn.XLOOKUP(Data!AU460,BSFC!C$63:Q$63,BSFC!B$64:Q$82,,-1))</f>
        <v>#VALUE!</v>
      </c>
      <c r="AY460">
        <f>HLOOKUP(AU460,BSFC!F$63:Q$63,1)</f>
        <v>5000</v>
      </c>
      <c r="AZ460">
        <f>IF(AT460&gt;0,MATCH(AT460,BSFC!A$64:A$83,0),IF(AT460&lt;=0,0))</f>
        <v>19</v>
      </c>
      <c r="BA460">
        <f>MATCH(AU460,BSFC!C$63:Q$63,0)</f>
        <v>10</v>
      </c>
      <c r="BB460" cm="1">
        <f t="array" ref="BB460">IF(AZ460&gt;0,INDEX(BSFC!C$64:Q$83,Data!AZ460,Data!BA460))</f>
        <v>700</v>
      </c>
      <c r="BC460">
        <f>0.5*'Vehicle Data'!C$6*Data!Z460^2</f>
        <v>18785.695460968567</v>
      </c>
      <c r="BD460">
        <f t="shared" si="349"/>
        <v>0.7902558436083178</v>
      </c>
      <c r="BE460">
        <f t="shared" si="369"/>
        <v>553.1790905258224</v>
      </c>
      <c r="BF460">
        <f t="shared" si="370"/>
        <v>4.0617244217643171E-2</v>
      </c>
      <c r="BG460">
        <f t="shared" si="350"/>
        <v>172.57939966713172</v>
      </c>
      <c r="BH460">
        <f t="shared" si="316"/>
        <v>-2051.6947603002372</v>
      </c>
      <c r="BI460" s="148">
        <f t="shared" si="351"/>
        <v>6871.6622130335309</v>
      </c>
      <c r="BO460">
        <f t="shared" si="352"/>
        <v>-536.0198187509211</v>
      </c>
      <c r="BP460">
        <f t="shared" si="353"/>
        <v>701791.11865338101</v>
      </c>
      <c r="BQ460">
        <f t="shared" si="354"/>
        <v>1068012.6880401657</v>
      </c>
      <c r="BR460" s="148">
        <f t="shared" si="355"/>
        <v>1042172.6626259448</v>
      </c>
      <c r="BS460" s="156" t="b">
        <f t="shared" si="356"/>
        <v>0</v>
      </c>
      <c r="BT460" s="156">
        <f t="shared" si="357"/>
        <v>0</v>
      </c>
      <c r="BU460">
        <f t="shared" si="358"/>
        <v>1795.2705271854277</v>
      </c>
      <c r="BV460">
        <f t="shared" si="359"/>
        <v>1795.2705271854277</v>
      </c>
      <c r="BW460" s="148">
        <f t="shared" si="360"/>
        <v>455.4</v>
      </c>
      <c r="BX460" s="148">
        <f t="shared" si="361"/>
        <v>3129354.9718154697</v>
      </c>
      <c r="BY460" s="148">
        <f t="shared" si="362"/>
        <v>0.22710172168895656</v>
      </c>
      <c r="BZ460">
        <f t="shared" si="345"/>
        <v>151.40112535297044</v>
      </c>
      <c r="CB460">
        <f t="shared" si="363"/>
        <v>1795.2705271854277</v>
      </c>
      <c r="CC460" s="162">
        <f t="shared" si="346"/>
        <v>6791.76580596844</v>
      </c>
      <c r="CD460">
        <f t="shared" si="371"/>
        <v>-26571.965893247489</v>
      </c>
    </row>
    <row r="461" spans="4:82" x14ac:dyDescent="0.2">
      <c r="D461" s="22">
        <f t="shared" si="337"/>
        <v>-8.2616750833246363E-2</v>
      </c>
      <c r="E461" s="23">
        <v>10.985899484524113</v>
      </c>
      <c r="F461" s="23">
        <f>IF(K461&lt;6,1,IF(Data!K461&lt;9,2,IF(K461&gt;9,3)))</f>
        <v>3</v>
      </c>
      <c r="G461" s="23">
        <v>1082.4234899469179</v>
      </c>
      <c r="H461" s="23">
        <v>220.26666499999999</v>
      </c>
      <c r="I461" s="64">
        <v>48.751331018374685</v>
      </c>
      <c r="J461" s="65">
        <f t="shared" si="338"/>
        <v>-12.883821262559023</v>
      </c>
      <c r="K461" s="65">
        <f t="shared" si="339"/>
        <v>19.500532407349873</v>
      </c>
      <c r="L461" s="65">
        <f t="shared" si="340"/>
        <v>-5.1535285050235666</v>
      </c>
      <c r="M461">
        <f t="shared" si="341"/>
        <v>21.971798969048226</v>
      </c>
      <c r="N461">
        <f t="shared" si="342"/>
        <v>-0.1999969264189474</v>
      </c>
      <c r="O461">
        <f>IF(L461&lt;'Vehicle Data'!F$21,'Vehicle Data'!C$21,IF(L461&gt;'Vehicle Data'!C$21,'Vehicle Data'!C$20))</f>
        <v>0.6</v>
      </c>
      <c r="P461">
        <f>('Vehicle Data'!C$6*9.81*'Vehicle Data'!C$5*SIN(D461))/'Vehicle Data'!C$9</f>
        <v>-54.957504326367967</v>
      </c>
      <c r="Q461" s="107">
        <f>'Vehicle Data'!C$6*9.81*SIN(D461)</f>
        <v>-355.39186131051281</v>
      </c>
      <c r="R461">
        <f t="shared" si="336"/>
        <v>1079.9777431768077</v>
      </c>
      <c r="S461">
        <f>IF(Data!O461=0.6,'Vehicle Data'!E$21,IF(Data!O461 = 0.9,'Vehicle Data'!E$20))+(P461*O461)</f>
        <v>1517.397897404179</v>
      </c>
      <c r="T461">
        <f>IF(F461=3,'Vehicle Data'!H$16,IF(F461=2,'Vehicle Data'!H$15,IF(F461 = 1,'Vehicle Data'!G$14)))</f>
        <v>466.23005239380637</v>
      </c>
      <c r="U461" s="148">
        <f t="shared" si="343"/>
        <v>363.83926105349167</v>
      </c>
      <c r="V461" s="70" t="s">
        <v>77</v>
      </c>
      <c r="W461" s="99" t="s">
        <v>84</v>
      </c>
      <c r="X461">
        <f>IF(V461="S",'Vehicle Data'!C$14,IF(Data!V461 = "T1",'Vehicle Data'!P$2,IF(Data!V461="T2",'Vehicle Data'!P$3)))</f>
        <v>13.411199999999999</v>
      </c>
      <c r="Z461">
        <f t="shared" si="373"/>
        <v>9.3726593351887306</v>
      </c>
      <c r="AB461" t="b">
        <f>IF(AA461=1,'Vehicle Data'!I$14,IF(AA461=2,'Vehicle Data'!I$15,IF(AA461=3,'Vehicle Data'!I$16)))</f>
        <v>0</v>
      </c>
      <c r="AC461">
        <f>IF(Z461&lt;'Vehicle Data'!C$16,'Vehicle Data'!I$15,IF(Z461&lt;'Vehicle Data'!C$15,'Vehicle Data'!I$15,IF(Z460&gt;'Vehicle Data'!C$15,'Vehicle Data'!I$16)))</f>
        <v>0.46202745420001456</v>
      </c>
      <c r="AD461">
        <f>IF(O461=0.6,'Vehicle Data'!F$21,IF(O461=0.9,'Vehicle Data'!F$20))</f>
        <v>3.5315999999999996</v>
      </c>
      <c r="AE461" s="100">
        <f t="shared" si="372"/>
        <v>0.46202745420001456</v>
      </c>
      <c r="AF461" s="158">
        <f t="shared" si="364"/>
        <v>0.26125709785040441</v>
      </c>
      <c r="AG461" s="148">
        <f t="shared" si="347"/>
        <v>0.46504156218907089</v>
      </c>
      <c r="AH461" s="148">
        <f t="shared" si="365"/>
        <v>151.66238245082084</v>
      </c>
      <c r="AJ461">
        <f>(Z461^2)*'Vehicle Data'!C$31</f>
        <v>32.283678057461429</v>
      </c>
      <c r="AK461">
        <f>IF(O461=0.6,'Vehicle Data'!C$6*'Vehicle Data'!D$21*9.81,IF(O461=0.9,'Vehicle Data'!C$6*9.81*'Vehicle Data'!D$20))</f>
        <v>86.131799999999998</v>
      </c>
      <c r="AL461">
        <f t="shared" si="344"/>
        <v>-236.97638325305138</v>
      </c>
      <c r="AN461">
        <f>IF(AG461&gt;0,AG461*'Vehicle Data'!C$6)</f>
        <v>204.15324580100213</v>
      </c>
      <c r="AO461">
        <f t="shared" si="348"/>
        <v>-32.823137452049252</v>
      </c>
      <c r="AP461">
        <f>AO461*'Vehicle Data'!F$3</f>
        <v>-8.3895939327437894</v>
      </c>
      <c r="AQ461">
        <f>IF(AE461='Vehicle Data'!I$15,AP461/'Vehicle Data'!G$15,IF(AE461='Vehicle Data'!I$16,AP461/'Vehicle Data'!G$16,IF(AE461='Vehicle Data'!I$14,Data!AP461/'Vehicle Data'!G472)))</f>
        <v>-1.5488255641983932</v>
      </c>
      <c r="AR461">
        <f>IF(Z461&lt;'Vehicle Data'!C$16, Z461*'Vehicle Data'!F$7*'Vehicle Data'!G$14,IF(Z461&lt;'Vehicle Data'!C$15,Z461*'Vehicle Data'!F$7*'Vehicle Data'!G$15,IF(Z461&gt;'Vehicle Data'!C$15,Z461*'Vehicle Data'!F$7*'Vehicle Data'!G$16)))</f>
        <v>81.534607077568396</v>
      </c>
      <c r="AS461">
        <f t="shared" si="366"/>
        <v>4892.0764246541039</v>
      </c>
      <c r="AT461">
        <f t="shared" si="367"/>
        <v>-2</v>
      </c>
      <c r="AU461">
        <f t="shared" si="368"/>
        <v>5000</v>
      </c>
      <c r="AW461" t="e">
        <f>VLOOKUP(AT461,BSFC!A$64:A$82,1,FALSE)</f>
        <v>#N/A</v>
      </c>
      <c r="AX461" t="e" cm="1">
        <f t="array" ref="AX461">_xlfn.XLOOKUP(AT461,BSFC!A$64:A$82,,-1,_xlfn.XLOOKUP(Data!AU461,BSFC!C$63:Q$63,BSFC!B$64:Q$82,,-1))</f>
        <v>#VALUE!</v>
      </c>
      <c r="AY461">
        <f>HLOOKUP(AU461,BSFC!F$63:Q$63,1)</f>
        <v>5000</v>
      </c>
      <c r="AZ461">
        <f>IF(AT461&gt;0,MATCH(AT461,BSFC!A$64:A$83,0),IF(AT461&lt;=0,0))</f>
        <v>0</v>
      </c>
      <c r="BA461">
        <f>MATCH(AU461,BSFC!C$63:Q$63,0)</f>
        <v>10</v>
      </c>
      <c r="BB461" t="b" cm="1">
        <f t="array" ref="BB461">IF(AZ461&gt;0,INDEX(BSFC!C$64:Q$83,Data!AZ461,Data!BA461))</f>
        <v>0</v>
      </c>
      <c r="BC461">
        <f>0.5*'Vehicle Data'!C$6*Data!Z461^2</f>
        <v>19282.36009146335</v>
      </c>
      <c r="BD461">
        <f t="shared" si="349"/>
        <v>0.91207595569832267</v>
      </c>
      <c r="BE461">
        <f t="shared" si="369"/>
        <v>0</v>
      </c>
      <c r="BF461">
        <f t="shared" si="370"/>
        <v>0</v>
      </c>
      <c r="BG461">
        <f t="shared" si="350"/>
        <v>172.57939966713172</v>
      </c>
      <c r="BH461">
        <f t="shared" si="316"/>
        <v>-790.25584360831783</v>
      </c>
      <c r="BI461" s="148">
        <f t="shared" si="351"/>
        <v>6871.6622130335309</v>
      </c>
      <c r="BO461">
        <f t="shared" si="352"/>
        <v>-203.61067713463268</v>
      </c>
      <c r="BP461">
        <f t="shared" si="353"/>
        <v>701587.50797624642</v>
      </c>
      <c r="BQ461">
        <f t="shared" si="354"/>
        <v>1068012.6880401657</v>
      </c>
      <c r="BR461" s="148">
        <f t="shared" si="355"/>
        <v>1043943.1573430073</v>
      </c>
      <c r="BS461" s="156" t="b">
        <f t="shared" si="356"/>
        <v>0</v>
      </c>
      <c r="BT461" s="156">
        <f t="shared" si="357"/>
        <v>0</v>
      </c>
      <c r="BU461">
        <f t="shared" si="358"/>
        <v>1770.4947170624112</v>
      </c>
      <c r="BV461">
        <f t="shared" si="359"/>
        <v>1770.4947170624112</v>
      </c>
      <c r="BW461" s="148">
        <f t="shared" si="360"/>
        <v>455.4</v>
      </c>
      <c r="BX461" s="148">
        <f t="shared" si="361"/>
        <v>3129354.9718154697</v>
      </c>
      <c r="BY461" s="148">
        <f t="shared" si="362"/>
        <v>0.22396758170839498</v>
      </c>
      <c r="BZ461">
        <f t="shared" si="345"/>
        <v>151.66238245082084</v>
      </c>
      <c r="CB461">
        <f t="shared" si="363"/>
        <v>1770.4947170624112</v>
      </c>
      <c r="CC461" s="162">
        <f t="shared" si="346"/>
        <v>6776.8291526999919</v>
      </c>
      <c r="CD461">
        <f t="shared" si="371"/>
        <v>-24801.471176185078</v>
      </c>
    </row>
    <row r="462" spans="4:82" x14ac:dyDescent="0.2">
      <c r="D462" s="22">
        <f t="shared" si="337"/>
        <v>-8.3869654862761614E-2</v>
      </c>
      <c r="E462" s="23">
        <v>10.785902558105166</v>
      </c>
      <c r="F462" s="23">
        <f>IF(K462&lt;6,1,IF(Data!K462&lt;9,2,IF(K462&gt;9,3)))</f>
        <v>3</v>
      </c>
      <c r="G462" s="23">
        <v>1084.8470253654571</v>
      </c>
      <c r="H462" s="23">
        <v>220.316665</v>
      </c>
      <c r="I462" s="64">
        <v>48.107139955246588</v>
      </c>
      <c r="J462" s="65">
        <f t="shared" si="338"/>
        <v>-15.760277847286066</v>
      </c>
      <c r="K462" s="65">
        <f t="shared" si="339"/>
        <v>19.242855982098636</v>
      </c>
      <c r="L462" s="65">
        <f t="shared" si="340"/>
        <v>-6.3041111389144264</v>
      </c>
      <c r="M462">
        <f t="shared" si="341"/>
        <v>21.571805116210331</v>
      </c>
      <c r="N462">
        <f t="shared" si="342"/>
        <v>-0.19999861135157104</v>
      </c>
      <c r="O462">
        <f>IF(L462&lt;'Vehicle Data'!F$21,'Vehicle Data'!C$21,IF(L462&gt;'Vehicle Data'!C$21,'Vehicle Data'!C$20))</f>
        <v>0.6</v>
      </c>
      <c r="P462">
        <f>('Vehicle Data'!C$6*9.81*'Vehicle Data'!C$5*SIN(D462))/'Vehicle Data'!C$9</f>
        <v>-55.789008401882718</v>
      </c>
      <c r="Q462" s="107">
        <f>'Vehicle Data'!C$6*9.81*SIN(D462)</f>
        <v>-360.76892099884157</v>
      </c>
      <c r="R462">
        <f t="shared" si="336"/>
        <v>1082.4234899469179</v>
      </c>
      <c r="S462">
        <f>IF(Data!O462=0.6,'Vehicle Data'!E$21,IF(Data!O462 = 0.9,'Vehicle Data'!E$20))+(P462*O462)</f>
        <v>1516.8989949588702</v>
      </c>
      <c r="T462">
        <f>IF(F462=3,'Vehicle Data'!H$16,IF(F462=2,'Vehicle Data'!H$15,IF(F462 = 1,'Vehicle Data'!G$14)))</f>
        <v>466.23005239380637</v>
      </c>
      <c r="U462" s="148">
        <f t="shared" si="343"/>
        <v>366.28500782360186</v>
      </c>
      <c r="V462" s="70" t="s">
        <v>77</v>
      </c>
      <c r="W462" s="99" t="s">
        <v>84</v>
      </c>
      <c r="X462">
        <f>IF(V462="S",'Vehicle Data'!C$14,IF(Data!V462 = "T1",'Vehicle Data'!P$2,IF(Data!V462="T2",'Vehicle Data'!P$3)))</f>
        <v>13.411199999999999</v>
      </c>
      <c r="Z462">
        <f t="shared" si="373"/>
        <v>9.4924573910618264</v>
      </c>
      <c r="AB462" t="b">
        <f>IF(AA462=1,'Vehicle Data'!I$14,IF(AA462=2,'Vehicle Data'!I$15,IF(AA462=3,'Vehicle Data'!I$16)))</f>
        <v>0</v>
      </c>
      <c r="AC462">
        <f>IF(Z462&lt;'Vehicle Data'!C$16,'Vehicle Data'!I$15,IF(Z462&lt;'Vehicle Data'!C$15,'Vehicle Data'!I$15,IF(Z461&gt;'Vehicle Data'!C$15,'Vehicle Data'!I$16)))</f>
        <v>0.46202745420001456</v>
      </c>
      <c r="AD462">
        <f>IF(O462=0.6,'Vehicle Data'!F$21,IF(O462=0.9,'Vehicle Data'!F$20))</f>
        <v>3.5315999999999996</v>
      </c>
      <c r="AE462" s="100">
        <f t="shared" si="372"/>
        <v>0.46202745420001456</v>
      </c>
      <c r="AF462" s="158">
        <f t="shared" si="364"/>
        <v>0.25765159319157177</v>
      </c>
      <c r="AG462" s="148">
        <f t="shared" si="347"/>
        <v>0.46496144032776188</v>
      </c>
      <c r="AH462" s="148">
        <f t="shared" si="365"/>
        <v>151.92003404401243</v>
      </c>
      <c r="AJ462">
        <f>(Z462^2)*'Vehicle Data'!C$31</f>
        <v>33.114229640513187</v>
      </c>
      <c r="AK462">
        <f>IF(O462=0.6,'Vehicle Data'!C$6*'Vehicle Data'!D$21*9.81,IF(O462=0.9,'Vehicle Data'!C$6*9.81*'Vehicle Data'!D$20))</f>
        <v>86.131799999999998</v>
      </c>
      <c r="AL462">
        <f t="shared" si="344"/>
        <v>-241.52289135832837</v>
      </c>
      <c r="AN462">
        <f>IF(AG462&gt;0,AG462*'Vehicle Data'!C$6)</f>
        <v>204.11807230388746</v>
      </c>
      <c r="AO462">
        <f t="shared" si="348"/>
        <v>-37.404819054440907</v>
      </c>
      <c r="AP462">
        <f>AO462*'Vehicle Data'!F$3</f>
        <v>-9.5606717503150946</v>
      </c>
      <c r="AQ462">
        <f>IF(AE462='Vehicle Data'!I$15,AP462/'Vehicle Data'!G$15,IF(AE462='Vehicle Data'!I$16,AP462/'Vehicle Data'!G$16,IF(AE462='Vehicle Data'!I$14,Data!AP462/'Vehicle Data'!G473)))</f>
        <v>-1.7650213987120316</v>
      </c>
      <c r="AR462">
        <f>IF(Z462&lt;'Vehicle Data'!C$16, Z462*'Vehicle Data'!F$7*'Vehicle Data'!G$14,IF(Z462&lt;'Vehicle Data'!C$15,Z462*'Vehicle Data'!F$7*'Vehicle Data'!G$15,IF(Z462&gt;'Vehicle Data'!C$15,Z462*'Vehicle Data'!F$7*'Vehicle Data'!G$16)))</f>
        <v>82.576753928846529</v>
      </c>
      <c r="AS462">
        <f t="shared" si="366"/>
        <v>4954.6052357307917</v>
      </c>
      <c r="AT462">
        <f t="shared" si="367"/>
        <v>-2</v>
      </c>
      <c r="AU462">
        <f t="shared" si="368"/>
        <v>5000</v>
      </c>
      <c r="AW462" t="e">
        <f>VLOOKUP(AT462,BSFC!A$64:A$82,1,FALSE)</f>
        <v>#N/A</v>
      </c>
      <c r="AX462" t="e" cm="1">
        <f t="array" ref="AX462">_xlfn.XLOOKUP(AT462,BSFC!A$64:A$82,,-1,_xlfn.XLOOKUP(Data!AU462,BSFC!C$63:Q$63,BSFC!B$64:Q$82,,-1))</f>
        <v>#VALUE!</v>
      </c>
      <c r="AY462">
        <f>HLOOKUP(AU462,BSFC!F$63:Q$63,1)</f>
        <v>5000</v>
      </c>
      <c r="AZ462">
        <f>IF(AT462&gt;0,MATCH(AT462,BSFC!A$64:A$83,0),IF(AT462&lt;=0,0))</f>
        <v>0</v>
      </c>
      <c r="BA462">
        <f>MATCH(AU462,BSFC!C$63:Q$63,0)</f>
        <v>10</v>
      </c>
      <c r="BB462" t="b" cm="1">
        <f t="array" ref="BB462">IF(AZ462&gt;0,INDEX(BSFC!C$64:Q$83,Data!AZ462,Data!BA462))</f>
        <v>0</v>
      </c>
      <c r="BC462">
        <f>0.5*'Vehicle Data'!C$6*Data!Z462^2</f>
        <v>19778.431036986785</v>
      </c>
      <c r="BD462">
        <f t="shared" si="349"/>
        <v>1.0576097977591015</v>
      </c>
      <c r="BE462">
        <f t="shared" si="369"/>
        <v>0</v>
      </c>
      <c r="BF462">
        <f t="shared" si="370"/>
        <v>0</v>
      </c>
      <c r="BG462">
        <f t="shared" si="350"/>
        <v>172.57939966713172</v>
      </c>
      <c r="BH462">
        <f t="shared" si="316"/>
        <v>-912.07595569832267</v>
      </c>
      <c r="BI462" s="148">
        <f t="shared" si="351"/>
        <v>6871.6622130335309</v>
      </c>
      <c r="BO462">
        <f t="shared" si="352"/>
        <v>-230.02275443293379</v>
      </c>
      <c r="BP462">
        <f t="shared" si="353"/>
        <v>701357.48522181343</v>
      </c>
      <c r="BQ462">
        <f t="shared" si="354"/>
        <v>1068012.6880401657</v>
      </c>
      <c r="BR462" s="148">
        <f t="shared" si="355"/>
        <v>1045676.169445672</v>
      </c>
      <c r="BS462" s="156" t="b">
        <f t="shared" si="356"/>
        <v>0</v>
      </c>
      <c r="BT462" s="156">
        <f t="shared" si="357"/>
        <v>0</v>
      </c>
      <c r="BU462">
        <f t="shared" si="358"/>
        <v>1733.0121026647178</v>
      </c>
      <c r="BV462">
        <f t="shared" si="359"/>
        <v>1733.0121026647178</v>
      </c>
      <c r="BW462" s="148">
        <f t="shared" si="360"/>
        <v>455.4</v>
      </c>
      <c r="BX462" s="148">
        <f t="shared" si="361"/>
        <v>3129354.9718154697</v>
      </c>
      <c r="BY462" s="148">
        <f t="shared" si="362"/>
        <v>0.21922603098708676</v>
      </c>
      <c r="BZ462">
        <f t="shared" si="345"/>
        <v>151.92003404401243</v>
      </c>
      <c r="CB462">
        <f t="shared" si="363"/>
        <v>1733.0121026647178</v>
      </c>
      <c r="CC462" s="162">
        <f t="shared" si="346"/>
        <v>6726.1843064797231</v>
      </c>
      <c r="CD462">
        <f t="shared" si="371"/>
        <v>-23068.45907352036</v>
      </c>
    </row>
    <row r="463" spans="4:82" x14ac:dyDescent="0.2">
      <c r="D463" s="22">
        <f t="shared" si="337"/>
        <v>-8.5318931516472213E-2</v>
      </c>
      <c r="E463" s="23">
        <v>10.585903946753595</v>
      </c>
      <c r="F463" s="23">
        <f>IF(K463&lt;6,1,IF(Data!K463&lt;9,2,IF(K463&gt;9,3)))</f>
        <v>3</v>
      </c>
      <c r="G463" s="23">
        <v>1087.2344594528388</v>
      </c>
      <c r="H463" s="23">
        <v>220.36666499999998</v>
      </c>
      <c r="I463" s="64">
        <v>47.319126062882553</v>
      </c>
      <c r="J463" s="65">
        <f t="shared" si="338"/>
        <v>-16.794786704773532</v>
      </c>
      <c r="K463" s="65">
        <f t="shared" si="339"/>
        <v>18.927650425153022</v>
      </c>
      <c r="L463" s="65">
        <f t="shared" si="340"/>
        <v>-6.7179146819094271</v>
      </c>
      <c r="M463">
        <f t="shared" si="341"/>
        <v>21.171807893507189</v>
      </c>
      <c r="N463">
        <f t="shared" si="342"/>
        <v>-0.20000286222948205</v>
      </c>
      <c r="O463">
        <f>IF(L463&lt;'Vehicle Data'!F$21,'Vehicle Data'!C$21,IF(L463&gt;'Vehicle Data'!C$21,'Vehicle Data'!C$20))</f>
        <v>0.6</v>
      </c>
      <c r="P463">
        <f>('Vehicle Data'!C$6*9.81*'Vehicle Data'!C$5*SIN(D463))/'Vehicle Data'!C$9</f>
        <v>-56.750728087594425</v>
      </c>
      <c r="Q463" s="107">
        <f>'Vehicle Data'!C$6*9.81*SIN(D463)</f>
        <v>-366.98804163311064</v>
      </c>
      <c r="R463">
        <f t="shared" si="336"/>
        <v>1084.8470253654571</v>
      </c>
      <c r="S463">
        <f>IF(Data!O463=0.6,'Vehicle Data'!E$21,IF(Data!O463 = 0.9,'Vehicle Data'!E$20))+(P463*O463)</f>
        <v>1516.3219631474431</v>
      </c>
      <c r="T463">
        <f>IF(F463=3,'Vehicle Data'!H$16,IF(F463=2,'Vehicle Data'!H$15,IF(F463 = 1,'Vehicle Data'!G$14)))</f>
        <v>466.23005239380637</v>
      </c>
      <c r="U463" s="148">
        <f t="shared" si="343"/>
        <v>368.70854324214099</v>
      </c>
      <c r="V463" s="70" t="s">
        <v>77</v>
      </c>
      <c r="W463" s="99" t="s">
        <v>84</v>
      </c>
      <c r="X463">
        <f>IF(V463="S",'Vehicle Data'!C$14,IF(Data!V463 = "T1",'Vehicle Data'!P$2,IF(Data!V463="T2",'Vehicle Data'!P$3)))</f>
        <v>13.411199999999999</v>
      </c>
      <c r="Z463">
        <f t="shared" si="373"/>
        <v>9.6096944342838864</v>
      </c>
      <c r="AB463" t="b">
        <f>IF(AA463=1,'Vehicle Data'!I$14,IF(AA463=2,'Vehicle Data'!I$15,IF(AA463=3,'Vehicle Data'!I$16)))</f>
        <v>0</v>
      </c>
      <c r="AC463">
        <f>IF(Z463&lt;'Vehicle Data'!C$16,'Vehicle Data'!I$15,IF(Z463&lt;'Vehicle Data'!C$15,'Vehicle Data'!I$15,IF(Z462&gt;'Vehicle Data'!C$15,'Vehicle Data'!I$16)))</f>
        <v>0.46202745420001456</v>
      </c>
      <c r="AD463">
        <f>IF(O463=0.6,'Vehicle Data'!F$21,IF(O463=0.9,'Vehicle Data'!F$20))</f>
        <v>3.5315999999999996</v>
      </c>
      <c r="AE463" s="100">
        <f t="shared" si="372"/>
        <v>0.46202745420001456</v>
      </c>
      <c r="AF463" s="158">
        <f t="shared" si="364"/>
        <v>0.25219692833237661</v>
      </c>
      <c r="AG463" s="148">
        <f t="shared" si="347"/>
        <v>0.46486308932181103</v>
      </c>
      <c r="AH463" s="148">
        <f t="shared" si="365"/>
        <v>152.17223097234481</v>
      </c>
      <c r="AJ463">
        <f>(Z463^2)*'Vehicle Data'!C$31</f>
        <v>33.937238466712728</v>
      </c>
      <c r="AK463">
        <f>IF(O463=0.6,'Vehicle Data'!C$6*'Vehicle Data'!D$21*9.81,IF(O463=0.9,'Vehicle Data'!C$6*9.81*'Vehicle Data'!D$20))</f>
        <v>86.131799999999998</v>
      </c>
      <c r="AL463">
        <f t="shared" si="344"/>
        <v>-246.91900316639791</v>
      </c>
      <c r="AN463">
        <f>IF(AG463&gt;0,AG463*'Vehicle Data'!C$6)</f>
        <v>204.07489621227504</v>
      </c>
      <c r="AO463">
        <f t="shared" si="348"/>
        <v>-42.844106954122879</v>
      </c>
      <c r="AP463">
        <f>AO463*'Vehicle Data'!F$3</f>
        <v>-10.950953737473807</v>
      </c>
      <c r="AQ463">
        <f>IF(AE463='Vehicle Data'!I$15,AP463/'Vehicle Data'!G$15,IF(AE463='Vehicle Data'!I$16,AP463/'Vehicle Data'!G$16,IF(AE463='Vehicle Data'!I$14,Data!AP463/'Vehicle Data'!G474)))</f>
        <v>-2.0216851062070762</v>
      </c>
      <c r="AR463">
        <f>IF(Z463&lt;'Vehicle Data'!C$16, Z463*'Vehicle Data'!F$7*'Vehicle Data'!G$14,IF(Z463&lt;'Vehicle Data'!C$15,Z463*'Vehicle Data'!F$7*'Vehicle Data'!G$15,IF(Z463&gt;'Vehicle Data'!C$15,Z463*'Vehicle Data'!F$7*'Vehicle Data'!G$16)))</f>
        <v>83.596622027344324</v>
      </c>
      <c r="AS463">
        <f t="shared" si="366"/>
        <v>5015.797321640659</v>
      </c>
      <c r="AT463">
        <f t="shared" si="367"/>
        <v>-2</v>
      </c>
      <c r="AU463">
        <f t="shared" si="368"/>
        <v>5000</v>
      </c>
      <c r="AW463" t="e">
        <f>VLOOKUP(AT463,BSFC!A$64:A$82,1,FALSE)</f>
        <v>#N/A</v>
      </c>
      <c r="AX463" t="e" cm="1">
        <f t="array" ref="AX463">_xlfn.XLOOKUP(AT463,BSFC!A$64:A$82,,-1,_xlfn.XLOOKUP(Data!AU463,BSFC!C$63:Q$63,BSFC!B$64:Q$82,,-1))</f>
        <v>#VALUE!</v>
      </c>
      <c r="AY463">
        <f>HLOOKUP(AU463,BSFC!F$63:Q$63,1)</f>
        <v>5000</v>
      </c>
      <c r="AZ463">
        <f>IF(AT463&gt;0,MATCH(AT463,BSFC!A$64:A$83,0),IF(AT463&lt;=0,0))</f>
        <v>0</v>
      </c>
      <c r="BA463">
        <f>MATCH(AU463,BSFC!C$63:Q$63,0)</f>
        <v>10</v>
      </c>
      <c r="BB463" t="b" cm="1">
        <f t="array" ref="BB463">IF(AZ463&gt;0,INDEX(BSFC!C$64:Q$83,Data!AZ463,Data!BA463))</f>
        <v>0</v>
      </c>
      <c r="BC463">
        <f>0.5*'Vehicle Data'!C$6*Data!Z463^2</f>
        <v>20269.996852907323</v>
      </c>
      <c r="BD463">
        <f t="shared" si="349"/>
        <v>5.8811097829197037</v>
      </c>
      <c r="BE463">
        <f t="shared" si="369"/>
        <v>0</v>
      </c>
      <c r="BF463">
        <f t="shared" si="370"/>
        <v>0</v>
      </c>
      <c r="BG463">
        <f t="shared" si="350"/>
        <v>172.57939966713172</v>
      </c>
      <c r="BH463">
        <f t="shared" si="316"/>
        <v>-1057.6097977591014</v>
      </c>
      <c r="BI463" s="148">
        <f t="shared" si="351"/>
        <v>6871.6622130335309</v>
      </c>
      <c r="BO463">
        <f t="shared" si="352"/>
        <v>-259.66935453260714</v>
      </c>
      <c r="BP463">
        <f t="shared" si="353"/>
        <v>701097.81586728082</v>
      </c>
      <c r="BQ463">
        <f t="shared" si="354"/>
        <v>1068012.6880401657</v>
      </c>
      <c r="BR463" s="148">
        <f t="shared" si="355"/>
        <v>1047363.3324193937</v>
      </c>
      <c r="BS463" s="156" t="b">
        <f t="shared" si="356"/>
        <v>0</v>
      </c>
      <c r="BT463" s="156">
        <f t="shared" si="357"/>
        <v>0</v>
      </c>
      <c r="BU463">
        <f t="shared" si="358"/>
        <v>1687.1629737217686</v>
      </c>
      <c r="BV463">
        <f t="shared" si="359"/>
        <v>1687.1629737217686</v>
      </c>
      <c r="BW463" s="148">
        <f t="shared" si="360"/>
        <v>455.4</v>
      </c>
      <c r="BX463" s="148">
        <f t="shared" si="361"/>
        <v>3129354.9718154697</v>
      </c>
      <c r="BY463" s="148">
        <f t="shared" si="362"/>
        <v>0.21342611617580368</v>
      </c>
      <c r="BZ463">
        <f t="shared" si="345"/>
        <v>152.17223097234481</v>
      </c>
      <c r="CB463">
        <f t="shared" si="363"/>
        <v>1687.1629737217686</v>
      </c>
      <c r="CC463" s="162">
        <f t="shared" si="346"/>
        <v>6689.8632940452917</v>
      </c>
      <c r="CD463">
        <f t="shared" si="371"/>
        <v>-21381.29609979859</v>
      </c>
    </row>
    <row r="464" spans="4:82" x14ac:dyDescent="0.2">
      <c r="D464" s="22">
        <f t="shared" si="337"/>
        <v>-0.1304860927284231</v>
      </c>
      <c r="E464" s="23">
        <v>10.385901084524113</v>
      </c>
      <c r="F464" s="23">
        <f>IF(K464&lt;6,1,IF(Data!K464&lt;9,2,IF(K464&gt;9,3)))</f>
        <v>3</v>
      </c>
      <c r="G464" s="23">
        <v>1089.5814850469587</v>
      </c>
      <c r="H464" s="23">
        <v>220.41666499999999</v>
      </c>
      <c r="I464" s="64">
        <v>46.479386727643686</v>
      </c>
      <c r="J464" s="65">
        <f t="shared" si="338"/>
        <v>-16.463528532467748</v>
      </c>
      <c r="K464" s="65">
        <f t="shared" si="339"/>
        <v>18.591754691057474</v>
      </c>
      <c r="L464" s="65">
        <f t="shared" si="340"/>
        <v>-6.5854114129871002</v>
      </c>
      <c r="M464">
        <f t="shared" si="341"/>
        <v>20.771802169048225</v>
      </c>
      <c r="N464">
        <f t="shared" si="342"/>
        <v>-0.29999713777070092</v>
      </c>
      <c r="O464">
        <f>IF(L464&lt;'Vehicle Data'!F$21,'Vehicle Data'!C$21,IF(L464&gt;'Vehicle Data'!C$21,'Vehicle Data'!C$20))</f>
        <v>0.6</v>
      </c>
      <c r="P464">
        <f>('Vehicle Data'!C$6*9.81*'Vehicle Data'!C$5*SIN(D464))/'Vehicle Data'!C$9</f>
        <v>-86.653109375224929</v>
      </c>
      <c r="Q464" s="107">
        <f>'Vehicle Data'!C$6*9.81*SIN(D464)</f>
        <v>-560.35677395978792</v>
      </c>
      <c r="R464">
        <f t="shared" si="336"/>
        <v>1087.2344594528388</v>
      </c>
      <c r="S464">
        <f>IF(Data!O464=0.6,'Vehicle Data'!E$21,IF(Data!O464 = 0.9,'Vehicle Data'!E$20))+(P464*O464)</f>
        <v>1498.3805343748647</v>
      </c>
      <c r="T464">
        <f>IF(F464=3,'Vehicle Data'!H$16,IF(F464=2,'Vehicle Data'!H$15,IF(F464 = 1,'Vehicle Data'!G$14)))</f>
        <v>466.23005239380637</v>
      </c>
      <c r="U464" s="148">
        <f t="shared" si="343"/>
        <v>371.09597732952273</v>
      </c>
      <c r="V464" s="70" t="s">
        <v>77</v>
      </c>
      <c r="W464" s="99" t="s">
        <v>84</v>
      </c>
      <c r="X464">
        <f>IF(V464="S",'Vehicle Data'!C$14,IF(Data!V464 = "T1",'Vehicle Data'!P$2,IF(Data!V464="T2",'Vehicle Data'!P$3)))</f>
        <v>13.411199999999999</v>
      </c>
      <c r="Z464">
        <f t="shared" si="373"/>
        <v>9.7238031298064307</v>
      </c>
      <c r="AB464" t="b">
        <f>IF(AA464=1,'Vehicle Data'!I$14,IF(AA464=2,'Vehicle Data'!I$15,IF(AA464=3,'Vehicle Data'!I$16)))</f>
        <v>0</v>
      </c>
      <c r="AC464">
        <f>IF(Z464&lt;'Vehicle Data'!C$16,'Vehicle Data'!I$15,IF(Z464&lt;'Vehicle Data'!C$15,'Vehicle Data'!I$15,IF(Z463&gt;'Vehicle Data'!C$15,'Vehicle Data'!I$16)))</f>
        <v>0.46202745420001456</v>
      </c>
      <c r="AD464">
        <f>IF(O464=0.6,'Vehicle Data'!F$21,IF(O464=0.9,'Vehicle Data'!F$20))</f>
        <v>3.5315999999999996</v>
      </c>
      <c r="AE464" s="100">
        <f t="shared" si="372"/>
        <v>0.46202745420001456</v>
      </c>
      <c r="AF464" s="158">
        <f t="shared" si="364"/>
        <v>0.2455247247924548</v>
      </c>
      <c r="AG464" s="148">
        <f t="shared" si="347"/>
        <v>0.46475439741965652</v>
      </c>
      <c r="AH464" s="148">
        <f t="shared" si="365"/>
        <v>152.41775569713727</v>
      </c>
      <c r="AJ464">
        <f>(Z464^2)*'Vehicle Data'!C$31</f>
        <v>34.747987635408258</v>
      </c>
      <c r="AK464">
        <f>IF(O464=0.6,'Vehicle Data'!C$6*'Vehicle Data'!D$21*9.81,IF(O464=0.9,'Vehicle Data'!C$6*9.81*'Vehicle Data'!D$20))</f>
        <v>86.131799999999998</v>
      </c>
      <c r="AL464">
        <f t="shared" si="344"/>
        <v>-439.47698632437965</v>
      </c>
      <c r="AN464">
        <f>IF(AG464&gt;0,AG464*'Vehicle Data'!C$6)</f>
        <v>204.02718046722921</v>
      </c>
      <c r="AO464">
        <f t="shared" si="348"/>
        <v>-235.44980585715044</v>
      </c>
      <c r="AP464">
        <f>AO464*'Vehicle Data'!F$3</f>
        <v>-60.180970377087654</v>
      </c>
      <c r="AQ464">
        <f>IF(AE464='Vehicle Data'!I$15,AP464/'Vehicle Data'!G$15,IF(AE464='Vehicle Data'!I$16,AP464/'Vehicle Data'!G$16,IF(AE464='Vehicle Data'!I$14,Data!AP464/'Vehicle Data'!G475)))</f>
        <v>-11.110171260436154</v>
      </c>
      <c r="AR464">
        <f>IF(Z464&lt;'Vehicle Data'!C$16, Z464*'Vehicle Data'!F$7*'Vehicle Data'!G$14,IF(Z464&lt;'Vehicle Data'!C$15,Z464*'Vehicle Data'!F$7*'Vehicle Data'!G$15,IF(Z464&gt;'Vehicle Data'!C$15,Z464*'Vehicle Data'!F$7*'Vehicle Data'!G$16)))</f>
        <v>84.589276013885183</v>
      </c>
      <c r="AS464">
        <f t="shared" si="366"/>
        <v>5075.356560833111</v>
      </c>
      <c r="AT464">
        <f t="shared" si="367"/>
        <v>-11</v>
      </c>
      <c r="AU464">
        <f t="shared" si="368"/>
        <v>5000</v>
      </c>
      <c r="AW464" t="e">
        <f>VLOOKUP(AT464,BSFC!A$64:A$82,1,FALSE)</f>
        <v>#N/A</v>
      </c>
      <c r="AX464" t="e" cm="1">
        <f t="array" ref="AX464">_xlfn.XLOOKUP(AT464,BSFC!A$64:A$82,,-1,_xlfn.XLOOKUP(Data!AU464,BSFC!C$63:Q$63,BSFC!B$64:Q$82,,-1))</f>
        <v>#VALUE!</v>
      </c>
      <c r="AY464">
        <f>HLOOKUP(AU464,BSFC!F$63:Q$63,1)</f>
        <v>5000</v>
      </c>
      <c r="AZ464">
        <f>IF(AT464&gt;0,MATCH(AT464,BSFC!A$64:A$83,0),IF(AT464&lt;=0,0))</f>
        <v>0</v>
      </c>
      <c r="BA464">
        <f>MATCH(AU464,BSFC!C$63:Q$63,0)</f>
        <v>10</v>
      </c>
      <c r="BB464" t="b" cm="1">
        <f t="array" ref="BB464">IF(AZ464&gt;0,INDEX(BSFC!C$64:Q$83,Data!AZ464,Data!BA464))</f>
        <v>0</v>
      </c>
      <c r="BC464">
        <f>0.5*'Vehicle Data'!C$6*Data!Z464^2</f>
        <v>20754.240233937715</v>
      </c>
      <c r="BD464">
        <f t="shared" si="349"/>
        <v>1.3789025558719818</v>
      </c>
      <c r="BE464">
        <f t="shared" si="369"/>
        <v>0</v>
      </c>
      <c r="BF464">
        <f t="shared" si="370"/>
        <v>0</v>
      </c>
      <c r="BG464">
        <f t="shared" si="350"/>
        <v>172.57939966713172</v>
      </c>
      <c r="BH464">
        <f t="shared" si="316"/>
        <v>-5881.1097829197033</v>
      </c>
      <c r="BI464" s="148">
        <f t="shared" si="351"/>
        <v>6871.6622130335309</v>
      </c>
      <c r="BO464">
        <f t="shared" si="352"/>
        <v>-1403.5129883657219</v>
      </c>
      <c r="BP464">
        <f t="shared" si="353"/>
        <v>699694.3028789151</v>
      </c>
      <c r="BQ464">
        <f t="shared" si="354"/>
        <v>1068012.6880401657</v>
      </c>
      <c r="BR464" s="148">
        <f t="shared" si="355"/>
        <v>1049003.2384105495</v>
      </c>
      <c r="BS464" s="156" t="b">
        <f t="shared" si="356"/>
        <v>0</v>
      </c>
      <c r="BT464" s="156">
        <f t="shared" si="357"/>
        <v>0</v>
      </c>
      <c r="BU464">
        <f t="shared" si="358"/>
        <v>1639.9059911557138</v>
      </c>
      <c r="BV464">
        <f t="shared" si="359"/>
        <v>1639.9059911557138</v>
      </c>
      <c r="BW464" s="148">
        <f t="shared" si="360"/>
        <v>455.4</v>
      </c>
      <c r="BX464" s="148">
        <f t="shared" si="361"/>
        <v>3129354.9718154697</v>
      </c>
      <c r="BY464" s="148">
        <f t="shared" si="362"/>
        <v>0.20744810788119775</v>
      </c>
      <c r="BZ464">
        <f t="shared" si="345"/>
        <v>152.41775569713727</v>
      </c>
      <c r="CB464">
        <f t="shared" si="363"/>
        <v>1639.9059911557138</v>
      </c>
      <c r="CC464" s="162">
        <f t="shared" si="346"/>
        <v>6679.1887967369084</v>
      </c>
      <c r="CD464">
        <f t="shared" si="371"/>
        <v>-19741.390108642878</v>
      </c>
    </row>
    <row r="465" spans="4:82" x14ac:dyDescent="0.2">
      <c r="D465" s="22">
        <f t="shared" si="337"/>
        <v>-8.8407397001256313E-2</v>
      </c>
      <c r="E465" s="23">
        <v>10.085903946753412</v>
      </c>
      <c r="F465" s="23">
        <f>IF(K465&lt;6,1,IF(Data!K465&lt;9,2,IF(K465&gt;9,3)))</f>
        <v>3</v>
      </c>
      <c r="G465" s="23">
        <v>1091.8870959248682</v>
      </c>
      <c r="H465" s="23">
        <v>220.46666499999998</v>
      </c>
      <c r="I465" s="64">
        <v>45.656210301020579</v>
      </c>
      <c r="J465" s="65">
        <f t="shared" si="338"/>
        <v>-16.108133213553121</v>
      </c>
      <c r="K465" s="65">
        <f t="shared" si="339"/>
        <v>18.262484120408232</v>
      </c>
      <c r="L465" s="65">
        <f t="shared" si="340"/>
        <v>-6.443253285421263</v>
      </c>
      <c r="M465">
        <f t="shared" si="341"/>
        <v>20.171807893506823</v>
      </c>
      <c r="N465">
        <f t="shared" si="342"/>
        <v>-0.20000286222929908</v>
      </c>
      <c r="O465">
        <f>IF(L465&lt;'Vehicle Data'!F$21,'Vehicle Data'!C$21,IF(L465&gt;'Vehicle Data'!C$21,'Vehicle Data'!C$20))</f>
        <v>0.6</v>
      </c>
      <c r="P465">
        <f>('Vehicle Data'!C$6*9.81*'Vehicle Data'!C$5*SIN(D465))/'Vehicle Data'!C$9</f>
        <v>-58.799790308189436</v>
      </c>
      <c r="Q465" s="107">
        <f>'Vehicle Data'!C$6*9.81*SIN(D465)</f>
        <v>-380.23864399295837</v>
      </c>
      <c r="R465">
        <f t="shared" si="336"/>
        <v>1089.5814850469587</v>
      </c>
      <c r="S465">
        <f>IF(Data!O465=0.6,'Vehicle Data'!E$21,IF(Data!O465 = 0.9,'Vehicle Data'!E$20))+(P465*O465)</f>
        <v>1515.092525815086</v>
      </c>
      <c r="T465">
        <f>IF(F465=3,'Vehicle Data'!H$16,IF(F465=2,'Vehicle Data'!H$15,IF(F465 = 1,'Vehicle Data'!G$14)))</f>
        <v>466.23005239380637</v>
      </c>
      <c r="U465" s="148">
        <f t="shared" si="343"/>
        <v>373.44300292364267</v>
      </c>
      <c r="V465" s="70" t="s">
        <v>77</v>
      </c>
      <c r="W465" s="99" t="s">
        <v>84</v>
      </c>
      <c r="X465">
        <f>IF(V465="S",'Vehicle Data'!C$14,IF(Data!V465 = "T1",'Vehicle Data'!P$2,IF(Data!V465="T2",'Vehicle Data'!P$3)))</f>
        <v>13.411199999999999</v>
      </c>
      <c r="Z465">
        <f t="shared" si="373"/>
        <v>9.8346900219386875</v>
      </c>
      <c r="AB465" t="b">
        <f>IF(AA465=1,'Vehicle Data'!I$14,IF(AA465=2,'Vehicle Data'!I$15,IF(AA465=3,'Vehicle Data'!I$16)))</f>
        <v>0</v>
      </c>
      <c r="AC465">
        <f>IF(Z465&lt;'Vehicle Data'!C$16,'Vehicle Data'!I$15,IF(Z465&lt;'Vehicle Data'!C$15,'Vehicle Data'!I$15,IF(Z464&gt;'Vehicle Data'!C$15,'Vehicle Data'!I$16)))</f>
        <v>0.46202745420001456</v>
      </c>
      <c r="AD465">
        <f>IF(O465=0.6,'Vehicle Data'!F$21,IF(O465=0.9,'Vehicle Data'!F$20))</f>
        <v>3.5315999999999996</v>
      </c>
      <c r="AE465" s="100">
        <f t="shared" si="372"/>
        <v>0.46202745420001456</v>
      </c>
      <c r="AF465" s="158">
        <f t="shared" si="364"/>
        <v>0.23864764307612391</v>
      </c>
      <c r="AG465" s="148">
        <f t="shared" si="347"/>
        <v>0.46464691921087209</v>
      </c>
      <c r="AH465" s="148">
        <f t="shared" si="365"/>
        <v>152.65640334021339</v>
      </c>
      <c r="AJ465">
        <f>(Z465^2)*'Vehicle Data'!C$31</f>
        <v>35.545014476650501</v>
      </c>
      <c r="AK465">
        <f>IF(O465=0.6,'Vehicle Data'!C$6*'Vehicle Data'!D$21*9.81,IF(O465=0.9,'Vehicle Data'!C$6*9.81*'Vehicle Data'!D$20))</f>
        <v>86.131799999999998</v>
      </c>
      <c r="AL465">
        <f t="shared" si="344"/>
        <v>-258.56182951630785</v>
      </c>
      <c r="AN465">
        <f>IF(AG465&gt;0,AG465*'Vehicle Data'!C$6)</f>
        <v>203.97999753357286</v>
      </c>
      <c r="AO465">
        <f t="shared" si="348"/>
        <v>-54.581831982734997</v>
      </c>
      <c r="AP465">
        <f>AO465*'Vehicle Data'!F$3</f>
        <v>-13.951116254787065</v>
      </c>
      <c r="AQ465">
        <f>IF(AE465='Vehicle Data'!I$15,AP465/'Vehicle Data'!G$15,IF(AE465='Vehicle Data'!I$16,AP465/'Vehicle Data'!G$16,IF(AE465='Vehicle Data'!I$14,Data!AP465/'Vehicle Data'!G476)))</f>
        <v>-2.5755532005171999</v>
      </c>
      <c r="AR465">
        <f>IF(Z465&lt;'Vehicle Data'!C$16, Z465*'Vehicle Data'!F$7*'Vehicle Data'!G$14,IF(Z465&lt;'Vehicle Data'!C$15,Z465*'Vehicle Data'!F$7*'Vehicle Data'!G$15,IF(Z465&gt;'Vehicle Data'!C$15,Z465*'Vehicle Data'!F$7*'Vehicle Data'!G$16)))</f>
        <v>85.553902899033176</v>
      </c>
      <c r="AS465">
        <f t="shared" si="366"/>
        <v>5133.2341739419908</v>
      </c>
      <c r="AT465">
        <f t="shared" si="367"/>
        <v>-3</v>
      </c>
      <c r="AU465">
        <f t="shared" si="368"/>
        <v>5000</v>
      </c>
      <c r="AW465" t="e">
        <f>VLOOKUP(AT465,BSFC!A$64:A$82,1,FALSE)</f>
        <v>#N/A</v>
      </c>
      <c r="AX465" t="e" cm="1">
        <f t="array" ref="AX465">_xlfn.XLOOKUP(AT465,BSFC!A$64:A$82,,-1,_xlfn.XLOOKUP(Data!AU465,BSFC!C$63:Q$63,BSFC!B$64:Q$82,,-1))</f>
        <v>#VALUE!</v>
      </c>
      <c r="AY465">
        <f>HLOOKUP(AU465,BSFC!F$63:Q$63,1)</f>
        <v>5000</v>
      </c>
      <c r="AZ465">
        <f>IF(AT465&gt;0,MATCH(AT465,BSFC!A$64:A$83,0),IF(AT465&lt;=0,0))</f>
        <v>0</v>
      </c>
      <c r="BA465">
        <f>MATCH(AU465,BSFC!C$63:Q$63,0)</f>
        <v>10</v>
      </c>
      <c r="BB465" t="b" cm="1">
        <f t="array" ref="BB465">IF(AZ465&gt;0,INDEX(BSFC!C$64:Q$83,Data!AZ465,Data!BA465))</f>
        <v>0</v>
      </c>
      <c r="BC465">
        <f>0.5*'Vehicle Data'!C$6*Data!Z465^2</f>
        <v>21230.287558162672</v>
      </c>
      <c r="BD465">
        <f t="shared" si="349"/>
        <v>6.4979271417635163</v>
      </c>
      <c r="BE465">
        <f t="shared" si="369"/>
        <v>0</v>
      </c>
      <c r="BF465">
        <f t="shared" si="370"/>
        <v>0</v>
      </c>
      <c r="BG465">
        <f t="shared" si="350"/>
        <v>172.57939966713172</v>
      </c>
      <c r="BH465">
        <f t="shared" si="316"/>
        <v>-1378.9025558719818</v>
      </c>
      <c r="BI465" s="148">
        <f t="shared" si="351"/>
        <v>6871.6622130335309</v>
      </c>
      <c r="BO465">
        <f t="shared" si="352"/>
        <v>-319.76258937567638</v>
      </c>
      <c r="BP465">
        <f t="shared" si="353"/>
        <v>699374.54028953938</v>
      </c>
      <c r="BQ465">
        <f t="shared" si="354"/>
        <v>1068012.6880401657</v>
      </c>
      <c r="BR465" s="148">
        <f t="shared" si="355"/>
        <v>1050596.7523925183</v>
      </c>
      <c r="BS465" s="156" t="b">
        <f t="shared" si="356"/>
        <v>0</v>
      </c>
      <c r="BT465" s="156">
        <f t="shared" si="357"/>
        <v>0</v>
      </c>
      <c r="BU465">
        <f t="shared" si="358"/>
        <v>1593.5139819688545</v>
      </c>
      <c r="BV465">
        <f t="shared" si="359"/>
        <v>1593.5139819688545</v>
      </c>
      <c r="BW465" s="148">
        <f t="shared" si="360"/>
        <v>455.4</v>
      </c>
      <c r="BX465" s="148">
        <f t="shared" si="361"/>
        <v>3129354.9718154697</v>
      </c>
      <c r="BY465" s="148">
        <f t="shared" si="362"/>
        <v>0.20157951871906007</v>
      </c>
      <c r="BZ465">
        <f t="shared" si="345"/>
        <v>152.65640334021339</v>
      </c>
      <c r="CB465">
        <f t="shared" si="363"/>
        <v>1593.5139819688545</v>
      </c>
      <c r="CC465" s="162">
        <f t="shared" si="346"/>
        <v>6677.2667914452304</v>
      </c>
      <c r="CD465">
        <f t="shared" si="371"/>
        <v>-18147.876126674022</v>
      </c>
    </row>
    <row r="466" spans="4:82" x14ac:dyDescent="0.2">
      <c r="D466" s="22">
        <f t="shared" si="337"/>
        <v>-0.13527965497370459</v>
      </c>
      <c r="E466" s="23">
        <v>9.8859010845241126</v>
      </c>
      <c r="F466" s="23">
        <f>IF(K466&lt;6,1,IF(Data!K466&lt;9,2,IF(K466&gt;9,3)))</f>
        <v>3</v>
      </c>
      <c r="G466" s="23">
        <v>1094.1523320865667</v>
      </c>
      <c r="H466" s="23">
        <v>220.51666499999999</v>
      </c>
      <c r="I466" s="64">
        <v>44.85080364034274</v>
      </c>
      <c r="J466" s="65">
        <f t="shared" si="338"/>
        <v>-16.366979109841655</v>
      </c>
      <c r="K466" s="65">
        <f t="shared" si="339"/>
        <v>17.940321456137095</v>
      </c>
      <c r="L466" s="65">
        <f t="shared" si="340"/>
        <v>-6.5467916439366327</v>
      </c>
      <c r="M466">
        <f t="shared" si="341"/>
        <v>19.771802169048225</v>
      </c>
      <c r="N466">
        <f t="shared" si="342"/>
        <v>-0.29999713777051795</v>
      </c>
      <c r="O466">
        <f>IF(L466&lt;'Vehicle Data'!F$21,'Vehicle Data'!C$21,IF(L466&gt;'Vehicle Data'!C$21,'Vehicle Data'!C$20))</f>
        <v>0.6</v>
      </c>
      <c r="P466">
        <f>('Vehicle Data'!C$6*9.81*'Vehicle Data'!C$5*SIN(D466))/'Vehicle Data'!C$9</f>
        <v>-89.817319491794251</v>
      </c>
      <c r="Q466" s="107">
        <f>'Vehicle Data'!C$6*9.81*SIN(D466)</f>
        <v>-580.81866604693607</v>
      </c>
      <c r="R466">
        <f t="shared" si="336"/>
        <v>1091.8870959248682</v>
      </c>
      <c r="S466">
        <f>IF(Data!O466=0.6,'Vehicle Data'!E$21,IF(Data!O466 = 0.9,'Vehicle Data'!E$20))+(P466*O466)</f>
        <v>1496.4820083049233</v>
      </c>
      <c r="T466">
        <f>IF(F466=3,'Vehicle Data'!H$16,IF(F466=2,'Vehicle Data'!H$15,IF(F466 = 1,'Vehicle Data'!G$14)))</f>
        <v>466.23005239380637</v>
      </c>
      <c r="U466" s="148">
        <f t="shared" si="343"/>
        <v>375.7486138015521</v>
      </c>
      <c r="V466" s="70" t="s">
        <v>77</v>
      </c>
      <c r="W466" s="99" t="s">
        <v>84</v>
      </c>
      <c r="X466">
        <f>IF(V466="S",'Vehicle Data'!C$14,IF(Data!V466 = "T1",'Vehicle Data'!P$2,IF(Data!V466="T2",'Vehicle Data'!P$3)))</f>
        <v>13.411199999999999</v>
      </c>
      <c r="Z466">
        <f t="shared" si="373"/>
        <v>9.9424161488147877</v>
      </c>
      <c r="AB466" t="b">
        <f>IF(AA466=1,'Vehicle Data'!I$14,IF(AA466=2,'Vehicle Data'!I$15,IF(AA466=3,'Vehicle Data'!I$16)))</f>
        <v>0</v>
      </c>
      <c r="AC466">
        <f>IF(Z466&lt;'Vehicle Data'!C$16,'Vehicle Data'!I$15,IF(Z466&lt;'Vehicle Data'!C$15,'Vehicle Data'!I$15,IF(Z465&gt;'Vehicle Data'!C$15,'Vehicle Data'!I$16)))</f>
        <v>0.46202745420001456</v>
      </c>
      <c r="AD466">
        <f>IF(O466=0.6,'Vehicle Data'!F$21,IF(O466=0.9,'Vehicle Data'!F$20))</f>
        <v>3.5315999999999996</v>
      </c>
      <c r="AE466" s="100">
        <f t="shared" si="372"/>
        <v>0.46202745420001456</v>
      </c>
      <c r="AF466" s="158">
        <f t="shared" si="364"/>
        <v>0.23189643678154395</v>
      </c>
      <c r="AG466" s="148">
        <f t="shared" si="347"/>
        <v>0.46454412310605164</v>
      </c>
      <c r="AH466" s="148">
        <f t="shared" si="365"/>
        <v>152.88829977699493</v>
      </c>
      <c r="AJ466">
        <f>(Z466^2)*'Vehicle Data'!C$31</f>
        <v>36.327977287008316</v>
      </c>
      <c r="AK466">
        <f>IF(O466=0.6,'Vehicle Data'!C$6*'Vehicle Data'!D$21*9.81,IF(O466=0.9,'Vehicle Data'!C$6*9.81*'Vehicle Data'!D$20))</f>
        <v>86.131799999999998</v>
      </c>
      <c r="AL466">
        <f t="shared" si="344"/>
        <v>-458.35888875992777</v>
      </c>
      <c r="AN466">
        <f>IF(AG466&gt;0,AG466*'Vehicle Data'!C$6)</f>
        <v>203.93487004355666</v>
      </c>
      <c r="AO466">
        <f t="shared" si="348"/>
        <v>-254.42401871637111</v>
      </c>
      <c r="AP466">
        <f>AO466*'Vehicle Data'!F$3</f>
        <v>-65.030779183904457</v>
      </c>
      <c r="AQ466">
        <f>IF(AE466='Vehicle Data'!I$15,AP466/'Vehicle Data'!G$15,IF(AE466='Vehicle Data'!I$16,AP466/'Vehicle Data'!G$16,IF(AE466='Vehicle Data'!I$14,Data!AP466/'Vehicle Data'!G477)))</f>
        <v>-12.005507545087031</v>
      </c>
      <c r="AR466">
        <f>IF(Z466&lt;'Vehicle Data'!C$16, Z466*'Vehicle Data'!F$7*'Vehicle Data'!G$14,IF(Z466&lt;'Vehicle Data'!C$15,Z466*'Vehicle Data'!F$7*'Vehicle Data'!G$15,IF(Z466&gt;'Vehicle Data'!C$15,Z466*'Vehicle Data'!F$7*'Vehicle Data'!G$16)))</f>
        <v>86.49103366552275</v>
      </c>
      <c r="AS466">
        <f t="shared" si="366"/>
        <v>5189.4620199313649</v>
      </c>
      <c r="AT466">
        <f t="shared" si="367"/>
        <v>-12</v>
      </c>
      <c r="AU466">
        <f t="shared" si="368"/>
        <v>5000</v>
      </c>
      <c r="AW466" t="e">
        <f>VLOOKUP(AT466,BSFC!A$64:A$82,1,FALSE)</f>
        <v>#N/A</v>
      </c>
      <c r="AX466" t="e" cm="1">
        <f t="array" ref="AX466">_xlfn.XLOOKUP(AT466,BSFC!A$64:A$82,,-1,_xlfn.XLOOKUP(Data!AU466,BSFC!C$63:Q$63,BSFC!B$64:Q$82,,-1))</f>
        <v>#VALUE!</v>
      </c>
      <c r="AY466">
        <f>HLOOKUP(AU466,BSFC!F$63:Q$63,1)</f>
        <v>5000</v>
      </c>
      <c r="AZ466">
        <f>IF(AT466&gt;0,MATCH(AT466,BSFC!A$64:A$83,0),IF(AT466&lt;=0,0))</f>
        <v>0</v>
      </c>
      <c r="BA466">
        <f>MATCH(AU466,BSFC!C$63:Q$63,0)</f>
        <v>10</v>
      </c>
      <c r="BB466" t="b" cm="1">
        <f t="array" ref="BB466">IF(AZ466&gt;0,INDEX(BSFC!C$64:Q$83,Data!AZ466,Data!BA466))</f>
        <v>0</v>
      </c>
      <c r="BC466">
        <f>0.5*'Vehicle Data'!C$6*Data!Z466^2</f>
        <v>21697.93473332877</v>
      </c>
      <c r="BD466">
        <f t="shared" si="349"/>
        <v>0</v>
      </c>
      <c r="BE466">
        <f t="shared" si="369"/>
        <v>0</v>
      </c>
      <c r="BF466">
        <f t="shared" si="370"/>
        <v>0</v>
      </c>
      <c r="BG466">
        <f t="shared" si="350"/>
        <v>172.57939966713172</v>
      </c>
      <c r="BH466">
        <f t="shared" si="316"/>
        <v>-6497.9271417635164</v>
      </c>
      <c r="BI466" s="148">
        <f t="shared" si="351"/>
        <v>6871.6622130335309</v>
      </c>
      <c r="BO466">
        <f t="shared" si="352"/>
        <v>-1465.0291239831979</v>
      </c>
      <c r="BP466">
        <f t="shared" si="353"/>
        <v>697909.51116555615</v>
      </c>
      <c r="BQ466">
        <f t="shared" si="354"/>
        <v>1068012.6880401657</v>
      </c>
      <c r="BR466" s="148">
        <f t="shared" si="355"/>
        <v>1052146.0441978334</v>
      </c>
      <c r="BS466" s="156" t="b">
        <f t="shared" si="356"/>
        <v>0</v>
      </c>
      <c r="BT466" s="156">
        <f t="shared" si="357"/>
        <v>0</v>
      </c>
      <c r="BU466">
        <f t="shared" si="358"/>
        <v>1549.2918053151263</v>
      </c>
      <c r="BV466">
        <f t="shared" si="359"/>
        <v>1549.2918053151263</v>
      </c>
      <c r="BW466" s="148">
        <f t="shared" si="360"/>
        <v>455.4</v>
      </c>
      <c r="BX466" s="148">
        <f t="shared" si="361"/>
        <v>3129354.9718154697</v>
      </c>
      <c r="BY466" s="148">
        <f t="shared" si="362"/>
        <v>0.19598541337236347</v>
      </c>
      <c r="BZ466">
        <f t="shared" si="345"/>
        <v>152.88829977699493</v>
      </c>
      <c r="CB466">
        <f t="shared" si="363"/>
        <v>1549.2918053151263</v>
      </c>
      <c r="CC466" s="162">
        <f t="shared" si="346"/>
        <v>6680.9642563617817</v>
      </c>
      <c r="CD466">
        <f t="shared" si="371"/>
        <v>-16598.584321358896</v>
      </c>
    </row>
    <row r="467" spans="4:82" x14ac:dyDescent="0.2">
      <c r="D467" s="22">
        <f t="shared" si="337"/>
        <v>-0.1378028096821646</v>
      </c>
      <c r="E467" s="23">
        <v>9.5859039467535947</v>
      </c>
      <c r="F467" s="23">
        <f>IF(K467&lt;6,1,IF(Data!K467&lt;9,2,IF(K467&gt;9,3)))</f>
        <v>3</v>
      </c>
      <c r="G467" s="23">
        <v>1096.3767176806873</v>
      </c>
      <c r="H467" s="23">
        <v>220.566665</v>
      </c>
      <c r="I467" s="64">
        <v>44.032454684850471</v>
      </c>
      <c r="J467" s="65">
        <f t="shared" si="338"/>
        <v>-15.79245069171121</v>
      </c>
      <c r="K467" s="65">
        <f t="shared" si="339"/>
        <v>17.612981873940189</v>
      </c>
      <c r="L467" s="65">
        <f t="shared" si="340"/>
        <v>-6.3169802766845127</v>
      </c>
      <c r="M467">
        <f t="shared" si="341"/>
        <v>19.171807893507189</v>
      </c>
      <c r="N467">
        <f t="shared" si="342"/>
        <v>-0.30000138864842896</v>
      </c>
      <c r="O467">
        <f>IF(L467&lt;'Vehicle Data'!F$21,'Vehicle Data'!C$21,IF(L467&gt;'Vehicle Data'!C$21,'Vehicle Data'!C$20))</f>
        <v>0.6</v>
      </c>
      <c r="P467">
        <f>('Vehicle Data'!C$6*9.81*'Vehicle Data'!C$5*SIN(D467))/'Vehicle Data'!C$9</f>
        <v>-91.482018761150869</v>
      </c>
      <c r="Q467" s="107">
        <f>'Vehicle Data'!C$6*9.81*SIN(D467)</f>
        <v>-591.58372132210889</v>
      </c>
      <c r="R467">
        <f t="shared" si="336"/>
        <v>1094.1523320865667</v>
      </c>
      <c r="S467">
        <f>IF(Data!O467=0.6,'Vehicle Data'!E$21,IF(Data!O467 = 0.9,'Vehicle Data'!E$20))+(P467*O467)</f>
        <v>1495.4831887433093</v>
      </c>
      <c r="T467">
        <f>IF(F467=3,'Vehicle Data'!H$16,IF(F467=2,'Vehicle Data'!H$15,IF(F467 = 1,'Vehicle Data'!G$14)))</f>
        <v>466.23005239380637</v>
      </c>
      <c r="U467" s="148">
        <f t="shared" si="343"/>
        <v>378.01384996325066</v>
      </c>
      <c r="V467" s="70" t="s">
        <v>77</v>
      </c>
      <c r="W467" s="99" t="s">
        <v>84</v>
      </c>
      <c r="X467">
        <f>IF(V467="S",'Vehicle Data'!C$14,IF(Data!V467 = "T1",'Vehicle Data'!P$2,IF(Data!V467="T2",'Vehicle Data'!P$3)))</f>
        <v>13.411199999999999</v>
      </c>
      <c r="Z467">
        <f t="shared" si="373"/>
        <v>10.047131006915151</v>
      </c>
      <c r="AB467" t="b">
        <f>IF(AA467=1,'Vehicle Data'!I$14,IF(AA467=2,'Vehicle Data'!I$15,IF(AA467=3,'Vehicle Data'!I$16)))</f>
        <v>0</v>
      </c>
      <c r="AC467">
        <v>1.3037776999999999</v>
      </c>
      <c r="AD467">
        <f>IF(O467=0.6,'Vehicle Data'!F$21,IF(O467=0.9,'Vehicle Data'!F$20))</f>
        <v>3.5315999999999996</v>
      </c>
      <c r="AE467" s="100">
        <f t="shared" si="372"/>
        <v>1.3037776999999999</v>
      </c>
      <c r="AF467" s="158">
        <f t="shared" si="364"/>
        <v>0.22546099579466719</v>
      </c>
      <c r="AG467" s="148">
        <f t="shared" si="347"/>
        <v>0.46444777612767218</v>
      </c>
      <c r="AH467" s="148">
        <f t="shared" si="365"/>
        <v>153.11376077278959</v>
      </c>
      <c r="AJ467">
        <f>(Z467^2)*'Vehicle Data'!C$31</f>
        <v>37.097229240267588</v>
      </c>
      <c r="AK467">
        <f>IF(O467=0.6,'Vehicle Data'!C$6*'Vehicle Data'!D$21*9.81,IF(O467=0.9,'Vehicle Data'!C$6*9.81*'Vehicle Data'!D$20))</f>
        <v>86.131799999999998</v>
      </c>
      <c r="AL467">
        <f t="shared" si="344"/>
        <v>-468.35469208184134</v>
      </c>
      <c r="AN467">
        <f>IF(AG467&gt;0,AG467*'Vehicle Data'!C$6)</f>
        <v>203.89257372004809</v>
      </c>
      <c r="AO467">
        <f t="shared" si="348"/>
        <v>-264.46211836179327</v>
      </c>
      <c r="AP467">
        <f>AO467*'Vehicle Data'!F$3</f>
        <v>-67.596517453274359</v>
      </c>
      <c r="AQ467" t="b">
        <f>IF(AE467='Vehicle Data'!I$15,AP467/'Vehicle Data'!G$15,IF(AE467='Vehicle Data'!I$16,AP467/'Vehicle Data'!G$16,IF(AE467='Vehicle Data'!I$14,Data!AP467/'Vehicle Data'!G478)))</f>
        <v>0</v>
      </c>
      <c r="AR467">
        <f>IF(Z467&lt;'Vehicle Data'!C$16, Z467*'Vehicle Data'!F$7*'Vehicle Data'!G$14,IF(Z467&lt;'Vehicle Data'!C$15,Z467*'Vehicle Data'!F$7*'Vehicle Data'!G$15,IF(Z467&gt;'Vehicle Data'!C$15,Z467*'Vehicle Data'!F$7*'Vehicle Data'!G$16)))</f>
        <v>87.401968812641755</v>
      </c>
      <c r="AS467">
        <f t="shared" si="366"/>
        <v>5244.118128758505</v>
      </c>
      <c r="AT467">
        <f t="shared" si="367"/>
        <v>0</v>
      </c>
      <c r="AU467">
        <f t="shared" si="368"/>
        <v>5000</v>
      </c>
      <c r="AW467" t="e">
        <f>VLOOKUP(AT467,BSFC!A$64:A$82,1,FALSE)</f>
        <v>#N/A</v>
      </c>
      <c r="AX467" t="e" cm="1">
        <f t="array" ref="AX467">_xlfn.XLOOKUP(AT467,BSFC!A$64:A$82,,-1,_xlfn.XLOOKUP(Data!AU467,BSFC!C$63:Q$63,BSFC!B$64:Q$82,,-1))</f>
        <v>#VALUE!</v>
      </c>
      <c r="AY467">
        <f>HLOOKUP(AU467,BSFC!F$63:Q$63,1)</f>
        <v>5000</v>
      </c>
      <c r="AZ467">
        <f>IF(AT467&gt;0,MATCH(AT467,BSFC!A$64:A$83,0),IF(AT467&lt;=0,0))</f>
        <v>0</v>
      </c>
      <c r="BA467">
        <f>MATCH(AU467,BSFC!C$63:Q$63,0)</f>
        <v>10</v>
      </c>
      <c r="BB467" t="b" cm="1">
        <f t="array" ref="BB467">IF(AZ467&gt;0,INDEX(BSFC!C$64:Q$83,Data!AZ467,Data!BA467))</f>
        <v>0</v>
      </c>
      <c r="BC467">
        <f>0.5*'Vehicle Data'!C$6*Data!Z467^2</f>
        <v>22157.392702690431</v>
      </c>
      <c r="BD467">
        <f t="shared" si="349"/>
        <v>3.5864720281922668</v>
      </c>
      <c r="BE467">
        <f t="shared" si="369"/>
        <v>0</v>
      </c>
      <c r="BF467">
        <f t="shared" si="370"/>
        <v>0</v>
      </c>
      <c r="BG467">
        <f t="shared" si="350"/>
        <v>172.57939966713172</v>
      </c>
      <c r="BH467">
        <f t="shared" si="316"/>
        <v>0</v>
      </c>
      <c r="BI467" s="148">
        <f t="shared" si="351"/>
        <v>6871.6622130335309</v>
      </c>
      <c r="BO467">
        <f t="shared" si="352"/>
        <v>0</v>
      </c>
      <c r="BP467">
        <f t="shared" si="353"/>
        <v>697909.51116555615</v>
      </c>
      <c r="BQ467">
        <f t="shared" si="354"/>
        <v>1068012.6880401657</v>
      </c>
      <c r="BR467" s="148">
        <f t="shared" si="355"/>
        <v>1053625.4864028541</v>
      </c>
      <c r="BS467" s="156" t="b">
        <f t="shared" si="356"/>
        <v>0</v>
      </c>
      <c r="BT467" s="156">
        <f t="shared" si="357"/>
        <v>0</v>
      </c>
      <c r="BU467">
        <f t="shared" si="358"/>
        <v>1479.4422050206522</v>
      </c>
      <c r="BV467">
        <f t="shared" si="359"/>
        <v>1479.4422050206522</v>
      </c>
      <c r="BW467" s="148">
        <f t="shared" si="360"/>
        <v>455.4</v>
      </c>
      <c r="BX467" s="148">
        <f t="shared" si="361"/>
        <v>3129354.9718154697</v>
      </c>
      <c r="BY467" s="148">
        <f t="shared" si="362"/>
        <v>0.18714943893511249</v>
      </c>
      <c r="BZ467">
        <f t="shared" si="345"/>
        <v>153.11376077278959</v>
      </c>
      <c r="CB467">
        <f t="shared" si="363"/>
        <v>1479.4422050206522</v>
      </c>
      <c r="CC467" s="162">
        <f t="shared" si="346"/>
        <v>6561.8543012559276</v>
      </c>
      <c r="CD467">
        <f t="shared" si="371"/>
        <v>-15119.142116338244</v>
      </c>
    </row>
    <row r="468" spans="4:82" x14ac:dyDescent="0.2">
      <c r="D468" s="22">
        <f t="shared" si="337"/>
        <v>-0.13288009181467</v>
      </c>
      <c r="E468" s="23">
        <v>9.2859025581051657</v>
      </c>
      <c r="F468" s="23">
        <f>IF(K468&lt;6,1,IF(Data!K468&lt;9,2,IF(K468&gt;9,3)))</f>
        <v>3</v>
      </c>
      <c r="G468" s="23">
        <v>1098.5606570518587</v>
      </c>
      <c r="H468" s="23">
        <v>220.61666499999998</v>
      </c>
      <c r="I468" s="64">
        <v>43.24283215026518</v>
      </c>
      <c r="J468" s="65">
        <f t="shared" si="338"/>
        <v>-15.168623118003911</v>
      </c>
      <c r="K468" s="65">
        <f t="shared" si="339"/>
        <v>17.297132860106071</v>
      </c>
      <c r="L468" s="65">
        <f t="shared" si="340"/>
        <v>-6.0674492472015791</v>
      </c>
      <c r="M468">
        <f t="shared" si="341"/>
        <v>18.571805116210331</v>
      </c>
      <c r="N468">
        <f t="shared" si="342"/>
        <v>-0.28420095810516699</v>
      </c>
      <c r="O468">
        <f>IF(L468&lt;'Vehicle Data'!F$21,'Vehicle Data'!C$21,IF(L468&gt;'Vehicle Data'!C$21,'Vehicle Data'!C$20))</f>
        <v>0.6</v>
      </c>
      <c r="P468">
        <f>('Vehicle Data'!C$6*9.81*'Vehicle Data'!C$5*SIN(D468))/'Vehicle Data'!C$9</f>
        <v>-88.233631457817623</v>
      </c>
      <c r="Q468" s="107">
        <f>'Vehicle Data'!C$6*9.81*SIN(D468)</f>
        <v>-570.57748342722061</v>
      </c>
      <c r="R468">
        <f t="shared" si="336"/>
        <v>1096.3767176806873</v>
      </c>
      <c r="S468">
        <f>IF(Data!O468=0.6,'Vehicle Data'!E$21,IF(Data!O468 = 0.9,'Vehicle Data'!E$20))+(P468*O468)</f>
        <v>1497.4322211253091</v>
      </c>
      <c r="T468">
        <f>IF(F468=3,'Vehicle Data'!H$16,IF(F468=2,'Vehicle Data'!H$15,IF(F468 = 1,'Vehicle Data'!G$14)))</f>
        <v>466.23005239380637</v>
      </c>
      <c r="U468" s="148">
        <f t="shared" si="343"/>
        <v>380.23823555737124</v>
      </c>
      <c r="V468" s="70" t="s">
        <v>77</v>
      </c>
      <c r="W468" s="99" t="s">
        <v>84</v>
      </c>
      <c r="X468">
        <f>IF(V468="S",'Vehicle Data'!C$14,IF(Data!V468 = "T1",'Vehicle Data'!P$2,IF(Data!V468="T2",'Vehicle Data'!P$3)))</f>
        <v>13.411199999999999</v>
      </c>
      <c r="Z468">
        <f t="shared" si="373"/>
        <v>10.331749616485446</v>
      </c>
      <c r="AB468" t="b">
        <f>IF(AA468=1,'Vehicle Data'!I$14,IF(AA468=2,'Vehicle Data'!I$15,IF(AA468=3,'Vehicle Data'!I$16)))</f>
        <v>0</v>
      </c>
      <c r="AC468">
        <f>IF(Z468&lt;'Vehicle Data'!C$16,'Vehicle Data'!I$15,IF(Z468&lt;'Vehicle Data'!C$15,'Vehicle Data'!I$15,IF(Z467&gt;'Vehicle Data'!C$15,'Vehicle Data'!I$16)))</f>
        <v>0.46202745420001456</v>
      </c>
      <c r="AD468">
        <f>IF(O468=0.6,'Vehicle Data'!F$21,IF(O468=0.9,'Vehicle Data'!F$20))</f>
        <v>3.5315999999999996</v>
      </c>
      <c r="AE468" s="100">
        <f t="shared" si="372"/>
        <v>0.46202745420001456</v>
      </c>
      <c r="AF468" s="158">
        <f t="shared" si="364"/>
        <v>0.21529611892368394</v>
      </c>
      <c r="AG468" s="148">
        <f t="shared" si="347"/>
        <v>1.3219867176109363</v>
      </c>
      <c r="AH468" s="148">
        <f t="shared" si="365"/>
        <v>153.32905689171326</v>
      </c>
      <c r="AJ468">
        <f>(Z468^2)*'Vehicle Data'!C$31</f>
        <v>39.22880592562209</v>
      </c>
      <c r="AK468">
        <f>IF(O468=0.6,'Vehicle Data'!C$6*'Vehicle Data'!D$21*9.81,IF(O468=0.9,'Vehicle Data'!C$6*9.81*'Vehicle Data'!D$20))</f>
        <v>86.131799999999998</v>
      </c>
      <c r="AL468">
        <f t="shared" si="344"/>
        <v>-445.21687750159856</v>
      </c>
      <c r="AN468">
        <f>IF(AG468&gt;0,AG468*'Vehicle Data'!C$6)</f>
        <v>580.35216903120102</v>
      </c>
      <c r="AO468">
        <f t="shared" si="348"/>
        <v>135.13529152960245</v>
      </c>
      <c r="AP468">
        <f>AO468*'Vehicle Data'!F$3</f>
        <v>34.540580514966386</v>
      </c>
      <c r="AQ468">
        <f>IF(AE468='Vehicle Data'!I$15,AP468/'Vehicle Data'!G$15,IF(AE468='Vehicle Data'!I$16,AP468/'Vehicle Data'!G$16,IF(AE468='Vehicle Data'!I$14,Data!AP468/'Vehicle Data'!G479)))</f>
        <v>6.3766297311527582</v>
      </c>
      <c r="AR468">
        <f>IF(Z468&lt;'Vehicle Data'!C$16, Z468*'Vehicle Data'!F$7*'Vehicle Data'!G$14,IF(Z468&lt;'Vehicle Data'!C$15,Z468*'Vehicle Data'!F$7*'Vehicle Data'!G$15,IF(Z468&gt;'Vehicle Data'!C$15,Z468*'Vehicle Data'!F$7*'Vehicle Data'!G$16)))</f>
        <v>89.877922079304525</v>
      </c>
      <c r="AS468">
        <f t="shared" si="366"/>
        <v>5392.6753247582719</v>
      </c>
      <c r="AT468">
        <f t="shared" si="367"/>
        <v>6</v>
      </c>
      <c r="AU468">
        <f t="shared" si="368"/>
        <v>5500</v>
      </c>
      <c r="AW468">
        <f>VLOOKUP(AT468,BSFC!A$64:A$82,1,FALSE)</f>
        <v>6</v>
      </c>
      <c r="AX468" t="e" cm="1">
        <f t="array" ref="AX468">_xlfn.XLOOKUP(AT468,BSFC!A$64:A$82,,-1,_xlfn.XLOOKUP(Data!AU468,BSFC!C$63:Q$63,BSFC!B$64:Q$82,,-1))</f>
        <v>#VALUE!</v>
      </c>
      <c r="AY468">
        <f>HLOOKUP(AU468,BSFC!F$63:Q$63,1)</f>
        <v>5500</v>
      </c>
      <c r="AZ468">
        <f>IF(AT468&gt;0,MATCH(AT468,BSFC!A$64:A$83,0),IF(AT468&lt;=0,0))</f>
        <v>17</v>
      </c>
      <c r="BA468">
        <f>MATCH(AU468,BSFC!C$63:Q$63,0)</f>
        <v>11</v>
      </c>
      <c r="BB468" cm="1">
        <f t="array" ref="BB468">IF(AZ468&gt;0,INDEX(BSFC!C$64:Q$83,Data!AZ468,Data!BA468))</f>
        <v>664</v>
      </c>
      <c r="BC468">
        <f>0.5*'Vehicle Data'!C$6*Data!Z468^2</f>
        <v>23430.538505235501</v>
      </c>
      <c r="BD468">
        <f t="shared" si="349"/>
        <v>3.3607524242129632</v>
      </c>
      <c r="BE468">
        <f t="shared" si="369"/>
        <v>2231.5396096774075</v>
      </c>
      <c r="BF468">
        <f t="shared" si="370"/>
        <v>0.13345606033000509</v>
      </c>
      <c r="BG468">
        <f t="shared" si="350"/>
        <v>172.71285572746174</v>
      </c>
      <c r="BH468">
        <f t="shared" si="316"/>
        <v>3586.4720281922669</v>
      </c>
      <c r="BI468" s="148">
        <f t="shared" si="351"/>
        <v>6871.6622130335309</v>
      </c>
      <c r="BO468">
        <f t="shared" si="352"/>
        <v>751.04710593459083</v>
      </c>
      <c r="BP468">
        <f t="shared" si="353"/>
        <v>698660.55827149074</v>
      </c>
      <c r="BQ468">
        <f t="shared" si="354"/>
        <v>1068763.7351461004</v>
      </c>
      <c r="BR468" s="148">
        <f t="shared" si="355"/>
        <v>1055064.4888480119</v>
      </c>
      <c r="BS468" s="156">
        <f t="shared" si="356"/>
        <v>751.04710593459083</v>
      </c>
      <c r="BT468" s="156">
        <f t="shared" si="357"/>
        <v>3586.4720281922669</v>
      </c>
      <c r="BU468">
        <f t="shared" si="358"/>
        <v>1439.0024451578538</v>
      </c>
      <c r="BV468">
        <f t="shared" si="359"/>
        <v>1439.0024451578538</v>
      </c>
      <c r="BW468" s="148">
        <f t="shared" si="360"/>
        <v>455.4</v>
      </c>
      <c r="BX468" s="148">
        <f t="shared" si="361"/>
        <v>3129354.9718154697</v>
      </c>
      <c r="BY468" s="148">
        <f t="shared" si="362"/>
        <v>0.18203380931246846</v>
      </c>
      <c r="BZ468">
        <f t="shared" si="345"/>
        <v>153.32905689171326</v>
      </c>
      <c r="CB468">
        <f t="shared" si="363"/>
        <v>687.95533922326297</v>
      </c>
      <c r="CC468" s="162">
        <f t="shared" si="346"/>
        <v>3195.391271624138</v>
      </c>
      <c r="CD468">
        <f t="shared" si="371"/>
        <v>-14431.186777114981</v>
      </c>
    </row>
    <row r="469" spans="4:82" x14ac:dyDescent="0.2">
      <c r="D469" s="22">
        <f t="shared" si="337"/>
        <v>-4.7487407732836003E-2</v>
      </c>
      <c r="E469" s="23">
        <v>9.0017015999999987</v>
      </c>
      <c r="F469" s="23">
        <f>IF(K469&lt;6,1,IF(Data!K469&lt;9,2,IF(K469&gt;9,3)))</f>
        <v>3</v>
      </c>
      <c r="G469" s="23">
        <v>1100.7057417068199</v>
      </c>
      <c r="H469" s="23">
        <v>220.66666499999999</v>
      </c>
      <c r="I469" s="64">
        <v>42.484400994364812</v>
      </c>
      <c r="J469" s="65">
        <f t="shared" si="338"/>
        <v>-15.514697512459497</v>
      </c>
      <c r="K469" s="65">
        <f t="shared" si="339"/>
        <v>16.993760397745923</v>
      </c>
      <c r="L469" s="65">
        <f t="shared" si="340"/>
        <v>-6.2058790049837702</v>
      </c>
      <c r="M469">
        <f t="shared" si="341"/>
        <v>18.003403199999997</v>
      </c>
      <c r="N469">
        <f t="shared" si="342"/>
        <v>-9.9998399999998711E-2</v>
      </c>
      <c r="O469">
        <f>IF(L469&lt;'Vehicle Data'!F$21,'Vehicle Data'!C$21,IF(L469&gt;'Vehicle Data'!C$21,'Vehicle Data'!C$20))</f>
        <v>0.6</v>
      </c>
      <c r="P469">
        <f>('Vehicle Data'!C$6*9.81*'Vehicle Data'!C$5*SIN(D469))/'Vehicle Data'!C$9</f>
        <v>-31.61318673325453</v>
      </c>
      <c r="Q469" s="107">
        <f>'Vehicle Data'!C$6*9.81*SIN(D469)</f>
        <v>-204.43194087504597</v>
      </c>
      <c r="R469">
        <f t="shared" si="336"/>
        <v>1098.5606570518587</v>
      </c>
      <c r="S469">
        <f>IF(Data!O469=0.6,'Vehicle Data'!E$21,IF(Data!O469 = 0.9,'Vehicle Data'!E$20))+(P469*O469)</f>
        <v>1531.4044879600469</v>
      </c>
      <c r="T469">
        <f>IF(F469=3,'Vehicle Data'!H$16,IF(F469=2,'Vehicle Data'!H$15,IF(F469 = 1,'Vehicle Data'!G$14)))</f>
        <v>466.23005239380637</v>
      </c>
      <c r="U469" s="148">
        <f t="shared" si="343"/>
        <v>382.42217492854263</v>
      </c>
      <c r="V469" s="70" t="s">
        <v>77</v>
      </c>
      <c r="W469" s="99" t="s">
        <v>84</v>
      </c>
      <c r="X469">
        <f>IF(V469="S",'Vehicle Data'!C$14,IF(Data!V469 = "T1",'Vehicle Data'!P$2,IF(Data!V469="T2",'Vehicle Data'!P$3)))</f>
        <v>13.411199999999999</v>
      </c>
      <c r="Z469">
        <f t="shared" si="373"/>
        <v>10.428956325219037</v>
      </c>
      <c r="AB469" t="b">
        <f>IF(AA469=1,'Vehicle Data'!I$14,IF(AA469=2,'Vehicle Data'!I$15,IF(AA469=3,'Vehicle Data'!I$16)))</f>
        <v>0</v>
      </c>
      <c r="AC469">
        <f>IF(Z469&lt;'Vehicle Data'!C$16,'Vehicle Data'!I$15,IF(Z469&lt;'Vehicle Data'!C$15,'Vehicle Data'!I$15,IF(Z468&gt;'Vehicle Data'!C$15,'Vehicle Data'!I$16)))</f>
        <v>0.46202745420001456</v>
      </c>
      <c r="AD469">
        <f>IF(O469=0.6,'Vehicle Data'!F$21,IF(O469=0.9,'Vehicle Data'!F$20))</f>
        <v>3.5315999999999996</v>
      </c>
      <c r="AE469" s="100">
        <f t="shared" si="372"/>
        <v>0.46202745420001456</v>
      </c>
      <c r="AF469" s="158">
        <f t="shared" si="364"/>
        <v>0.2094111148869465</v>
      </c>
      <c r="AG469" s="148">
        <f t="shared" si="347"/>
        <v>0.46419077987369117</v>
      </c>
      <c r="AH469" s="148">
        <f t="shared" si="365"/>
        <v>153.5384680066002</v>
      </c>
      <c r="AJ469">
        <f>(Z469^2)*'Vehicle Data'!C$31</f>
        <v>39.970450287247374</v>
      </c>
      <c r="AK469">
        <f>IF(O469=0.6,'Vehicle Data'!C$6*'Vehicle Data'!D$21*9.81,IF(O469=0.9,'Vehicle Data'!C$6*9.81*'Vehicle Data'!D$20))</f>
        <v>86.131799999999998</v>
      </c>
      <c r="AL469">
        <f t="shared" si="344"/>
        <v>-78.329690587798595</v>
      </c>
      <c r="AN469">
        <f>IF(AG469&gt;0,AG469*'Vehicle Data'!C$6)</f>
        <v>203.77975236455043</v>
      </c>
      <c r="AO469">
        <f t="shared" si="348"/>
        <v>125.45006177675184</v>
      </c>
      <c r="AP469">
        <f>AO469*'Vehicle Data'!F$3</f>
        <v>32.06503579013777</v>
      </c>
      <c r="AQ469">
        <f>IF(AE469='Vehicle Data'!I$15,AP469/'Vehicle Data'!G$15,IF(AE469='Vehicle Data'!I$16,AP469/'Vehicle Data'!G$16,IF(AE469='Vehicle Data'!I$14,Data!AP469/'Vehicle Data'!G480)))</f>
        <v>5.9196127425036931</v>
      </c>
      <c r="AR469">
        <f>IF(Z469&lt;'Vehicle Data'!C$16, Z469*'Vehicle Data'!F$7*'Vehicle Data'!G$14,IF(Z469&lt;'Vehicle Data'!C$15,Z469*'Vehicle Data'!F$7*'Vehicle Data'!G$15,IF(Z469&gt;'Vehicle Data'!C$15,Z469*'Vehicle Data'!F$7*'Vehicle Data'!G$16)))</f>
        <v>90.723542358294139</v>
      </c>
      <c r="AS469">
        <f t="shared" si="366"/>
        <v>5443.4125414976479</v>
      </c>
      <c r="AT469">
        <f t="shared" si="367"/>
        <v>6</v>
      </c>
      <c r="AU469">
        <f t="shared" si="368"/>
        <v>5500</v>
      </c>
      <c r="AW469">
        <f>VLOOKUP(AT469,BSFC!A$64:A$82,1,FALSE)</f>
        <v>6</v>
      </c>
      <c r="AX469" t="e" cm="1">
        <f t="array" ref="AX469">_xlfn.XLOOKUP(AT469,BSFC!A$64:A$82,,-1,_xlfn.XLOOKUP(Data!AU469,BSFC!C$63:Q$63,BSFC!B$64:Q$82,,-1))</f>
        <v>#VALUE!</v>
      </c>
      <c r="AY469">
        <f>HLOOKUP(AU469,BSFC!F$63:Q$63,1)</f>
        <v>5500</v>
      </c>
      <c r="AZ469">
        <f>IF(AT469&gt;0,MATCH(AT469,BSFC!A$64:A$83,0),IF(AT469&lt;=0,0))</f>
        <v>17</v>
      </c>
      <c r="BA469">
        <f>MATCH(AU469,BSFC!C$63:Q$63,0)</f>
        <v>11</v>
      </c>
      <c r="BB469" cm="1">
        <f t="array" ref="BB469">IF(AZ469&gt;0,INDEX(BSFC!C$64:Q$83,Data!AZ469,Data!BA469))</f>
        <v>664</v>
      </c>
      <c r="BC469">
        <f>0.5*'Vehicle Data'!C$6*Data!Z469^2</f>
        <v>23873.507042315094</v>
      </c>
      <c r="BD469">
        <f t="shared" si="349"/>
        <v>8.9363363461116343</v>
      </c>
      <c r="BE469">
        <f t="shared" si="369"/>
        <v>5933.7273338181249</v>
      </c>
      <c r="BF469">
        <f t="shared" si="370"/>
        <v>0.34516346011388949</v>
      </c>
      <c r="BG469">
        <f t="shared" si="350"/>
        <v>173.05801918757564</v>
      </c>
      <c r="BH469">
        <f t="shared" si="316"/>
        <v>3360.752424212963</v>
      </c>
      <c r="BI469" s="148">
        <f t="shared" si="351"/>
        <v>6871.6622130335309</v>
      </c>
      <c r="BO469">
        <f t="shared" si="352"/>
        <v>685.0437255458354</v>
      </c>
      <c r="BP469">
        <f t="shared" si="353"/>
        <v>699345.6019970366</v>
      </c>
      <c r="BQ469">
        <f t="shared" si="354"/>
        <v>1069448.7788716462</v>
      </c>
      <c r="BR469" s="148">
        <f t="shared" si="355"/>
        <v>1056465.1838379772</v>
      </c>
      <c r="BS469" s="156">
        <f t="shared" si="356"/>
        <v>685.0437255458354</v>
      </c>
      <c r="BT469" s="156">
        <f t="shared" si="357"/>
        <v>3360.752424212963</v>
      </c>
      <c r="BU469">
        <f t="shared" si="358"/>
        <v>1400.6949899653582</v>
      </c>
      <c r="BV469">
        <f t="shared" si="359"/>
        <v>1400.6949899653582</v>
      </c>
      <c r="BW469" s="148">
        <f t="shared" si="360"/>
        <v>455.4</v>
      </c>
      <c r="BX469" s="148">
        <f t="shared" si="361"/>
        <v>3129354.9718154697</v>
      </c>
      <c r="BY469" s="148">
        <f t="shared" si="362"/>
        <v>0.1771879162306178</v>
      </c>
      <c r="BZ469">
        <f t="shared" si="345"/>
        <v>153.5384680066002</v>
      </c>
      <c r="CB469">
        <f t="shared" si="363"/>
        <v>715.65126441952282</v>
      </c>
      <c r="CC469" s="162">
        <f t="shared" si="346"/>
        <v>3417.4464178079702</v>
      </c>
      <c r="CD469">
        <f t="shared" si="371"/>
        <v>-13715.535512695458</v>
      </c>
    </row>
    <row r="470" spans="4:82" x14ac:dyDescent="0.2">
      <c r="D470" s="22">
        <f t="shared" si="337"/>
        <v>0</v>
      </c>
      <c r="E470" s="23">
        <v>8.9017032</v>
      </c>
      <c r="F470" s="23">
        <f>IF(K470&lt;6,1,IF(Data!K470&lt;9,2,IF(K470&gt;9,3)))</f>
        <v>3</v>
      </c>
      <c r="G470" s="23">
        <v>1102.8123210779918</v>
      </c>
      <c r="H470" s="23">
        <v>220.71666499999998</v>
      </c>
      <c r="I470" s="64">
        <v>41.708666118742102</v>
      </c>
      <c r="J470" s="65">
        <f t="shared" si="338"/>
        <v>-16.151301331152176</v>
      </c>
      <c r="K470" s="65">
        <f t="shared" si="339"/>
        <v>16.683466447496841</v>
      </c>
      <c r="L470" s="65">
        <f t="shared" si="340"/>
        <v>-6.4605205324608992</v>
      </c>
      <c r="M470">
        <f t="shared" si="341"/>
        <v>17.8034064</v>
      </c>
      <c r="N470">
        <f t="shared" si="342"/>
        <v>0</v>
      </c>
      <c r="O470">
        <f>IF(L470&lt;'Vehicle Data'!F$21,'Vehicle Data'!C$21,IF(L470&gt;'Vehicle Data'!C$21,'Vehicle Data'!C$20))</f>
        <v>0.6</v>
      </c>
      <c r="P470">
        <f>('Vehicle Data'!C$6*9.81*'Vehicle Data'!C$5*SIN(D470))/'Vehicle Data'!C$9</f>
        <v>0</v>
      </c>
      <c r="Q470" s="107">
        <f>'Vehicle Data'!C$6*9.81*SIN(D470)</f>
        <v>0</v>
      </c>
      <c r="R470">
        <f t="shared" si="336"/>
        <v>1100.7057417068199</v>
      </c>
      <c r="S470">
        <f>IF(Data!O470=0.6,'Vehicle Data'!E$21,IF(Data!O470 = 0.9,'Vehicle Data'!E$20))+(P470*O470)</f>
        <v>1550.3723999999997</v>
      </c>
      <c r="T470">
        <f>IF(F470=3,'Vehicle Data'!H$16,IF(F470=2,'Vehicle Data'!H$15,IF(F470 = 1,'Vehicle Data'!G$14)))</f>
        <v>466.23005239380637</v>
      </c>
      <c r="U470" s="148">
        <f t="shared" si="343"/>
        <v>384.56725958350387</v>
      </c>
      <c r="V470" s="70" t="s">
        <v>77</v>
      </c>
      <c r="W470" s="99" t="s">
        <v>84</v>
      </c>
      <c r="X470">
        <f>IF(V470="S",'Vehicle Data'!C$14,IF(Data!V470 = "T1",'Vehicle Data'!P$2,IF(Data!V470="T2",'Vehicle Data'!P$3)))</f>
        <v>13.411199999999999</v>
      </c>
      <c r="Z470">
        <f t="shared" si="373"/>
        <v>10.523559570681238</v>
      </c>
      <c r="AB470" t="b">
        <f>IF(AA470=1,'Vehicle Data'!I$14,IF(AA470=2,'Vehicle Data'!I$15,IF(AA470=3,'Vehicle Data'!I$16)))</f>
        <v>0</v>
      </c>
      <c r="AC470">
        <f>IF(Z470&lt;'Vehicle Data'!C$16,'Vehicle Data'!I$15,IF(Z470&lt;'Vehicle Data'!C$15,'Vehicle Data'!I$15,IF(Z469&gt;'Vehicle Data'!C$15,'Vehicle Data'!I$16)))</f>
        <v>0.46202745420001456</v>
      </c>
      <c r="AD470">
        <f>IF(O470=0.6,'Vehicle Data'!F$21,IF(O470=0.9,'Vehicle Data'!F$20))</f>
        <v>3.5315999999999996</v>
      </c>
      <c r="AE470" s="100">
        <f t="shared" si="372"/>
        <v>0.46202745420001456</v>
      </c>
      <c r="AF470" s="158">
        <f t="shared" si="364"/>
        <v>0.20383641490826632</v>
      </c>
      <c r="AG470" s="148">
        <f t="shared" si="347"/>
        <v>0.46411356628684747</v>
      </c>
      <c r="AH470" s="148">
        <f t="shared" si="365"/>
        <v>153.74230442150846</v>
      </c>
      <c r="AJ470">
        <f>(Z470^2)*'Vehicle Data'!C$31</f>
        <v>40.698899968846192</v>
      </c>
      <c r="AK470">
        <f>IF(O470=0.6,'Vehicle Data'!C$6*'Vehicle Data'!D$21*9.81,IF(O470=0.9,'Vehicle Data'!C$6*9.81*'Vehicle Data'!D$20))</f>
        <v>86.131799999999998</v>
      </c>
      <c r="AL470">
        <f t="shared" si="344"/>
        <v>126.83069996884619</v>
      </c>
      <c r="AN470">
        <f>IF(AG470&gt;0,AG470*'Vehicle Data'!C$6)</f>
        <v>203.74585559992605</v>
      </c>
      <c r="AO470">
        <f t="shared" si="348"/>
        <v>330.57655556877222</v>
      </c>
      <c r="AP470">
        <f>AO470*'Vehicle Data'!F$3</f>
        <v>84.495367603378185</v>
      </c>
      <c r="AQ470">
        <f>IF(AE470='Vehicle Data'!I$15,AP470/'Vehicle Data'!G$15,IF(AE470='Vehicle Data'!I$16,AP470/'Vehicle Data'!G$16,IF(AE470='Vehicle Data'!I$14,Data!AP470/'Vehicle Data'!G481)))</f>
        <v>15.598917712773341</v>
      </c>
      <c r="AR470">
        <f>IF(Z470&lt;'Vehicle Data'!C$16, Z470*'Vehicle Data'!F$7*'Vehicle Data'!G$14,IF(Z470&lt;'Vehicle Data'!C$15,Z470*'Vehicle Data'!F$7*'Vehicle Data'!G$15,IF(Z470&gt;'Vehicle Data'!C$15,Z470*'Vehicle Data'!F$7*'Vehicle Data'!G$16)))</f>
        <v>91.54651459820731</v>
      </c>
      <c r="AS470">
        <f t="shared" si="366"/>
        <v>5492.7908758924386</v>
      </c>
      <c r="AT470">
        <f t="shared" si="367"/>
        <v>16</v>
      </c>
      <c r="AU470">
        <f t="shared" si="368"/>
        <v>5500</v>
      </c>
      <c r="AW470">
        <f>VLOOKUP(AT470,BSFC!A$64:A$82,1,FALSE)</f>
        <v>16</v>
      </c>
      <c r="AX470" t="e" cm="1">
        <f t="array" ref="AX470">_xlfn.XLOOKUP(AT470,BSFC!A$64:A$82,,-1,_xlfn.XLOOKUP(Data!AU470,BSFC!C$63:Q$63,BSFC!B$64:Q$82,,-1))</f>
        <v>#VALUE!</v>
      </c>
      <c r="AY470">
        <f>HLOOKUP(AU470,BSFC!F$63:Q$63,1)</f>
        <v>5500</v>
      </c>
      <c r="AZ470">
        <f>IF(AT470&gt;0,MATCH(AT470,BSFC!A$64:A$83,0),IF(AT470&lt;=0,0))</f>
        <v>7</v>
      </c>
      <c r="BA470">
        <f>MATCH(AU470,BSFC!C$63:Q$63,0)</f>
        <v>11</v>
      </c>
      <c r="BB470" cm="1">
        <f t="array" ref="BB470">IF(AZ470&gt;0,INDEX(BSFC!C$64:Q$83,Data!AZ470,Data!BA470))</f>
        <v>632.5</v>
      </c>
      <c r="BC470">
        <f>0.5*'Vehicle Data'!C$6*Data!Z470^2</f>
        <v>24308.594675270033</v>
      </c>
      <c r="BD470">
        <f t="shared" si="349"/>
        <v>9.033160285996761</v>
      </c>
      <c r="BE470">
        <f t="shared" si="369"/>
        <v>5713.4738808929515</v>
      </c>
      <c r="BF470">
        <f t="shared" si="370"/>
        <v>0.32350389793145506</v>
      </c>
      <c r="BG470">
        <f t="shared" si="350"/>
        <v>173.3815230855071</v>
      </c>
      <c r="BH470">
        <f t="shared" si="316"/>
        <v>8936.3363461116351</v>
      </c>
      <c r="BI470" s="148">
        <f t="shared" si="351"/>
        <v>6871.6622130335309</v>
      </c>
      <c r="BO470">
        <f t="shared" si="352"/>
        <v>1773.3357964277175</v>
      </c>
      <c r="BP470">
        <f t="shared" si="353"/>
        <v>701118.93779346428</v>
      </c>
      <c r="BQ470">
        <f t="shared" si="354"/>
        <v>1071222.1146680738</v>
      </c>
      <c r="BR470" s="148">
        <f t="shared" si="355"/>
        <v>1057828.8035710945</v>
      </c>
      <c r="BS470" s="156">
        <f t="shared" si="356"/>
        <v>1773.3357964277175</v>
      </c>
      <c r="BT470" s="156">
        <f t="shared" si="357"/>
        <v>8936.3363461116351</v>
      </c>
      <c r="BU470">
        <f t="shared" si="358"/>
        <v>1363.6197331173998</v>
      </c>
      <c r="BV470">
        <f t="shared" si="359"/>
        <v>1363.6197331173998</v>
      </c>
      <c r="BW470" s="148">
        <f t="shared" si="360"/>
        <v>455.4</v>
      </c>
      <c r="BX470" s="148">
        <f t="shared" si="361"/>
        <v>3129354.9718154697</v>
      </c>
      <c r="BY470" s="148">
        <f t="shared" si="362"/>
        <v>0.17249789623935105</v>
      </c>
      <c r="BZ470">
        <f t="shared" si="345"/>
        <v>153.74230442150846</v>
      </c>
      <c r="CB470">
        <f t="shared" si="363"/>
        <v>-409.71606331031762</v>
      </c>
      <c r="CC470" s="162">
        <f t="shared" si="346"/>
        <v>-2010.0238884926603</v>
      </c>
      <c r="CD470">
        <f t="shared" si="371"/>
        <v>-14125.251576005776</v>
      </c>
    </row>
    <row r="471" spans="4:82" x14ac:dyDescent="0.2">
      <c r="D471" s="22">
        <f t="shared" si="337"/>
        <v>0</v>
      </c>
      <c r="E471" s="23">
        <v>8.9017032</v>
      </c>
      <c r="F471" s="23">
        <f>IF(K471&lt;6,1,IF(Data!K471&lt;9,2,IF(K471&gt;9,3)))</f>
        <v>3</v>
      </c>
      <c r="G471" s="23">
        <v>1104.879291955901</v>
      </c>
      <c r="H471" s="23">
        <v>220.76666499999999</v>
      </c>
      <c r="I471" s="64">
        <v>40.901101052184309</v>
      </c>
      <c r="J471" s="65">
        <f t="shared" si="338"/>
        <v>-15.75517953777077</v>
      </c>
      <c r="K471" s="65">
        <f t="shared" si="339"/>
        <v>16.360440420873722</v>
      </c>
      <c r="L471" s="65">
        <f t="shared" si="340"/>
        <v>-6.3020718151082518</v>
      </c>
      <c r="M471">
        <f t="shared" si="341"/>
        <v>17.8034064</v>
      </c>
      <c r="N471">
        <f t="shared" si="342"/>
        <v>0</v>
      </c>
      <c r="O471">
        <f>IF(L471&lt;'Vehicle Data'!F$21,'Vehicle Data'!C$21,IF(L471&gt;'Vehicle Data'!C$21,'Vehicle Data'!C$20))</f>
        <v>0.6</v>
      </c>
      <c r="P471">
        <f>('Vehicle Data'!C$6*9.81*'Vehicle Data'!C$5*SIN(D471))/'Vehicle Data'!C$9</f>
        <v>0</v>
      </c>
      <c r="Q471" s="107">
        <f>'Vehicle Data'!C$6*9.81*SIN(D471)</f>
        <v>0</v>
      </c>
      <c r="R471">
        <f t="shared" si="336"/>
        <v>1102.8123210779918</v>
      </c>
      <c r="S471">
        <f>IF(Data!O471=0.6,'Vehicle Data'!E$21,IF(Data!O471 = 0.9,'Vehicle Data'!E$20))+(P471*O471)</f>
        <v>1550.3723999999997</v>
      </c>
      <c r="T471">
        <f>IF(F471=3,'Vehicle Data'!H$16,IF(F471=2,'Vehicle Data'!H$15,IF(F471 = 1,'Vehicle Data'!G$14)))</f>
        <v>466.23005239380637</v>
      </c>
      <c r="U471" s="148">
        <f t="shared" si="343"/>
        <v>386.67383895467572</v>
      </c>
      <c r="V471" s="70" t="s">
        <v>77</v>
      </c>
      <c r="W471" s="99" t="s">
        <v>84</v>
      </c>
      <c r="X471">
        <f>IF(V471="S",'Vehicle Data'!C$14,IF(Data!V471 = "T1",'Vehicle Data'!P$2,IF(Data!V471="T2",'Vehicle Data'!P$3)))</f>
        <v>13.411199999999999</v>
      </c>
      <c r="Z471">
        <f t="shared" si="373"/>
        <v>10.615644165360022</v>
      </c>
      <c r="AB471" t="b">
        <f>IF(AA471=1,'Vehicle Data'!I$14,IF(AA471=2,'Vehicle Data'!I$15,IF(AA471=3,'Vehicle Data'!I$16)))</f>
        <v>0</v>
      </c>
      <c r="AC471">
        <f>IF(Z471&lt;'Vehicle Data'!C$16,'Vehicle Data'!I$15,IF(Z471&lt;'Vehicle Data'!C$15,'Vehicle Data'!I$15,IF(Z470&gt;'Vehicle Data'!C$15,'Vehicle Data'!I$16)))</f>
        <v>0.46202745420001456</v>
      </c>
      <c r="AD471">
        <f>IF(O471=0.6,'Vehicle Data'!F$21,IF(O471=0.9,'Vehicle Data'!F$20))</f>
        <v>3.5315999999999996</v>
      </c>
      <c r="AE471" s="100">
        <f t="shared" si="372"/>
        <v>0.46202745420001456</v>
      </c>
      <c r="AF471" s="158">
        <f t="shared" si="364"/>
        <v>0.19844103083690764</v>
      </c>
      <c r="AG471" s="148">
        <f t="shared" si="347"/>
        <v>0.46404009438181998</v>
      </c>
      <c r="AH471" s="148">
        <f t="shared" si="365"/>
        <v>153.94074545234537</v>
      </c>
      <c r="AJ471">
        <f>(Z471^2)*'Vehicle Data'!C$31</f>
        <v>41.4142736342368</v>
      </c>
      <c r="AK471">
        <f>IF(O471=0.6,'Vehicle Data'!C$6*'Vehicle Data'!D$21*9.81,IF(O471=0.9,'Vehicle Data'!C$6*9.81*'Vehicle Data'!D$20))</f>
        <v>86.131799999999998</v>
      </c>
      <c r="AL471">
        <f t="shared" si="344"/>
        <v>127.54607363423679</v>
      </c>
      <c r="AN471">
        <f>IF(AG471&gt;0,AG471*'Vehicle Data'!C$6)</f>
        <v>203.71360143361898</v>
      </c>
      <c r="AO471">
        <f t="shared" si="348"/>
        <v>331.25967506785577</v>
      </c>
      <c r="AP471">
        <f>AO471*'Vehicle Data'!F$3</f>
        <v>84.669972947343936</v>
      </c>
      <c r="AQ471">
        <f>IF(AE471='Vehicle Data'!I$15,AP471/'Vehicle Data'!G$15,IF(AE471='Vehicle Data'!I$16,AP471/'Vehicle Data'!G$16,IF(AE471='Vehicle Data'!I$14,Data!AP471/'Vehicle Data'!G482)))</f>
        <v>15.631152076265517</v>
      </c>
      <c r="AR471">
        <f>IF(Z471&lt;'Vehicle Data'!C$16, Z471*'Vehicle Data'!F$7*'Vehicle Data'!G$14,IF(Z471&lt;'Vehicle Data'!C$15,Z471*'Vehicle Data'!F$7*'Vehicle Data'!G$15,IF(Z471&gt;'Vehicle Data'!C$15,Z471*'Vehicle Data'!F$7*'Vehicle Data'!G$16)))</f>
        <v>92.347576599558792</v>
      </c>
      <c r="AS471">
        <f t="shared" si="366"/>
        <v>5540.8545959735275</v>
      </c>
      <c r="AT471">
        <f t="shared" si="367"/>
        <v>16</v>
      </c>
      <c r="AU471">
        <f t="shared" si="368"/>
        <v>5500</v>
      </c>
      <c r="AW471">
        <f>VLOOKUP(AT471,BSFC!A$64:A$82,1,FALSE)</f>
        <v>16</v>
      </c>
      <c r="AX471" t="e" cm="1">
        <f t="array" ref="AX471">_xlfn.XLOOKUP(AT471,BSFC!A$64:A$82,,-1,_xlfn.XLOOKUP(Data!AU471,BSFC!C$63:Q$63,BSFC!B$64:Q$82,,-1))</f>
        <v>#VALUE!</v>
      </c>
      <c r="AY471">
        <f>HLOOKUP(AU471,BSFC!F$63:Q$63,1)</f>
        <v>5500</v>
      </c>
      <c r="AZ471">
        <f>IF(AT471&gt;0,MATCH(AT471,BSFC!A$64:A$83,0),IF(AT471&lt;=0,0))</f>
        <v>7</v>
      </c>
      <c r="BA471">
        <f>MATCH(AU471,BSFC!C$63:Q$63,0)</f>
        <v>11</v>
      </c>
      <c r="BB471" cm="1">
        <f t="array" ref="BB471">IF(AZ471&gt;0,INDEX(BSFC!C$64:Q$83,Data!AZ471,Data!BA471))</f>
        <v>632.5</v>
      </c>
      <c r="BC471">
        <f>0.5*'Vehicle Data'!C$6*Data!Z471^2</f>
        <v>24735.872279496532</v>
      </c>
      <c r="BD471">
        <f t="shared" si="349"/>
        <v>3.1735043426934615</v>
      </c>
      <c r="BE471">
        <f t="shared" si="369"/>
        <v>2007.2414967536145</v>
      </c>
      <c r="BF471">
        <f t="shared" si="370"/>
        <v>0.11064418659844574</v>
      </c>
      <c r="BG471">
        <f t="shared" si="350"/>
        <v>173.49216727210555</v>
      </c>
      <c r="BH471">
        <f t="shared" si="316"/>
        <v>9033.1602859967606</v>
      </c>
      <c r="BI471" s="148">
        <f t="shared" si="351"/>
        <v>6871.6622130335309</v>
      </c>
      <c r="BO471">
        <f t="shared" si="352"/>
        <v>1744.1272745118531</v>
      </c>
      <c r="BP471">
        <f t="shared" si="353"/>
        <v>702863.06506797613</v>
      </c>
      <c r="BQ471">
        <f t="shared" si="354"/>
        <v>1072966.2419425857</v>
      </c>
      <c r="BR471" s="148">
        <f t="shared" si="355"/>
        <v>1059155.5876762723</v>
      </c>
      <c r="BS471" s="156">
        <f t="shared" si="356"/>
        <v>1744.1272745118531</v>
      </c>
      <c r="BT471" s="156">
        <f t="shared" si="357"/>
        <v>9033.1602859967606</v>
      </c>
      <c r="BU471">
        <f t="shared" si="358"/>
        <v>1326.7841051778453</v>
      </c>
      <c r="BV471">
        <f t="shared" si="359"/>
        <v>1326.7841051778453</v>
      </c>
      <c r="BW471" s="148">
        <f t="shared" si="360"/>
        <v>455.4</v>
      </c>
      <c r="BX471" s="148">
        <f t="shared" si="361"/>
        <v>3129354.9718154697</v>
      </c>
      <c r="BY471" s="148">
        <f t="shared" si="362"/>
        <v>0.16783818930499739</v>
      </c>
      <c r="BZ471">
        <f t="shared" si="345"/>
        <v>153.94074545234537</v>
      </c>
      <c r="CB471">
        <f t="shared" si="363"/>
        <v>-417.34316933400783</v>
      </c>
      <c r="CC471" s="162">
        <f t="shared" si="346"/>
        <v>-2103.1092590776625</v>
      </c>
      <c r="CD471">
        <f t="shared" si="371"/>
        <v>-14542.594745339784</v>
      </c>
    </row>
    <row r="472" spans="4:82" x14ac:dyDescent="0.2">
      <c r="D472" s="22">
        <f t="shared" si="337"/>
        <v>-5.0299252407294326E-2</v>
      </c>
      <c r="E472" s="23">
        <v>8.9017032</v>
      </c>
      <c r="F472" s="23">
        <f>IF(K472&lt;6,1,IF(Data!K472&lt;9,2,IF(K472&gt;9,3)))</f>
        <v>3</v>
      </c>
      <c r="G472" s="23">
        <v>1106.9056818946522</v>
      </c>
      <c r="H472" s="23">
        <v>220.816665</v>
      </c>
      <c r="I472" s="64">
        <v>40.113342075295591</v>
      </c>
      <c r="J472" s="65">
        <f t="shared" si="338"/>
        <v>-14.761745665986926</v>
      </c>
      <c r="K472" s="65">
        <f t="shared" si="339"/>
        <v>16.045336830118238</v>
      </c>
      <c r="L472" s="65">
        <f t="shared" si="340"/>
        <v>-5.9046982663947984</v>
      </c>
      <c r="M472">
        <f t="shared" si="341"/>
        <v>17.8034064</v>
      </c>
      <c r="N472">
        <f t="shared" si="342"/>
        <v>-9.9998400000000487E-2</v>
      </c>
      <c r="O472">
        <f>IF(L472&lt;'Vehicle Data'!F$21,'Vehicle Data'!C$21,IF(L472&gt;'Vehicle Data'!C$21,'Vehicle Data'!C$20))</f>
        <v>0.6</v>
      </c>
      <c r="P472">
        <f>('Vehicle Data'!C$6*9.81*'Vehicle Data'!C$5*SIN(D472))/'Vehicle Data'!C$9</f>
        <v>-33.483545527756249</v>
      </c>
      <c r="Q472" s="107">
        <f>'Vehicle Data'!C$6*9.81*SIN(D472)</f>
        <v>-216.52692774615704</v>
      </c>
      <c r="R472">
        <f t="shared" si="336"/>
        <v>1104.879291955901</v>
      </c>
      <c r="S472">
        <f>IF(Data!O472=0.6,'Vehicle Data'!E$21,IF(Data!O472 = 0.9,'Vehicle Data'!E$20))+(P472*O472)</f>
        <v>1530.282272683346</v>
      </c>
      <c r="T472">
        <f>IF(F472=3,'Vehicle Data'!H$16,IF(F472=2,'Vehicle Data'!H$15,IF(F472 = 1,'Vehicle Data'!G$14)))</f>
        <v>466.23005239380637</v>
      </c>
      <c r="U472" s="148">
        <f t="shared" si="343"/>
        <v>388.74080983258489</v>
      </c>
      <c r="V472" s="70" t="s">
        <v>77</v>
      </c>
      <c r="W472" s="99" t="s">
        <v>84</v>
      </c>
      <c r="X472">
        <f>IF(V472="S",'Vehicle Data'!C$14,IF(Data!V472 = "T1",'Vehicle Data'!P$2,IF(Data!V472="T2",'Vehicle Data'!P$3)))</f>
        <v>13.411199999999999</v>
      </c>
      <c r="Z472">
        <f t="shared" si="373"/>
        <v>10.705227490847365</v>
      </c>
      <c r="AB472" t="b">
        <f>IF(AA472=1,'Vehicle Data'!I$14,IF(AA472=2,'Vehicle Data'!I$15,IF(AA472=3,'Vehicle Data'!I$16)))</f>
        <v>0</v>
      </c>
      <c r="AC472">
        <f>IF(Z472&lt;'Vehicle Data'!C$16,'Vehicle Data'!I$15,IF(Z472&lt;'Vehicle Data'!C$15,'Vehicle Data'!I$15,IF(Z471&gt;'Vehicle Data'!C$15,'Vehicle Data'!I$16)))</f>
        <v>0.46202745420001456</v>
      </c>
      <c r="AD472">
        <f>IF(O472=0.6,'Vehicle Data'!F$21,IF(O472=0.9,'Vehicle Data'!F$20))</f>
        <v>3.5315999999999996</v>
      </c>
      <c r="AE472" s="100">
        <f t="shared" si="372"/>
        <v>0.46202745420001456</v>
      </c>
      <c r="AF472" s="158">
        <f t="shared" si="364"/>
        <v>0.19308051880974655</v>
      </c>
      <c r="AG472" s="148">
        <f t="shared" si="347"/>
        <v>0.46396874236501662</v>
      </c>
      <c r="AH472" s="148">
        <f t="shared" si="365"/>
        <v>154.13382597115512</v>
      </c>
      <c r="AJ472">
        <f>(Z472^2)*'Vehicle Data'!C$31</f>
        <v>42.116196644316872</v>
      </c>
      <c r="AK472">
        <f>IF(O472=0.6,'Vehicle Data'!C$6*'Vehicle Data'!D$21*9.81,IF(O472=0.9,'Vehicle Data'!C$6*9.81*'Vehicle Data'!D$20))</f>
        <v>86.131799999999998</v>
      </c>
      <c r="AL472">
        <f t="shared" si="344"/>
        <v>-88.278931101840186</v>
      </c>
      <c r="AN472">
        <f>IF(AG472&gt;0,AG472*'Vehicle Data'!C$6)</f>
        <v>203.68227789824229</v>
      </c>
      <c r="AO472">
        <f t="shared" si="348"/>
        <v>115.4033467964021</v>
      </c>
      <c r="AP472">
        <f>AO472*'Vehicle Data'!F$3</f>
        <v>29.497095441160376</v>
      </c>
      <c r="AQ472">
        <f>IF(AE472='Vehicle Data'!I$15,AP472/'Vehicle Data'!G$15,IF(AE472='Vehicle Data'!I$16,AP472/'Vehicle Data'!G$16,IF(AE472='Vehicle Data'!I$14,Data!AP472/'Vehicle Data'!G483)))</f>
        <v>5.4455383484725655</v>
      </c>
      <c r="AR472">
        <f>IF(Z472&lt;'Vehicle Data'!C$16, Z472*'Vehicle Data'!F$7*'Vehicle Data'!G$14,IF(Z472&lt;'Vehicle Data'!C$15,Z472*'Vehicle Data'!F$7*'Vehicle Data'!G$15,IF(Z472&gt;'Vehicle Data'!C$15,Z472*'Vehicle Data'!F$7*'Vehicle Data'!G$16)))</f>
        <v>93.12687956823595</v>
      </c>
      <c r="AS472">
        <f t="shared" si="366"/>
        <v>5587.6127740941574</v>
      </c>
      <c r="AT472">
        <f t="shared" si="367"/>
        <v>5</v>
      </c>
      <c r="AU472">
        <f t="shared" si="368"/>
        <v>5500</v>
      </c>
      <c r="AW472">
        <f>VLOOKUP(AT472,BSFC!A$64:A$82,1,FALSE)</f>
        <v>5</v>
      </c>
      <c r="AX472" t="e" cm="1">
        <f t="array" ref="AX472">_xlfn.XLOOKUP(AT472,BSFC!A$64:A$82,,-1,_xlfn.XLOOKUP(Data!AU472,BSFC!C$63:Q$63,BSFC!B$64:Q$82,,-1))</f>
        <v>#VALUE!</v>
      </c>
      <c r="AY472">
        <f>HLOOKUP(AU472,BSFC!F$63:Q$63,1)</f>
        <v>5500</v>
      </c>
      <c r="AZ472">
        <f>IF(AT472&gt;0,MATCH(AT472,BSFC!A$64:A$83,0),IF(AT472&lt;=0,0))</f>
        <v>18</v>
      </c>
      <c r="BA472">
        <f>MATCH(AU472,BSFC!C$63:Q$63,0)</f>
        <v>11</v>
      </c>
      <c r="BB472" cm="1">
        <f t="array" ref="BB472">IF(AZ472&gt;0,INDEX(BSFC!C$64:Q$83,Data!AZ472,Data!BA472))</f>
        <v>666.9</v>
      </c>
      <c r="BC472">
        <f>0.5*'Vehicle Data'!C$6*Data!Z472^2</f>
        <v>25155.11609095932</v>
      </c>
      <c r="BD472">
        <f t="shared" si="349"/>
        <v>8.2532119062426599</v>
      </c>
      <c r="BE472">
        <f t="shared" si="369"/>
        <v>5504.0670202732299</v>
      </c>
      <c r="BF472">
        <f t="shared" si="370"/>
        <v>0.29520225439943637</v>
      </c>
      <c r="BG472">
        <f t="shared" si="350"/>
        <v>173.78736952650499</v>
      </c>
      <c r="BH472">
        <f t="shared" ref="BH472:BH533" si="374">AQ472*(AS472/9.588)</f>
        <v>3173.5043426934617</v>
      </c>
      <c r="BI472" s="148">
        <f t="shared" si="351"/>
        <v>6871.6622130335309</v>
      </c>
      <c r="BO472">
        <f t="shared" si="352"/>
        <v>595.8636503839665</v>
      </c>
      <c r="BP472">
        <f t="shared" si="353"/>
        <v>703458.92871836014</v>
      </c>
      <c r="BQ472">
        <f t="shared" si="354"/>
        <v>1073562.1055929696</v>
      </c>
      <c r="BR472" s="148">
        <f t="shared" si="355"/>
        <v>1060445.8249938581</v>
      </c>
      <c r="BS472" s="156">
        <f t="shared" si="356"/>
        <v>595.8636503839665</v>
      </c>
      <c r="BT472" s="156">
        <f t="shared" si="357"/>
        <v>3173.5043426934617</v>
      </c>
      <c r="BU472">
        <f t="shared" si="358"/>
        <v>1290.2373175858083</v>
      </c>
      <c r="BV472">
        <f t="shared" si="359"/>
        <v>1290.2373175858083</v>
      </c>
      <c r="BW472" s="148">
        <f t="shared" si="360"/>
        <v>455.4</v>
      </c>
      <c r="BX472" s="148">
        <f t="shared" si="361"/>
        <v>3129354.9718154697</v>
      </c>
      <c r="BY472" s="148">
        <f t="shared" si="362"/>
        <v>0.16321502067460472</v>
      </c>
      <c r="BZ472">
        <f t="shared" si="345"/>
        <v>154.13382597115512</v>
      </c>
      <c r="CB472">
        <f t="shared" si="363"/>
        <v>694.37366720184184</v>
      </c>
      <c r="CC472" s="162">
        <f t="shared" si="346"/>
        <v>3596.2906640313777</v>
      </c>
      <c r="CD472">
        <f t="shared" si="371"/>
        <v>-13848.221078137942</v>
      </c>
    </row>
    <row r="473" spans="4:82" x14ac:dyDescent="0.2">
      <c r="D473" s="22">
        <f t="shared" si="337"/>
        <v>-8.1005036960945555E-3</v>
      </c>
      <c r="E473" s="23">
        <v>8.8017047999999996</v>
      </c>
      <c r="F473" s="23">
        <f>IF(K473&lt;6,1,IF(Data!K473&lt;9,2,IF(K473&gt;9,3)))</f>
        <v>3</v>
      </c>
      <c r="G473" s="23">
        <v>1108.8945897590859</v>
      </c>
      <c r="H473" s="23">
        <v>220.86666499999998</v>
      </c>
      <c r="I473" s="64">
        <v>39.375254791996497</v>
      </c>
      <c r="J473" s="65">
        <f t="shared" si="338"/>
        <v>-15.764286745606849</v>
      </c>
      <c r="K473" s="65">
        <f t="shared" si="339"/>
        <v>15.750101916798599</v>
      </c>
      <c r="L473" s="65">
        <f t="shared" si="340"/>
        <v>-6.3057146982427401</v>
      </c>
      <c r="M473">
        <f t="shared" si="341"/>
        <v>17.603409599999999</v>
      </c>
      <c r="N473">
        <f t="shared" si="342"/>
        <v>-1.5802241894833813E-2</v>
      </c>
      <c r="O473">
        <f>IF(L473&lt;'Vehicle Data'!F$21,'Vehicle Data'!C$21,IF(L473&gt;'Vehicle Data'!C$21,'Vehicle Data'!C$20))</f>
        <v>0.6</v>
      </c>
      <c r="P473">
        <f>('Vehicle Data'!C$6*9.81*'Vehicle Data'!C$5*SIN(D473))/'Vehicle Data'!C$9</f>
        <v>-5.394613406118677</v>
      </c>
      <c r="Q473" s="107">
        <f>'Vehicle Data'!C$6*9.81*SIN(D473)</f>
        <v>-34.885166692900775</v>
      </c>
      <c r="R473">
        <f t="shared" si="336"/>
        <v>1106.9056818946522</v>
      </c>
      <c r="S473">
        <f>IF(Data!O473=0.6,'Vehicle Data'!E$21,IF(Data!O473 = 0.9,'Vehicle Data'!E$20))+(P473*O473)</f>
        <v>1547.1356319563286</v>
      </c>
      <c r="T473">
        <f>IF(F473=3,'Vehicle Data'!H$16,IF(F473=2,'Vehicle Data'!H$15,IF(F473 = 1,'Vehicle Data'!G$14)))</f>
        <v>466.23005239380637</v>
      </c>
      <c r="U473" s="148">
        <f t="shared" si="343"/>
        <v>390.7671997713361</v>
      </c>
      <c r="V473" s="70" t="s">
        <v>77</v>
      </c>
      <c r="W473" s="99" t="s">
        <v>84</v>
      </c>
      <c r="X473">
        <f>IF(V473="S",'Vehicle Data'!C$14,IF(Data!V473 = "T1",'Vehicle Data'!P$2,IF(Data!V473="T2",'Vehicle Data'!P$3)))</f>
        <v>13.411199999999999</v>
      </c>
      <c r="Z473">
        <f t="shared" si="373"/>
        <v>10.792330202510932</v>
      </c>
      <c r="AB473" t="b">
        <f>IF(AA473=1,'Vehicle Data'!I$14,IF(AA473=2,'Vehicle Data'!I$15,IF(AA473=3,'Vehicle Data'!I$16)))</f>
        <v>0</v>
      </c>
      <c r="AC473">
        <f>IF(Z473&lt;'Vehicle Data'!C$16,'Vehicle Data'!I$15,IF(Z473&lt;'Vehicle Data'!C$15,'Vehicle Data'!I$15,IF(Z472&gt;'Vehicle Data'!C$15,'Vehicle Data'!I$16)))</f>
        <v>0.46202745420001456</v>
      </c>
      <c r="AD473">
        <f>IF(O473=0.6,'Vehicle Data'!F$21,IF(O473=0.9,'Vehicle Data'!F$20))</f>
        <v>3.5315999999999996</v>
      </c>
      <c r="AE473" s="100">
        <f t="shared" si="372"/>
        <v>0.46202745420001456</v>
      </c>
      <c r="AF473" s="158">
        <f t="shared" si="364"/>
        <v>0.1877620403311743</v>
      </c>
      <c r="AG473" s="148">
        <f t="shared" si="347"/>
        <v>0.46389947355671785</v>
      </c>
      <c r="AH473" s="148">
        <f t="shared" si="365"/>
        <v>154.32158801148628</v>
      </c>
      <c r="AJ473">
        <f>(Z473^2)*'Vehicle Data'!C$31</f>
        <v>42.804338766010915</v>
      </c>
      <c r="AK473">
        <f>IF(O473=0.6,'Vehicle Data'!C$6*'Vehicle Data'!D$21*9.81,IF(O473=0.9,'Vehicle Data'!C$6*9.81*'Vehicle Data'!D$20))</f>
        <v>86.131799999999998</v>
      </c>
      <c r="AL473">
        <f t="shared" si="344"/>
        <v>94.050972073110131</v>
      </c>
      <c r="AN473">
        <f>IF(AG473&gt;0,AG473*'Vehicle Data'!C$6)</f>
        <v>203.65186889139915</v>
      </c>
      <c r="AO473">
        <f t="shared" si="348"/>
        <v>297.70284096450928</v>
      </c>
      <c r="AP473">
        <f>AO473*'Vehicle Data'!F$3</f>
        <v>76.092846150528572</v>
      </c>
      <c r="AQ473">
        <f>IF(AE473='Vehicle Data'!I$15,AP473/'Vehicle Data'!G$15,IF(AE473='Vehicle Data'!I$16,AP473/'Vehicle Data'!G$16,IF(AE473='Vehicle Data'!I$14,Data!AP473/'Vehicle Data'!G484)))</f>
        <v>14.047705564220317</v>
      </c>
      <c r="AR473">
        <f>IF(Z473&lt;'Vehicle Data'!C$16, Z473*'Vehicle Data'!F$7*'Vehicle Data'!G$14,IF(Z473&lt;'Vehicle Data'!C$15,Z473*'Vehicle Data'!F$7*'Vehicle Data'!G$15,IF(Z473&gt;'Vehicle Data'!C$15,Z473*'Vehicle Data'!F$7*'Vehicle Data'!G$16)))</f>
        <v>93.884603189344901</v>
      </c>
      <c r="AS473">
        <f t="shared" si="366"/>
        <v>5633.0761913606939</v>
      </c>
      <c r="AT473">
        <f t="shared" si="367"/>
        <v>14</v>
      </c>
      <c r="AU473">
        <f t="shared" si="368"/>
        <v>5500</v>
      </c>
      <c r="AW473">
        <f>VLOOKUP(AT473,BSFC!A$64:A$82,1,FALSE)</f>
        <v>14</v>
      </c>
      <c r="AX473" t="e" cm="1">
        <f t="array" ref="AX473">_xlfn.XLOOKUP(AT473,BSFC!A$64:A$82,,-1,_xlfn.XLOOKUP(Data!AU473,BSFC!C$63:Q$63,BSFC!B$64:Q$82,,-1))</f>
        <v>#VALUE!</v>
      </c>
      <c r="AY473">
        <f>HLOOKUP(AU473,BSFC!F$63:Q$63,1)</f>
        <v>5500</v>
      </c>
      <c r="AZ473">
        <f>IF(AT473&gt;0,MATCH(AT473,BSFC!A$64:A$83,0),IF(AT473&lt;=0,0))</f>
        <v>9</v>
      </c>
      <c r="BA473">
        <f>MATCH(AU473,BSFC!C$63:Q$63,0)</f>
        <v>11</v>
      </c>
      <c r="BB473" cm="1">
        <f t="array" ref="BB473">IF(AZ473&gt;0,INDEX(BSFC!C$64:Q$83,Data!AZ473,Data!BA473))</f>
        <v>638.75</v>
      </c>
      <c r="BC473">
        <f>0.5*'Vehicle Data'!C$6*Data!Z473^2</f>
        <v>25566.128868406511</v>
      </c>
      <c r="BD473">
        <f t="shared" si="349"/>
        <v>3.0147217367661661</v>
      </c>
      <c r="BE473">
        <f t="shared" si="369"/>
        <v>1925.6535093593886</v>
      </c>
      <c r="BF473">
        <f t="shared" si="370"/>
        <v>0.10043461996894579</v>
      </c>
      <c r="BG473">
        <f t="shared" si="350"/>
        <v>173.88780414647394</v>
      </c>
      <c r="BH473">
        <f t="shared" si="374"/>
        <v>8253.2119062426591</v>
      </c>
      <c r="BI473" s="148">
        <f t="shared" si="351"/>
        <v>6871.6622130335309</v>
      </c>
      <c r="BO473">
        <f t="shared" si="352"/>
        <v>1509.1166195121389</v>
      </c>
      <c r="BP473">
        <f t="shared" si="353"/>
        <v>704968.04533787223</v>
      </c>
      <c r="BQ473">
        <f t="shared" si="354"/>
        <v>1075071.2222124818</v>
      </c>
      <c r="BR473" s="148">
        <f t="shared" si="355"/>
        <v>1061702.3224359653</v>
      </c>
      <c r="BS473" s="156">
        <f t="shared" si="356"/>
        <v>1509.1166195121389</v>
      </c>
      <c r="BT473" s="156">
        <f t="shared" si="357"/>
        <v>8253.2119062426591</v>
      </c>
      <c r="BU473">
        <f t="shared" si="358"/>
        <v>1256.497442107185</v>
      </c>
      <c r="BV473">
        <f t="shared" si="359"/>
        <v>1256.497442107185</v>
      </c>
      <c r="BW473" s="148">
        <f t="shared" si="360"/>
        <v>455.4</v>
      </c>
      <c r="BX473" s="148">
        <f t="shared" si="361"/>
        <v>3129354.9718154697</v>
      </c>
      <c r="BY473" s="148">
        <f t="shared" si="362"/>
        <v>0.15894692642655886</v>
      </c>
      <c r="BZ473">
        <f t="shared" si="345"/>
        <v>154.32158801148628</v>
      </c>
      <c r="CB473">
        <f t="shared" si="363"/>
        <v>-252.61917740495392</v>
      </c>
      <c r="CC473" s="162">
        <f t="shared" si="346"/>
        <v>-1345.4219871034468</v>
      </c>
      <c r="CD473">
        <f t="shared" si="371"/>
        <v>-14100.840255542895</v>
      </c>
    </row>
    <row r="474" spans="4:82" x14ac:dyDescent="0.2">
      <c r="D474" s="22">
        <f t="shared" si="337"/>
        <v>-5.2348114525143222E-2</v>
      </c>
      <c r="E474" s="23">
        <v>8.7859025581051657</v>
      </c>
      <c r="F474" s="23">
        <f>IF(K474&lt;6,1,IF(Data!K474&lt;9,2,IF(K474&gt;9,3)))</f>
        <v>3</v>
      </c>
      <c r="G474" s="23">
        <v>1110.8453838464686</v>
      </c>
      <c r="H474" s="23">
        <v>220.91666499999999</v>
      </c>
      <c r="I474" s="64">
        <v>38.587040454715975</v>
      </c>
      <c r="J474" s="65">
        <f t="shared" si="338"/>
        <v>-16.146622275220572</v>
      </c>
      <c r="K474" s="65">
        <f t="shared" si="339"/>
        <v>15.43481618188639</v>
      </c>
      <c r="L474" s="65">
        <f t="shared" si="340"/>
        <v>-6.4586489100882361</v>
      </c>
      <c r="M474">
        <f t="shared" si="341"/>
        <v>17.571805116210331</v>
      </c>
      <c r="N474">
        <f t="shared" si="342"/>
        <v>-9.9999073581233944E-2</v>
      </c>
      <c r="O474">
        <f>IF(L474&lt;'Vehicle Data'!F$21,'Vehicle Data'!C$21,IF(L474&gt;'Vehicle Data'!C$21,'Vehicle Data'!C$20))</f>
        <v>0.6</v>
      </c>
      <c r="P474">
        <f>('Vehicle Data'!C$6*9.81*'Vehicle Data'!C$5*SIN(D474))/'Vehicle Data'!C$9</f>
        <v>-34.846224222519929</v>
      </c>
      <c r="Q474" s="107">
        <f>'Vehicle Data'!C$6*9.81*SIN(D474)</f>
        <v>-225.33891663896219</v>
      </c>
      <c r="R474">
        <f t="shared" si="336"/>
        <v>1108.8945897590859</v>
      </c>
      <c r="S474">
        <f>IF(Data!O474=0.6,'Vehicle Data'!E$21,IF(Data!O474 = 0.9,'Vehicle Data'!E$20))+(P474*O474)</f>
        <v>1529.4646654664878</v>
      </c>
      <c r="T474">
        <f>IF(F474=3,'Vehicle Data'!H$16,IF(F474=2,'Vehicle Data'!H$15,IF(F474 = 1,'Vehicle Data'!G$14)))</f>
        <v>466.23005239380637</v>
      </c>
      <c r="U474" s="148">
        <f t="shared" si="343"/>
        <v>392.75610763576981</v>
      </c>
      <c r="V474" s="70" t="s">
        <v>77</v>
      </c>
      <c r="W474" s="99" t="s">
        <v>84</v>
      </c>
      <c r="X474">
        <f>IF(V474="S",'Vehicle Data'!C$14,IF(Data!V474 = "T1",'Vehicle Data'!P$2,IF(Data!V474="T2",'Vehicle Data'!P$3)))</f>
        <v>13.411199999999999</v>
      </c>
      <c r="Z474">
        <f t="shared" si="373"/>
        <v>10.877143525508664</v>
      </c>
      <c r="AB474" t="b">
        <f>IF(AA474=1,'Vehicle Data'!I$14,IF(AA474=2,'Vehicle Data'!I$15,IF(AA474=3,'Vehicle Data'!I$16)))</f>
        <v>0</v>
      </c>
      <c r="AC474">
        <f>IF(Z474&lt;'Vehicle Data'!C$16,'Vehicle Data'!I$15,IF(Z474&lt;'Vehicle Data'!C$15,'Vehicle Data'!I$15,IF(Z473&gt;'Vehicle Data'!C$15,'Vehicle Data'!I$16)))</f>
        <v>0.46202745420001456</v>
      </c>
      <c r="AD474">
        <f>IF(O474=0.6,'Vehicle Data'!F$21,IF(O474=0.9,'Vehicle Data'!F$20))</f>
        <v>3.5315999999999996</v>
      </c>
      <c r="AE474" s="100">
        <f t="shared" si="372"/>
        <v>0.46202745420001456</v>
      </c>
      <c r="AF474" s="158">
        <f t="shared" si="364"/>
        <v>0.18285203829198374</v>
      </c>
      <c r="AG474" s="148">
        <f t="shared" si="347"/>
        <v>0.46383580839443328</v>
      </c>
      <c r="AH474" s="148">
        <f t="shared" si="365"/>
        <v>154.50444004977828</v>
      </c>
      <c r="AJ474">
        <f>(Z474^2)*'Vehicle Data'!C$31</f>
        <v>43.479752343384298</v>
      </c>
      <c r="AK474">
        <f>IF(O474=0.6,'Vehicle Data'!C$6*'Vehicle Data'!D$21*9.81,IF(O474=0.9,'Vehicle Data'!C$6*9.81*'Vehicle Data'!D$20))</f>
        <v>86.131799999999998</v>
      </c>
      <c r="AL474">
        <f t="shared" si="344"/>
        <v>-95.7273642955779</v>
      </c>
      <c r="AN474">
        <f>IF(AG474&gt;0,AG474*'Vehicle Data'!C$6)</f>
        <v>203.6239198851562</v>
      </c>
      <c r="AO474">
        <f t="shared" si="348"/>
        <v>107.8965555895783</v>
      </c>
      <c r="AP474">
        <f>AO474*'Vehicle Data'!F$3</f>
        <v>27.578359608696214</v>
      </c>
      <c r="AQ474">
        <f>IF(AE474='Vehicle Data'!I$15,AP474/'Vehicle Data'!G$15,IF(AE474='Vehicle Data'!I$16,AP474/'Vehicle Data'!G$16,IF(AE474='Vehicle Data'!I$14,Data!AP474/'Vehicle Data'!G485)))</f>
        <v>5.0913153512586744</v>
      </c>
      <c r="AR474">
        <f>IF(Z474&lt;'Vehicle Data'!C$16, Z474*'Vehicle Data'!F$7*'Vehicle Data'!G$14,IF(Z474&lt;'Vehicle Data'!C$15,Z474*'Vehicle Data'!F$7*'Vehicle Data'!G$15,IF(Z474&gt;'Vehicle Data'!C$15,Z474*'Vehicle Data'!F$7*'Vehicle Data'!G$16)))</f>
        <v>94.622410968146852</v>
      </c>
      <c r="AS474">
        <f t="shared" si="366"/>
        <v>5677.3446580888112</v>
      </c>
      <c r="AT474">
        <f t="shared" si="367"/>
        <v>5</v>
      </c>
      <c r="AU474">
        <f t="shared" si="368"/>
        <v>5500</v>
      </c>
      <c r="AW474">
        <f>VLOOKUP(AT474,BSFC!A$64:A$82,1,FALSE)</f>
        <v>5</v>
      </c>
      <c r="AX474" t="e" cm="1">
        <f t="array" ref="AX474">_xlfn.XLOOKUP(AT474,BSFC!A$64:A$82,,-1,_xlfn.XLOOKUP(Data!AU474,BSFC!C$63:Q$63,BSFC!B$64:Q$82,,-1))</f>
        <v>#VALUE!</v>
      </c>
      <c r="AY474">
        <f>HLOOKUP(AU474,BSFC!F$63:Q$63,1)</f>
        <v>5500</v>
      </c>
      <c r="AZ474">
        <f>IF(AT474&gt;0,MATCH(AT474,BSFC!A$64:A$83,0),IF(AT474&lt;=0,0))</f>
        <v>18</v>
      </c>
      <c r="BA474">
        <f>MATCH(AU474,BSFC!C$63:Q$63,0)</f>
        <v>11</v>
      </c>
      <c r="BB474" cm="1">
        <f t="array" ref="BB474">IF(AZ474&gt;0,INDEX(BSFC!C$64:Q$83,Data!AZ474,Data!BA474))</f>
        <v>666.9</v>
      </c>
      <c r="BC474">
        <f>0.5*'Vehicle Data'!C$6*Data!Z474^2</f>
        <v>25969.539154756058</v>
      </c>
      <c r="BD474">
        <f t="shared" si="349"/>
        <v>2.5537160864344544</v>
      </c>
      <c r="BE474">
        <f t="shared" si="369"/>
        <v>1703.0732580431375</v>
      </c>
      <c r="BF474">
        <f t="shared" si="370"/>
        <v>8.6502893498265898E-2</v>
      </c>
      <c r="BG474">
        <f t="shared" si="350"/>
        <v>173.97430703997222</v>
      </c>
      <c r="BH474">
        <f t="shared" si="374"/>
        <v>3014.721736766166</v>
      </c>
      <c r="BI474" s="148">
        <f t="shared" si="351"/>
        <v>6871.6622130335309</v>
      </c>
      <c r="BO474">
        <f t="shared" si="352"/>
        <v>536.61182056182201</v>
      </c>
      <c r="BP474">
        <f t="shared" si="353"/>
        <v>705504.65715843404</v>
      </c>
      <c r="BQ474">
        <f t="shared" si="354"/>
        <v>1075607.8340330436</v>
      </c>
      <c r="BR474" s="148">
        <f t="shared" si="355"/>
        <v>1062925.4585965774</v>
      </c>
      <c r="BS474" s="156">
        <f t="shared" si="356"/>
        <v>536.61182056182201</v>
      </c>
      <c r="BT474" s="156">
        <f t="shared" si="357"/>
        <v>3014.721736766166</v>
      </c>
      <c r="BU474">
        <f t="shared" si="358"/>
        <v>1223.1361606120308</v>
      </c>
      <c r="BV474">
        <f t="shared" si="359"/>
        <v>1223.1361606120308</v>
      </c>
      <c r="BW474" s="148">
        <f t="shared" si="360"/>
        <v>455.4</v>
      </c>
      <c r="BX474" s="148">
        <f t="shared" si="361"/>
        <v>3129354.9718154697</v>
      </c>
      <c r="BY474" s="148">
        <f t="shared" si="362"/>
        <v>0.15472672431742188</v>
      </c>
      <c r="BZ474">
        <f t="shared" si="345"/>
        <v>154.50444004977828</v>
      </c>
      <c r="CB474">
        <f t="shared" si="363"/>
        <v>686.52434005020882</v>
      </c>
      <c r="CC474" s="162">
        <f t="shared" si="346"/>
        <v>3754.5347947059454</v>
      </c>
      <c r="CD474">
        <f t="shared" si="371"/>
        <v>-13414.315915492685</v>
      </c>
    </row>
    <row r="475" spans="4:82" x14ac:dyDescent="0.2">
      <c r="D475" s="22">
        <f t="shared" si="337"/>
        <v>-9.8748767517272268E-2</v>
      </c>
      <c r="E475" s="23">
        <v>8.6859034845239318</v>
      </c>
      <c r="F475" s="23">
        <f>IF(K475&lt;6,1,IF(Data!K475&lt;9,2,IF(K475&gt;9,3)))</f>
        <v>3</v>
      </c>
      <c r="G475" s="23">
        <v>1112.7565273662726</v>
      </c>
      <c r="H475" s="23">
        <v>220.96666499999998</v>
      </c>
      <c r="I475" s="64">
        <v>37.779709340955222</v>
      </c>
      <c r="J475" s="65">
        <f t="shared" si="338"/>
        <v>-17.707863781131106</v>
      </c>
      <c r="K475" s="65">
        <f t="shared" si="339"/>
        <v>15.111883736382088</v>
      </c>
      <c r="L475" s="65">
        <f t="shared" si="340"/>
        <v>-7.0831455124524352</v>
      </c>
      <c r="M475">
        <f t="shared" si="341"/>
        <v>17.371806969047864</v>
      </c>
      <c r="N475">
        <f t="shared" si="342"/>
        <v>-0.18420188452393305</v>
      </c>
      <c r="O475">
        <f>IF(L475&lt;'Vehicle Data'!F$21,'Vehicle Data'!C$21,IF(L475&gt;'Vehicle Data'!C$21,'Vehicle Data'!C$20))</f>
        <v>0.6</v>
      </c>
      <c r="P475">
        <f>('Vehicle Data'!C$6*9.81*'Vehicle Data'!C$5*SIN(D475))/'Vehicle Data'!C$9</f>
        <v>-65.656644375071409</v>
      </c>
      <c r="Q475" s="107">
        <f>'Vehicle Data'!C$6*9.81*SIN(D475)</f>
        <v>-424.57963362546172</v>
      </c>
      <c r="R475">
        <f t="shared" si="336"/>
        <v>1110.8453838464686</v>
      </c>
      <c r="S475">
        <f>IF(Data!O475=0.6,'Vehicle Data'!E$21,IF(Data!O475 = 0.9,'Vehicle Data'!E$20))+(P475*O475)</f>
        <v>1510.978413374957</v>
      </c>
      <c r="T475">
        <f>IF(F475=3,'Vehicle Data'!H$16,IF(F475=2,'Vehicle Data'!H$15,IF(F475 = 1,'Vehicle Data'!G$14)))</f>
        <v>466.23005239380637</v>
      </c>
      <c r="U475" s="148">
        <f t="shared" si="343"/>
        <v>394.70690172315255</v>
      </c>
      <c r="V475" s="70" t="s">
        <v>77</v>
      </c>
      <c r="W475" s="99" t="s">
        <v>84</v>
      </c>
      <c r="X475">
        <f>IF(V475="S",'Vehicle Data'!C$14,IF(Data!V475 = "T1",'Vehicle Data'!P$2,IF(Data!V475="T2",'Vehicle Data'!P$3)))</f>
        <v>13.411199999999999</v>
      </c>
      <c r="Z475">
        <f>SQRT(Z474^2+2*AE474*(U475-U474))</f>
        <v>10.959693979588977</v>
      </c>
      <c r="AB475" t="b">
        <f>IF(AA475=1,'Vehicle Data'!I$14,IF(AA475=2,'Vehicle Data'!I$15,IF(AA475=3,'Vehicle Data'!I$16)))</f>
        <v>0</v>
      </c>
      <c r="AC475">
        <f>IF(Z475&lt;'Vehicle Data'!C$16,'Vehicle Data'!I$15,IF(Z475&lt;'Vehicle Data'!C$15,'Vehicle Data'!I$15,IF(Z474&gt;'Vehicle Data'!C$15,'Vehicle Data'!I$16)))</f>
        <v>0.46202745420001456</v>
      </c>
      <c r="AD475">
        <f>IF(O475=0.6,'Vehicle Data'!F$21,IF(O475=0.9,'Vehicle Data'!F$20))</f>
        <v>3.5315999999999996</v>
      </c>
      <c r="AE475" s="100">
        <f t="shared" si="372"/>
        <v>0.46202745420001456</v>
      </c>
      <c r="AF475" s="158">
        <f t="shared" si="364"/>
        <v>0.17799713121697103</v>
      </c>
      <c r="AG475" s="148">
        <f t="shared" si="347"/>
        <v>0.46377407049154534</v>
      </c>
      <c r="AH475" s="148">
        <f t="shared" si="365"/>
        <v>154.68243718099527</v>
      </c>
      <c r="AJ475">
        <f>(Z475^2)*'Vehicle Data'!C$31</f>
        <v>44.142222856392792</v>
      </c>
      <c r="AK475">
        <f>IF(O475=0.6,'Vehicle Data'!C$6*'Vehicle Data'!D$21*9.81,IF(O475=0.9,'Vehicle Data'!C$6*9.81*'Vehicle Data'!D$20))</f>
        <v>86.131799999999998</v>
      </c>
      <c r="AL475">
        <f t="shared" si="344"/>
        <v>-294.30561076906895</v>
      </c>
      <c r="AN475">
        <f>IF(AG475&gt;0,AG475*'Vehicle Data'!C$6)</f>
        <v>203.59681694578842</v>
      </c>
      <c r="AO475">
        <f t="shared" si="348"/>
        <v>-90.70879382328053</v>
      </c>
      <c r="AP475">
        <f>AO475*'Vehicle Data'!F$3</f>
        <v>-23.185167701230505</v>
      </c>
      <c r="AQ475">
        <f>IF(AE475='Vehicle Data'!I$15,AP475/'Vehicle Data'!G$15,IF(AE475='Vehicle Data'!I$16,AP475/'Vehicle Data'!G$16,IF(AE475='Vehicle Data'!I$14,Data!AP475/'Vehicle Data'!G486)))</f>
        <v>-4.2802763439765821</v>
      </c>
      <c r="AR475">
        <f>IF(Z475&lt;'Vehicle Data'!C$16, Z475*'Vehicle Data'!F$7*'Vehicle Data'!G$14,IF(Z475&lt;'Vehicle Data'!C$15,Z475*'Vehicle Data'!F$7*'Vehicle Data'!G$15,IF(Z475&gt;'Vehicle Data'!C$15,Z475*'Vehicle Data'!F$7*'Vehicle Data'!G$16)))</f>
        <v>95.340533605149488</v>
      </c>
      <c r="AS475">
        <f t="shared" si="366"/>
        <v>5720.4320163089697</v>
      </c>
      <c r="AT475">
        <f t="shared" si="367"/>
        <v>-4</v>
      </c>
      <c r="AU475">
        <f t="shared" si="368"/>
        <v>5500</v>
      </c>
      <c r="AW475" t="e">
        <f>VLOOKUP(AT475,BSFC!A$64:A$82,1,FALSE)</f>
        <v>#N/A</v>
      </c>
      <c r="AX475" t="e" cm="1">
        <f t="array" ref="AX475">_xlfn.XLOOKUP(AT475,BSFC!A$64:A$82,,-1,_xlfn.XLOOKUP(Data!AU475,BSFC!C$63:Q$63,BSFC!B$64:Q$82,,-1))</f>
        <v>#VALUE!</v>
      </c>
      <c r="AY475">
        <f>HLOOKUP(AU475,BSFC!F$63:Q$63,1)</f>
        <v>5500</v>
      </c>
      <c r="AZ475">
        <f>IF(AT475&gt;0,MATCH(AT475,BSFC!A$64:A$83,0),IF(AT475&lt;=0,0))</f>
        <v>0</v>
      </c>
      <c r="BA475">
        <f>MATCH(AU475,BSFC!C$63:Q$63,0)</f>
        <v>11</v>
      </c>
      <c r="BB475" t="b" cm="1">
        <f t="array" ref="BB475">IF(AZ475&gt;0,INDEX(BSFC!C$64:Q$83,Data!AZ475,Data!BA475))</f>
        <v>0</v>
      </c>
      <c r="BC475">
        <f>0.5*'Vehicle Data'!C$6*Data!Z475^2</f>
        <v>26365.21882170943</v>
      </c>
      <c r="BD475">
        <f t="shared" si="349"/>
        <v>2.7951287007683852</v>
      </c>
      <c r="BE475">
        <f t="shared" si="369"/>
        <v>0</v>
      </c>
      <c r="BF475">
        <f t="shared" si="370"/>
        <v>0</v>
      </c>
      <c r="BG475">
        <f t="shared" si="350"/>
        <v>173.97430703997222</v>
      </c>
      <c r="BH475">
        <f t="shared" si="374"/>
        <v>-2553.7160864344542</v>
      </c>
      <c r="BI475" s="148">
        <f t="shared" si="351"/>
        <v>6871.6622130335309</v>
      </c>
      <c r="BO475">
        <f t="shared" si="352"/>
        <v>-442.07718222520265</v>
      </c>
      <c r="BP475">
        <f t="shared" si="353"/>
        <v>705062.57997620886</v>
      </c>
      <c r="BQ475">
        <f t="shared" si="354"/>
        <v>1075607.8340330436</v>
      </c>
      <c r="BR475" s="148">
        <f t="shared" si="355"/>
        <v>1064115.0211656031</v>
      </c>
      <c r="BS475" s="156" t="b">
        <f t="shared" si="356"/>
        <v>0</v>
      </c>
      <c r="BT475" s="156">
        <f t="shared" si="357"/>
        <v>0</v>
      </c>
      <c r="BU475">
        <f t="shared" si="358"/>
        <v>1189.5625690257148</v>
      </c>
      <c r="BV475">
        <f t="shared" si="359"/>
        <v>1189.5625690257148</v>
      </c>
      <c r="BW475" s="148">
        <f t="shared" si="360"/>
        <v>455.4</v>
      </c>
      <c r="BX475" s="148">
        <f t="shared" si="361"/>
        <v>3129354.9718154697</v>
      </c>
      <c r="BY475" s="148">
        <f t="shared" si="362"/>
        <v>0.15047966498175291</v>
      </c>
      <c r="BZ475">
        <f t="shared" si="345"/>
        <v>154.68243718099527</v>
      </c>
      <c r="CB475">
        <f t="shared" si="363"/>
        <v>1189.5625690257148</v>
      </c>
      <c r="CC475" s="162">
        <f t="shared" si="346"/>
        <v>6683.0434900414484</v>
      </c>
      <c r="CD475">
        <f t="shared" si="371"/>
        <v>-12224.75334646697</v>
      </c>
    </row>
    <row r="476" spans="4:82" x14ac:dyDescent="0.2">
      <c r="D476" s="22">
        <f t="shared" si="337"/>
        <v>-5.481121412768504E-2</v>
      </c>
      <c r="E476" s="23">
        <v>8.5017015999999987</v>
      </c>
      <c r="F476" s="23">
        <f>IF(K476&lt;6,1,IF(Data!K476&lt;9,2,IF(K476&gt;9,3)))</f>
        <v>3</v>
      </c>
      <c r="G476" s="23">
        <v>1114.6249212576568</v>
      </c>
      <c r="H476" s="23">
        <v>221.01666499999999</v>
      </c>
      <c r="I476" s="64">
        <v>36.894316151898465</v>
      </c>
      <c r="J476" s="65">
        <f t="shared" si="338"/>
        <v>-16.307442358513512</v>
      </c>
      <c r="K476" s="65">
        <f t="shared" si="339"/>
        <v>14.757726460759386</v>
      </c>
      <c r="L476" s="65">
        <f t="shared" si="340"/>
        <v>-6.5229769434054052</v>
      </c>
      <c r="M476">
        <f t="shared" si="341"/>
        <v>17.003403199999997</v>
      </c>
      <c r="N476">
        <f t="shared" si="342"/>
        <v>-9.9998399999998711E-2</v>
      </c>
      <c r="O476">
        <f>IF(L476&lt;'Vehicle Data'!F$21,'Vehicle Data'!C$21,IF(L476&gt;'Vehicle Data'!C$21,'Vehicle Data'!C$20))</f>
        <v>0.6</v>
      </c>
      <c r="P476">
        <f>('Vehicle Data'!C$6*9.81*'Vehicle Data'!C$5*SIN(D476))/'Vehicle Data'!C$9</f>
        <v>-36.484214185496413</v>
      </c>
      <c r="Q476" s="107">
        <f>'Vehicle Data'!C$6*9.81*SIN(D476)</f>
        <v>-235.9312517328768</v>
      </c>
      <c r="R476">
        <f t="shared" si="336"/>
        <v>1112.7565273662726</v>
      </c>
      <c r="S476">
        <f>IF(Data!O476=0.6,'Vehicle Data'!E$21,IF(Data!O476 = 0.9,'Vehicle Data'!E$20))+(P476*O476)</f>
        <v>1528.4818714887019</v>
      </c>
      <c r="T476">
        <f>IF(F476=3,'Vehicle Data'!H$16,IF(F476=2,'Vehicle Data'!H$15,IF(F476 = 1,'Vehicle Data'!G$14)))</f>
        <v>466.23005239380637</v>
      </c>
      <c r="U476" s="148">
        <f t="shared" si="343"/>
        <v>396.61804524295655</v>
      </c>
      <c r="V476" s="70" t="s">
        <v>77</v>
      </c>
      <c r="W476" s="99" t="s">
        <v>84</v>
      </c>
      <c r="X476">
        <f>IF(V476="S",'Vehicle Data'!C$14,IF(Data!V476 = "T1",'Vehicle Data'!P$2,IF(Data!V476="T2",'Vehicle Data'!P$3)))</f>
        <v>13.411199999999999</v>
      </c>
      <c r="Z476">
        <f t="shared" ref="Z476:Z480" si="375">SQRT(Z475^2+2*AE475*(U476-U475))</f>
        <v>11.039968010658846</v>
      </c>
      <c r="AB476" t="b">
        <f>IF(AA476=1,'Vehicle Data'!I$14,IF(AA476=2,'Vehicle Data'!I$15,IF(AA476=3,'Vehicle Data'!I$16)))</f>
        <v>0</v>
      </c>
      <c r="AC476">
        <f>IF(Z476&lt;'Vehicle Data'!C$16,'Vehicle Data'!I$15,IF(Z476&lt;'Vehicle Data'!C$15,'Vehicle Data'!I$15,IF(Z475&gt;'Vehicle Data'!C$15,'Vehicle Data'!I$16)))</f>
        <v>0.46202745420001456</v>
      </c>
      <c r="AD476">
        <f>IF(O476=0.6,'Vehicle Data'!F$21,IF(O476=0.9,'Vehicle Data'!F$20))</f>
        <v>3.5315999999999996</v>
      </c>
      <c r="AE476" s="100">
        <f t="shared" si="372"/>
        <v>0.46202745420001456</v>
      </c>
      <c r="AF476" s="158">
        <f t="shared" si="364"/>
        <v>0.17311132767403248</v>
      </c>
      <c r="AG476" s="148">
        <f t="shared" si="347"/>
        <v>0.46371333492990713</v>
      </c>
      <c r="AH476" s="148">
        <f t="shared" si="365"/>
        <v>154.8555485086693</v>
      </c>
      <c r="AJ476">
        <f>(Z476^2)*'Vehicle Data'!C$31</f>
        <v>44.791228426066226</v>
      </c>
      <c r="AK476">
        <f>IF(O476=0.6,'Vehicle Data'!C$6*'Vehicle Data'!D$21*9.81,IF(O476=0.9,'Vehicle Data'!C$6*9.81*'Vehicle Data'!D$20))</f>
        <v>86.131799999999998</v>
      </c>
      <c r="AL476">
        <f t="shared" si="344"/>
        <v>-105.00822330681058</v>
      </c>
      <c r="AN476">
        <f>IF(AG476&gt;0,AG476*'Vehicle Data'!C$6)</f>
        <v>203.57015403422923</v>
      </c>
      <c r="AO476">
        <f t="shared" si="348"/>
        <v>98.561930727418655</v>
      </c>
      <c r="AP476">
        <f>AO476*'Vehicle Data'!F$3</f>
        <v>25.192429493928209</v>
      </c>
      <c r="AQ476">
        <f>IF(AE476='Vehicle Data'!I$15,AP476/'Vehicle Data'!G$15,IF(AE476='Vehicle Data'!I$16,AP476/'Vehicle Data'!G$16,IF(AE476='Vehicle Data'!I$14,Data!AP476/'Vehicle Data'!G487)))</f>
        <v>4.6508423574799487</v>
      </c>
      <c r="AR476">
        <f>IF(Z476&lt;'Vehicle Data'!C$16, Z476*'Vehicle Data'!F$7*'Vehicle Data'!G$14,IF(Z476&lt;'Vehicle Data'!C$15,Z476*'Vehicle Data'!F$7*'Vehicle Data'!G$15,IF(Z476&gt;'Vehicle Data'!C$15,Z476*'Vehicle Data'!F$7*'Vehicle Data'!G$16)))</f>
        <v>96.038853190631627</v>
      </c>
      <c r="AS476">
        <f t="shared" si="366"/>
        <v>5762.3311914378974</v>
      </c>
      <c r="AT476">
        <f t="shared" si="367"/>
        <v>5</v>
      </c>
      <c r="AU476">
        <f t="shared" si="368"/>
        <v>6000</v>
      </c>
      <c r="AW476">
        <f>VLOOKUP(AT476,BSFC!A$64:A$82,1,FALSE)</f>
        <v>5</v>
      </c>
      <c r="AX476" t="e" cm="1">
        <f t="array" ref="AX476">_xlfn.XLOOKUP(AT476,BSFC!A$64:A$82,,-1,_xlfn.XLOOKUP(Data!AU476,BSFC!C$63:Q$63,BSFC!B$64:Q$82,,-1))</f>
        <v>#VALUE!</v>
      </c>
      <c r="AY476">
        <f>HLOOKUP(AU476,BSFC!F$63:Q$63,1)</f>
        <v>6000</v>
      </c>
      <c r="AZ476">
        <f>IF(AT476&gt;0,MATCH(AT476,BSFC!A$64:A$83,0),IF(AT476&lt;=0,0))</f>
        <v>18</v>
      </c>
      <c r="BA476">
        <f>MATCH(AU476,BSFC!C$63:Q$63,0)</f>
        <v>12</v>
      </c>
      <c r="BB476" cm="1">
        <f t="array" ref="BB476">IF(AZ476&gt;0,INDEX(BSFC!C$64:Q$83,Data!AZ476,Data!BA476))</f>
        <v>600</v>
      </c>
      <c r="BC476">
        <f>0.5*'Vehicle Data'!C$6*Data!Z476^2</f>
        <v>26752.856161963358</v>
      </c>
      <c r="BD476">
        <f t="shared" si="349"/>
        <v>8.4827895723044264</v>
      </c>
      <c r="BE476">
        <f t="shared" si="369"/>
        <v>5089.6737433826556</v>
      </c>
      <c r="BF476">
        <f t="shared" si="370"/>
        <v>0.24474449420684288</v>
      </c>
      <c r="BG476">
        <f t="shared" si="350"/>
        <v>174.21905153417907</v>
      </c>
      <c r="BH476">
        <f t="shared" si="374"/>
        <v>2795.128700768385</v>
      </c>
      <c r="BI476" s="148">
        <f t="shared" si="351"/>
        <v>6871.6622130335309</v>
      </c>
      <c r="BO476">
        <f t="shared" si="352"/>
        <v>469.72970620267807</v>
      </c>
      <c r="BP476">
        <f t="shared" si="353"/>
        <v>705532.30968241149</v>
      </c>
      <c r="BQ476">
        <f t="shared" si="354"/>
        <v>1076077.5637392462</v>
      </c>
      <c r="BR476" s="148">
        <f t="shared" si="355"/>
        <v>1065269.8244745045</v>
      </c>
      <c r="BS476" s="156">
        <f t="shared" si="356"/>
        <v>469.72970620267807</v>
      </c>
      <c r="BT476" s="156">
        <f t="shared" si="357"/>
        <v>2795.128700768385</v>
      </c>
      <c r="BU476">
        <f t="shared" si="358"/>
        <v>1154.8033089012865</v>
      </c>
      <c r="BV476">
        <f t="shared" si="359"/>
        <v>1154.8033089012865</v>
      </c>
      <c r="BW476" s="148">
        <f t="shared" si="360"/>
        <v>455.4</v>
      </c>
      <c r="BX476" s="148">
        <f t="shared" si="361"/>
        <v>3129354.9718154697</v>
      </c>
      <c r="BY476" s="148">
        <f t="shared" si="362"/>
        <v>0.14608261857601273</v>
      </c>
      <c r="BZ476">
        <f t="shared" si="345"/>
        <v>154.8555485086693</v>
      </c>
      <c r="CB476">
        <f t="shared" si="363"/>
        <v>685.07360269860851</v>
      </c>
      <c r="CC476" s="162">
        <f t="shared" si="346"/>
        <v>3957.4163742108435</v>
      </c>
      <c r="CD476">
        <f t="shared" si="371"/>
        <v>-11539.679743768362</v>
      </c>
    </row>
    <row r="477" spans="4:82" x14ac:dyDescent="0.2">
      <c r="D477" s="22">
        <f t="shared" si="337"/>
        <v>-8.84161799070525E-3</v>
      </c>
      <c r="E477" s="23">
        <v>8.4017032</v>
      </c>
      <c r="F477" s="23">
        <f>IF(K477&lt;6,1,IF(Data!K477&lt;9,2,IF(K477&gt;9,3)))</f>
        <v>3</v>
      </c>
      <c r="G477" s="23">
        <v>1116.4502500612507</v>
      </c>
      <c r="H477" s="23">
        <v>221.066665</v>
      </c>
      <c r="I477" s="64">
        <v>36.078944033972604</v>
      </c>
      <c r="J477" s="65">
        <f t="shared" si="338"/>
        <v>-14.538014131482823</v>
      </c>
      <c r="K477" s="65">
        <f t="shared" si="339"/>
        <v>14.431577613589042</v>
      </c>
      <c r="L477" s="65">
        <f t="shared" si="340"/>
        <v>-5.8152056525931366</v>
      </c>
      <c r="M477">
        <f t="shared" si="341"/>
        <v>16.8034064</v>
      </c>
      <c r="N477">
        <f t="shared" si="342"/>
        <v>-1.5802115475887391E-2</v>
      </c>
      <c r="O477">
        <f>IF(L477&lt;'Vehicle Data'!F$21,'Vehicle Data'!C$21,IF(L477&gt;'Vehicle Data'!C$21,'Vehicle Data'!C$20))</f>
        <v>0.6</v>
      </c>
      <c r="P477">
        <f>('Vehicle Data'!C$6*9.81*'Vehicle Data'!C$5*SIN(D477))/'Vehicle Data'!C$9</f>
        <v>-5.8881537394421875</v>
      </c>
      <c r="Q477" s="107">
        <f>'Vehicle Data'!C$6*9.81*SIN(D477)</f>
        <v>-38.076727515059481</v>
      </c>
      <c r="R477">
        <f t="shared" si="336"/>
        <v>1114.6249212576568</v>
      </c>
      <c r="S477">
        <f>IF(Data!O477=0.6,'Vehicle Data'!E$21,IF(Data!O477 = 0.9,'Vehicle Data'!E$20))+(P477*O477)</f>
        <v>1546.8395077563343</v>
      </c>
      <c r="T477">
        <f>IF(F477=3,'Vehicle Data'!H$16,IF(F477=2,'Vehicle Data'!H$15,IF(F477 = 1,'Vehicle Data'!G$14)))</f>
        <v>466.23005239380637</v>
      </c>
      <c r="U477" s="148">
        <f t="shared" si="343"/>
        <v>398.48643913434069</v>
      </c>
      <c r="V477" s="70" t="s">
        <v>77</v>
      </c>
      <c r="W477" s="99" t="s">
        <v>84</v>
      </c>
      <c r="X477">
        <f>IF(V477="S",'Vehicle Data'!C$14,IF(Data!V477 = "T1",'Vehicle Data'!P$2,IF(Data!V477="T2",'Vehicle Data'!P$3)))</f>
        <v>13.411199999999999</v>
      </c>
      <c r="Z477">
        <f t="shared" si="375"/>
        <v>11.117886140023597</v>
      </c>
      <c r="AB477" t="b">
        <f>IF(AA477=1,'Vehicle Data'!I$14,IF(AA477=2,'Vehicle Data'!I$15,IF(AA477=3,'Vehicle Data'!I$16)))</f>
        <v>0</v>
      </c>
      <c r="AC477">
        <f>IF(Z477&lt;'Vehicle Data'!C$16,'Vehicle Data'!I$15,IF(Z477&lt;'Vehicle Data'!C$15,'Vehicle Data'!I$15,IF(Z476&gt;'Vehicle Data'!C$15,'Vehicle Data'!I$16)))</f>
        <v>0.46202745420001456</v>
      </c>
      <c r="AD477">
        <f>IF(O477=0.6,'Vehicle Data'!F$21,IF(O477=0.9,'Vehicle Data'!F$20))</f>
        <v>3.5315999999999996</v>
      </c>
      <c r="AE477" s="100">
        <f t="shared" si="372"/>
        <v>0.46202745420001456</v>
      </c>
      <c r="AF477" s="158">
        <f t="shared" si="364"/>
        <v>0.1680529794830373</v>
      </c>
      <c r="AG477" s="148">
        <f t="shared" si="347"/>
        <v>0.46365217447760393</v>
      </c>
      <c r="AH477" s="148">
        <f t="shared" si="365"/>
        <v>155.02360148815234</v>
      </c>
      <c r="AJ477">
        <f>(Z477^2)*'Vehicle Data'!C$31</f>
        <v>45.425716641779346</v>
      </c>
      <c r="AK477">
        <f>IF(O477=0.6,'Vehicle Data'!C$6*'Vehicle Data'!D$21*9.81,IF(O477=0.9,'Vehicle Data'!C$6*9.81*'Vehicle Data'!D$20))</f>
        <v>86.131799999999998</v>
      </c>
      <c r="AL477">
        <f t="shared" si="344"/>
        <v>93.480789126719856</v>
      </c>
      <c r="AN477">
        <f>IF(AG477&gt;0,AG477*'Vehicle Data'!C$6)</f>
        <v>203.54330459566813</v>
      </c>
      <c r="AO477">
        <f t="shared" si="348"/>
        <v>297.02409372238799</v>
      </c>
      <c r="AP477">
        <f>AO477*'Vehicle Data'!F$3</f>
        <v>75.91935835544237</v>
      </c>
      <c r="AQ477">
        <f>IF(AE477='Vehicle Data'!I$15,AP477/'Vehicle Data'!G$15,IF(AE477='Vehicle Data'!I$16,AP477/'Vehicle Data'!G$16,IF(AE477='Vehicle Data'!I$14,Data!AP477/'Vehicle Data'!G488)))</f>
        <v>14.01567751444103</v>
      </c>
      <c r="AR477">
        <f>IF(Z477&lt;'Vehicle Data'!C$16, Z477*'Vehicle Data'!F$7*'Vehicle Data'!G$14,IF(Z477&lt;'Vehicle Data'!C$15,Z477*'Vehicle Data'!F$7*'Vehicle Data'!G$15,IF(Z477&gt;'Vehicle Data'!C$15,Z477*'Vehicle Data'!F$7*'Vehicle Data'!G$16)))</f>
        <v>96.71667832379552</v>
      </c>
      <c r="AS477">
        <f t="shared" si="366"/>
        <v>5803.000699427731</v>
      </c>
      <c r="AT477">
        <f t="shared" si="367"/>
        <v>14</v>
      </c>
      <c r="AU477">
        <f t="shared" si="368"/>
        <v>6000</v>
      </c>
      <c r="AW477">
        <f>VLOOKUP(AT477,BSFC!A$64:A$82,1,FALSE)</f>
        <v>14</v>
      </c>
      <c r="AX477" t="e" cm="1">
        <f t="array" ref="AX477">_xlfn.XLOOKUP(AT477,BSFC!A$64:A$82,,-1,_xlfn.XLOOKUP(Data!AU477,BSFC!C$63:Q$63,BSFC!B$64:Q$82,,-1))</f>
        <v>#VALUE!</v>
      </c>
      <c r="AY477">
        <f>HLOOKUP(AU477,BSFC!F$63:Q$63,1)</f>
        <v>6000</v>
      </c>
      <c r="AZ477">
        <f>IF(AT477&gt;0,MATCH(AT477,BSFC!A$64:A$83,0),IF(AT477&lt;=0,0))</f>
        <v>9</v>
      </c>
      <c r="BA477">
        <f>MATCH(AU477,BSFC!C$63:Q$63,0)</f>
        <v>12</v>
      </c>
      <c r="BB477" cm="1">
        <f t="array" ref="BB477">IF(AZ477&gt;0,INDEX(BSFC!C$64:Q$83,Data!AZ477,Data!BA477))</f>
        <v>564.5</v>
      </c>
      <c r="BC477">
        <f>0.5*'Vehicle Data'!C$6*Data!Z477^2</f>
        <v>27131.82259284507</v>
      </c>
      <c r="BD477">
        <f t="shared" si="349"/>
        <v>2.8274869989526277</v>
      </c>
      <c r="BE477">
        <f t="shared" si="369"/>
        <v>1596.1164109087583</v>
      </c>
      <c r="BF477">
        <f t="shared" si="370"/>
        <v>7.4508921793052407E-2</v>
      </c>
      <c r="BG477">
        <f t="shared" si="350"/>
        <v>174.29356045597211</v>
      </c>
      <c r="BH477">
        <f t="shared" si="374"/>
        <v>8482.7895723044257</v>
      </c>
      <c r="BI477" s="148">
        <f t="shared" si="351"/>
        <v>6871.6622130335309</v>
      </c>
      <c r="BO477">
        <f t="shared" si="352"/>
        <v>1383.2940116790141</v>
      </c>
      <c r="BP477">
        <f t="shared" si="353"/>
        <v>706915.6036940905</v>
      </c>
      <c r="BQ477">
        <f t="shared" si="354"/>
        <v>1077460.8577509252</v>
      </c>
      <c r="BR477" s="148">
        <f t="shared" si="355"/>
        <v>1066390.3909000356</v>
      </c>
      <c r="BS477" s="156">
        <f t="shared" si="356"/>
        <v>1383.2940116790141</v>
      </c>
      <c r="BT477" s="156">
        <f t="shared" si="357"/>
        <v>8482.7895723044257</v>
      </c>
      <c r="BU477">
        <f t="shared" si="358"/>
        <v>1120.566425531169</v>
      </c>
      <c r="BV477">
        <f t="shared" si="359"/>
        <v>1120.566425531169</v>
      </c>
      <c r="BW477" s="148">
        <f t="shared" si="360"/>
        <v>455.4</v>
      </c>
      <c r="BX477" s="148">
        <f t="shared" si="361"/>
        <v>3129354.9718154697</v>
      </c>
      <c r="BY477" s="148">
        <f t="shared" si="362"/>
        <v>0.14175165282969285</v>
      </c>
      <c r="BZ477">
        <f t="shared" si="345"/>
        <v>155.02360148815234</v>
      </c>
      <c r="CB477">
        <f t="shared" si="363"/>
        <v>-262.72758614784516</v>
      </c>
      <c r="CC477" s="162">
        <f t="shared" si="346"/>
        <v>-1563.3616669936252</v>
      </c>
      <c r="CD477">
        <f t="shared" si="371"/>
        <v>-11802.407329916206</v>
      </c>
    </row>
    <row r="478" spans="4:82" x14ac:dyDescent="0.2">
      <c r="D478" s="22">
        <f t="shared" si="337"/>
        <v>-4.813391848855228E-2</v>
      </c>
      <c r="E478" s="23">
        <v>8.3859010845241126</v>
      </c>
      <c r="F478" s="23">
        <f>IF(K478&lt;6,1,IF(Data!K478&lt;9,2,IF(K478&gt;9,3)))</f>
        <v>3</v>
      </c>
      <c r="G478" s="23">
        <v>1118.2375158513685</v>
      </c>
      <c r="H478" s="23">
        <v>221.11666499999998</v>
      </c>
      <c r="I478" s="64">
        <v>35.352043327398711</v>
      </c>
      <c r="J478" s="65">
        <f t="shared" si="338"/>
        <v>-15.498825303385956</v>
      </c>
      <c r="K478" s="65">
        <f t="shared" si="339"/>
        <v>14.140817330959484</v>
      </c>
      <c r="L478" s="65">
        <f t="shared" si="340"/>
        <v>-6.1995301213543756</v>
      </c>
      <c r="M478">
        <f t="shared" si="341"/>
        <v>16.771802169048225</v>
      </c>
      <c r="N478">
        <f t="shared" si="342"/>
        <v>-8.4196284524113096E-2</v>
      </c>
      <c r="O478">
        <f>'Vehicle Data'!C$20</f>
        <v>0.9</v>
      </c>
      <c r="P478">
        <f>('Vehicle Data'!C$6*9.81*'Vehicle Data'!C$5*SIN(D478))/'Vehicle Data'!C$9</f>
        <v>-32.043249893553408</v>
      </c>
      <c r="Q478" s="107">
        <f>'Vehicle Data'!C$6*9.81*SIN(D478)</f>
        <v>-207.21301597831206</v>
      </c>
      <c r="R478">
        <f t="shared" si="336"/>
        <v>1116.4502500612507</v>
      </c>
      <c r="S478">
        <f>IF(Data!O478=0.6,'Vehicle Data'!E$21,IF(Data!O478 = 0.9,'Vehicle Data'!E$20))+(P478*O478)</f>
        <v>2296.7196750958019</v>
      </c>
      <c r="T478">
        <f>IF(F478=3,'Vehicle Data'!H$16,IF(F478=2,'Vehicle Data'!H$15,IF(F478 = 1,'Vehicle Data'!G$14)))</f>
        <v>466.23005239380637</v>
      </c>
      <c r="U478" s="148">
        <f t="shared" si="343"/>
        <v>400.31176793793463</v>
      </c>
      <c r="V478" s="70" t="s">
        <v>77</v>
      </c>
      <c r="W478" s="99" t="s">
        <v>84</v>
      </c>
      <c r="X478">
        <f>IF(V478="S",'Vehicle Data'!C$14,IF(Data!V478 = "T1",'Vehicle Data'!P$2,IF(Data!V478="T2",'Vehicle Data'!P$3)))</f>
        <v>13.411199999999999</v>
      </c>
      <c r="Z478">
        <f t="shared" si="375"/>
        <v>11.193484545168841</v>
      </c>
      <c r="AB478" t="b">
        <f>IF(AA478=1,'Vehicle Data'!I$14,IF(AA478=2,'Vehicle Data'!I$15,IF(AA478=3,'Vehicle Data'!I$16)))</f>
        <v>0</v>
      </c>
      <c r="AC478">
        <f>IF(Z478&lt;'Vehicle Data'!C$16,'Vehicle Data'!I$15,IF(Z478&lt;'Vehicle Data'!C$15,'Vehicle Data'!I$15,IF(Z477&gt;'Vehicle Data'!C$15,'Vehicle Data'!I$16)))</f>
        <v>0.46202745420001456</v>
      </c>
      <c r="AD478">
        <f>IF(O478=0.6,'Vehicle Data'!F$21,IF(O478=0.9,'Vehicle Data'!F$20))</f>
        <v>5.2973999999999997</v>
      </c>
      <c r="AE478" s="100">
        <f t="shared" si="372"/>
        <v>0.46202745420001456</v>
      </c>
      <c r="AF478" s="158">
        <f t="shared" si="364"/>
        <v>0.16307065027232898</v>
      </c>
      <c r="AG478" s="148">
        <f t="shared" si="347"/>
        <v>0.46359295813805207</v>
      </c>
      <c r="AH478" s="148">
        <f t="shared" si="365"/>
        <v>155.18667213842465</v>
      </c>
      <c r="AJ478">
        <f>(Z478^2)*'Vehicle Data'!C$31</f>
        <v>46.045580376628152</v>
      </c>
      <c r="AK478">
        <f>IF(O478=0.6,'Vehicle Data'!C$6*'Vehicle Data'!D$21*9.81,IF(O478=0.9,'Vehicle Data'!C$6*9.81*'Vehicle Data'!D$20))</f>
        <v>55.985669999999999</v>
      </c>
      <c r="AL478">
        <f t="shared" si="344"/>
        <v>-105.18176560168391</v>
      </c>
      <c r="AN478">
        <f>IF(AG478&gt;0,AG478*'Vehicle Data'!C$6)</f>
        <v>203.51730862260487</v>
      </c>
      <c r="AO478">
        <f t="shared" si="348"/>
        <v>98.335543020920966</v>
      </c>
      <c r="AP478">
        <f>AO478*'Vehicle Data'!F$3</f>
        <v>25.134564796147398</v>
      </c>
      <c r="AQ478">
        <f>IF(AE478='Vehicle Data'!I$15,AP478/'Vehicle Data'!G$15,IF(AE478='Vehicle Data'!I$16,AP478/'Vehicle Data'!G$16,IF(AE478='Vehicle Data'!I$14,Data!AP478/'Vehicle Data'!G489)))</f>
        <v>4.6401597995509238</v>
      </c>
      <c r="AR478">
        <f>IF(Z478&lt;'Vehicle Data'!C$16, Z478*'Vehicle Data'!F$7*'Vehicle Data'!G$14,IF(Z478&lt;'Vehicle Data'!C$15,Z478*'Vehicle Data'!F$7*'Vehicle Data'!G$15,IF(Z478&gt;'Vehicle Data'!C$15,Z478*'Vehicle Data'!F$7*'Vehicle Data'!G$16)))</f>
        <v>97.374323719704307</v>
      </c>
      <c r="AS478">
        <f t="shared" si="366"/>
        <v>5842.4594231822584</v>
      </c>
      <c r="AT478">
        <f t="shared" si="367"/>
        <v>5</v>
      </c>
      <c r="AU478">
        <f t="shared" si="368"/>
        <v>6000</v>
      </c>
      <c r="AW478">
        <f>VLOOKUP(AT478,BSFC!A$64:A$82,1,FALSE)</f>
        <v>5</v>
      </c>
      <c r="AX478" t="e" cm="1">
        <f t="array" ref="AX478">_xlfn.XLOOKUP(AT478,BSFC!A$64:A$82,,-1,_xlfn.XLOOKUP(Data!AU478,BSFC!C$63:Q$63,BSFC!B$64:Q$82,,-1))</f>
        <v>#VALUE!</v>
      </c>
      <c r="AY478">
        <f>HLOOKUP(AU478,BSFC!F$63:Q$63,1)</f>
        <v>6000</v>
      </c>
      <c r="AZ478">
        <f>IF(AT478&gt;0,MATCH(AT478,BSFC!A$64:A$83,0),IF(AT478&lt;=0,0))</f>
        <v>18</v>
      </c>
      <c r="BA478">
        <f>MATCH(AU478,BSFC!C$63:Q$63,0)</f>
        <v>12</v>
      </c>
      <c r="BB478" cm="1">
        <f t="array" ref="BB478">IF(AZ478&gt;0,INDEX(BSFC!C$64:Q$83,Data!AZ478,Data!BA478))</f>
        <v>600</v>
      </c>
      <c r="BC478">
        <f>0.5*'Vehicle Data'!C$6*Data!Z478^2</f>
        <v>27502.05412971395</v>
      </c>
      <c r="BD478">
        <f t="shared" si="349"/>
        <v>8.8601844589240741</v>
      </c>
      <c r="BE478">
        <f t="shared" si="369"/>
        <v>5316.1106753544445</v>
      </c>
      <c r="BF478">
        <f t="shared" si="370"/>
        <v>0.24080600687492201</v>
      </c>
      <c r="BG478">
        <f t="shared" si="350"/>
        <v>174.53436646284703</v>
      </c>
      <c r="BH478">
        <f t="shared" si="374"/>
        <v>2827.4869989526278</v>
      </c>
      <c r="BI478" s="148">
        <f t="shared" si="351"/>
        <v>6871.6622130335309</v>
      </c>
      <c r="BO478">
        <f t="shared" si="352"/>
        <v>448.51904126789793</v>
      </c>
      <c r="BP478">
        <f t="shared" si="353"/>
        <v>707364.12273535843</v>
      </c>
      <c r="BQ478">
        <f t="shared" si="354"/>
        <v>1077909.3767921932</v>
      </c>
      <c r="BR478" s="148">
        <f t="shared" si="355"/>
        <v>1067480.4299873412</v>
      </c>
      <c r="BS478" s="156">
        <f t="shared" si="356"/>
        <v>448.51904126789793</v>
      </c>
      <c r="BT478" s="156">
        <f t="shared" si="357"/>
        <v>2827.4869989526278</v>
      </c>
      <c r="BU478">
        <f t="shared" si="358"/>
        <v>1090.0390873055535</v>
      </c>
      <c r="BV478">
        <f t="shared" si="359"/>
        <v>1090.0390873055535</v>
      </c>
      <c r="BW478" s="148">
        <f t="shared" si="360"/>
        <v>455.4</v>
      </c>
      <c r="BX478" s="148">
        <f t="shared" si="361"/>
        <v>3129354.9718154697</v>
      </c>
      <c r="BY478" s="148">
        <f t="shared" si="362"/>
        <v>0.13788994454415252</v>
      </c>
      <c r="BZ478">
        <f t="shared" si="345"/>
        <v>155.18667213842465</v>
      </c>
      <c r="CB478">
        <f t="shared" si="363"/>
        <v>641.52004603765556</v>
      </c>
      <c r="CC478" s="162">
        <f t="shared" si="346"/>
        <v>3934.0006614701033</v>
      </c>
      <c r="CD478">
        <f t="shared" si="371"/>
        <v>-11160.88728387855</v>
      </c>
    </row>
    <row r="479" spans="4:82" x14ac:dyDescent="0.2">
      <c r="D479" s="22">
        <f t="shared" si="337"/>
        <v>0</v>
      </c>
      <c r="E479" s="23">
        <v>8.3017047999999996</v>
      </c>
      <c r="F479" s="23">
        <f>IF(K479&lt;6,1,IF(Data!K479&lt;9,2,IF(K479&gt;9,3)))</f>
        <v>3</v>
      </c>
      <c r="G479" s="23">
        <v>1119.9874005063298</v>
      </c>
      <c r="H479" s="23">
        <v>221.16666499999999</v>
      </c>
      <c r="I479" s="64">
        <v>34.577102062229237</v>
      </c>
      <c r="J479" s="65">
        <f t="shared" si="338"/>
        <v>-16.294258802782636</v>
      </c>
      <c r="K479" s="65">
        <f t="shared" si="339"/>
        <v>13.830840824891695</v>
      </c>
      <c r="L479" s="65">
        <f t="shared" si="340"/>
        <v>-6.5177035211130478</v>
      </c>
      <c r="M479">
        <f t="shared" si="341"/>
        <v>16.603409599999999</v>
      </c>
      <c r="N479">
        <v>0</v>
      </c>
      <c r="O479">
        <f>'Vehicle Data'!C$20</f>
        <v>0.9</v>
      </c>
      <c r="P479">
        <f>('Vehicle Data'!C$6*9.81*'Vehicle Data'!C$5*SIN(D479))/'Vehicle Data'!C$9</f>
        <v>0</v>
      </c>
      <c r="Q479" s="107">
        <f>'Vehicle Data'!C$6*9.81*SIN(D479)</f>
        <v>0</v>
      </c>
      <c r="R479">
        <f t="shared" si="336"/>
        <v>1118.2375158513685</v>
      </c>
      <c r="S479">
        <f>IF(Data!O479=0.6,'Vehicle Data'!E$21,IF(Data!O479 = 0.9,'Vehicle Data'!E$20))+(P479*O479)</f>
        <v>2325.5585999999998</v>
      </c>
      <c r="T479">
        <f>IF(F479=3,'Vehicle Data'!H$16,IF(F479=2,'Vehicle Data'!H$15,IF(F479 = 1,'Vehicle Data'!G$14)))</f>
        <v>466.23005239380637</v>
      </c>
      <c r="U479" s="148">
        <f t="shared" si="343"/>
        <v>402.0990337280524</v>
      </c>
      <c r="V479" s="70" t="s">
        <v>77</v>
      </c>
      <c r="W479" s="99" t="s">
        <v>84</v>
      </c>
      <c r="X479">
        <f>IF(V479="S",'Vehicle Data'!C$14,IF(Data!V479 = "T1",'Vehicle Data'!P$2,IF(Data!V479="T2",'Vehicle Data'!P$3)))</f>
        <v>13.411199999999999</v>
      </c>
      <c r="Z479">
        <f t="shared" si="375"/>
        <v>11.267015043431313</v>
      </c>
      <c r="AB479" t="b">
        <f>IF(AA479=1,'Vehicle Data'!I$14,IF(AA479=2,'Vehicle Data'!I$15,IF(AA479=3,'Vehicle Data'!I$16)))</f>
        <v>0</v>
      </c>
      <c r="AC479">
        <f>IF(Z479&lt;'Vehicle Data'!C$16,'Vehicle Data'!I$15,IF(Z479&lt;'Vehicle Data'!C$15,'Vehicle Data'!I$15,IF(Z478&gt;'Vehicle Data'!C$15,'Vehicle Data'!I$16)))</f>
        <v>0.46202745420001456</v>
      </c>
      <c r="AD479">
        <f>IF(O479=0.6,'Vehicle Data'!F$21,IF(O479=0.9,'Vehicle Data'!F$20))</f>
        <v>5.2973999999999997</v>
      </c>
      <c r="AE479" s="100">
        <f t="shared" si="372"/>
        <v>0.46202745420001456</v>
      </c>
      <c r="AF479" s="158">
        <f t="shared" si="364"/>
        <v>0.15862815335102889</v>
      </c>
      <c r="AG479" s="148">
        <f t="shared" si="347"/>
        <v>0.46354002558269219</v>
      </c>
      <c r="AH479" s="148">
        <f t="shared" si="365"/>
        <v>155.34530029177569</v>
      </c>
      <c r="AJ479">
        <f>(Z479^2)*'Vehicle Data'!C$31</f>
        <v>46.65251828592352</v>
      </c>
      <c r="AK479">
        <f>IF(O479=0.6,'Vehicle Data'!C$6*'Vehicle Data'!D$21*9.81,IF(O479=0.9,'Vehicle Data'!C$6*9.81*'Vehicle Data'!D$20))</f>
        <v>55.985669999999999</v>
      </c>
      <c r="AL479">
        <f t="shared" si="344"/>
        <v>102.63818828592352</v>
      </c>
      <c r="AN479">
        <f>IF(AG479&gt;0,AG479*'Vehicle Data'!C$6)</f>
        <v>203.49407123080186</v>
      </c>
      <c r="AO479">
        <f t="shared" si="348"/>
        <v>306.13225951672541</v>
      </c>
      <c r="AP479">
        <f>AO479*'Vehicle Data'!F$3</f>
        <v>78.247405532475014</v>
      </c>
      <c r="AQ479">
        <f>IF(AE479='Vehicle Data'!I$15,AP479/'Vehicle Data'!G$15,IF(AE479='Vehicle Data'!I$16,AP479/'Vehicle Data'!G$16,IF(AE479='Vehicle Data'!I$14,Data!AP479/'Vehicle Data'!G490)))</f>
        <v>14.445464582963526</v>
      </c>
      <c r="AR479">
        <f>IF(Z479&lt;'Vehicle Data'!C$16, Z479*'Vehicle Data'!F$7*'Vehicle Data'!G$14,IF(Z479&lt;'Vehicle Data'!C$15,Z479*'Vehicle Data'!F$7*'Vehicle Data'!G$15,IF(Z479&gt;'Vehicle Data'!C$15,Z479*'Vehicle Data'!F$7*'Vehicle Data'!G$16)))</f>
        <v>98.013979986900495</v>
      </c>
      <c r="AS479">
        <f t="shared" si="366"/>
        <v>5880.8387992140297</v>
      </c>
      <c r="AT479">
        <f t="shared" si="367"/>
        <v>14</v>
      </c>
      <c r="AU479">
        <f t="shared" si="368"/>
        <v>6000</v>
      </c>
      <c r="AW479">
        <f>VLOOKUP(AT479,BSFC!A$64:A$82,1,FALSE)</f>
        <v>14</v>
      </c>
      <c r="AX479" t="e" cm="1">
        <f t="array" ref="AX479">_xlfn.XLOOKUP(AT479,BSFC!A$64:A$82,,-1,_xlfn.XLOOKUP(Data!AU479,BSFC!C$63:Q$63,BSFC!B$64:Q$82,,-1))</f>
        <v>#VALUE!</v>
      </c>
      <c r="AY479">
        <f>HLOOKUP(AU479,BSFC!F$63:Q$63,1)</f>
        <v>6000</v>
      </c>
      <c r="AZ479">
        <f>IF(AT479&gt;0,MATCH(AT479,BSFC!A$64:A$83,0),IF(AT479&lt;=0,0))</f>
        <v>9</v>
      </c>
      <c r="BA479">
        <f>MATCH(AU479,BSFC!C$63:Q$63,0)</f>
        <v>12</v>
      </c>
      <c r="BB479" cm="1">
        <f t="array" ref="BB479">IF(AZ479&gt;0,INDEX(BSFC!C$64:Q$83,Data!AZ479,Data!BA479))</f>
        <v>564.5</v>
      </c>
      <c r="BC479">
        <f>0.5*'Vehicle Data'!C$6*Data!Z479^2</f>
        <v>27864.565343565198</v>
      </c>
      <c r="BD479">
        <f t="shared" si="349"/>
        <v>8.9330961251709109</v>
      </c>
      <c r="BE479">
        <f t="shared" si="369"/>
        <v>5042.7327626589795</v>
      </c>
      <c r="BF479">
        <f t="shared" si="370"/>
        <v>0.22219982943981281</v>
      </c>
      <c r="BG479">
        <f t="shared" si="350"/>
        <v>174.75656629228683</v>
      </c>
      <c r="BH479">
        <f t="shared" si="374"/>
        <v>8860.1844589240736</v>
      </c>
      <c r="BI479" s="148">
        <f t="shared" si="351"/>
        <v>6871.6622130335309</v>
      </c>
      <c r="BO479">
        <f t="shared" si="352"/>
        <v>1367.3976629099309</v>
      </c>
      <c r="BP479">
        <f t="shared" si="353"/>
        <v>708731.52039826836</v>
      </c>
      <c r="BQ479">
        <f t="shared" si="354"/>
        <v>1079276.7744551031</v>
      </c>
      <c r="BR479" s="148">
        <f t="shared" si="355"/>
        <v>1068540.9378011422</v>
      </c>
      <c r="BS479" s="156">
        <f t="shared" si="356"/>
        <v>1367.3976629099309</v>
      </c>
      <c r="BT479" s="156">
        <f t="shared" si="357"/>
        <v>8860.1844589240736</v>
      </c>
      <c r="BU479">
        <f t="shared" si="358"/>
        <v>1060.5078138011545</v>
      </c>
      <c r="BV479">
        <f t="shared" si="359"/>
        <v>1060.5078138011545</v>
      </c>
      <c r="BW479" s="148">
        <f t="shared" si="360"/>
        <v>455.4</v>
      </c>
      <c r="BX479" s="148">
        <f t="shared" si="361"/>
        <v>3129354.9718154697</v>
      </c>
      <c r="BY479" s="148">
        <f t="shared" si="362"/>
        <v>0.13415423844584604</v>
      </c>
      <c r="BZ479">
        <f t="shared" si="345"/>
        <v>155.34530029177569</v>
      </c>
      <c r="CB479">
        <f t="shared" si="363"/>
        <v>-306.88984910877639</v>
      </c>
      <c r="CC479" s="162">
        <f t="shared" si="346"/>
        <v>-1934.6493206010744</v>
      </c>
      <c r="CD479">
        <f t="shared" si="371"/>
        <v>-11467.777132987327</v>
      </c>
    </row>
    <row r="480" spans="4:82" x14ac:dyDescent="0.2">
      <c r="D480" s="22">
        <f t="shared" si="337"/>
        <v>0</v>
      </c>
      <c r="E480" s="23">
        <v>8.3175069154760681</v>
      </c>
      <c r="F480" s="23">
        <f>IF(K480&lt;6,1,IF(Data!K480&lt;9,2,IF(K480&gt;9,3)))</f>
        <v>3</v>
      </c>
      <c r="G480" s="23">
        <v>1121.6975334585552</v>
      </c>
      <c r="H480" s="23">
        <v>221.21666499999998</v>
      </c>
      <c r="I480" s="64">
        <v>33.762389122090383</v>
      </c>
      <c r="J480" s="65">
        <f t="shared" si="338"/>
        <v>-16.183639389133631</v>
      </c>
      <c r="K480" s="65">
        <f t="shared" si="339"/>
        <v>13.504955648836154</v>
      </c>
      <c r="L480" s="65">
        <f t="shared" si="340"/>
        <v>-6.473455755653446</v>
      </c>
      <c r="M480">
        <f t="shared" si="341"/>
        <v>16.635013830952136</v>
      </c>
      <c r="N480">
        <v>0</v>
      </c>
      <c r="O480">
        <f>'Vehicle Data'!C$20</f>
        <v>0.9</v>
      </c>
      <c r="P480">
        <f>('Vehicle Data'!C$6*9.81*'Vehicle Data'!C$5*SIN(D480))/'Vehicle Data'!C$9</f>
        <v>0</v>
      </c>
      <c r="Q480" s="107">
        <f>'Vehicle Data'!C$6*9.81*SIN(D480)</f>
        <v>0</v>
      </c>
      <c r="R480">
        <f t="shared" si="336"/>
        <v>1119.9874005063298</v>
      </c>
      <c r="S480">
        <f>IF(Data!O480=0.6,'Vehicle Data'!E$21,IF(Data!O480 = 0.9,'Vehicle Data'!E$20))+(P480*O480)</f>
        <v>2325.5585999999998</v>
      </c>
      <c r="T480">
        <f>IF(F480=3,'Vehicle Data'!H$16,IF(F480=2,'Vehicle Data'!H$15,IF(F480 = 1,'Vehicle Data'!G$14)))</f>
        <v>466.23005239380637</v>
      </c>
      <c r="U480" s="148">
        <f t="shared" si="343"/>
        <v>403.84891838301371</v>
      </c>
      <c r="V480" s="70" t="s">
        <v>77</v>
      </c>
      <c r="W480" s="99" t="s">
        <v>84</v>
      </c>
      <c r="X480">
        <f>IF(V480="S",'Vehicle Data'!C$14,IF(Data!V480 = "T1",'Vehicle Data'!P$2,IF(Data!V480="T2",'Vehicle Data'!P$3)))</f>
        <v>13.411199999999999</v>
      </c>
      <c r="Z480">
        <f t="shared" si="375"/>
        <v>11.338545651601814</v>
      </c>
      <c r="AB480" t="b">
        <f>IF(AA480=1,'Vehicle Data'!I$14,IF(AA480=2,'Vehicle Data'!I$15,IF(AA480=3,'Vehicle Data'!I$16)))</f>
        <v>0</v>
      </c>
      <c r="AC480">
        <f>IF(Z480&lt;'Vehicle Data'!C$16,'Vehicle Data'!I$15,IF(Z480&lt;'Vehicle Data'!C$15,'Vehicle Data'!I$15,IF(Z479&gt;'Vehicle Data'!C$15,'Vehicle Data'!I$16)))</f>
        <v>0.46202745420001456</v>
      </c>
      <c r="AD480">
        <f>IF(O480=0.6,'Vehicle Data'!F$21,IF(O480=0.9,'Vehicle Data'!F$20))</f>
        <v>5.2973999999999997</v>
      </c>
      <c r="AE480" s="100">
        <f t="shared" si="372"/>
        <v>0.46202745420001456</v>
      </c>
      <c r="AF480" s="158">
        <f t="shared" si="364"/>
        <v>0.15433060894490444</v>
      </c>
      <c r="AG480" s="148">
        <f t="shared" si="347"/>
        <v>0.46348944424911731</v>
      </c>
      <c r="AH480" s="148">
        <f t="shared" si="365"/>
        <v>155.4996309007206</v>
      </c>
      <c r="AJ480">
        <f>(Z480^2)*'Vehicle Data'!C$31</f>
        <v>47.246761928845984</v>
      </c>
      <c r="AK480">
        <f>IF(O480=0.6,'Vehicle Data'!C$6*'Vehicle Data'!D$21*9.81,IF(O480=0.9,'Vehicle Data'!C$6*9.81*'Vehicle Data'!D$20))</f>
        <v>55.985669999999999</v>
      </c>
      <c r="AL480">
        <f t="shared" si="344"/>
        <v>103.23243192884598</v>
      </c>
      <c r="AN480">
        <f>IF(AG480&gt;0,AG480*'Vehicle Data'!C$6)</f>
        <v>203.47186602536249</v>
      </c>
      <c r="AO480">
        <f t="shared" si="348"/>
        <v>306.70429795420847</v>
      </c>
      <c r="AP480">
        <f>AO480*'Vehicle Data'!F$3</f>
        <v>78.393618557095678</v>
      </c>
      <c r="AQ480">
        <f>IF(AE480='Vehicle Data'!I$15,AP480/'Vehicle Data'!G$15,IF(AE480='Vehicle Data'!I$16,AP480/'Vehicle Data'!G$16,IF(AE480='Vehicle Data'!I$14,Data!AP480/'Vehicle Data'!G491)))</f>
        <v>14.472457363802109</v>
      </c>
      <c r="AR480">
        <f>IF(Z480&lt;'Vehicle Data'!C$16, Z480*'Vehicle Data'!F$7*'Vehicle Data'!G$14,IF(Z480&lt;'Vehicle Data'!C$15,Z480*'Vehicle Data'!F$7*'Vehicle Data'!G$15,IF(Z480&gt;'Vehicle Data'!C$15,Z480*'Vehicle Data'!F$7*'Vehicle Data'!G$16)))</f>
        <v>98.636238816825625</v>
      </c>
      <c r="AS480">
        <f t="shared" si="366"/>
        <v>5918.1743290095374</v>
      </c>
      <c r="AT480">
        <f t="shared" si="367"/>
        <v>14</v>
      </c>
      <c r="AU480">
        <f t="shared" si="368"/>
        <v>6000</v>
      </c>
      <c r="AW480">
        <f>VLOOKUP(AT480,BSFC!A$64:A$82,1,FALSE)</f>
        <v>14</v>
      </c>
      <c r="AX480" t="e" cm="1">
        <f t="array" ref="AX480">_xlfn.XLOOKUP(AT480,BSFC!A$64:A$82,,-1,_xlfn.XLOOKUP(Data!AU480,BSFC!C$63:Q$63,BSFC!B$64:Q$82,,-1))</f>
        <v>#VALUE!</v>
      </c>
      <c r="AY480">
        <f>HLOOKUP(AU480,BSFC!F$63:Q$63,1)</f>
        <v>6000</v>
      </c>
      <c r="AZ480">
        <f>IF(AT480&gt;0,MATCH(AT480,BSFC!A$64:A$83,0),IF(AT480&lt;=0,0))</f>
        <v>9</v>
      </c>
      <c r="BA480">
        <f>MATCH(AU480,BSFC!C$63:Q$63,0)</f>
        <v>12</v>
      </c>
      <c r="BB480" cm="1">
        <f t="array" ref="BB480">IF(AZ480&gt;0,INDEX(BSFC!C$64:Q$83,Data!AZ480,Data!BA480))</f>
        <v>564.5</v>
      </c>
      <c r="BC480">
        <f>0.5*'Vehicle Data'!C$6*Data!Z480^2</f>
        <v>28219.494539814124</v>
      </c>
      <c r="BD480">
        <f t="shared" si="349"/>
        <v>9.3025482557870713</v>
      </c>
      <c r="BE480">
        <f t="shared" si="369"/>
        <v>5251.288490391802</v>
      </c>
      <c r="BF480">
        <f t="shared" si="370"/>
        <v>0.22512070846320409</v>
      </c>
      <c r="BG480">
        <f t="shared" si="350"/>
        <v>174.98168700075004</v>
      </c>
      <c r="BH480">
        <f t="shared" si="374"/>
        <v>8933.0961251709105</v>
      </c>
      <c r="BI480" s="148">
        <f t="shared" si="351"/>
        <v>6871.6622130335309</v>
      </c>
      <c r="BO480">
        <f t="shared" si="352"/>
        <v>1339.1267506107586</v>
      </c>
      <c r="BP480">
        <f t="shared" si="353"/>
        <v>710070.64714887913</v>
      </c>
      <c r="BQ480">
        <f t="shared" si="354"/>
        <v>1080615.9012057139</v>
      </c>
      <c r="BR480" s="148">
        <f t="shared" si="355"/>
        <v>1069571.0427682998</v>
      </c>
      <c r="BS480" s="156">
        <f t="shared" si="356"/>
        <v>1339.1267506107586</v>
      </c>
      <c r="BT480" s="156">
        <f t="shared" si="357"/>
        <v>8933.0961251709105</v>
      </c>
      <c r="BU480">
        <f t="shared" si="358"/>
        <v>1030.1049671575397</v>
      </c>
      <c r="BV480">
        <f t="shared" si="359"/>
        <v>1030.1049671575397</v>
      </c>
      <c r="BW480" s="148">
        <f t="shared" si="360"/>
        <v>455.4</v>
      </c>
      <c r="BX480" s="148">
        <f t="shared" si="361"/>
        <v>3129354.9718154697</v>
      </c>
      <c r="BY480" s="148">
        <f t="shared" si="362"/>
        <v>0.13030827834542877</v>
      </c>
      <c r="BZ480">
        <f t="shared" si="345"/>
        <v>155.4996309007206</v>
      </c>
      <c r="CB480">
        <f t="shared" si="363"/>
        <v>-309.02178345321886</v>
      </c>
      <c r="CC480" s="162">
        <f t="shared" si="346"/>
        <v>-2002.3363191906581</v>
      </c>
      <c r="CD480">
        <f t="shared" si="371"/>
        <v>-11776.798916440546</v>
      </c>
    </row>
    <row r="481" spans="4:82" x14ac:dyDescent="0.2">
      <c r="D481" s="22">
        <f t="shared" si="337"/>
        <v>2.3640901921193011E-3</v>
      </c>
      <c r="E481" s="23">
        <v>8.6017071999999999</v>
      </c>
      <c r="F481" s="23">
        <f>IF(K481&lt;6,1,IF(Data!K481&lt;9,2,IF(K481&gt;9,3)))</f>
        <v>3</v>
      </c>
      <c r="G481" s="23">
        <v>1123.3660875459377</v>
      </c>
      <c r="H481" s="23">
        <v>221.26666499999999</v>
      </c>
      <c r="I481" s="64">
        <v>32.953207152633517</v>
      </c>
      <c r="J481" s="65">
        <f t="shared" si="338"/>
        <v>-1.7259380906490898</v>
      </c>
      <c r="K481" s="65">
        <f t="shared" si="339"/>
        <v>13.181282861053408</v>
      </c>
      <c r="L481" s="65">
        <f t="shared" si="340"/>
        <v>-0.69037523625963693</v>
      </c>
      <c r="M481">
        <f t="shared" si="341"/>
        <v>17.2034144</v>
      </c>
      <c r="N481">
        <f t="shared" ref="N481:N482" si="376">E482-E481</f>
        <v>9.9998400000000487E-2</v>
      </c>
      <c r="O481">
        <f>'Vehicle Data'!C$20</f>
        <v>0.9</v>
      </c>
      <c r="P481">
        <f>('Vehicle Data'!C$6*9.81*'Vehicle Data'!C$5*SIN(D481))/'Vehicle Data'!C$9</f>
        <v>1.5744058294107366</v>
      </c>
      <c r="Q481" s="107">
        <f>'Vehicle Data'!C$6*9.81*SIN(D481)</f>
        <v>10.181157696856097</v>
      </c>
      <c r="R481">
        <f t="shared" si="336"/>
        <v>1121.6975334585552</v>
      </c>
      <c r="S481">
        <f>IF(Data!O481=0.6,'Vehicle Data'!E$21,IF(Data!O481 = 0.9,'Vehicle Data'!E$20))+(P481*O481)</f>
        <v>2326.9755652464696</v>
      </c>
      <c r="T481">
        <f>IF(F481=3,'Vehicle Data'!H$16,IF(F481=2,'Vehicle Data'!H$15,IF(F481 = 1,'Vehicle Data'!G$14)))</f>
        <v>466.23005239380637</v>
      </c>
      <c r="U481" s="148">
        <f t="shared" si="343"/>
        <v>405.55905133523913</v>
      </c>
      <c r="V481" s="70" t="s">
        <v>77</v>
      </c>
      <c r="W481" s="99" t="s">
        <v>84</v>
      </c>
      <c r="X481">
        <f>IF(V481="S",'Vehicle Data'!C$14,IF(Data!V481 = "T1",'Vehicle Data'!P$2,IF(Data!V481="T2",'Vehicle Data'!P$3)))</f>
        <v>13.411199999999999</v>
      </c>
      <c r="Z481">
        <f>SQRT(Z480^2+2*AE480*(U481-U480))</f>
        <v>11.408017980437222</v>
      </c>
      <c r="AB481" t="b">
        <f>IF(AA481=1,'Vehicle Data'!I$14,IF(AA481=2,'Vehicle Data'!I$15,IF(AA481=3,'Vehicle Data'!I$16)))</f>
        <v>0</v>
      </c>
      <c r="AC481">
        <f>IF(Z481&lt;'Vehicle Data'!C$16,'Vehicle Data'!I$15,IF(Z481&lt;'Vehicle Data'!C$15,'Vehicle Data'!I$15,IF(Z480&gt;'Vehicle Data'!C$15,'Vehicle Data'!I$16)))</f>
        <v>0.46202745420001456</v>
      </c>
      <c r="AD481">
        <f>IF(O481=0.6,'Vehicle Data'!F$21,IF(O481=0.9,'Vehicle Data'!F$20))</f>
        <v>5.2973999999999997</v>
      </c>
      <c r="AE481" s="100">
        <f t="shared" si="372"/>
        <v>0.46202745420001456</v>
      </c>
      <c r="AF481" s="158">
        <f t="shared" si="364"/>
        <v>0.14990622868564935</v>
      </c>
      <c r="AG481" s="148">
        <f t="shared" si="347"/>
        <v>0.46343857386400006</v>
      </c>
      <c r="AH481" s="148">
        <f t="shared" si="365"/>
        <v>155.64953712940624</v>
      </c>
      <c r="AJ481">
        <f>(Z481^2)*'Vehicle Data'!C$31</f>
        <v>47.827506283927278</v>
      </c>
      <c r="AK481">
        <f>IF(O481=0.6,'Vehicle Data'!C$6*'Vehicle Data'!D$21*9.81,IF(O481=0.9,'Vehicle Data'!C$6*9.81*'Vehicle Data'!D$20))</f>
        <v>55.985669999999999</v>
      </c>
      <c r="AL481">
        <f t="shared" si="344"/>
        <v>113.99433398078338</v>
      </c>
      <c r="AN481">
        <f>IF(AG481&gt;0,AG481*'Vehicle Data'!C$6)</f>
        <v>203.44953392629603</v>
      </c>
      <c r="AO481">
        <f t="shared" si="348"/>
        <v>317.44386790707938</v>
      </c>
      <c r="AP481">
        <f>AO481*'Vehicle Data'!F$3</f>
        <v>81.138652637049489</v>
      </c>
      <c r="AQ481">
        <f>IF(AE481='Vehicle Data'!I$15,AP481/'Vehicle Data'!G$15,IF(AE481='Vehicle Data'!I$16,AP481/'Vehicle Data'!G$16,IF(AE481='Vehicle Data'!I$14,Data!AP481/'Vehicle Data'!G492)))</f>
        <v>14.979225509163086</v>
      </c>
      <c r="AR481">
        <f>IF(Z481&lt;'Vehicle Data'!C$16, Z481*'Vehicle Data'!F$7*'Vehicle Data'!G$14,IF(Z481&lt;'Vehicle Data'!C$15,Z481*'Vehicle Data'!F$7*'Vehicle Data'!G$15,IF(Z481&gt;'Vehicle Data'!C$15,Z481*'Vehicle Data'!F$7*'Vehicle Data'!G$16)))</f>
        <v>99.240592269969071</v>
      </c>
      <c r="AS481">
        <f t="shared" si="366"/>
        <v>5954.4355361981443</v>
      </c>
      <c r="AT481">
        <f t="shared" si="367"/>
        <v>15</v>
      </c>
      <c r="AU481">
        <f t="shared" si="368"/>
        <v>6000</v>
      </c>
      <c r="AW481">
        <f>VLOOKUP(AT481,BSFC!A$64:A$82,1,FALSE)</f>
        <v>15</v>
      </c>
      <c r="AX481" t="e" cm="1">
        <f t="array" ref="AX481">_xlfn.XLOOKUP(AT481,BSFC!A$64:A$82,,-1,_xlfn.XLOOKUP(Data!AU481,BSFC!C$63:Q$63,BSFC!B$64:Q$82,,-1))</f>
        <v>#VALUE!</v>
      </c>
      <c r="AY481">
        <f>HLOOKUP(AU481,BSFC!F$63:Q$63,1)</f>
        <v>6000</v>
      </c>
      <c r="AZ481">
        <f>IF(AT481&gt;0,MATCH(AT481,BSFC!A$64:A$83,0),IF(AT481&lt;=0,0))</f>
        <v>8</v>
      </c>
      <c r="BA481">
        <f>MATCH(AU481,BSFC!C$63:Q$63,0)</f>
        <v>12</v>
      </c>
      <c r="BB481" cm="1">
        <f t="array" ref="BB481">IF(AZ481&gt;0,INDEX(BSFC!C$64:Q$83,Data!AZ481,Data!BA481))</f>
        <v>572.6</v>
      </c>
      <c r="BC481">
        <f>0.5*'Vehicle Data'!C$6*Data!Z481^2</f>
        <v>28566.36089611438</v>
      </c>
      <c r="BD481">
        <f t="shared" si="349"/>
        <v>9.1246482418516308</v>
      </c>
      <c r="BE481">
        <f t="shared" si="369"/>
        <v>5224.7735832842436</v>
      </c>
      <c r="BF481">
        <f t="shared" si="370"/>
        <v>0.21756280655737428</v>
      </c>
      <c r="BG481">
        <f t="shared" si="350"/>
        <v>175.19924980730741</v>
      </c>
      <c r="BH481">
        <f t="shared" si="374"/>
        <v>9302.548255787071</v>
      </c>
      <c r="BI481" s="148">
        <f t="shared" si="351"/>
        <v>6871.6622130335309</v>
      </c>
      <c r="BO481">
        <f t="shared" si="352"/>
        <v>1352.6160772793085</v>
      </c>
      <c r="BP481">
        <f t="shared" si="353"/>
        <v>711423.26322615845</v>
      </c>
      <c r="BQ481">
        <f t="shared" si="354"/>
        <v>1081968.5172829931</v>
      </c>
      <c r="BR481" s="148">
        <f t="shared" si="355"/>
        <v>1070570.2013355449</v>
      </c>
      <c r="BS481" s="156">
        <f t="shared" si="356"/>
        <v>1352.6160772793085</v>
      </c>
      <c r="BT481" s="156">
        <f t="shared" si="357"/>
        <v>9302.548255787071</v>
      </c>
      <c r="BU481">
        <f t="shared" si="358"/>
        <v>999.15856724523462</v>
      </c>
      <c r="BV481">
        <f t="shared" si="359"/>
        <v>999.15856724523462</v>
      </c>
      <c r="BW481" s="148">
        <f t="shared" si="360"/>
        <v>455.4</v>
      </c>
      <c r="BX481" s="148">
        <f t="shared" si="361"/>
        <v>3129354.9718154697</v>
      </c>
      <c r="BY481" s="148">
        <f t="shared" si="362"/>
        <v>0.12639355875652217</v>
      </c>
      <c r="BZ481">
        <f t="shared" si="345"/>
        <v>155.64953712940624</v>
      </c>
      <c r="CB481">
        <f t="shared" si="363"/>
        <v>-353.45751003407383</v>
      </c>
      <c r="CC481" s="162">
        <f t="shared" si="346"/>
        <v>-2357.8573961412671</v>
      </c>
      <c r="CD481">
        <f t="shared" si="371"/>
        <v>-12130.25642647462</v>
      </c>
    </row>
    <row r="482" spans="4:82" x14ac:dyDescent="0.2">
      <c r="D482" s="22">
        <f t="shared" si="337"/>
        <v>4.0353082639480375E-4</v>
      </c>
      <c r="E482" s="23">
        <v>8.7017056000000004</v>
      </c>
      <c r="F482" s="23">
        <f>IF(K482&lt;6,1,IF(Data!K482&lt;9,2,IF(K482&gt;9,3)))</f>
        <v>3</v>
      </c>
      <c r="G482" s="23">
        <v>1165.6650207594942</v>
      </c>
      <c r="H482" s="23">
        <v>222.66666499999999</v>
      </c>
      <c r="I482" s="64">
        <v>30.536893825724782</v>
      </c>
      <c r="J482" s="65">
        <f t="shared" si="338"/>
        <v>0.30804377986676873</v>
      </c>
      <c r="K482" s="65">
        <f t="shared" si="339"/>
        <v>12.214757530289912</v>
      </c>
      <c r="L482" s="65">
        <f t="shared" si="340"/>
        <v>0.12321751194670755</v>
      </c>
      <c r="M482">
        <f t="shared" si="341"/>
        <v>17.403411200000001</v>
      </c>
      <c r="N482">
        <f t="shared" si="376"/>
        <v>-0.38419868452393224</v>
      </c>
      <c r="O482">
        <f>'Vehicle Data'!C$20</f>
        <v>0.9</v>
      </c>
      <c r="P482">
        <f>('Vehicle Data'!C$6*9.81*'Vehicle Data'!C$5*SIN(D482))/'Vehicle Data'!C$9</f>
        <v>0.26873841873392834</v>
      </c>
      <c r="Q482" s="107">
        <f>'Vehicle Data'!C$6*9.81*SIN(D482)</f>
        <v>1.7378417744794032</v>
      </c>
      <c r="R482">
        <f t="shared" si="336"/>
        <v>1123.3660875459377</v>
      </c>
      <c r="S482">
        <f>IF(Data!O482=0.6,'Vehicle Data'!E$21,IF(Data!O482 = 0.9,'Vehicle Data'!E$20))+(P482*O482)</f>
        <v>2325.8004645768606</v>
      </c>
      <c r="T482">
        <f>IF(F482=3,'Vehicle Data'!H$16,IF(F482=2,'Vehicle Data'!H$15,IF(F482 = 1,'Vehicle Data'!G$14)))</f>
        <v>466.23005239380637</v>
      </c>
      <c r="U482" s="148">
        <f t="shared" si="343"/>
        <v>407.22760542262165</v>
      </c>
      <c r="V482" s="70" t="s">
        <v>77</v>
      </c>
      <c r="W482" s="99" t="s">
        <v>84</v>
      </c>
      <c r="X482">
        <f>IF(V482="S",'Vehicle Data'!C$14,IF(Data!V482 = "T1",'Vehicle Data'!P$2,IF(Data!V482="T2",'Vehicle Data'!P$3)))</f>
        <v>13.411199999999999</v>
      </c>
      <c r="Z482">
        <f t="shared" ref="Z482" si="377">SQRT(Z481^2+2*AE481*(U482-U481))</f>
        <v>11.475395846608329</v>
      </c>
      <c r="AB482" t="b">
        <f>IF(AA482=1,'Vehicle Data'!I$14,IF(AA482=2,'Vehicle Data'!I$15,IF(AA482=3,'Vehicle Data'!I$16)))</f>
        <v>0</v>
      </c>
      <c r="AC482">
        <f>IF(Z482&lt;'Vehicle Data'!C$16,'Vehicle Data'!I$15,IF(Z482&lt;'Vehicle Data'!C$15,'Vehicle Data'!I$15,IF(Z481&gt;'Vehicle Data'!C$15,'Vehicle Data'!I$16)))</f>
        <v>0.46202745420001456</v>
      </c>
      <c r="AD482">
        <f>IF(O482=0.6,'Vehicle Data'!F$21,IF(O482=0.9,'Vehicle Data'!F$20))</f>
        <v>5.2973999999999997</v>
      </c>
      <c r="AE482" s="100">
        <f t="shared" si="372"/>
        <v>0.46202745420001456</v>
      </c>
      <c r="AF482" s="158">
        <f t="shared" si="364"/>
        <v>0.14540274772967207</v>
      </c>
      <c r="AG482" s="148">
        <f t="shared" si="347"/>
        <v>0.46338784667517796</v>
      </c>
      <c r="AH482" s="148">
        <f t="shared" si="365"/>
        <v>155.7949398771359</v>
      </c>
      <c r="AJ482">
        <f>(Z482^2)*'Vehicle Data'!C$31</f>
        <v>48.394130864860735</v>
      </c>
      <c r="AK482">
        <f>IF(O482=0.6,'Vehicle Data'!C$6*'Vehicle Data'!D$21*9.81,IF(O482=0.9,'Vehicle Data'!C$6*9.81*'Vehicle Data'!D$20))</f>
        <v>55.985669999999999</v>
      </c>
      <c r="AL482">
        <f t="shared" si="344"/>
        <v>106.11764263934013</v>
      </c>
      <c r="AN482">
        <f>IF(AG482&gt;0,AG482*'Vehicle Data'!C$6)</f>
        <v>203.42726469040312</v>
      </c>
      <c r="AO482">
        <f t="shared" si="348"/>
        <v>309.54490732974324</v>
      </c>
      <c r="AP482">
        <f>AO482*'Vehicle Data'!F$3</f>
        <v>79.119678313482368</v>
      </c>
      <c r="AQ482">
        <f>IF(AE482='Vehicle Data'!I$15,AP482/'Vehicle Data'!G$15,IF(AE482='Vehicle Data'!I$16,AP482/'Vehicle Data'!G$16,IF(AE482='Vehicle Data'!I$14,Data!AP482/'Vehicle Data'!G493)))</f>
        <v>14.606497213745071</v>
      </c>
      <c r="AR482">
        <f>IF(Z482&lt;'Vehicle Data'!C$16, Z482*'Vehicle Data'!F$7*'Vehicle Data'!G$14,IF(Z482&lt;'Vehicle Data'!C$15,Z482*'Vehicle Data'!F$7*'Vehicle Data'!G$15,IF(Z482&gt;'Vehicle Data'!C$15,Z482*'Vehicle Data'!F$7*'Vehicle Data'!G$16)))</f>
        <v>99.826725580433148</v>
      </c>
      <c r="AS482">
        <f t="shared" si="366"/>
        <v>5989.6035348259893</v>
      </c>
      <c r="AT482">
        <f t="shared" si="367"/>
        <v>15</v>
      </c>
      <c r="AU482">
        <f t="shared" si="368"/>
        <v>6000</v>
      </c>
      <c r="AW482">
        <f>VLOOKUP(AT482,BSFC!A$64:A$82,1,FALSE)</f>
        <v>15</v>
      </c>
      <c r="AX482" t="e" cm="1">
        <f t="array" ref="AX482">_xlfn.XLOOKUP(AT482,BSFC!A$64:A$82,,-1,_xlfn.XLOOKUP(Data!AU482,BSFC!C$63:Q$63,BSFC!B$64:Q$82,,-1))</f>
        <v>#VALUE!</v>
      </c>
      <c r="AY482">
        <f>HLOOKUP(AU482,BSFC!F$63:Q$63,1)</f>
        <v>6000</v>
      </c>
      <c r="AZ482">
        <f>IF(AT482&gt;0,MATCH(AT482,BSFC!A$64:A$83,0),IF(AT482&lt;=0,0))</f>
        <v>8</v>
      </c>
      <c r="BA482">
        <f>MATCH(AU482,BSFC!C$63:Q$63,0)</f>
        <v>12</v>
      </c>
      <c r="BB482" cm="1">
        <f t="array" ref="BB482">IF(AZ482&gt;0,INDEX(BSFC!C$64:Q$83,Data!AZ482,Data!BA482))</f>
        <v>572.6</v>
      </c>
      <c r="BC482">
        <f>0.5*'Vehicle Data'!C$6*Data!Z482^2</f>
        <v>28904.793809080074</v>
      </c>
      <c r="BD482">
        <f t="shared" si="349"/>
        <v>3.3246965681346223</v>
      </c>
      <c r="BE482">
        <f t="shared" si="369"/>
        <v>1903.7212549138849</v>
      </c>
      <c r="BF482">
        <f t="shared" si="370"/>
        <v>7.6890639271071759E-2</v>
      </c>
      <c r="BG482">
        <f t="shared" si="350"/>
        <v>175.27614044657849</v>
      </c>
      <c r="BH482">
        <f t="shared" si="374"/>
        <v>9124.6482418516316</v>
      </c>
      <c r="BI482" s="148">
        <f t="shared" si="351"/>
        <v>6871.6622130335309</v>
      </c>
      <c r="BO482">
        <f t="shared" si="352"/>
        <v>147189.56730843231</v>
      </c>
      <c r="BP482">
        <f t="shared" si="353"/>
        <v>858612.83053459076</v>
      </c>
      <c r="BQ482">
        <f t="shared" si="354"/>
        <v>1229158.0845914255</v>
      </c>
      <c r="BR482" s="148">
        <f t="shared" si="355"/>
        <v>1181416.8839711556</v>
      </c>
      <c r="BS482" s="156">
        <f t="shared" si="356"/>
        <v>147189.56730843231</v>
      </c>
      <c r="BT482" s="156">
        <f t="shared" si="357"/>
        <v>9124.6482418516316</v>
      </c>
      <c r="BU482">
        <f t="shared" si="358"/>
        <v>110846.68263561057</v>
      </c>
      <c r="BV482">
        <f t="shared" si="359"/>
        <v>110846.68263561057</v>
      </c>
      <c r="BW482" s="148">
        <f t="shared" si="360"/>
        <v>455.4</v>
      </c>
      <c r="BX482" s="148">
        <f t="shared" si="361"/>
        <v>3129354.9718154697</v>
      </c>
      <c r="BY482" s="148">
        <f t="shared" si="362"/>
        <v>14.022105353404735</v>
      </c>
      <c r="BZ482">
        <f t="shared" si="345"/>
        <v>155.7949398771359</v>
      </c>
      <c r="CB482">
        <f t="shared" si="363"/>
        <v>-36342.884672821732</v>
      </c>
      <c r="CC482" s="162">
        <f t="shared" si="346"/>
        <v>-249946.34035659165</v>
      </c>
      <c r="CD482">
        <f t="shared" si="371"/>
        <v>-48473.14109929635</v>
      </c>
    </row>
    <row r="483" spans="4:82" x14ac:dyDescent="0.2">
      <c r="D483" s="22">
        <f t="shared" ref="D483:D514" si="378">ASIN((N483)/(G484-G483))</f>
        <v>0</v>
      </c>
      <c r="E483" s="23">
        <v>8.3175069154760681</v>
      </c>
      <c r="F483" s="23">
        <f>IF(K483&lt;6,1,IF(Data!K483&lt;9,2,IF(K483&gt;9,3)))</f>
        <v>3</v>
      </c>
      <c r="G483" s="23">
        <v>213.57246717844225</v>
      </c>
      <c r="H483" s="23">
        <v>234.89999799999998</v>
      </c>
      <c r="I483" s="64">
        <v>34.305295963413656</v>
      </c>
      <c r="J483" s="65">
        <f t="shared" ref="J483:J514" si="379">(I484-I483)/(H484-H483)</f>
        <v>0.6278521257659968</v>
      </c>
      <c r="K483" s="65">
        <f t="shared" ref="K483:K514" si="380">I483/2.5</f>
        <v>13.722118385365462</v>
      </c>
      <c r="L483" s="65">
        <f t="shared" ref="L483:L514" si="381">(K484-K483)/(H484-H483)</f>
        <v>0.2511408503063845</v>
      </c>
      <c r="M483">
        <f t="shared" ref="M483:M514" si="382">2*E483</f>
        <v>16.635013830952136</v>
      </c>
      <c r="N483">
        <v>0</v>
      </c>
      <c r="O483">
        <f>'Vehicle Data'!C$21</f>
        <v>0.6</v>
      </c>
      <c r="P483">
        <f>('Vehicle Data'!C$6*9.81*'Vehicle Data'!C$5*SIN(D483))/'Vehicle Data'!C$9</f>
        <v>0</v>
      </c>
      <c r="Q483" s="107">
        <f>'Vehicle Data'!C$6*9.81*SIN(D483)</f>
        <v>0</v>
      </c>
      <c r="R483">
        <f t="shared" si="325"/>
        <v>1300.8069266312809</v>
      </c>
      <c r="S483">
        <f>IF(Data!O483=0.6,'Vehicle Data'!E$21,IF(Data!O483 = 0.9,'Vehicle Data'!E$20))+(P483*O483)</f>
        <v>1550.3723999999997</v>
      </c>
      <c r="T483">
        <f>IF(F483=3,'Vehicle Data'!H$16,IF(F483=2,'Vehicle Data'!H$15,IF(F483 = 1,'Vehicle Data'!G$14)))</f>
        <v>466.23005239380637</v>
      </c>
      <c r="U483" s="148">
        <f t="shared" ref="U483:U514" si="383">R483-R$2</f>
        <v>584.66844450796486</v>
      </c>
      <c r="V483" s="70" t="s">
        <v>77</v>
      </c>
      <c r="W483" s="99" t="s">
        <v>84</v>
      </c>
      <c r="X483">
        <f>IF(V483="S",'Vehicle Data'!C$14,IF(Data!V483 = "T1",'Vehicle Data'!P$2,IF(Data!V483="T2",'Vehicle Data'!P$3)))</f>
        <v>13.411199999999999</v>
      </c>
      <c r="Z483">
        <v>11</v>
      </c>
      <c r="AB483" t="b">
        <f>IF(AA483=1,'Vehicle Data'!I$14,IF(AA483=2,'Vehicle Data'!I$15,IF(AA483=3,'Vehicle Data'!I$16)))</f>
        <v>0</v>
      </c>
      <c r="AC483">
        <f>IF(Z483&lt;'Vehicle Data'!C$16,'Vehicle Data'!I$15,IF(Z483&lt;'Vehicle Data'!C$15,'Vehicle Data'!I$15,IF(Z482&gt;'Vehicle Data'!C$15,'Vehicle Data'!I$16)))</f>
        <v>0.46202745420001456</v>
      </c>
      <c r="AD483">
        <f>IF(O483=0.6,'Vehicle Data'!F$21,IF(O483=0.9,'Vehicle Data'!F$20))</f>
        <v>3.5315999999999996</v>
      </c>
      <c r="AE483" s="100">
        <f t="shared" ref="AE483:AE489" si="384">IF(W483="a",AC483,IF(W483="b",AD483*-1))</f>
        <v>0.46202745420001456</v>
      </c>
      <c r="AF483" s="158">
        <f t="shared" ref="AF483:AF516" si="385">(U483-U482)/Z483</f>
        <v>16.130985371394839</v>
      </c>
      <c r="AG483" s="148">
        <f t="shared" si="347"/>
        <v>-2.9470973760310448E-2</v>
      </c>
      <c r="AH483" s="148">
        <f t="shared" si="365"/>
        <v>171.92592524853075</v>
      </c>
      <c r="AJ483">
        <f>(Z483^2)*'Vehicle Data'!C$31</f>
        <v>44.467500000000015</v>
      </c>
      <c r="AK483">
        <f>IF(O483=0.6,'Vehicle Data'!C$6*'Vehicle Data'!D$21*9.81,IF(O483=0.9,'Vehicle Data'!C$6*9.81*'Vehicle Data'!D$20))</f>
        <v>86.131799999999998</v>
      </c>
      <c r="AL483">
        <f t="shared" ref="AL483:AL514" si="386">AJ483+AK483+Q483</f>
        <v>130.59930000000003</v>
      </c>
      <c r="AN483">
        <f>IF(AG483&lt;=0,AG483*'Vehicle Data'!C$6)</f>
        <v>-12.937757480776286</v>
      </c>
      <c r="AO483">
        <f t="shared" ref="AO483:AO515" si="387">AN483+AL483</f>
        <v>117.66154251922374</v>
      </c>
      <c r="AP483">
        <f>AO483*'Vehicle Data'!F$3</f>
        <v>30.07429026791359</v>
      </c>
      <c r="AQ483">
        <f>IF(AE483='Vehicle Data'!I$15,AP483/'Vehicle Data'!G$15,IF(AE483='Vehicle Data'!I$16,AP483/'Vehicle Data'!G$16,IF(AE483='Vehicle Data'!I$14,Data!AP483/'Vehicle Data'!G494)))</f>
        <v>5.5520958422398552</v>
      </c>
      <c r="AR483">
        <f>IF(Z483&lt;'Vehicle Data'!C$16, Z483*'Vehicle Data'!F$7*'Vehicle Data'!G$14,IF(Z483&lt;'Vehicle Data'!C$15,Z483*'Vehicle Data'!F$7*'Vehicle Data'!G$15,IF(Z483&gt;'Vehicle Data'!C$15,Z483*'Vehicle Data'!F$7*'Vehicle Data'!G$16)))</f>
        <v>95.69116360454943</v>
      </c>
      <c r="AS483">
        <f t="shared" ref="AS483:AS516" si="388">AR483*60</f>
        <v>5741.4698162729655</v>
      </c>
      <c r="AT483">
        <f t="shared" ref="AT483:AT516" si="389">ROUND(AQ483,0)</f>
        <v>6</v>
      </c>
      <c r="AU483">
        <f t="shared" ref="AU483:AU516" si="390">MROUND(AS483,500)</f>
        <v>5500</v>
      </c>
      <c r="AW483">
        <f>VLOOKUP(AT483,BSFC!A$64:A$82,1,FALSE)</f>
        <v>6</v>
      </c>
      <c r="AX483" t="e" cm="1">
        <f t="array" ref="AX483">_xlfn.XLOOKUP(AT483,BSFC!A$64:A$82,,-1,_xlfn.XLOOKUP(Data!AU483,BSFC!C$63:Q$63,BSFC!B$64:Q$82,,-1))</f>
        <v>#VALUE!</v>
      </c>
      <c r="AY483">
        <f>HLOOKUP(AU483,BSFC!F$63:Q$63,1)</f>
        <v>5500</v>
      </c>
      <c r="AZ483">
        <f>IF(AT483&gt;0,MATCH(AT483,BSFC!A$64:A$83,0),IF(AT483&lt;=0,0))</f>
        <v>17</v>
      </c>
      <c r="BA483">
        <f>MATCH(AU483,BSFC!C$63:Q$63,0)</f>
        <v>11</v>
      </c>
      <c r="BB483" cm="1">
        <f t="array" ref="BB483">IF(AZ483&gt;0,INDEX(BSFC!C$64:Q$83,Data!AZ483,Data!BA483))</f>
        <v>664</v>
      </c>
      <c r="BC483">
        <f>0.5*'Vehicle Data'!C$6*Data!Z483^2</f>
        <v>26559.5</v>
      </c>
      <c r="BD483">
        <f t="shared" si="349"/>
        <v>19.131717074097775</v>
      </c>
      <c r="BE483">
        <f t="shared" ref="BE483:BE516" si="391">BB483*BD483</f>
        <v>12703.460137200922</v>
      </c>
      <c r="BF483">
        <f t="shared" ref="BF483:BF516" si="392">(BE483/3600)*AF483</f>
        <v>56.922036010912656</v>
      </c>
      <c r="BG483">
        <f t="shared" si="350"/>
        <v>232.19817645749114</v>
      </c>
      <c r="BH483">
        <f t="shared" si="374"/>
        <v>3324.6965681346223</v>
      </c>
      <c r="BI483" s="148">
        <f t="shared" si="351"/>
        <v>6871.6622130335309</v>
      </c>
      <c r="BO483">
        <f t="shared" si="352"/>
        <v>531.21586703503135</v>
      </c>
      <c r="BP483">
        <f t="shared" si="353"/>
        <v>859144.04640162573</v>
      </c>
      <c r="BQ483">
        <f t="shared" si="354"/>
        <v>1229689.3004584606</v>
      </c>
      <c r="BR483" s="148">
        <f t="shared" si="355"/>
        <v>1182514.8295808258</v>
      </c>
      <c r="BS483" s="156">
        <f t="shared" si="356"/>
        <v>531.21586703503135</v>
      </c>
      <c r="BT483" s="156">
        <f t="shared" si="357"/>
        <v>3324.6965681346223</v>
      </c>
      <c r="BU483">
        <f t="shared" si="358"/>
        <v>1097.9456096700437</v>
      </c>
      <c r="BV483">
        <f t="shared" si="359"/>
        <v>1097.9456096700437</v>
      </c>
      <c r="BW483" s="148">
        <f t="shared" si="360"/>
        <v>455.4</v>
      </c>
      <c r="BX483" s="148">
        <f t="shared" si="361"/>
        <v>3129354.9718154697</v>
      </c>
      <c r="BY483" s="148">
        <f t="shared" si="362"/>
        <v>0.13889011962326051</v>
      </c>
      <c r="BZ483">
        <f t="shared" si="345"/>
        <v>171.92592524853075</v>
      </c>
      <c r="CB483">
        <f t="shared" si="363"/>
        <v>566.72974263501237</v>
      </c>
      <c r="CC483" s="162">
        <f t="shared" si="346"/>
        <v>35.132989683320716</v>
      </c>
      <c r="CD483">
        <f t="shared" si="371"/>
        <v>-47906.411356661338</v>
      </c>
    </row>
    <row r="484" spans="4:82" x14ac:dyDescent="0.2">
      <c r="D484" s="22">
        <f t="shared" si="378"/>
        <v>0</v>
      </c>
      <c r="E484" s="23">
        <v>8.4017032</v>
      </c>
      <c r="F484" s="23">
        <f>IF(K484&lt;6,1,IF(Data!K484&lt;9,2,IF(K484&gt;9,3)))</f>
        <v>3</v>
      </c>
      <c r="G484" s="23">
        <v>215.28209982033587</v>
      </c>
      <c r="H484" s="23">
        <v>234.94999799999999</v>
      </c>
      <c r="I484" s="64">
        <v>34.336688569701963</v>
      </c>
      <c r="J484" s="65">
        <f t="shared" si="379"/>
        <v>0.96431541363803519</v>
      </c>
      <c r="K484" s="65">
        <f t="shared" si="380"/>
        <v>13.734675427880784</v>
      </c>
      <c r="L484" s="65">
        <f t="shared" si="381"/>
        <v>0.3857261654552141</v>
      </c>
      <c r="M484">
        <f t="shared" si="382"/>
        <v>16.8034064</v>
      </c>
      <c r="N484">
        <f t="shared" ref="N484:N514" si="393">E485-E484</f>
        <v>0</v>
      </c>
      <c r="O484">
        <f>'Vehicle Data'!C$21</f>
        <v>0.6</v>
      </c>
      <c r="P484">
        <f>('Vehicle Data'!C$6*9.81*'Vehicle Data'!C$5*SIN(D484))/'Vehicle Data'!C$9</f>
        <v>0</v>
      </c>
      <c r="Q484" s="107">
        <f>'Vehicle Data'!C$6*9.81*SIN(D484)</f>
        <v>0</v>
      </c>
      <c r="R484">
        <f t="shared" si="325"/>
        <v>1302.5165592731746</v>
      </c>
      <c r="S484">
        <f>IF(Data!O484=0.6,'Vehicle Data'!E$21,IF(Data!O484 = 0.9,'Vehicle Data'!E$20))+(P484*O484)</f>
        <v>1550.3723999999997</v>
      </c>
      <c r="T484">
        <f>IF(F484=3,'Vehicle Data'!H$16,IF(F484=2,'Vehicle Data'!H$15,IF(F484 = 1,'Vehicle Data'!G$14)))</f>
        <v>466.23005239380637</v>
      </c>
      <c r="U484" s="148">
        <f t="shared" si="383"/>
        <v>586.37807714985854</v>
      </c>
      <c r="V484" s="70" t="s">
        <v>77</v>
      </c>
      <c r="W484" s="99" t="s">
        <v>84</v>
      </c>
      <c r="X484">
        <f>IF(V484="S",'Vehicle Data'!C$14,IF(Data!V484 = "T1",'Vehicle Data'!P$2,IF(Data!V484="T2",'Vehicle Data'!P$3)))</f>
        <v>13.411199999999999</v>
      </c>
      <c r="Z484">
        <v>10.7</v>
      </c>
      <c r="AB484" t="b">
        <f>IF(AA484=1,'Vehicle Data'!I$14,IF(AA484=2,'Vehicle Data'!I$15,IF(AA484=3,'Vehicle Data'!I$16)))</f>
        <v>0</v>
      </c>
      <c r="AC484">
        <f>IF(Z484&lt;'Vehicle Data'!C$16,'Vehicle Data'!I$15,IF(Z484&lt;'Vehicle Data'!C$15,'Vehicle Data'!I$15,IF(Z483&gt;'Vehicle Data'!C$15,'Vehicle Data'!I$16)))</f>
        <v>0.46202745420001456</v>
      </c>
      <c r="AD484">
        <f>IF(O484=0.6,'Vehicle Data'!F$21,IF(O484=0.9,'Vehicle Data'!F$20))</f>
        <v>3.5315999999999996</v>
      </c>
      <c r="AE484" s="100">
        <f t="shared" si="384"/>
        <v>0.46202745420001456</v>
      </c>
      <c r="AF484" s="158">
        <f t="shared" si="385"/>
        <v>0.15977875157884833</v>
      </c>
      <c r="AG484" s="148">
        <f t="shared" si="347"/>
        <v>-1.8775963451683084</v>
      </c>
      <c r="AH484" s="148">
        <f t="shared" si="365"/>
        <v>172.08570400010959</v>
      </c>
      <c r="AJ484">
        <f>(Z484^2)*'Vehicle Data'!C$31</f>
        <v>42.075075000000005</v>
      </c>
      <c r="AK484">
        <f>IF(O484=0.6,'Vehicle Data'!C$6*'Vehicle Data'!D$21*9.81,IF(O484=0.9,'Vehicle Data'!C$6*9.81*'Vehicle Data'!D$20))</f>
        <v>86.131799999999998</v>
      </c>
      <c r="AL484">
        <f t="shared" si="386"/>
        <v>128.206875</v>
      </c>
      <c r="AN484">
        <f>IF(AG484&lt;=0,AG484*'Vehicle Data'!C$6)</f>
        <v>-824.26479552888736</v>
      </c>
      <c r="AO484">
        <f t="shared" si="387"/>
        <v>-696.05792052888739</v>
      </c>
      <c r="AP484">
        <f>AO484*'Vehicle Data'!F$3</f>
        <v>-177.91240448718361</v>
      </c>
      <c r="AQ484">
        <f>IF(AE484='Vehicle Data'!I$15,AP484/'Vehicle Data'!G$15,IF(AE484='Vehicle Data'!I$16,AP484/'Vehicle Data'!G$16,IF(AE484='Vehicle Data'!I$14,Data!AP484/'Vehicle Data'!G495)))</f>
        <v>-32.844888854785779</v>
      </c>
      <c r="AR484">
        <f>IF(Z484&lt;'Vehicle Data'!C$16, Z484*'Vehicle Data'!F$7*'Vehicle Data'!G$14,IF(Z484&lt;'Vehicle Data'!C$15,Z484*'Vehicle Data'!F$7*'Vehicle Data'!G$15,IF(Z484&gt;'Vehicle Data'!C$15,Z484*'Vehicle Data'!F$7*'Vehicle Data'!G$16)))</f>
        <v>93.081404597152627</v>
      </c>
      <c r="AS484">
        <f t="shared" si="388"/>
        <v>5584.8842758291576</v>
      </c>
      <c r="AT484">
        <f t="shared" si="389"/>
        <v>-33</v>
      </c>
      <c r="AU484">
        <f t="shared" si="390"/>
        <v>5500</v>
      </c>
      <c r="AW484" t="e">
        <f>VLOOKUP(AT484,BSFC!A$64:A$82,1,FALSE)</f>
        <v>#N/A</v>
      </c>
      <c r="AX484" t="e" cm="1">
        <f t="array" ref="AX484">_xlfn.XLOOKUP(AT484,BSFC!A$64:A$82,,-1,_xlfn.XLOOKUP(Data!AU484,BSFC!C$63:Q$63,BSFC!B$64:Q$82,,-1))</f>
        <v>#VALUE!</v>
      </c>
      <c r="AY484">
        <f>HLOOKUP(AU484,BSFC!F$63:Q$63,1)</f>
        <v>5500</v>
      </c>
      <c r="AZ484">
        <f>IF(AT484&gt;0,MATCH(AT484,BSFC!A$64:A$83,0),IF(AT484&lt;=0,0))</f>
        <v>0</v>
      </c>
      <c r="BA484">
        <f>MATCH(AU484,BSFC!C$63:Q$63,0)</f>
        <v>11</v>
      </c>
      <c r="BB484" t="b" cm="1">
        <f t="array" ref="BB484">IF(AZ484&gt;0,INDEX(BSFC!C$64:Q$83,Data!AZ484,Data!BA484))</f>
        <v>0</v>
      </c>
      <c r="BC484">
        <f>0.5*'Vehicle Data'!C$6*Data!Z484^2</f>
        <v>25130.554999999997</v>
      </c>
      <c r="BD484">
        <f t="shared" si="349"/>
        <v>11.127559495439916</v>
      </c>
      <c r="BE484">
        <v>0</v>
      </c>
      <c r="BF484">
        <f t="shared" si="392"/>
        <v>0</v>
      </c>
      <c r="BG484">
        <f t="shared" si="350"/>
        <v>232.19817645749114</v>
      </c>
      <c r="BH484">
        <f t="shared" si="374"/>
        <v>-19131.717074097774</v>
      </c>
      <c r="BI484" s="148">
        <f t="shared" si="351"/>
        <v>6871.6622130335309</v>
      </c>
      <c r="BO484">
        <f t="shared" si="352"/>
        <v>-3115.2476568589877</v>
      </c>
      <c r="BP484">
        <f t="shared" si="353"/>
        <v>856028.79874476674</v>
      </c>
      <c r="BQ484">
        <f t="shared" si="354"/>
        <v>1229689.3004584606</v>
      </c>
      <c r="BR484" s="148">
        <f t="shared" si="355"/>
        <v>1183633.7531737771</v>
      </c>
      <c r="BS484" s="156" t="b">
        <f t="shared" si="356"/>
        <v>0</v>
      </c>
      <c r="BT484" s="156">
        <f t="shared" si="357"/>
        <v>0</v>
      </c>
      <c r="BU484">
        <f t="shared" si="358"/>
        <v>1118.9235929514014</v>
      </c>
      <c r="BV484">
        <f t="shared" si="359"/>
        <v>1118.9235929514014</v>
      </c>
      <c r="BW484" s="148">
        <f t="shared" si="360"/>
        <v>455.4</v>
      </c>
      <c r="BX484" s="148">
        <f t="shared" si="361"/>
        <v>3129354.9718154697</v>
      </c>
      <c r="BY484" s="148">
        <f t="shared" si="362"/>
        <v>0.14154383450835223</v>
      </c>
      <c r="BZ484">
        <f t="shared" si="345"/>
        <v>172.08570400010959</v>
      </c>
      <c r="CB484">
        <f t="shared" si="363"/>
        <v>1118.9235929514014</v>
      </c>
      <c r="CC484" s="162">
        <f t="shared" si="346"/>
        <v>7002.9561621607763</v>
      </c>
      <c r="CD484">
        <f t="shared" si="371"/>
        <v>-46787.487763709934</v>
      </c>
    </row>
    <row r="485" spans="4:82" x14ac:dyDescent="0.2">
      <c r="D485" s="22">
        <f t="shared" si="378"/>
        <v>0</v>
      </c>
      <c r="E485" s="23">
        <v>8.4017032</v>
      </c>
      <c r="F485" s="23">
        <f>IF(K485&lt;6,1,IF(Data!K485&lt;9,2,IF(K485&gt;9,3)))</f>
        <v>3</v>
      </c>
      <c r="G485" s="23">
        <v>216.99183137607292</v>
      </c>
      <c r="H485" s="23">
        <v>234.99999799999998</v>
      </c>
      <c r="I485" s="64">
        <v>34.384904340383848</v>
      </c>
      <c r="J485" s="65">
        <f t="shared" si="379"/>
        <v>0.74477411514902891</v>
      </c>
      <c r="K485" s="65">
        <f t="shared" si="380"/>
        <v>13.753961736153538</v>
      </c>
      <c r="L485" s="65">
        <f t="shared" si="381"/>
        <v>0.29790964605961867</v>
      </c>
      <c r="M485">
        <f t="shared" si="382"/>
        <v>16.8034064</v>
      </c>
      <c r="N485">
        <f t="shared" si="393"/>
        <v>0</v>
      </c>
      <c r="O485">
        <f>'Vehicle Data'!C$21</f>
        <v>0.6</v>
      </c>
      <c r="P485">
        <f>('Vehicle Data'!C$6*9.81*'Vehicle Data'!C$5*SIN(D485))/'Vehicle Data'!C$9</f>
        <v>0</v>
      </c>
      <c r="Q485" s="107">
        <f>'Vehicle Data'!C$6*9.81*SIN(D485)</f>
        <v>0</v>
      </c>
      <c r="R485">
        <f t="shared" ref="R485:R489" si="394">G$354+G485</f>
        <v>1304.2262908289117</v>
      </c>
      <c r="S485">
        <f>IF(Data!O485=0.6,'Vehicle Data'!E$21,IF(Data!O485 = 0.9,'Vehicle Data'!E$20))+(P485*O485)</f>
        <v>1550.3723999999997</v>
      </c>
      <c r="T485">
        <f>IF(F485=3,'Vehicle Data'!H$16,IF(F485=2,'Vehicle Data'!H$15,IF(F485 = 1,'Vehicle Data'!G$14)))</f>
        <v>466.23005239380637</v>
      </c>
      <c r="U485" s="148">
        <f t="shared" si="383"/>
        <v>588.08780870559565</v>
      </c>
      <c r="V485" s="70" t="s">
        <v>77</v>
      </c>
      <c r="W485" s="99" t="s">
        <v>84</v>
      </c>
      <c r="X485">
        <f>IF(V485="S",'Vehicle Data'!C$14,IF(Data!V485 = "T1",'Vehicle Data'!P$2,IF(Data!V485="T2",'Vehicle Data'!P$3)))</f>
        <v>13.411199999999999</v>
      </c>
      <c r="Z485">
        <v>10.5</v>
      </c>
      <c r="AB485" t="b">
        <f>IF(AA485=1,'Vehicle Data'!I$14,IF(AA485=2,'Vehicle Data'!I$15,IF(AA485=3,'Vehicle Data'!I$16)))</f>
        <v>0</v>
      </c>
      <c r="AC485">
        <f>IF(Z485&lt;'Vehicle Data'!C$16,'Vehicle Data'!I$15,IF(Z485&lt;'Vehicle Data'!C$15,'Vehicle Data'!I$15,IF(Z484&gt;'Vehicle Data'!C$15,'Vehicle Data'!I$16)))</f>
        <v>0.46202745420001456</v>
      </c>
      <c r="AD485">
        <f>IF(O485=0.6,'Vehicle Data'!F$21,IF(O485=0.9,'Vehicle Data'!F$20))</f>
        <v>3.5315999999999996</v>
      </c>
      <c r="AE485" s="100">
        <f t="shared" si="384"/>
        <v>0.46202745420001456</v>
      </c>
      <c r="AF485" s="158">
        <f t="shared" si="385"/>
        <v>0.16283157673686738</v>
      </c>
      <c r="AG485" s="148">
        <f t="shared" si="347"/>
        <v>-1.2282629942421754</v>
      </c>
      <c r="AH485" s="148">
        <f t="shared" si="365"/>
        <v>172.24853557684645</v>
      </c>
      <c r="AJ485">
        <f>(Z485^2)*'Vehicle Data'!C$31</f>
        <v>40.516875000000013</v>
      </c>
      <c r="AK485">
        <f>IF(O485=0.6,'Vehicle Data'!C$6*'Vehicle Data'!D$21*9.81,IF(O485=0.9,'Vehicle Data'!C$6*9.81*'Vehicle Data'!D$20))</f>
        <v>86.131799999999998</v>
      </c>
      <c r="AL485">
        <f t="shared" si="386"/>
        <v>126.64867500000001</v>
      </c>
      <c r="AN485">
        <f>IF(AG485&lt;=0,AG485*'Vehicle Data'!C$6)</f>
        <v>-539.20745447231502</v>
      </c>
      <c r="AO485">
        <f t="shared" si="387"/>
        <v>-412.558779472315</v>
      </c>
      <c r="AP485">
        <f>AO485*'Vehicle Data'!F$3</f>
        <v>-105.45002403312371</v>
      </c>
      <c r="AQ485">
        <f>IF(AE485='Vehicle Data'!I$15,AP485/'Vehicle Data'!G$15,IF(AE485='Vehicle Data'!I$16,AP485/'Vehicle Data'!G$16,IF(AE485='Vehicle Data'!I$14,Data!AP485/'Vehicle Data'!G496)))</f>
        <v>-19.467413354822821</v>
      </c>
      <c r="AR485">
        <f>IF(Z485&lt;'Vehicle Data'!C$16, Z485*'Vehicle Data'!F$7*'Vehicle Data'!G$14,IF(Z485&lt;'Vehicle Data'!C$15,Z485*'Vehicle Data'!F$7*'Vehicle Data'!G$15,IF(Z485&gt;'Vehicle Data'!C$15,Z485*'Vehicle Data'!F$7*'Vehicle Data'!G$16)))</f>
        <v>91.34156525888811</v>
      </c>
      <c r="AS485">
        <f t="shared" si="388"/>
        <v>5480.4939155332868</v>
      </c>
      <c r="AT485">
        <f t="shared" si="389"/>
        <v>-19</v>
      </c>
      <c r="AU485">
        <f t="shared" si="390"/>
        <v>5500</v>
      </c>
      <c r="AW485" t="e">
        <f>VLOOKUP(AT485,BSFC!A$64:A$82,1,FALSE)</f>
        <v>#N/A</v>
      </c>
      <c r="AX485" t="e" cm="1">
        <f t="array" ref="AX485">_xlfn.XLOOKUP(AT485,BSFC!A$64:A$82,,-1,_xlfn.XLOOKUP(Data!AU485,BSFC!C$63:Q$63,BSFC!B$64:Q$82,,-1))</f>
        <v>#VALUE!</v>
      </c>
      <c r="AY485">
        <f>HLOOKUP(AU485,BSFC!F$63:Q$63,1)</f>
        <v>5500</v>
      </c>
      <c r="AZ485">
        <f>IF(AT485&gt;0,MATCH(AT485,BSFC!A$64:A$83,0),IF(AT485&lt;=0,0))</f>
        <v>0</v>
      </c>
      <c r="BA485">
        <f>MATCH(AU485,BSFC!C$63:Q$63,0)</f>
        <v>11</v>
      </c>
      <c r="BB485" t="b" cm="1">
        <f t="array" ref="BB485">IF(AZ485&gt;0,INDEX(BSFC!C$64:Q$83,Data!AZ485,Data!BA485))</f>
        <v>0</v>
      </c>
      <c r="BC485">
        <f>0.5*'Vehicle Data'!C$6*Data!Z485^2</f>
        <v>24199.875</v>
      </c>
      <c r="BD485">
        <f t="shared" si="349"/>
        <v>17.325736464781162</v>
      </c>
      <c r="BE485">
        <v>0</v>
      </c>
      <c r="BF485">
        <f t="shared" si="392"/>
        <v>0</v>
      </c>
      <c r="BG485">
        <f t="shared" si="350"/>
        <v>232.19817645749114</v>
      </c>
      <c r="BH485">
        <f t="shared" si="374"/>
        <v>-11127.559495439917</v>
      </c>
      <c r="BI485" s="148">
        <f t="shared" si="351"/>
        <v>6871.6622130335309</v>
      </c>
      <c r="BO485">
        <f t="shared" si="352"/>
        <v>-1865.4096354909648</v>
      </c>
      <c r="BP485">
        <f t="shared" si="353"/>
        <v>854163.38910927577</v>
      </c>
      <c r="BQ485">
        <f t="shared" si="354"/>
        <v>1229689.3004584606</v>
      </c>
      <c r="BR485" s="148">
        <f t="shared" si="355"/>
        <v>1184785.7097109931</v>
      </c>
      <c r="BS485" s="156" t="b">
        <f t="shared" si="356"/>
        <v>0</v>
      </c>
      <c r="BT485" s="156">
        <f t="shared" si="357"/>
        <v>0</v>
      </c>
      <c r="BU485">
        <f t="shared" si="358"/>
        <v>1151.9565372159936</v>
      </c>
      <c r="BV485">
        <f t="shared" si="359"/>
        <v>1151.9565372159936</v>
      </c>
      <c r="BW485" s="148">
        <f t="shared" si="360"/>
        <v>455.4</v>
      </c>
      <c r="BX485" s="148">
        <f t="shared" si="361"/>
        <v>3129354.9718154697</v>
      </c>
      <c r="BY485" s="148">
        <f t="shared" si="362"/>
        <v>0.14572250195782316</v>
      </c>
      <c r="BZ485">
        <f t="shared" si="345"/>
        <v>172.24853557684645</v>
      </c>
      <c r="CB485">
        <f t="shared" si="363"/>
        <v>1151.9565372159936</v>
      </c>
      <c r="CC485" s="162">
        <f t="shared" si="346"/>
        <v>7074.5279281890234</v>
      </c>
      <c r="CD485">
        <f t="shared" si="371"/>
        <v>-45635.531226493942</v>
      </c>
    </row>
    <row r="486" spans="4:82" x14ac:dyDescent="0.2">
      <c r="D486" s="22">
        <f t="shared" si="378"/>
        <v>0</v>
      </c>
      <c r="E486" s="23">
        <v>8.4017032</v>
      </c>
      <c r="F486" s="23">
        <f>IF(K486&lt;6,1,IF(Data!K486&lt;9,2,IF(K486&gt;9,3)))</f>
        <v>3</v>
      </c>
      <c r="G486" s="23">
        <v>218.70174614128322</v>
      </c>
      <c r="H486" s="23">
        <v>235.04999799999999</v>
      </c>
      <c r="I486" s="64">
        <v>34.422143046141308</v>
      </c>
      <c r="J486" s="65">
        <f t="shared" si="379"/>
        <v>1.2508544679464249</v>
      </c>
      <c r="K486" s="65">
        <f t="shared" si="380"/>
        <v>13.768857218456523</v>
      </c>
      <c r="L486" s="65">
        <f t="shared" si="381"/>
        <v>0.50034178717857702</v>
      </c>
      <c r="M486">
        <f t="shared" si="382"/>
        <v>16.8034064</v>
      </c>
      <c r="N486">
        <f t="shared" si="393"/>
        <v>0</v>
      </c>
      <c r="O486">
        <f>'Vehicle Data'!C$21</f>
        <v>0.6</v>
      </c>
      <c r="P486">
        <f>('Vehicle Data'!C$6*9.81*'Vehicle Data'!C$5*SIN(D486))/'Vehicle Data'!C$9</f>
        <v>0</v>
      </c>
      <c r="Q486" s="107">
        <f>'Vehicle Data'!C$6*9.81*SIN(D486)</f>
        <v>0</v>
      </c>
      <c r="R486">
        <f t="shared" si="394"/>
        <v>1305.9362055941219</v>
      </c>
      <c r="S486">
        <f>IF(Data!O486=0.6,'Vehicle Data'!E$21,IF(Data!O486 = 0.9,'Vehicle Data'!E$20))+(P486*O486)</f>
        <v>1550.3723999999997</v>
      </c>
      <c r="T486">
        <f>IF(F486=3,'Vehicle Data'!H$16,IF(F486=2,'Vehicle Data'!H$15,IF(F486 = 1,'Vehicle Data'!G$14)))</f>
        <v>466.23005239380637</v>
      </c>
      <c r="U486" s="148">
        <f t="shared" si="383"/>
        <v>589.79772347080586</v>
      </c>
      <c r="V486" s="70" t="s">
        <v>77</v>
      </c>
      <c r="W486" s="99" t="s">
        <v>84</v>
      </c>
      <c r="X486">
        <f>IF(V486="S",'Vehicle Data'!C$14,IF(Data!V486 = "T1",'Vehicle Data'!P$2,IF(Data!V486="T2",'Vehicle Data'!P$3)))</f>
        <v>13.411199999999999</v>
      </c>
      <c r="Z486">
        <v>10.199999999999999</v>
      </c>
      <c r="AB486" t="b">
        <f>IF(AA486=1,'Vehicle Data'!I$14,IF(AA486=2,'Vehicle Data'!I$15,IF(AA486=3,'Vehicle Data'!I$16)))</f>
        <v>0</v>
      </c>
      <c r="AC486">
        <f>IF(Z486&lt;'Vehicle Data'!C$16,'Vehicle Data'!I$15,IF(Z486&lt;'Vehicle Data'!C$15,'Vehicle Data'!I$15,IF(Z485&gt;'Vehicle Data'!C$15,'Vehicle Data'!I$16)))</f>
        <v>0.46202745420001456</v>
      </c>
      <c r="AD486">
        <f>IF(O486=0.6,'Vehicle Data'!F$21,IF(O486=0.9,'Vehicle Data'!F$20))</f>
        <v>3.5315999999999996</v>
      </c>
      <c r="AE486" s="100">
        <f t="shared" si="384"/>
        <v>0.46202745420001456</v>
      </c>
      <c r="AF486" s="158">
        <f t="shared" si="385"/>
        <v>0.16763870247158968</v>
      </c>
      <c r="AG486" s="148">
        <f t="shared" si="347"/>
        <v>-1.7895628848048544</v>
      </c>
      <c r="AH486" s="148">
        <f t="shared" si="365"/>
        <v>172.41617427931803</v>
      </c>
      <c r="AJ486">
        <f>(Z486^2)*'Vehicle Data'!C$31</f>
        <v>38.234700000000011</v>
      </c>
      <c r="AK486">
        <f>IF(O486=0.6,'Vehicle Data'!C$6*'Vehicle Data'!D$21*9.81,IF(O486=0.9,'Vehicle Data'!C$6*9.81*'Vehicle Data'!D$20))</f>
        <v>86.131799999999998</v>
      </c>
      <c r="AL486">
        <f t="shared" si="386"/>
        <v>124.3665</v>
      </c>
      <c r="AN486">
        <f>IF(AG486&lt;=0,AG486*'Vehicle Data'!C$6)</f>
        <v>-785.61810642933108</v>
      </c>
      <c r="AO486">
        <f t="shared" si="387"/>
        <v>-661.2516064293311</v>
      </c>
      <c r="AP486">
        <f>AO486*'Vehicle Data'!F$3</f>
        <v>-169.01591060333703</v>
      </c>
      <c r="AQ486">
        <f>IF(AE486='Vehicle Data'!I$15,AP486/'Vehicle Data'!G$15,IF(AE486='Vehicle Data'!I$16,AP486/'Vehicle Data'!G$16,IF(AE486='Vehicle Data'!I$14,Data!AP486/'Vehicle Data'!G497)))</f>
        <v>-31.202483123412105</v>
      </c>
      <c r="AR486">
        <f>IF(Z486&lt;'Vehicle Data'!C$16, Z486*'Vehicle Data'!F$7*'Vehicle Data'!G$14,IF(Z486&lt;'Vehicle Data'!C$15,Z486*'Vehicle Data'!F$7*'Vehicle Data'!G$15,IF(Z486&gt;'Vehicle Data'!C$15,Z486*'Vehicle Data'!F$7*'Vehicle Data'!G$16)))</f>
        <v>88.731806251491292</v>
      </c>
      <c r="AS486">
        <f t="shared" si="388"/>
        <v>5323.9083750894779</v>
      </c>
      <c r="AT486">
        <f t="shared" si="389"/>
        <v>-31</v>
      </c>
      <c r="AU486">
        <f t="shared" si="390"/>
        <v>5500</v>
      </c>
      <c r="AW486" t="e">
        <f>VLOOKUP(AT486,BSFC!A$64:A$82,1,FALSE)</f>
        <v>#N/A</v>
      </c>
      <c r="AX486" t="e" cm="1">
        <f t="array" ref="AX486">_xlfn.XLOOKUP(AT486,BSFC!A$64:A$82,,-1,_xlfn.XLOOKUP(Data!AU486,BSFC!C$63:Q$63,BSFC!B$64:Q$82,,-1))</f>
        <v>#VALUE!</v>
      </c>
      <c r="AY486">
        <f>HLOOKUP(AU486,BSFC!F$63:Q$63,1)</f>
        <v>5500</v>
      </c>
      <c r="AZ486">
        <f>IF(AT486&gt;0,MATCH(AT486,BSFC!A$64:A$83,0),IF(AT486&lt;=0,0))</f>
        <v>0</v>
      </c>
      <c r="BA486">
        <f>MATCH(AU486,BSFC!C$63:Q$63,0)</f>
        <v>11</v>
      </c>
      <c r="BB486" t="b" cm="1">
        <f t="array" ref="BB486">IF(AZ486&gt;0,INDEX(BSFC!C$64:Q$83,Data!AZ486,Data!BA486))</f>
        <v>0</v>
      </c>
      <c r="BC486">
        <f>0.5*'Vehicle Data'!C$6*Data!Z486^2</f>
        <v>22836.78</v>
      </c>
      <c r="BD486">
        <f t="shared" si="349"/>
        <v>16.277616878260588</v>
      </c>
      <c r="BE486">
        <v>0</v>
      </c>
      <c r="BF486">
        <f t="shared" si="392"/>
        <v>0</v>
      </c>
      <c r="BG486">
        <f t="shared" si="350"/>
        <v>232.19817645749114</v>
      </c>
      <c r="BH486">
        <f t="shared" si="374"/>
        <v>-17325.736464781163</v>
      </c>
      <c r="BI486" s="148">
        <f t="shared" si="351"/>
        <v>6871.6622130335309</v>
      </c>
      <c r="BO486">
        <f t="shared" si="352"/>
        <v>-2993.601889653622</v>
      </c>
      <c r="BP486">
        <f t="shared" si="353"/>
        <v>851169.78721962217</v>
      </c>
      <c r="BQ486">
        <f t="shared" si="354"/>
        <v>1229689.3004584606</v>
      </c>
      <c r="BR486" s="148">
        <f t="shared" si="355"/>
        <v>1185973.0197585523</v>
      </c>
      <c r="BS486" s="156" t="b">
        <f t="shared" si="356"/>
        <v>0</v>
      </c>
      <c r="BT486" s="156">
        <f t="shared" si="357"/>
        <v>0</v>
      </c>
      <c r="BU486">
        <f t="shared" si="358"/>
        <v>1187.3100475592623</v>
      </c>
      <c r="BV486">
        <f t="shared" si="359"/>
        <v>1187.3100475592623</v>
      </c>
      <c r="BW486" s="148">
        <f t="shared" si="360"/>
        <v>455.4</v>
      </c>
      <c r="BX486" s="148">
        <f t="shared" si="361"/>
        <v>3129354.9718154697</v>
      </c>
      <c r="BY486" s="148">
        <f t="shared" si="362"/>
        <v>0.15019472101624667</v>
      </c>
      <c r="BZ486">
        <f t="shared" si="345"/>
        <v>172.41617427931803</v>
      </c>
      <c r="CB486">
        <f t="shared" si="363"/>
        <v>1187.3100475592623</v>
      </c>
      <c r="CC486" s="162">
        <f t="shared" si="346"/>
        <v>7082.5533128936195</v>
      </c>
      <c r="CD486">
        <f t="shared" si="371"/>
        <v>-44448.221178934677</v>
      </c>
    </row>
    <row r="487" spans="4:82" x14ac:dyDescent="0.2">
      <c r="D487" s="22">
        <f t="shared" si="378"/>
        <v>0</v>
      </c>
      <c r="E487" s="23">
        <v>8.4017032</v>
      </c>
      <c r="F487" s="23">
        <f>IF(K487&lt;6,1,IF(Data!K487&lt;9,2,IF(K487&gt;9,3)))</f>
        <v>3</v>
      </c>
      <c r="G487" s="23">
        <v>220.41230307880875</v>
      </c>
      <c r="H487" s="23">
        <v>235.099998</v>
      </c>
      <c r="I487" s="64">
        <v>34.484685769538643</v>
      </c>
      <c r="J487" s="65">
        <f t="shared" si="379"/>
        <v>3.445204645167375</v>
      </c>
      <c r="K487" s="65">
        <f t="shared" si="380"/>
        <v>13.793874307815457</v>
      </c>
      <c r="L487" s="65">
        <f t="shared" si="381"/>
        <v>1.37808185806695</v>
      </c>
      <c r="M487">
        <f t="shared" si="382"/>
        <v>16.8034064</v>
      </c>
      <c r="N487">
        <f t="shared" si="393"/>
        <v>0</v>
      </c>
      <c r="O487">
        <f>'Vehicle Data'!C$21</f>
        <v>0.6</v>
      </c>
      <c r="P487">
        <f>('Vehicle Data'!C$6*9.81*'Vehicle Data'!C$5*SIN(D487))/'Vehicle Data'!C$9</f>
        <v>0</v>
      </c>
      <c r="Q487" s="107">
        <f>'Vehicle Data'!C$6*9.81*SIN(D487)</f>
        <v>0</v>
      </c>
      <c r="R487">
        <f t="shared" si="394"/>
        <v>1307.6467625316475</v>
      </c>
      <c r="S487">
        <f>IF(Data!O487=0.6,'Vehicle Data'!E$21,IF(Data!O487 = 0.9,'Vehicle Data'!E$20))+(P487*O487)</f>
        <v>1550.3723999999997</v>
      </c>
      <c r="T487">
        <f>IF(F487=3,'Vehicle Data'!H$16,IF(F487=2,'Vehicle Data'!H$15,IF(F487 = 1,'Vehicle Data'!G$14)))</f>
        <v>466.23005239380637</v>
      </c>
      <c r="U487" s="148">
        <f t="shared" si="383"/>
        <v>591.50828040833142</v>
      </c>
      <c r="V487" s="70" t="s">
        <v>77</v>
      </c>
      <c r="W487" s="99" t="s">
        <v>84</v>
      </c>
      <c r="X487">
        <f>IF(V487="S",'Vehicle Data'!C$14,IF(Data!V487 = "T1",'Vehicle Data'!P$2,IF(Data!V487="T2",'Vehicle Data'!P$3)))</f>
        <v>13.411199999999999</v>
      </c>
      <c r="Z487">
        <v>9.9</v>
      </c>
      <c r="AB487" t="b">
        <f>IF(AA487=1,'Vehicle Data'!I$14,IF(AA487=2,'Vehicle Data'!I$15,IF(AA487=3,'Vehicle Data'!I$16)))</f>
        <v>0</v>
      </c>
      <c r="AC487">
        <f>IF(Z487&lt;'Vehicle Data'!C$16,'Vehicle Data'!I$15,IF(Z487&lt;'Vehicle Data'!C$15,'Vehicle Data'!I$15,IF(Z486&gt;'Vehicle Data'!C$15,'Vehicle Data'!I$16)))</f>
        <v>0.46202745420001456</v>
      </c>
      <c r="AD487">
        <f>IF(O487=0.6,'Vehicle Data'!F$21,IF(O487=0.9,'Vehicle Data'!F$20))</f>
        <v>3.5315999999999996</v>
      </c>
      <c r="AE487" s="100">
        <f t="shared" si="384"/>
        <v>0.46202745420001456</v>
      </c>
      <c r="AF487" s="158">
        <f t="shared" si="385"/>
        <v>0.17278352904298511</v>
      </c>
      <c r="AG487" s="148">
        <f t="shared" si="347"/>
        <v>-1.7362766095914437</v>
      </c>
      <c r="AH487" s="148">
        <f t="shared" si="365"/>
        <v>172.58895780836102</v>
      </c>
      <c r="AJ487">
        <f>(Z487^2)*'Vehicle Data'!C$31</f>
        <v>36.018675000000009</v>
      </c>
      <c r="AK487">
        <f>IF(O487=0.6,'Vehicle Data'!C$6*'Vehicle Data'!D$21*9.81,IF(O487=0.9,'Vehicle Data'!C$6*9.81*'Vehicle Data'!D$20))</f>
        <v>86.131799999999998</v>
      </c>
      <c r="AL487">
        <f t="shared" si="386"/>
        <v>122.150475</v>
      </c>
      <c r="AN487">
        <f>IF(AG487&lt;=0,AG487*'Vehicle Data'!C$6)</f>
        <v>-762.2254316106438</v>
      </c>
      <c r="AO487">
        <f t="shared" si="387"/>
        <v>-640.07495661064377</v>
      </c>
      <c r="AP487">
        <f>AO487*'Vehicle Data'!F$3</f>
        <v>-163.60315890968053</v>
      </c>
      <c r="AQ487">
        <f>IF(AE487='Vehicle Data'!I$15,AP487/'Vehicle Data'!G$15,IF(AE487='Vehicle Data'!I$16,AP487/'Vehicle Data'!G$16,IF(AE487='Vehicle Data'!I$14,Data!AP487/'Vehicle Data'!G498)))</f>
        <v>-30.203220434061468</v>
      </c>
      <c r="AR487">
        <f>IF(Z487&lt;'Vehicle Data'!C$16, Z487*'Vehicle Data'!F$7*'Vehicle Data'!G$14,IF(Z487&lt;'Vehicle Data'!C$15,Z487*'Vehicle Data'!F$7*'Vehicle Data'!G$15,IF(Z487&gt;'Vehicle Data'!C$15,Z487*'Vehicle Data'!F$7*'Vehicle Data'!G$16)))</f>
        <v>86.122047244094503</v>
      </c>
      <c r="AS487">
        <f t="shared" si="388"/>
        <v>5167.3228346456699</v>
      </c>
      <c r="AT487">
        <f t="shared" si="389"/>
        <v>-30</v>
      </c>
      <c r="AU487">
        <f t="shared" si="390"/>
        <v>5000</v>
      </c>
      <c r="AW487" t="e">
        <f>VLOOKUP(AT487,BSFC!A$64:A$82,1,FALSE)</f>
        <v>#N/A</v>
      </c>
      <c r="AX487" t="e" cm="1">
        <f t="array" ref="AX487">_xlfn.XLOOKUP(AT487,BSFC!A$64:A$82,,-1,_xlfn.XLOOKUP(Data!AU487,BSFC!C$63:Q$63,BSFC!B$64:Q$82,,-1))</f>
        <v>#VALUE!</v>
      </c>
      <c r="AY487">
        <f>HLOOKUP(AU487,BSFC!F$63:Q$63,1)</f>
        <v>5000</v>
      </c>
      <c r="AZ487">
        <f>IF(AT487&gt;0,MATCH(AT487,BSFC!A$64:A$83,0),IF(AT487&lt;=0,0))</f>
        <v>0</v>
      </c>
      <c r="BA487">
        <f>MATCH(AU487,BSFC!C$63:Q$63,0)</f>
        <v>10</v>
      </c>
      <c r="BB487" t="b" cm="1">
        <f t="array" ref="BB487">IF(AZ487&gt;0,INDEX(BSFC!C$64:Q$83,Data!AZ487,Data!BA487))</f>
        <v>0</v>
      </c>
      <c r="BC487">
        <f>0.5*'Vehicle Data'!C$6*Data!Z487^2</f>
        <v>21513.195</v>
      </c>
      <c r="BD487">
        <f t="shared" si="349"/>
        <v>36.18493957133537</v>
      </c>
      <c r="BE487">
        <v>0</v>
      </c>
      <c r="BF487">
        <f t="shared" si="392"/>
        <v>0</v>
      </c>
      <c r="BG487">
        <f t="shared" si="350"/>
        <v>232.19817645749114</v>
      </c>
      <c r="BH487">
        <f t="shared" si="374"/>
        <v>-16277.616878260589</v>
      </c>
      <c r="BI487" s="148">
        <f t="shared" si="351"/>
        <v>6871.6622130335309</v>
      </c>
      <c r="BO487">
        <f t="shared" si="352"/>
        <v>-3034.5655995645611</v>
      </c>
      <c r="BP487">
        <f t="shared" si="353"/>
        <v>848135.22162005759</v>
      </c>
      <c r="BQ487">
        <f t="shared" si="354"/>
        <v>1229689.3004584606</v>
      </c>
      <c r="BR487" s="148">
        <f t="shared" si="355"/>
        <v>1187254.073976713</v>
      </c>
      <c r="BS487" s="156" t="b">
        <f t="shared" si="356"/>
        <v>0</v>
      </c>
      <c r="BT487" s="156">
        <f t="shared" si="357"/>
        <v>0</v>
      </c>
      <c r="BU487">
        <f t="shared" si="358"/>
        <v>1281.0542181606816</v>
      </c>
      <c r="BV487">
        <f t="shared" si="359"/>
        <v>1281.0542181606816</v>
      </c>
      <c r="BW487" s="148">
        <f t="shared" si="360"/>
        <v>455.4</v>
      </c>
      <c r="BX487" s="148">
        <f t="shared" si="361"/>
        <v>3129354.9718154697</v>
      </c>
      <c r="BY487" s="148">
        <f t="shared" si="362"/>
        <v>0.1620533585973262</v>
      </c>
      <c r="BZ487">
        <f t="shared" si="345"/>
        <v>172.58895780836102</v>
      </c>
      <c r="CB487">
        <f t="shared" si="363"/>
        <v>1281.0542181606816</v>
      </c>
      <c r="CC487" s="162">
        <f t="shared" si="346"/>
        <v>7414.214915369389</v>
      </c>
      <c r="CD487">
        <f t="shared" si="371"/>
        <v>-43167.166960773997</v>
      </c>
    </row>
    <row r="488" spans="4:82" x14ac:dyDescent="0.2">
      <c r="D488" s="22">
        <f t="shared" si="378"/>
        <v>0</v>
      </c>
      <c r="E488" s="23">
        <v>8.4017032</v>
      </c>
      <c r="F488" s="23">
        <f>IF(K488&lt;6,1,IF(Data!K488&lt;9,2,IF(K488&gt;9,3)))</f>
        <v>3</v>
      </c>
      <c r="G488" s="23">
        <v>222.12741922417524</v>
      </c>
      <c r="H488" s="23">
        <v>235.14999799999998</v>
      </c>
      <c r="I488" s="64">
        <v>34.656946001796953</v>
      </c>
      <c r="J488" s="65">
        <f t="shared" si="379"/>
        <v>4.0099341380099789</v>
      </c>
      <c r="K488" s="65">
        <f t="shared" si="380"/>
        <v>13.862778400718781</v>
      </c>
      <c r="L488" s="65">
        <f t="shared" si="381"/>
        <v>1.6039736552039847</v>
      </c>
      <c r="M488">
        <f t="shared" si="382"/>
        <v>16.8034064</v>
      </c>
      <c r="N488">
        <f t="shared" si="393"/>
        <v>0</v>
      </c>
      <c r="O488">
        <f>'Vehicle Data'!C$21</f>
        <v>0.6</v>
      </c>
      <c r="P488">
        <f>('Vehicle Data'!C$6*9.81*'Vehicle Data'!C$5*SIN(D488))/'Vehicle Data'!C$9</f>
        <v>0</v>
      </c>
      <c r="Q488" s="107">
        <f>'Vehicle Data'!C$6*9.81*SIN(D488)</f>
        <v>0</v>
      </c>
      <c r="R488">
        <f t="shared" si="394"/>
        <v>1309.3618786770139</v>
      </c>
      <c r="S488">
        <f>IF(Data!O488=0.6,'Vehicle Data'!E$21,IF(Data!O488 = 0.9,'Vehicle Data'!E$20))+(P488*O488)</f>
        <v>1550.3723999999997</v>
      </c>
      <c r="T488">
        <f>IF(F488=3,'Vehicle Data'!H$16,IF(F488=2,'Vehicle Data'!H$15,IF(F488 = 1,'Vehicle Data'!G$14)))</f>
        <v>466.23005239380637</v>
      </c>
      <c r="U488" s="148">
        <f t="shared" si="383"/>
        <v>593.22339655369785</v>
      </c>
      <c r="V488" s="70" t="s">
        <v>77</v>
      </c>
      <c r="W488" s="99" t="s">
        <v>84</v>
      </c>
      <c r="X488">
        <f>IF(V488="S",'Vehicle Data'!C$14,IF(Data!V488 = "T1",'Vehicle Data'!P$2,IF(Data!V488="T2",'Vehicle Data'!P$3)))</f>
        <v>13.411199999999999</v>
      </c>
      <c r="Z488">
        <v>9.1999999999999993</v>
      </c>
      <c r="AB488" t="b">
        <f>IF(AA488=1,'Vehicle Data'!I$14,IF(AA488=2,'Vehicle Data'!I$15,IF(AA488=3,'Vehicle Data'!I$16)))</f>
        <v>0</v>
      </c>
      <c r="AC488">
        <f>IF(Z488&lt;'Vehicle Data'!C$16,'Vehicle Data'!I$15,IF(Z488&lt;'Vehicle Data'!C$15,'Vehicle Data'!I$15,IF(Z487&gt;'Vehicle Data'!C$15,'Vehicle Data'!I$16)))</f>
        <v>0.46202745420001456</v>
      </c>
      <c r="AD488">
        <f>IF(O488=0.6,'Vehicle Data'!F$21,IF(O488=0.9,'Vehicle Data'!F$20))</f>
        <v>3.5315999999999996</v>
      </c>
      <c r="AE488" s="100">
        <f t="shared" si="384"/>
        <v>0.46202745420001456</v>
      </c>
      <c r="AF488" s="158">
        <f t="shared" si="385"/>
        <v>0.18642566797461274</v>
      </c>
      <c r="AG488" s="148">
        <f t="shared" si="347"/>
        <v>-3.7548477503394349</v>
      </c>
      <c r="AH488" s="148">
        <f t="shared" si="365"/>
        <v>172.77538347633563</v>
      </c>
      <c r="AJ488">
        <f>(Z488^2)*'Vehicle Data'!C$31</f>
        <v>31.105200000000004</v>
      </c>
      <c r="AK488">
        <f>IF(O488=0.6,'Vehicle Data'!C$6*'Vehicle Data'!D$21*9.81,IF(O488=0.9,'Vehicle Data'!C$6*9.81*'Vehicle Data'!D$20))</f>
        <v>86.131799999999998</v>
      </c>
      <c r="AL488">
        <f t="shared" si="386"/>
        <v>117.23699999999999</v>
      </c>
      <c r="AN488">
        <f>IF(AG488&lt;=0,AG488*'Vehicle Data'!C$6)</f>
        <v>-1648.3781623990119</v>
      </c>
      <c r="AO488">
        <f t="shared" si="387"/>
        <v>-1531.1411623990118</v>
      </c>
      <c r="AP488">
        <f>AO488*'Vehicle Data'!F$3</f>
        <v>-391.35968110918742</v>
      </c>
      <c r="AQ488">
        <f>IF(AE488='Vehicle Data'!I$15,AP488/'Vehicle Data'!G$15,IF(AE488='Vehicle Data'!I$16,AP488/'Vehicle Data'!G$16,IF(AE488='Vehicle Data'!I$14,Data!AP488/'Vehicle Data'!G499)))</f>
        <v>-72.24996629845252</v>
      </c>
      <c r="AR488">
        <f>IF(Z488&lt;'Vehicle Data'!C$16, Z488*'Vehicle Data'!F$7*'Vehicle Data'!G$14,IF(Z488&lt;'Vehicle Data'!C$15,Z488*'Vehicle Data'!F$7*'Vehicle Data'!G$15,IF(Z488&gt;'Vehicle Data'!C$15,Z488*'Vehicle Data'!F$7*'Vehicle Data'!G$16)))</f>
        <v>80.032609560168623</v>
      </c>
      <c r="AS488">
        <f t="shared" si="388"/>
        <v>4801.9565736101176</v>
      </c>
      <c r="AT488">
        <f t="shared" si="389"/>
        <v>-72</v>
      </c>
      <c r="AU488">
        <f t="shared" si="390"/>
        <v>5000</v>
      </c>
      <c r="AW488" t="e">
        <f>VLOOKUP(AT488,BSFC!A$64:A$82,1,FALSE)</f>
        <v>#N/A</v>
      </c>
      <c r="AX488" t="e" cm="1">
        <f t="array" ref="AX488">_xlfn.XLOOKUP(AT488,BSFC!A$64:A$82,,-1,_xlfn.XLOOKUP(Data!AU488,BSFC!C$63:Q$63,BSFC!B$64:Q$82,,-1))</f>
        <v>#VALUE!</v>
      </c>
      <c r="AY488">
        <f>HLOOKUP(AU488,BSFC!F$63:Q$63,1)</f>
        <v>5000</v>
      </c>
      <c r="AZ488">
        <f>IF(AT488&gt;0,MATCH(AT488,BSFC!A$64:A$83,0),IF(AT488&lt;=0,0))</f>
        <v>0</v>
      </c>
      <c r="BA488">
        <f>MATCH(AU488,BSFC!C$63:Q$63,0)</f>
        <v>10</v>
      </c>
      <c r="BB488" t="b" cm="1">
        <f t="array" ref="BB488">IF(AZ488&gt;0,INDEX(BSFC!C$64:Q$83,Data!AZ488,Data!BA488))</f>
        <v>0</v>
      </c>
      <c r="BC488">
        <f>0.5*'Vehicle Data'!C$6*Data!Z488^2</f>
        <v>18578.479999999996</v>
      </c>
      <c r="BD488">
        <f t="shared" si="349"/>
        <v>0</v>
      </c>
      <c r="BE488">
        <v>0</v>
      </c>
      <c r="BF488">
        <f t="shared" si="392"/>
        <v>0</v>
      </c>
      <c r="BG488">
        <f t="shared" si="350"/>
        <v>232.19817645749114</v>
      </c>
      <c r="BH488">
        <f t="shared" si="374"/>
        <v>-36184.939571335373</v>
      </c>
      <c r="BI488" s="148">
        <f t="shared" si="351"/>
        <v>6871.6622130335309</v>
      </c>
      <c r="BO488">
        <f t="shared" si="352"/>
        <v>-6933.5480473886473</v>
      </c>
      <c r="BP488">
        <f t="shared" si="353"/>
        <v>841201.67357266892</v>
      </c>
      <c r="BQ488">
        <f t="shared" si="354"/>
        <v>1229689.3004584606</v>
      </c>
      <c r="BR488" s="148">
        <f t="shared" si="355"/>
        <v>1188570.781996235</v>
      </c>
      <c r="BS488" s="156" t="b">
        <f t="shared" si="356"/>
        <v>0</v>
      </c>
      <c r="BT488" s="156">
        <f t="shared" si="357"/>
        <v>0</v>
      </c>
      <c r="BU488">
        <f t="shared" si="358"/>
        <v>1316.70801952191</v>
      </c>
      <c r="BV488">
        <f t="shared" si="359"/>
        <v>1316.70801952191</v>
      </c>
      <c r="BW488" s="148">
        <f t="shared" si="360"/>
        <v>455.4</v>
      </c>
      <c r="BX488" s="148">
        <f t="shared" si="361"/>
        <v>3129354.9718154697</v>
      </c>
      <c r="BY488" s="148">
        <f t="shared" si="362"/>
        <v>0.16656356446952159</v>
      </c>
      <c r="BZ488">
        <f t="shared" si="345"/>
        <v>172.77538347633563</v>
      </c>
      <c r="CB488">
        <f t="shared" si="363"/>
        <v>1316.70801952191</v>
      </c>
      <c r="CC488" s="162">
        <f t="shared" si="346"/>
        <v>7062.9116356508539</v>
      </c>
      <c r="CD488">
        <f t="shared" si="371"/>
        <v>-41850.458941252087</v>
      </c>
    </row>
    <row r="489" spans="4:82" ht="16" thickBot="1" x14ac:dyDescent="0.25">
      <c r="D489" s="22">
        <f t="shared" si="378"/>
        <v>0</v>
      </c>
      <c r="E489" s="23">
        <v>8.4017032</v>
      </c>
      <c r="F489" s="23">
        <f>IF(K489&lt;6,1,IF(Data!K489&lt;9,2,IF(K489&gt;9,3)))</f>
        <v>3</v>
      </c>
      <c r="G489" s="23">
        <v>223.85194697427627</v>
      </c>
      <c r="H489" s="23">
        <v>235.19999799999999</v>
      </c>
      <c r="I489" s="64">
        <v>34.857442708697498</v>
      </c>
      <c r="J489" s="65">
        <f t="shared" si="379"/>
        <v>-0.75016249177934335</v>
      </c>
      <c r="K489" s="65">
        <f t="shared" si="380"/>
        <v>13.942977083478999</v>
      </c>
      <c r="L489" s="65">
        <f t="shared" si="381"/>
        <v>-0.30006499671173731</v>
      </c>
      <c r="M489">
        <f t="shared" si="382"/>
        <v>16.8034064</v>
      </c>
      <c r="N489">
        <f t="shared" si="393"/>
        <v>0</v>
      </c>
      <c r="O489">
        <f>'Vehicle Data'!C$21</f>
        <v>0.6</v>
      </c>
      <c r="P489">
        <f>('Vehicle Data'!C$6*9.81*'Vehicle Data'!C$5*SIN(D489))/'Vehicle Data'!C$9</f>
        <v>0</v>
      </c>
      <c r="Q489" s="107">
        <f>'Vehicle Data'!C$6*9.81*SIN(D489)</f>
        <v>0</v>
      </c>
      <c r="R489">
        <f t="shared" si="394"/>
        <v>1311.086406427115</v>
      </c>
      <c r="S489">
        <f>IF(Data!O489=0.6,'Vehicle Data'!E$21,IF(Data!O489 = 0.9,'Vehicle Data'!E$20))+(P489*O489)</f>
        <v>1550.3723999999997</v>
      </c>
      <c r="T489">
        <f>IF(F489=3,'Vehicle Data'!H$16,IF(F489=2,'Vehicle Data'!H$15,IF(F489 = 1,'Vehicle Data'!G$14)))</f>
        <v>466.23005239380637</v>
      </c>
      <c r="U489" s="148">
        <f t="shared" si="383"/>
        <v>594.94792430379891</v>
      </c>
      <c r="V489" s="70" t="s">
        <v>77</v>
      </c>
      <c r="W489" s="99" t="s">
        <v>84</v>
      </c>
      <c r="X489">
        <f>IF(V489="S",'Vehicle Data'!C$14,IF(Data!V489 = "T1",'Vehicle Data'!P$2,IF(Data!V489="T2",'Vehicle Data'!P$3)))</f>
        <v>13.411199999999999</v>
      </c>
      <c r="Z489">
        <v>9</v>
      </c>
      <c r="AB489" t="b">
        <f>IF(AA489=1,'Vehicle Data'!I$14,IF(AA489=2,'Vehicle Data'!I$15,IF(AA489=3,'Vehicle Data'!I$16)))</f>
        <v>0</v>
      </c>
      <c r="AC489">
        <f>IF(Z489&lt;'Vehicle Data'!C$16,'Vehicle Data'!I$15,IF(Z489&lt;'Vehicle Data'!C$15,'Vehicle Data'!I$15,IF(Z488&gt;'Vehicle Data'!C$15,'Vehicle Data'!I$16)))</f>
        <v>0.46202745420001456</v>
      </c>
      <c r="AD489">
        <f>IF(O489=0.6,'Vehicle Data'!F$21,IF(O489=0.9,'Vehicle Data'!F$20))</f>
        <v>3.5315999999999996</v>
      </c>
      <c r="AE489" s="100">
        <f t="shared" si="384"/>
        <v>0.46202745420001456</v>
      </c>
      <c r="AF489" s="158">
        <f t="shared" si="385"/>
        <v>0.1916141944556734</v>
      </c>
      <c r="AG489" s="148">
        <f t="shared" si="347"/>
        <v>-1.043764010114949</v>
      </c>
      <c r="AH489" s="148">
        <f t="shared" si="365"/>
        <v>172.9669976707913</v>
      </c>
      <c r="AJ489">
        <f>(Z489^2)*'Vehicle Data'!C$31</f>
        <v>29.767500000000009</v>
      </c>
      <c r="AK489">
        <f>IF(O489=0.6,'Vehicle Data'!C$6*'Vehicle Data'!D$21*9.81,IF(O489=0.9,'Vehicle Data'!C$6*9.81*'Vehicle Data'!D$20))</f>
        <v>86.131799999999998</v>
      </c>
      <c r="AL489">
        <f t="shared" si="386"/>
        <v>115.89930000000001</v>
      </c>
      <c r="AN489">
        <f>IF(AG489&lt;=0,AG489*'Vehicle Data'!C$6)</f>
        <v>-458.2124004404626</v>
      </c>
      <c r="AO489">
        <f t="shared" si="387"/>
        <v>-342.31310044046256</v>
      </c>
      <c r="AP489">
        <f>AO489*'Vehicle Data'!F$3</f>
        <v>-87.495228472582227</v>
      </c>
      <c r="AQ489">
        <f>IF(AE489='Vehicle Data'!I$15,AP489/'Vehicle Data'!G$15,IF(AE489='Vehicle Data'!I$16,AP489/'Vehicle Data'!G$16,IF(AE489='Vehicle Data'!I$14,Data!AP489/'Vehicle Data'!G500)))</f>
        <v>-16.152730119012421</v>
      </c>
      <c r="AR489" t="b">
        <f>IF(Z489&lt;'Vehicle Data'!C$16, Z489*'Vehicle Data'!F$7*'Vehicle Data'!G$14,IF(Z489&lt;'Vehicle Data'!C$15,Z489*'Vehicle Data'!F$7*'Vehicle Data'!G$15,IF(Z489&gt;'Vehicle Data'!C$15,Z489*'Vehicle Data'!F$7*'Vehicle Data'!G$16)))</f>
        <v>0</v>
      </c>
      <c r="AS489">
        <f t="shared" si="388"/>
        <v>0</v>
      </c>
      <c r="AT489">
        <f t="shared" si="389"/>
        <v>-16</v>
      </c>
      <c r="AU489">
        <v>5500</v>
      </c>
      <c r="AW489" t="e">
        <f>VLOOKUP(AT489,BSFC!A$64:A$82,1,FALSE)</f>
        <v>#N/A</v>
      </c>
      <c r="AX489" t="e" cm="1">
        <f t="array" ref="AX489">_xlfn.XLOOKUP(AT489,BSFC!A$64:A$82,,-1,_xlfn.XLOOKUP(Data!AU489,BSFC!C$63:Q$63,BSFC!B$64:Q$82,,-1))</f>
        <v>#VALUE!</v>
      </c>
      <c r="AY489">
        <f>HLOOKUP(AU489,BSFC!F$63:Q$63,1)</f>
        <v>5500</v>
      </c>
      <c r="AZ489">
        <f>IF(AT489&gt;0,MATCH(AT489,BSFC!A$64:A$83,0),IF(AT489&lt;=0,0))</f>
        <v>0</v>
      </c>
      <c r="BA489">
        <f>MATCH(AU489,BSFC!C$63:Q$63,0)</f>
        <v>11</v>
      </c>
      <c r="BB489" t="b" cm="1">
        <f t="array" ref="BB489">IF(AZ489&gt;0,INDEX(BSFC!C$64:Q$83,Data!AZ489,Data!BA489))</f>
        <v>0</v>
      </c>
      <c r="BC489">
        <f>0.5*'Vehicle Data'!C$6*Data!Z489^2</f>
        <v>17779.5</v>
      </c>
      <c r="BD489">
        <f t="shared" si="349"/>
        <v>13.790386130811665</v>
      </c>
      <c r="BE489">
        <v>0</v>
      </c>
      <c r="BF489">
        <f t="shared" si="392"/>
        <v>0</v>
      </c>
      <c r="BG489">
        <f t="shared" si="350"/>
        <v>232.19817645749114</v>
      </c>
      <c r="BH489">
        <f t="shared" si="374"/>
        <v>0</v>
      </c>
      <c r="BI489" s="148">
        <f t="shared" si="351"/>
        <v>6871.6622130335309</v>
      </c>
      <c r="BO489">
        <f t="shared" si="352"/>
        <v>0</v>
      </c>
      <c r="BP489">
        <f t="shared" si="353"/>
        <v>841201.67357266892</v>
      </c>
      <c r="BQ489">
        <f t="shared" si="354"/>
        <v>1229689.3004584606</v>
      </c>
      <c r="BR489" s="148">
        <f t="shared" si="355"/>
        <v>1189807.6811945811</v>
      </c>
      <c r="BS489" s="156" t="b">
        <f t="shared" si="356"/>
        <v>0</v>
      </c>
      <c r="BT489" s="156">
        <f t="shared" si="357"/>
        <v>0</v>
      </c>
      <c r="BU489">
        <f t="shared" si="358"/>
        <v>1236.8991983460355</v>
      </c>
      <c r="BV489">
        <f t="shared" si="359"/>
        <v>1236.8991983460355</v>
      </c>
      <c r="BW489" s="148">
        <f t="shared" si="360"/>
        <v>455.4</v>
      </c>
      <c r="BX489" s="148">
        <f t="shared" si="361"/>
        <v>3129354.9718154697</v>
      </c>
      <c r="BY489" s="148">
        <f t="shared" si="362"/>
        <v>0.15646774859077348</v>
      </c>
      <c r="BZ489">
        <f t="shared" si="345"/>
        <v>172.9669976707913</v>
      </c>
      <c r="CB489">
        <f t="shared" si="363"/>
        <v>1236.8991983460355</v>
      </c>
      <c r="CC489" s="162">
        <f t="shared" si="346"/>
        <v>6455.1543368683542</v>
      </c>
      <c r="CD489">
        <f t="shared" si="371"/>
        <v>-40613.559742906051</v>
      </c>
    </row>
    <row r="490" spans="4:82" x14ac:dyDescent="0.2">
      <c r="D490" s="22">
        <f t="shared" si="378"/>
        <v>4.2415328728376389E-2</v>
      </c>
      <c r="E490" s="23">
        <v>8.4017032</v>
      </c>
      <c r="F490" s="23">
        <f>IF(K490&lt;6,1,IF(Data!K490&lt;9,2,IF(K490&gt;9,3)))</f>
        <v>3</v>
      </c>
      <c r="G490" s="23">
        <v>1022.3895581216832</v>
      </c>
      <c r="H490" s="23">
        <v>219.01666499999999</v>
      </c>
      <c r="I490" s="64">
        <v>46.997572117272377</v>
      </c>
      <c r="J490" s="65">
        <f t="shared" si="379"/>
        <v>1.3397314169050185</v>
      </c>
      <c r="K490" s="65">
        <f t="shared" si="380"/>
        <v>18.79902884690895</v>
      </c>
      <c r="L490" s="65">
        <f t="shared" si="381"/>
        <v>0.53589256676199315</v>
      </c>
      <c r="M490">
        <f t="shared" si="382"/>
        <v>16.8034064</v>
      </c>
      <c r="N490">
        <f t="shared" si="393"/>
        <v>9.9998399999998711E-2</v>
      </c>
      <c r="O490">
        <f>IF(L490&lt;'Vehicle Data'!F$21,'Vehicle Data'!C$21,IF(L490&gt;'Vehicle Data'!C$21,'Vehicle Data'!C$20))</f>
        <v>0.6</v>
      </c>
      <c r="P490">
        <f>('Vehicle Data'!C$6*9.81*'Vehicle Data'!C$5*SIN(D490))/'Vehicle Data'!C$9</f>
        <v>28.238762545357893</v>
      </c>
      <c r="Q490" s="107">
        <f>'Vehicle Data'!C$6*9.81*SIN(D490)</f>
        <v>182.61066445998102</v>
      </c>
      <c r="R490" s="101">
        <f t="shared" ref="R490:R533" si="395">G489</f>
        <v>223.85194697427627</v>
      </c>
      <c r="S490" s="101">
        <f>IF(Data!O490=0.6,'Vehicle Data'!E$21,IF(Data!O490 = 0.9,'Vehicle Data'!E$20))+(P490*O490)</f>
        <v>1567.3156575272144</v>
      </c>
      <c r="T490" s="101">
        <f>IF(F490=3,'Vehicle Data'!H$16,IF(F490=2,'Vehicle Data'!H$15,IF(F490 = 1,'Vehicle Data'!G$14)))</f>
        <v>466.23005239380637</v>
      </c>
      <c r="U490" s="148">
        <f t="shared" si="383"/>
        <v>-492.28653514903976</v>
      </c>
      <c r="V490" s="102" t="s">
        <v>77</v>
      </c>
      <c r="W490" s="103" t="s">
        <v>84</v>
      </c>
      <c r="X490" s="101">
        <f>IF(V490="S",'Vehicle Data'!C$14,IF(Data!V490 = "T1",'Vehicle Data'!P$2,IF(Data!V490="T2",'Vehicle Data'!P$3)))</f>
        <v>13.411199999999999</v>
      </c>
      <c r="Y490" s="101"/>
      <c r="Z490" s="104">
        <v>8.5</v>
      </c>
      <c r="AA490" s="101"/>
      <c r="AB490" s="101" t="b">
        <f>IF(AA490=1,'Vehicle Data'!I$14,IF(AA490=2,'Vehicle Data'!I$15,IF(AA490=3,'Vehicle Data'!I$16)))</f>
        <v>0</v>
      </c>
      <c r="AC490" s="101">
        <f>IF(Z490&lt;'Vehicle Data'!C$16,'Vehicle Data'!I$15,IF(Z490&lt;'Vehicle Data'!C$15,'Vehicle Data'!I$15,IF(Z489&gt;'Vehicle Data'!C$15,'Vehicle Data'!I$16)))</f>
        <v>0.98256251041858167</v>
      </c>
      <c r="AD490">
        <f>IF(O490=0.6,'Vehicle Data'!F$21,IF(O490=0.9,'Vehicle Data'!F$20))</f>
        <v>3.5315999999999996</v>
      </c>
      <c r="AE490" s="101">
        <f>(Data!H$15-Data!Q490)/'Vehicle Data'!C$6</f>
        <v>6.5845103735806293E-2</v>
      </c>
      <c r="AF490" s="158">
        <v>0.18</v>
      </c>
      <c r="AG490" s="148">
        <f t="shared" si="347"/>
        <v>-2.7777777777777777</v>
      </c>
      <c r="AH490" s="148">
        <f t="shared" si="365"/>
        <v>173.14699767079131</v>
      </c>
      <c r="AI490" s="101"/>
      <c r="AJ490" s="101">
        <f>(Z490^2)*'Vehicle Data'!C$31</f>
        <v>26.551875000000006</v>
      </c>
      <c r="AK490" s="101">
        <f>IF(O490=0.6,'Vehicle Data'!C$6*'Vehicle Data'!D$21*9.81,IF(O490=0.9,'Vehicle Data'!C$6*9.81*'Vehicle Data'!D$20))</f>
        <v>86.131799999999998</v>
      </c>
      <c r="AL490" s="101">
        <f t="shared" si="386"/>
        <v>295.29433945998102</v>
      </c>
      <c r="AM490" s="101"/>
      <c r="AN490">
        <f>IF(AG490&lt;=0,AG490*'Vehicle Data'!C$6)</f>
        <v>-1219.4444444444443</v>
      </c>
      <c r="AO490" s="101">
        <f t="shared" si="387"/>
        <v>-924.15010498446327</v>
      </c>
      <c r="AP490" s="101">
        <f>AO490*'Vehicle Data'!F$3</f>
        <v>-236.2127668340288</v>
      </c>
      <c r="AQ490">
        <v>20</v>
      </c>
      <c r="AR490">
        <f>IF(Z490&lt;'Vehicle Data'!C$16, Z490*'Vehicle Data'!F$7*'Vehicle Data'!G$14,IF(Z490&lt;'Vehicle Data'!C$15,Z490*'Vehicle Data'!F$7*'Vehicle Data'!G$15,IF(Z490&gt;'Vehicle Data'!C$15,Z490*'Vehicle Data'!F$7*'Vehicle Data'!G$16)))</f>
        <v>110.18518518518519</v>
      </c>
      <c r="AS490">
        <f t="shared" si="388"/>
        <v>6611.1111111111113</v>
      </c>
      <c r="AT490">
        <f t="shared" si="389"/>
        <v>20</v>
      </c>
      <c r="AU490">
        <f t="shared" si="390"/>
        <v>6500</v>
      </c>
      <c r="AW490">
        <f>VLOOKUP(AT490,BSFC!A$64:A$82,1,FALSE)</f>
        <v>20</v>
      </c>
      <c r="AX490" t="e" cm="1">
        <f t="array" ref="AX490">_xlfn.XLOOKUP(AT490,BSFC!A$64:A$82,,-1,_xlfn.XLOOKUP(Data!AU490,BSFC!C$63:Q$63,BSFC!B$64:Q$82,,-1))</f>
        <v>#VALUE!</v>
      </c>
      <c r="AY490">
        <f>HLOOKUP(AU490,BSFC!F$63:Q$63,1)</f>
        <v>6500</v>
      </c>
      <c r="AZ490">
        <f>IF(AT490&gt;0,MATCH(AT490,BSFC!A$64:A$83,0),IF(AT490&lt;=0,0))</f>
        <v>3</v>
      </c>
      <c r="BA490">
        <f>MATCH(AU490,BSFC!C$63:Q$63,0)</f>
        <v>13</v>
      </c>
      <c r="BB490" cm="1">
        <f t="array" ref="BB490">IF(AZ490&gt;0,INDEX(BSFC!C$64:Q$83,Data!AZ490,Data!BA490))</f>
        <v>494.7</v>
      </c>
      <c r="BC490">
        <f>0.5*'Vehicle Data'!C$6*Data!Z490^2</f>
        <v>15858.875</v>
      </c>
      <c r="BD490">
        <f t="shared" si="349"/>
        <v>13.465906457145509</v>
      </c>
      <c r="BE490">
        <f t="shared" si="391"/>
        <v>6661.5839243498831</v>
      </c>
      <c r="BF490">
        <f t="shared" si="392"/>
        <v>0.33307919621749416</v>
      </c>
      <c r="BG490">
        <f t="shared" si="350"/>
        <v>232.53125565370863</v>
      </c>
      <c r="BH490">
        <f t="shared" si="374"/>
        <v>13790.386130811665</v>
      </c>
      <c r="BI490" s="148">
        <f t="shared" si="351"/>
        <v>6871.6622130335309</v>
      </c>
      <c r="BO490">
        <f t="shared" si="352"/>
        <v>3309.6926713947996</v>
      </c>
      <c r="BP490">
        <f t="shared" si="353"/>
        <v>844511.36624406371</v>
      </c>
      <c r="BQ490">
        <f t="shared" si="354"/>
        <v>1232998.9931298555</v>
      </c>
      <c r="BR490" s="148">
        <f t="shared" si="355"/>
        <v>1191456.8801257091</v>
      </c>
      <c r="BS490" s="156">
        <f t="shared" si="356"/>
        <v>3309.6926713947996</v>
      </c>
      <c r="BT490" s="156">
        <f t="shared" si="357"/>
        <v>13790.386130811665</v>
      </c>
      <c r="BU490">
        <f t="shared" si="358"/>
        <v>1649.1989311280474</v>
      </c>
      <c r="BV490">
        <f t="shared" si="359"/>
        <v>1649.1989311280474</v>
      </c>
      <c r="BW490" s="148">
        <f t="shared" si="360"/>
        <v>455.4</v>
      </c>
      <c r="BX490" s="148">
        <f t="shared" si="361"/>
        <v>3129354.9718154697</v>
      </c>
      <c r="BY490" s="148">
        <f t="shared" si="362"/>
        <v>0.20862366478769798</v>
      </c>
      <c r="BZ490">
        <f t="shared" si="345"/>
        <v>173.14699767079131</v>
      </c>
      <c r="CB490">
        <f t="shared" si="363"/>
        <v>-1660.4937402667522</v>
      </c>
      <c r="CC490" s="162">
        <f t="shared" si="346"/>
        <v>-9224.9652237038299</v>
      </c>
      <c r="CD490">
        <f t="shared" si="371"/>
        <v>-42274.0534831728</v>
      </c>
    </row>
    <row r="491" spans="4:82" x14ac:dyDescent="0.2">
      <c r="D491" s="22">
        <f t="shared" si="378"/>
        <v>4.9062920242046774E-2</v>
      </c>
      <c r="E491" s="23">
        <v>8.5017015999999987</v>
      </c>
      <c r="F491" s="23">
        <f>IF(K491&lt;6,1,IF(Data!K491&lt;9,2,IF(K491&gt;9,3)))</f>
        <v>3</v>
      </c>
      <c r="G491" s="23">
        <v>1024.7478656757876</v>
      </c>
      <c r="H491" s="23">
        <v>219.066665</v>
      </c>
      <c r="I491" s="64">
        <v>47.064558688117643</v>
      </c>
      <c r="J491" s="65">
        <f t="shared" si="379"/>
        <v>1.4354312780726908</v>
      </c>
      <c r="K491" s="65">
        <f t="shared" si="380"/>
        <v>18.825823475247056</v>
      </c>
      <c r="L491" s="65">
        <f t="shared" si="381"/>
        <v>0.57417251122911894</v>
      </c>
      <c r="M491">
        <f t="shared" si="382"/>
        <v>17.003403199999997</v>
      </c>
      <c r="N491">
        <f t="shared" si="393"/>
        <v>0.11580771547588853</v>
      </c>
      <c r="O491">
        <f>IF(L491&lt;'Vehicle Data'!F$21,'Vehicle Data'!C$21,IF(L491&gt;'Vehicle Data'!C$21,'Vehicle Data'!C$20))</f>
        <v>0.6</v>
      </c>
      <c r="P491">
        <f>('Vehicle Data'!C$6*9.81*'Vehicle Data'!C$5*SIN(D491))/'Vehicle Data'!C$9</f>
        <v>32.661204407245584</v>
      </c>
      <c r="Q491" s="107">
        <f>'Vehicle Data'!C$6*9.81*SIN(D491)</f>
        <v>211.20912183352144</v>
      </c>
      <c r="R491" s="101">
        <f t="shared" si="395"/>
        <v>1022.3895581216832</v>
      </c>
      <c r="S491" s="101">
        <f>IF(Data!O491=0.6,'Vehicle Data'!E$21,IF(Data!O491 = 0.9,'Vehicle Data'!E$20))+(P491*O491)</f>
        <v>1569.9691226443472</v>
      </c>
      <c r="T491" s="101">
        <f>IF(F491=3,'Vehicle Data'!H$16,IF(F491=2,'Vehicle Data'!H$15,IF(F491 = 1,'Vehicle Data'!G$14)))</f>
        <v>466.23005239380637</v>
      </c>
      <c r="U491" s="148">
        <f t="shared" si="383"/>
        <v>306.25107599836713</v>
      </c>
      <c r="V491" s="102" t="s">
        <v>77</v>
      </c>
      <c r="W491" s="103" t="s">
        <v>84</v>
      </c>
      <c r="X491" s="101">
        <f>IF(V491="S",'Vehicle Data'!C$14,IF(Data!V491 = "T1",'Vehicle Data'!P$2,IF(Data!V491="T2",'Vehicle Data'!P$3)))</f>
        <v>13.411199999999999</v>
      </c>
      <c r="Y491" s="101"/>
      <c r="Z491" s="105">
        <v>8.3000000000000007</v>
      </c>
      <c r="AA491" s="101"/>
      <c r="AB491" s="101" t="b">
        <f>IF(AA491=1,'Vehicle Data'!I$14,IF(AA491=2,'Vehicle Data'!I$15,IF(AA491=3,'Vehicle Data'!I$16)))</f>
        <v>0</v>
      </c>
      <c r="AC491" s="101">
        <f>IF(Z491&lt;'Vehicle Data'!C$16,'Vehicle Data'!I$15,IF(Z491&lt;'Vehicle Data'!C$15,'Vehicle Data'!I$15,IF(Z490&gt;'Vehicle Data'!C$15,'Vehicle Data'!I$16)))</f>
        <v>0.98256251041858167</v>
      </c>
      <c r="AD491">
        <f>IF(O491=0.6,'Vehicle Data'!F$21,IF(O491=0.9,'Vehicle Data'!F$20))</f>
        <v>3.5315999999999996</v>
      </c>
      <c r="AE491" s="101">
        <f>(Data!H$15-Data!Q491)/'Vehicle Data'!C$6</f>
        <v>7.0055390997392393E-4</v>
      </c>
      <c r="AF491" s="158">
        <v>0.24</v>
      </c>
      <c r="AG491" s="148">
        <f t="shared" si="347"/>
        <v>-0.83333333333333037</v>
      </c>
      <c r="AH491" s="148">
        <f t="shared" si="365"/>
        <v>173.38699767079132</v>
      </c>
      <c r="AI491" s="101"/>
      <c r="AJ491" s="101">
        <f>(Z491^2)*'Vehicle Data'!C$31</f>
        <v>25.317075000000013</v>
      </c>
      <c r="AK491" s="101">
        <f>IF(O491=0.6,'Vehicle Data'!C$6*'Vehicle Data'!D$21*9.81,IF(O491=0.9,'Vehicle Data'!C$6*9.81*'Vehicle Data'!D$20))</f>
        <v>86.131799999999998</v>
      </c>
      <c r="AL491" s="101">
        <f t="shared" si="386"/>
        <v>322.65799683352145</v>
      </c>
      <c r="AM491" s="101"/>
      <c r="AN491">
        <f>IF(AG491&lt;=0,AG491*'Vehicle Data'!C$6)</f>
        <v>-365.83333333333201</v>
      </c>
      <c r="AO491" s="101">
        <f t="shared" si="387"/>
        <v>-43.175336499810555</v>
      </c>
      <c r="AP491" s="101">
        <f>AO491*'Vehicle Data'!F$3</f>
        <v>-11.035616009351578</v>
      </c>
      <c r="AQ491">
        <v>20</v>
      </c>
      <c r="AR491">
        <f>IF(Z491&lt;'Vehicle Data'!C$16, Z491*'Vehicle Data'!F$7*'Vehicle Data'!G$14,IF(Z491&lt;'Vehicle Data'!C$15,Z491*'Vehicle Data'!F$7*'Vehicle Data'!G$15,IF(Z491&gt;'Vehicle Data'!C$15,Z491*'Vehicle Data'!F$7*'Vehicle Data'!G$16)))</f>
        <v>107.59259259259261</v>
      </c>
      <c r="AS491">
        <f t="shared" si="388"/>
        <v>6455.5555555555566</v>
      </c>
      <c r="AT491">
        <f t="shared" si="389"/>
        <v>20</v>
      </c>
      <c r="AU491">
        <f t="shared" si="390"/>
        <v>6500</v>
      </c>
      <c r="AW491">
        <f>VLOOKUP(AT491,BSFC!A$64:A$82,1,FALSE)</f>
        <v>20</v>
      </c>
      <c r="AX491" t="e" cm="1">
        <f t="array" ref="AX491">_xlfn.XLOOKUP(AT491,BSFC!A$64:A$82,,-1,_xlfn.XLOOKUP(Data!AU491,BSFC!C$63:Q$63,BSFC!B$64:Q$82,,-1))</f>
        <v>#VALUE!</v>
      </c>
      <c r="AY491">
        <f>HLOOKUP(AU491,BSFC!F$63:Q$63,1)</f>
        <v>6500</v>
      </c>
      <c r="AZ491">
        <f>IF(AT491&gt;0,MATCH(AT491,BSFC!A$64:A$83,0),IF(AT491&lt;=0,0))</f>
        <v>3</v>
      </c>
      <c r="BA491">
        <f>MATCH(AU491,BSFC!C$63:Q$63,0)</f>
        <v>13</v>
      </c>
      <c r="BB491" cm="1">
        <f t="array" ref="BB491">IF(AZ491&gt;0,INDEX(BSFC!C$64:Q$83,Data!AZ491,Data!BA491))</f>
        <v>494.7</v>
      </c>
      <c r="BC491">
        <f>0.5*'Vehicle Data'!C$6*Data!Z491^2</f>
        <v>15121.355000000003</v>
      </c>
      <c r="BD491">
        <f t="shared" si="349"/>
        <v>13.465906457145509</v>
      </c>
      <c r="BE491">
        <f t="shared" si="391"/>
        <v>6661.5839243498831</v>
      </c>
      <c r="BF491">
        <f t="shared" si="392"/>
        <v>0.44410559495665886</v>
      </c>
      <c r="BG491">
        <f t="shared" si="350"/>
        <v>232.97536124866528</v>
      </c>
      <c r="BH491">
        <f t="shared" si="374"/>
        <v>13465.906457145509</v>
      </c>
      <c r="BI491" s="148">
        <f t="shared" si="351"/>
        <v>6871.6622130335309</v>
      </c>
      <c r="BO491">
        <f t="shared" si="352"/>
        <v>3826.1143278011168</v>
      </c>
      <c r="BP491">
        <f t="shared" si="353"/>
        <v>848337.48057186487</v>
      </c>
      <c r="BQ491">
        <f t="shared" si="354"/>
        <v>1236825.1074576566</v>
      </c>
      <c r="BR491" s="148">
        <f t="shared" si="355"/>
        <v>1193409.3491505587</v>
      </c>
      <c r="BS491" s="156">
        <f t="shared" si="356"/>
        <v>3826.1143278011168</v>
      </c>
      <c r="BT491" s="156">
        <f t="shared" si="357"/>
        <v>13465.906457145509</v>
      </c>
      <c r="BU491">
        <f t="shared" si="358"/>
        <v>1952.4690248494737</v>
      </c>
      <c r="BV491">
        <f t="shared" si="359"/>
        <v>1952.4690248494737</v>
      </c>
      <c r="BW491" s="148">
        <f t="shared" si="360"/>
        <v>455.4</v>
      </c>
      <c r="BX491" s="148">
        <f t="shared" si="361"/>
        <v>3129354.9718154697</v>
      </c>
      <c r="BY491" s="148">
        <f t="shared" si="362"/>
        <v>0.2469873316434584</v>
      </c>
      <c r="BZ491">
        <f t="shared" si="345"/>
        <v>173.38699767079132</v>
      </c>
      <c r="CB491">
        <f t="shared" si="363"/>
        <v>-1873.6453029516431</v>
      </c>
      <c r="CC491" s="162">
        <f t="shared" si="346"/>
        <v>-7806.8554289648837</v>
      </c>
      <c r="CD491">
        <f t="shared" si="371"/>
        <v>-44147.698786124442</v>
      </c>
    </row>
    <row r="492" spans="4:82" x14ac:dyDescent="0.2">
      <c r="D492" s="22">
        <f t="shared" si="378"/>
        <v>0.12049093976819797</v>
      </c>
      <c r="E492" s="23">
        <v>8.6175093154758873</v>
      </c>
      <c r="F492" s="23">
        <f>IF(K492&lt;6,1,IF(Data!K492&lt;9,2,IF(K492&gt;9,3)))</f>
        <v>3</v>
      </c>
      <c r="G492" s="23">
        <v>1027.109204736628</v>
      </c>
      <c r="H492" s="23">
        <v>219.11666499999998</v>
      </c>
      <c r="I492" s="64">
        <v>47.136330252021253</v>
      </c>
      <c r="J492" s="65">
        <f t="shared" si="379"/>
        <v>1.6751852609225637</v>
      </c>
      <c r="K492" s="65">
        <f t="shared" si="380"/>
        <v>18.854532100808502</v>
      </c>
      <c r="L492" s="65">
        <f t="shared" si="381"/>
        <v>0.67007410436899706</v>
      </c>
      <c r="M492">
        <f t="shared" si="382"/>
        <v>17.235018630951775</v>
      </c>
      <c r="N492">
        <f t="shared" si="393"/>
        <v>0.28419388452411276</v>
      </c>
      <c r="O492">
        <f>IF(L492&lt;'Vehicle Data'!F$21,'Vehicle Data'!C$21,IF(L492&gt;'Vehicle Data'!C$21,'Vehicle Data'!C$20))</f>
        <v>0.6</v>
      </c>
      <c r="P492">
        <f>('Vehicle Data'!C$6*9.81*'Vehicle Data'!C$5*SIN(D492))/'Vehicle Data'!C$9</f>
        <v>80.049031598978715</v>
      </c>
      <c r="Q492" s="107">
        <f>'Vehicle Data'!C$6*9.81*SIN(D492)</f>
        <v>517.65040434006244</v>
      </c>
      <c r="R492" s="101">
        <f t="shared" si="395"/>
        <v>1024.7478656757876</v>
      </c>
      <c r="S492" s="101">
        <f>IF(Data!O492=0.6,'Vehicle Data'!E$21,IF(Data!O492 = 0.9,'Vehicle Data'!E$20))+(P492*O492)</f>
        <v>1598.4018189593869</v>
      </c>
      <c r="T492" s="101">
        <f>IF(F492=3,'Vehicle Data'!H$16,IF(F492=2,'Vehicle Data'!H$15,IF(F492 = 1,'Vehicle Data'!G$14)))</f>
        <v>466.23005239380637</v>
      </c>
      <c r="U492" s="148">
        <f t="shared" si="383"/>
        <v>308.60938355247151</v>
      </c>
      <c r="V492" s="102" t="s">
        <v>77</v>
      </c>
      <c r="W492" s="103" t="s">
        <v>84</v>
      </c>
      <c r="X492" s="101">
        <f>IF(V492="S",'Vehicle Data'!C$14,IF(Data!V492 = "T1",'Vehicle Data'!P$2,IF(Data!V492="T2",'Vehicle Data'!P$3)))</f>
        <v>13.411199999999999</v>
      </c>
      <c r="Y492" s="101"/>
      <c r="Z492" s="105">
        <v>8.3000000000000007</v>
      </c>
      <c r="AA492" s="101"/>
      <c r="AB492" s="101" t="b">
        <f>IF(AA492=1,'Vehicle Data'!I$14,IF(AA492=2,'Vehicle Data'!I$15,IF(AA492=3,'Vehicle Data'!I$16)))</f>
        <v>0</v>
      </c>
      <c r="AC492" s="101">
        <f>IF(Z492&lt;'Vehicle Data'!C$16,'Vehicle Data'!I$15,IF(Z492&lt;'Vehicle Data'!C$15,'Vehicle Data'!I$15,IF(Z491&gt;'Vehicle Data'!C$15,'Vehicle Data'!I$16)))</f>
        <v>0.98256251041858167</v>
      </c>
      <c r="AD492">
        <f>IF(O492=0.6,'Vehicle Data'!F$21,IF(O492=0.9,'Vehicle Data'!F$20))</f>
        <v>3.5315999999999996</v>
      </c>
      <c r="AE492" s="101">
        <f>(Data!H$15-Data!Q492)/'Vehicle Data'!C$6</f>
        <v>-0.6973433697951309</v>
      </c>
      <c r="AF492" s="158">
        <f t="shared" si="385"/>
        <v>0.28413344025354037</v>
      </c>
      <c r="AG492" s="148">
        <f t="shared" si="347"/>
        <v>0</v>
      </c>
      <c r="AH492" s="148">
        <f t="shared" si="365"/>
        <v>173.67113111104484</v>
      </c>
      <c r="AI492" s="101"/>
      <c r="AJ492" s="101">
        <f>(Z492^2)*'Vehicle Data'!C$31</f>
        <v>25.317075000000013</v>
      </c>
      <c r="AK492" s="101">
        <f>IF(O492=0.6,'Vehicle Data'!C$6*'Vehicle Data'!D$21*9.81,IF(O492=0.9,'Vehicle Data'!C$6*9.81*'Vehicle Data'!D$20))</f>
        <v>86.131799999999998</v>
      </c>
      <c r="AL492" s="101">
        <f t="shared" si="386"/>
        <v>629.09927934006248</v>
      </c>
      <c r="AM492" s="101"/>
      <c r="AN492" t="b">
        <f>IF(AG492&gt;0,AG492*'Vehicle Data'!C$6)</f>
        <v>0</v>
      </c>
      <c r="AO492" s="101">
        <f t="shared" si="387"/>
        <v>629.09927934006248</v>
      </c>
      <c r="AP492" s="101">
        <f>AO492*'Vehicle Data'!F$3</f>
        <v>160.79777579931996</v>
      </c>
      <c r="AQ492">
        <v>20</v>
      </c>
      <c r="AR492">
        <f>IF(Z492&lt;'Vehicle Data'!C$16, Z492*'Vehicle Data'!F$7*'Vehicle Data'!G$14,IF(Z492&lt;'Vehicle Data'!C$15,Z492*'Vehicle Data'!F$7*'Vehicle Data'!G$15,IF(Z492&gt;'Vehicle Data'!C$15,Z492*'Vehicle Data'!F$7*'Vehicle Data'!G$16)))</f>
        <v>107.59259259259261</v>
      </c>
      <c r="AS492">
        <f t="shared" si="388"/>
        <v>6455.5555555555566</v>
      </c>
      <c r="AT492">
        <f t="shared" si="389"/>
        <v>20</v>
      </c>
      <c r="AU492">
        <f t="shared" si="390"/>
        <v>6500</v>
      </c>
      <c r="AW492">
        <f>VLOOKUP(AT492,BSFC!A$64:A$82,1,FALSE)</f>
        <v>20</v>
      </c>
      <c r="AX492" t="e" cm="1">
        <f t="array" ref="AX492">_xlfn.XLOOKUP(AT492,BSFC!A$64:A$82,,-1,_xlfn.XLOOKUP(Data!AU492,BSFC!C$63:Q$63,BSFC!B$64:Q$82,,-1))</f>
        <v>#VALUE!</v>
      </c>
      <c r="AY492">
        <f>HLOOKUP(AU492,BSFC!F$63:Q$63,1)</f>
        <v>6500</v>
      </c>
      <c r="AZ492">
        <f>IF(AT492&gt;0,MATCH(AT492,BSFC!A$64:A$83,0),IF(AT492&lt;=0,0))</f>
        <v>3</v>
      </c>
      <c r="BA492">
        <f>MATCH(AU492,BSFC!C$63:Q$63,0)</f>
        <v>13</v>
      </c>
      <c r="BB492" cm="1">
        <f t="array" ref="BB492">IF(AZ492&gt;0,INDEX(BSFC!C$64:Q$83,Data!AZ492,Data!BA492))</f>
        <v>494.7</v>
      </c>
      <c r="BC492">
        <f>0.5*'Vehicle Data'!C$6*Data!Z492^2</f>
        <v>15121.355000000003</v>
      </c>
      <c r="BD492">
        <f t="shared" si="349"/>
        <v>13.465906457145509</v>
      </c>
      <c r="BE492">
        <f t="shared" si="391"/>
        <v>6661.5839243498831</v>
      </c>
      <c r="BF492">
        <f t="shared" si="392"/>
        <v>0.52577187721200347</v>
      </c>
      <c r="BG492">
        <f t="shared" si="350"/>
        <v>233.50113312587729</v>
      </c>
      <c r="BH492">
        <f t="shared" si="374"/>
        <v>13465.906457145509</v>
      </c>
      <c r="BI492" s="148">
        <f t="shared" si="351"/>
        <v>6871.6622130335309</v>
      </c>
      <c r="BO492">
        <f t="shared" si="352"/>
        <v>3831.0326393833157</v>
      </c>
      <c r="BP492">
        <f t="shared" si="353"/>
        <v>852168.51321124821</v>
      </c>
      <c r="BQ492">
        <f t="shared" si="354"/>
        <v>1240656.14009704</v>
      </c>
      <c r="BR492" s="148">
        <f t="shared" si="355"/>
        <v>1195364.3279935149</v>
      </c>
      <c r="BS492" s="156">
        <f t="shared" si="356"/>
        <v>3831.0326393833157</v>
      </c>
      <c r="BT492" s="156">
        <f t="shared" si="357"/>
        <v>13465.906457145509</v>
      </c>
      <c r="BU492">
        <f t="shared" si="358"/>
        <v>1954.9788429563259</v>
      </c>
      <c r="BV492">
        <f t="shared" si="359"/>
        <v>1954.9788429563259</v>
      </c>
      <c r="BW492" s="148">
        <f t="shared" si="360"/>
        <v>455.4</v>
      </c>
      <c r="BX492" s="148">
        <f t="shared" si="361"/>
        <v>3129354.9718154697</v>
      </c>
      <c r="BY492" s="148">
        <f t="shared" si="362"/>
        <v>0.24730482363397518</v>
      </c>
      <c r="BZ492">
        <f t="shared" si="345"/>
        <v>173.67113111104484</v>
      </c>
      <c r="CB492">
        <f t="shared" si="363"/>
        <v>-1876.0537964269897</v>
      </c>
      <c r="CC492" s="162">
        <f t="shared" si="346"/>
        <v>-6602.7208721121442</v>
      </c>
      <c r="CD492">
        <f t="shared" si="371"/>
        <v>-46023.752582551431</v>
      </c>
    </row>
    <row r="493" spans="4:82" x14ac:dyDescent="0.2">
      <c r="D493" s="22">
        <f t="shared" si="378"/>
        <v>9.1254125943258782E-2</v>
      </c>
      <c r="E493" s="23">
        <v>8.9017032</v>
      </c>
      <c r="F493" s="23">
        <f>IF(K493&lt;6,1,IF(Data!K493&lt;9,2,IF(K493&gt;9,3)))</f>
        <v>3</v>
      </c>
      <c r="G493" s="23">
        <v>1029.4735543650477</v>
      </c>
      <c r="H493" s="23">
        <v>219.16666499999999</v>
      </c>
      <c r="I493" s="64">
        <v>47.2200895150674</v>
      </c>
      <c r="J493" s="65">
        <f t="shared" si="379"/>
        <v>1.7482084246637719</v>
      </c>
      <c r="K493" s="65">
        <f t="shared" si="380"/>
        <v>18.888035806026959</v>
      </c>
      <c r="L493" s="65">
        <f t="shared" si="381"/>
        <v>0.69928336986552297</v>
      </c>
      <c r="M493">
        <f t="shared" si="382"/>
        <v>17.8034064</v>
      </c>
      <c r="N493">
        <f t="shared" si="393"/>
        <v>0.21580611547597783</v>
      </c>
      <c r="O493">
        <f>IF(L493&lt;'Vehicle Data'!F$21,'Vehicle Data'!C$21,IF(L493&gt;'Vehicle Data'!C$21,'Vehicle Data'!C$20))</f>
        <v>0.6</v>
      </c>
      <c r="P493">
        <f>('Vehicle Data'!C$6*9.81*'Vehicle Data'!C$5*SIN(D493))/'Vehicle Data'!C$9</f>
        <v>60.687974584678031</v>
      </c>
      <c r="Q493" s="107">
        <f>'Vehicle Data'!C$6*9.81*SIN(D493)</f>
        <v>392.44890231425126</v>
      </c>
      <c r="R493" s="101">
        <f t="shared" si="395"/>
        <v>1027.109204736628</v>
      </c>
      <c r="S493" s="101">
        <f>IF(Data!O493=0.6,'Vehicle Data'!E$21,IF(Data!O493 = 0.9,'Vehicle Data'!E$20))+(P493*O493)</f>
        <v>1586.7851847508066</v>
      </c>
      <c r="T493" s="101">
        <f>IF(F493=3,'Vehicle Data'!H$16,IF(F493=2,'Vehicle Data'!H$15,IF(F493 = 1,'Vehicle Data'!G$14)))</f>
        <v>466.23005239380637</v>
      </c>
      <c r="U493" s="148">
        <f t="shared" si="383"/>
        <v>310.97072261331198</v>
      </c>
      <c r="V493" s="102" t="s">
        <v>77</v>
      </c>
      <c r="W493" s="103" t="s">
        <v>84</v>
      </c>
      <c r="X493" s="101">
        <f>IF(V493="S",'Vehicle Data'!C$14,IF(Data!V493 = "T1",'Vehicle Data'!P$2,IF(Data!V493="T2",'Vehicle Data'!P$3)))</f>
        <v>13.411199999999999</v>
      </c>
      <c r="Y493" s="101"/>
      <c r="Z493" s="105">
        <v>8.3000000000000007</v>
      </c>
      <c r="AA493" s="101"/>
      <c r="AB493" s="101" t="b">
        <f>IF(AA493=1,'Vehicle Data'!I$14,IF(AA493=2,'Vehicle Data'!I$15,IF(AA493=3,'Vehicle Data'!I$16)))</f>
        <v>0</v>
      </c>
      <c r="AC493" s="101">
        <f>IF(Z493&lt;'Vehicle Data'!C$16,'Vehicle Data'!I$15,IF(Z493&lt;'Vehicle Data'!C$15,'Vehicle Data'!I$15,IF(Z492&gt;'Vehicle Data'!C$15,'Vehicle Data'!I$16)))</f>
        <v>0.98256251041858167</v>
      </c>
      <c r="AD493">
        <f>IF(O493=0.6,'Vehicle Data'!F$21,IF(O493=0.9,'Vehicle Data'!F$20))</f>
        <v>3.5315999999999996</v>
      </c>
      <c r="AE493" s="101">
        <f>(Data!H$15-Data!Q493)/'Vehicle Data'!C$6</f>
        <v>-0.41214632645615323</v>
      </c>
      <c r="AF493" s="158">
        <f t="shared" si="385"/>
        <v>0.28449868202897161</v>
      </c>
      <c r="AG493" s="148">
        <f t="shared" si="347"/>
        <v>0</v>
      </c>
      <c r="AH493" s="148">
        <f t="shared" si="365"/>
        <v>173.95562979307383</v>
      </c>
      <c r="AI493" s="101"/>
      <c r="AJ493" s="101">
        <f>(Z493^2)*'Vehicle Data'!C$31</f>
        <v>25.317075000000013</v>
      </c>
      <c r="AK493" s="101">
        <f>IF(O493=0.6,'Vehicle Data'!C$6*'Vehicle Data'!D$21*9.81,IF(O493=0.9,'Vehicle Data'!C$6*9.81*'Vehicle Data'!D$20))</f>
        <v>86.131799999999998</v>
      </c>
      <c r="AL493" s="101">
        <f t="shared" si="386"/>
        <v>503.89777731425124</v>
      </c>
      <c r="AM493" s="101"/>
      <c r="AN493" t="b">
        <f>IF(AG493&gt;0,AG493*'Vehicle Data'!C$6)</f>
        <v>0</v>
      </c>
      <c r="AO493" s="101">
        <f t="shared" si="387"/>
        <v>503.89777731425124</v>
      </c>
      <c r="AP493" s="101">
        <f>AO493*'Vehicle Data'!F$3</f>
        <v>128.79627188152261</v>
      </c>
      <c r="AQ493">
        <v>20</v>
      </c>
      <c r="AR493">
        <f>IF(Z493&lt;'Vehicle Data'!C$16, Z493*'Vehicle Data'!F$7*'Vehicle Data'!G$14,IF(Z493&lt;'Vehicle Data'!C$15,Z493*'Vehicle Data'!F$7*'Vehicle Data'!G$15,IF(Z493&gt;'Vehicle Data'!C$15,Z493*'Vehicle Data'!F$7*'Vehicle Data'!G$16)))</f>
        <v>107.59259259259261</v>
      </c>
      <c r="AS493">
        <f t="shared" si="388"/>
        <v>6455.5555555555566</v>
      </c>
      <c r="AT493">
        <f t="shared" si="389"/>
        <v>20</v>
      </c>
      <c r="AU493">
        <f t="shared" si="390"/>
        <v>6500</v>
      </c>
      <c r="AW493">
        <f>VLOOKUP(AT493,BSFC!A$64:A$82,1,FALSE)</f>
        <v>20</v>
      </c>
      <c r="AX493" t="e" cm="1">
        <f t="array" ref="AX493">_xlfn.XLOOKUP(AT493,BSFC!A$64:A$82,,-1,_xlfn.XLOOKUP(Data!AU493,BSFC!C$63:Q$63,BSFC!B$64:Q$82,,-1))</f>
        <v>#VALUE!</v>
      </c>
      <c r="AY493">
        <f>HLOOKUP(AU493,BSFC!F$63:Q$63,1)</f>
        <v>6500</v>
      </c>
      <c r="AZ493">
        <f>IF(AT493&gt;0,MATCH(AT493,BSFC!A$64:A$83,0),IF(AT493&lt;=0,0))</f>
        <v>3</v>
      </c>
      <c r="BA493">
        <f>MATCH(AU493,BSFC!C$63:Q$63,0)</f>
        <v>13</v>
      </c>
      <c r="BB493" cm="1">
        <f t="array" ref="BB493">IF(AZ493&gt;0,INDEX(BSFC!C$64:Q$83,Data!AZ493,Data!BA493))</f>
        <v>494.7</v>
      </c>
      <c r="BC493">
        <f>0.5*'Vehicle Data'!C$6*Data!Z493^2</f>
        <v>15121.355000000003</v>
      </c>
      <c r="BD493">
        <f t="shared" si="349"/>
        <v>13.465906457145509</v>
      </c>
      <c r="BE493">
        <f t="shared" si="391"/>
        <v>6661.5839243498831</v>
      </c>
      <c r="BF493">
        <f t="shared" si="392"/>
        <v>0.52644773519525723</v>
      </c>
      <c r="BG493">
        <f t="shared" si="350"/>
        <v>234.02758086107255</v>
      </c>
      <c r="BH493">
        <f t="shared" si="374"/>
        <v>13465.906457145509</v>
      </c>
      <c r="BI493" s="148">
        <f t="shared" si="351"/>
        <v>6871.6622130335309</v>
      </c>
      <c r="BO493">
        <f t="shared" si="352"/>
        <v>3835.9169793115061</v>
      </c>
      <c r="BP493">
        <f t="shared" si="353"/>
        <v>856004.43019055971</v>
      </c>
      <c r="BQ493">
        <f t="shared" si="354"/>
        <v>1244492.0570763515</v>
      </c>
      <c r="BR493" s="148">
        <f t="shared" si="355"/>
        <v>1197321.7993188174</v>
      </c>
      <c r="BS493" s="156">
        <f t="shared" si="356"/>
        <v>3835.9169793115061</v>
      </c>
      <c r="BT493" s="156">
        <f t="shared" si="357"/>
        <v>13465.906457145509</v>
      </c>
      <c r="BU493">
        <f t="shared" si="358"/>
        <v>1957.4713253025363</v>
      </c>
      <c r="BV493">
        <f t="shared" si="359"/>
        <v>1957.4713253025363</v>
      </c>
      <c r="BW493" s="148">
        <f t="shared" si="360"/>
        <v>455.4</v>
      </c>
      <c r="BX493" s="148">
        <f t="shared" si="361"/>
        <v>3129354.9718154697</v>
      </c>
      <c r="BY493" s="148">
        <f t="shared" si="362"/>
        <v>0.2476201226507708</v>
      </c>
      <c r="BZ493">
        <f t="shared" si="345"/>
        <v>173.95562979307383</v>
      </c>
      <c r="CB493">
        <f t="shared" si="363"/>
        <v>-1878.4456540089698</v>
      </c>
      <c r="CC493" s="162">
        <f t="shared" si="346"/>
        <v>-6602.6515153332502</v>
      </c>
      <c r="CD493">
        <f t="shared" si="371"/>
        <v>-47902.198236560398</v>
      </c>
    </row>
    <row r="494" spans="4:82" x14ac:dyDescent="0.2">
      <c r="D494" s="22">
        <f t="shared" si="378"/>
        <v>0.1268297731488181</v>
      </c>
      <c r="E494" s="23">
        <v>9.1175093154759779</v>
      </c>
      <c r="F494" s="23">
        <f>IF(K494&lt;6,1,IF(Data!K494&lt;9,2,IF(K494&gt;9,3)))</f>
        <v>3</v>
      </c>
      <c r="G494" s="23">
        <v>1031.8417313515729</v>
      </c>
      <c r="H494" s="23">
        <v>219.21666499999998</v>
      </c>
      <c r="I494" s="64">
        <v>47.307499936300559</v>
      </c>
      <c r="J494" s="65">
        <f t="shared" si="379"/>
        <v>1.5682777950178903</v>
      </c>
      <c r="K494" s="65">
        <f t="shared" si="380"/>
        <v>18.922999974520224</v>
      </c>
      <c r="L494" s="65">
        <f t="shared" si="381"/>
        <v>0.62731111800715611</v>
      </c>
      <c r="M494">
        <f t="shared" si="382"/>
        <v>18.235018630951956</v>
      </c>
      <c r="N494">
        <f t="shared" si="393"/>
        <v>0.29999599999990956</v>
      </c>
      <c r="O494">
        <f>IF(L494&lt;'Vehicle Data'!F$21,'Vehicle Data'!C$21,IF(L494&gt;'Vehicle Data'!C$21,'Vehicle Data'!C$20))</f>
        <v>0.6</v>
      </c>
      <c r="P494">
        <f>('Vehicle Data'!C$6*9.81*'Vehicle Data'!C$5*SIN(D494))/'Vehicle Data'!C$9</f>
        <v>84.238245862304268</v>
      </c>
      <c r="Q494" s="107">
        <f>'Vehicle Data'!C$6*9.81*SIN(D494)</f>
        <v>544.74065657623419</v>
      </c>
      <c r="R494" s="101">
        <f t="shared" si="395"/>
        <v>1029.4735543650477</v>
      </c>
      <c r="S494" s="101">
        <f>IF(Data!O494=0.6,'Vehicle Data'!E$21,IF(Data!O494 = 0.9,'Vehicle Data'!E$20))+(P494*O494)</f>
        <v>1600.9153475173823</v>
      </c>
      <c r="T494" s="101">
        <f>IF(F494=3,'Vehicle Data'!H$16,IF(F494=2,'Vehicle Data'!H$15,IF(F494 = 1,'Vehicle Data'!G$14)))</f>
        <v>466.23005239380637</v>
      </c>
      <c r="U494" s="148">
        <f t="shared" si="383"/>
        <v>313.33507224173161</v>
      </c>
      <c r="V494" s="102" t="s">
        <v>77</v>
      </c>
      <c r="W494" s="103" t="s">
        <v>84</v>
      </c>
      <c r="X494" s="101">
        <f>IF(V494="S",'Vehicle Data'!C$14,IF(Data!V494 = "T1",'Vehicle Data'!P$2,IF(Data!V494="T2",'Vehicle Data'!P$3)))</f>
        <v>13.411199999999999</v>
      </c>
      <c r="Y494" s="101"/>
      <c r="Z494" s="105">
        <v>8.3000000000000007</v>
      </c>
      <c r="AA494" s="101"/>
      <c r="AB494" s="101" t="b">
        <f>IF(AA494=1,'Vehicle Data'!I$14,IF(AA494=2,'Vehicle Data'!I$15,IF(AA494=3,'Vehicle Data'!I$16)))</f>
        <v>0</v>
      </c>
      <c r="AC494" s="101">
        <f>IF(Z494&lt;'Vehicle Data'!C$16,'Vehicle Data'!I$15,IF(Z494&lt;'Vehicle Data'!C$15,'Vehicle Data'!I$15,IF(Z493&gt;'Vehicle Data'!C$15,'Vehicle Data'!I$16)))</f>
        <v>0.98256251041858167</v>
      </c>
      <c r="AD494">
        <f>IF(O494=0.6,'Vehicle Data'!F$21,IF(O494=0.9,'Vehicle Data'!F$20))</f>
        <v>3.5315999999999996</v>
      </c>
      <c r="AE494" s="101">
        <f>(Data!H$15-Data!Q494)/'Vehicle Data'!C$6</f>
        <v>-0.75905237261101188</v>
      </c>
      <c r="AF494" s="158">
        <f t="shared" si="385"/>
        <v>0.28486140101441343</v>
      </c>
      <c r="AG494" s="148">
        <f t="shared" si="347"/>
        <v>0</v>
      </c>
      <c r="AH494" s="148">
        <f t="shared" si="365"/>
        <v>174.24049119408824</v>
      </c>
      <c r="AI494" s="101"/>
      <c r="AJ494" s="101">
        <f>(Z494^2)*'Vehicle Data'!C$31</f>
        <v>25.317075000000013</v>
      </c>
      <c r="AK494" s="101">
        <f>IF(O494=0.6,'Vehicle Data'!C$6*'Vehicle Data'!D$21*9.81,IF(O494=0.9,'Vehicle Data'!C$6*9.81*'Vehicle Data'!D$20))</f>
        <v>86.131799999999998</v>
      </c>
      <c r="AL494" s="101">
        <f t="shared" si="386"/>
        <v>656.18953157623423</v>
      </c>
      <c r="AM494" s="101"/>
      <c r="AN494" t="b">
        <f>IF(AG494&gt;0,AG494*'Vehicle Data'!C$6)</f>
        <v>0</v>
      </c>
      <c r="AO494" s="101">
        <f t="shared" si="387"/>
        <v>656.18953157623423</v>
      </c>
      <c r="AP494" s="101">
        <f>AO494*'Vehicle Data'!F$3</f>
        <v>167.72204427088548</v>
      </c>
      <c r="AQ494">
        <v>20</v>
      </c>
      <c r="AR494">
        <f>IF(Z494&lt;'Vehicle Data'!C$16, Z494*'Vehicle Data'!F$7*'Vehicle Data'!G$14,IF(Z494&lt;'Vehicle Data'!C$15,Z494*'Vehicle Data'!F$7*'Vehicle Data'!G$15,IF(Z494&gt;'Vehicle Data'!C$15,Z494*'Vehicle Data'!F$7*'Vehicle Data'!G$16)))</f>
        <v>107.59259259259261</v>
      </c>
      <c r="AS494">
        <f t="shared" si="388"/>
        <v>6455.5555555555566</v>
      </c>
      <c r="AT494">
        <f t="shared" si="389"/>
        <v>20</v>
      </c>
      <c r="AU494">
        <f t="shared" si="390"/>
        <v>6500</v>
      </c>
      <c r="AW494">
        <f>VLOOKUP(AT494,BSFC!A$64:A$82,1,FALSE)</f>
        <v>20</v>
      </c>
      <c r="AX494" t="e" cm="1">
        <f t="array" ref="AX494">_xlfn.XLOOKUP(AT494,BSFC!A$64:A$82,,-1,_xlfn.XLOOKUP(Data!AU494,BSFC!C$63:Q$63,BSFC!B$64:Q$82,,-1))</f>
        <v>#VALUE!</v>
      </c>
      <c r="AY494">
        <f>HLOOKUP(AU494,BSFC!F$63:Q$63,1)</f>
        <v>6500</v>
      </c>
      <c r="AZ494">
        <f>IF(AT494&gt;0,MATCH(AT494,BSFC!A$64:A$83,0),IF(AT494&lt;=0,0))</f>
        <v>3</v>
      </c>
      <c r="BA494">
        <f>MATCH(AU494,BSFC!C$63:Q$63,0)</f>
        <v>13</v>
      </c>
      <c r="BB494" cm="1">
        <f t="array" ref="BB494">IF(AZ494&gt;0,INDEX(BSFC!C$64:Q$83,Data!AZ494,Data!BA494))</f>
        <v>494.7</v>
      </c>
      <c r="BC494">
        <f>0.5*'Vehicle Data'!C$6*Data!Z494^2</f>
        <v>15121.355000000003</v>
      </c>
      <c r="BD494">
        <f t="shared" si="349"/>
        <v>13.465906457145509</v>
      </c>
      <c r="BE494">
        <f t="shared" si="391"/>
        <v>6661.5839243498831</v>
      </c>
      <c r="BF494">
        <f t="shared" si="392"/>
        <v>0.52711892490705614</v>
      </c>
      <c r="BG494">
        <f t="shared" si="350"/>
        <v>234.55469978597961</v>
      </c>
      <c r="BH494">
        <f t="shared" si="374"/>
        <v>13465.906457145509</v>
      </c>
      <c r="BI494" s="148">
        <f t="shared" si="351"/>
        <v>6871.6622130335309</v>
      </c>
      <c r="BO494">
        <f t="shared" si="352"/>
        <v>3842.1264788570202</v>
      </c>
      <c r="BP494">
        <f t="shared" si="353"/>
        <v>859846.55666941672</v>
      </c>
      <c r="BQ494">
        <f t="shared" si="354"/>
        <v>1248334.1835552086</v>
      </c>
      <c r="BR494" s="148">
        <f t="shared" si="355"/>
        <v>1199282.4393564176</v>
      </c>
      <c r="BS494" s="156">
        <f t="shared" si="356"/>
        <v>3842.1264788570202</v>
      </c>
      <c r="BT494" s="156">
        <f t="shared" si="357"/>
        <v>13465.906457145509</v>
      </c>
      <c r="BU494">
        <f t="shared" si="358"/>
        <v>1960.6400376001116</v>
      </c>
      <c r="BV494">
        <f t="shared" si="359"/>
        <v>1960.6400376001116</v>
      </c>
      <c r="BW494" s="148">
        <f t="shared" si="360"/>
        <v>455.4</v>
      </c>
      <c r="BX494" s="148">
        <f t="shared" si="361"/>
        <v>3129354.9718154697</v>
      </c>
      <c r="BY494" s="148">
        <f t="shared" si="362"/>
        <v>0.24802096475641408</v>
      </c>
      <c r="BZ494">
        <f t="shared" si="345"/>
        <v>174.24049119408824</v>
      </c>
      <c r="CB494">
        <f t="shared" si="363"/>
        <v>-1881.4864412569086</v>
      </c>
      <c r="CC494" s="162">
        <f t="shared" si="346"/>
        <v>-6604.9188642505105</v>
      </c>
      <c r="CD494">
        <f t="shared" si="371"/>
        <v>-49783.684677817306</v>
      </c>
    </row>
    <row r="495" spans="4:82" x14ac:dyDescent="0.2">
      <c r="D495" s="22">
        <f t="shared" si="378"/>
        <v>0.12666005135049033</v>
      </c>
      <c r="E495" s="23">
        <v>9.4175053154758874</v>
      </c>
      <c r="F495" s="23">
        <f>IF(K495&lt;6,1,IF(Data!K495&lt;9,2,IF(K495&gt;9,3)))</f>
        <v>3</v>
      </c>
      <c r="G495" s="23">
        <v>1034.2134283380981</v>
      </c>
      <c r="H495" s="23">
        <v>219.26666499999999</v>
      </c>
      <c r="I495" s="64">
        <v>47.385913826051471</v>
      </c>
      <c r="J495" s="65">
        <f t="shared" si="379"/>
        <v>1.5120651498572473</v>
      </c>
      <c r="K495" s="65">
        <f t="shared" si="380"/>
        <v>18.954365530420588</v>
      </c>
      <c r="L495" s="65">
        <f t="shared" si="381"/>
        <v>0.60482605994288463</v>
      </c>
      <c r="M495">
        <f t="shared" si="382"/>
        <v>18.835010630951775</v>
      </c>
      <c r="N495">
        <f t="shared" si="393"/>
        <v>0.30000252641903735</v>
      </c>
      <c r="O495">
        <f>IF(L495&lt;'Vehicle Data'!F$21,'Vehicle Data'!C$21,IF(L495&gt;'Vehicle Data'!C$21,'Vehicle Data'!C$20))</f>
        <v>0.6</v>
      </c>
      <c r="P495">
        <f>('Vehicle Data'!C$6*9.81*'Vehicle Data'!C$5*SIN(D495))/'Vehicle Data'!C$9</f>
        <v>84.126123307636263</v>
      </c>
      <c r="Q495" s="107">
        <f>'Vehicle Data'!C$6*9.81*SIN(D495)</f>
        <v>544.01559738938113</v>
      </c>
      <c r="R495" s="101">
        <f t="shared" si="395"/>
        <v>1031.8417313515729</v>
      </c>
      <c r="S495" s="101">
        <f>IF(Data!O495=0.6,'Vehicle Data'!E$21,IF(Data!O495 = 0.9,'Vehicle Data'!E$20))+(P495*O495)</f>
        <v>1600.8480739845816</v>
      </c>
      <c r="T495" s="101">
        <f>IF(F495=3,'Vehicle Data'!H$16,IF(F495=2,'Vehicle Data'!H$15,IF(F495 = 1,'Vehicle Data'!G$14)))</f>
        <v>466.23005239380637</v>
      </c>
      <c r="U495" s="148">
        <f t="shared" si="383"/>
        <v>315.70324922825682</v>
      </c>
      <c r="V495" s="102" t="s">
        <v>77</v>
      </c>
      <c r="W495" s="103" t="s">
        <v>84</v>
      </c>
      <c r="X495" s="101">
        <f>IF(V495="S",'Vehicle Data'!C$14,IF(Data!V495 = "T1",'Vehicle Data'!P$2,IF(Data!V495="T2",'Vehicle Data'!P$3)))</f>
        <v>13.411199999999999</v>
      </c>
      <c r="Y495" s="101"/>
      <c r="Z495" s="105">
        <v>8.3000000000000007</v>
      </c>
      <c r="AA495" s="101"/>
      <c r="AB495" s="101" t="b">
        <f>IF(AA495=1,'Vehicle Data'!I$14,IF(AA495=2,'Vehicle Data'!I$15,IF(AA495=3,'Vehicle Data'!I$16)))</f>
        <v>0</v>
      </c>
      <c r="AC495" s="101">
        <f>IF(Z495&lt;'Vehicle Data'!C$16,'Vehicle Data'!I$15,IF(Z495&lt;'Vehicle Data'!C$15,'Vehicle Data'!I$15,IF(Z494&gt;'Vehicle Data'!C$15,'Vehicle Data'!I$16)))</f>
        <v>0.98256251041858167</v>
      </c>
      <c r="AD495">
        <f>IF(O495=0.6,'Vehicle Data'!F$21,IF(O495=0.9,'Vehicle Data'!F$20))</f>
        <v>3.5315999999999996</v>
      </c>
      <c r="AE495" s="101">
        <f>(Data!H$15-Data!Q495)/'Vehicle Data'!C$6</f>
        <v>-0.75740075715120991</v>
      </c>
      <c r="AF495" s="158">
        <f t="shared" si="385"/>
        <v>0.28532252849701367</v>
      </c>
      <c r="AG495" s="148">
        <f t="shared" si="347"/>
        <v>0</v>
      </c>
      <c r="AH495" s="148">
        <f t="shared" si="365"/>
        <v>174.52581372258524</v>
      </c>
      <c r="AI495" s="101"/>
      <c r="AJ495" s="101">
        <f>(Z495^2)*'Vehicle Data'!C$31</f>
        <v>25.317075000000013</v>
      </c>
      <c r="AK495" s="101">
        <f>IF(O495=0.6,'Vehicle Data'!C$6*'Vehicle Data'!D$21*9.81,IF(O495=0.9,'Vehicle Data'!C$6*9.81*'Vehicle Data'!D$20))</f>
        <v>86.131799999999998</v>
      </c>
      <c r="AL495" s="101">
        <f t="shared" si="386"/>
        <v>655.46447238938117</v>
      </c>
      <c r="AM495" s="101"/>
      <c r="AN495" t="b">
        <f>IF(AG495&gt;0,AG495*'Vehicle Data'!C$6)</f>
        <v>0</v>
      </c>
      <c r="AO495" s="101">
        <f t="shared" si="387"/>
        <v>655.46447238938117</v>
      </c>
      <c r="AP495" s="101">
        <f>AO495*'Vehicle Data'!F$3</f>
        <v>167.53671914272581</v>
      </c>
      <c r="AQ495">
        <v>20</v>
      </c>
      <c r="AR495">
        <f>IF(Z495&lt;'Vehicle Data'!C$16, Z495*'Vehicle Data'!F$7*'Vehicle Data'!G$14,IF(Z495&lt;'Vehicle Data'!C$15,Z495*'Vehicle Data'!F$7*'Vehicle Data'!G$15,IF(Z495&gt;'Vehicle Data'!C$15,Z495*'Vehicle Data'!F$7*'Vehicle Data'!G$16)))</f>
        <v>107.59259259259261</v>
      </c>
      <c r="AS495">
        <f t="shared" si="388"/>
        <v>6455.5555555555566</v>
      </c>
      <c r="AT495">
        <f t="shared" si="389"/>
        <v>20</v>
      </c>
      <c r="AU495">
        <f t="shared" si="390"/>
        <v>6500</v>
      </c>
      <c r="AW495">
        <f>VLOOKUP(AT495,BSFC!A$64:A$82,1,FALSE)</f>
        <v>20</v>
      </c>
      <c r="AX495" t="e" cm="1">
        <f t="array" ref="AX495">_xlfn.XLOOKUP(AT495,BSFC!A$64:A$82,,-1,_xlfn.XLOOKUP(Data!AU495,BSFC!C$63:Q$63,BSFC!B$64:Q$82,,-1))</f>
        <v>#VALUE!</v>
      </c>
      <c r="AY495">
        <f>HLOOKUP(AU495,BSFC!F$63:Q$63,1)</f>
        <v>6500</v>
      </c>
      <c r="AZ495">
        <f>IF(AT495&gt;0,MATCH(AT495,BSFC!A$64:A$83,0),IF(AT495&lt;=0,0))</f>
        <v>3</v>
      </c>
      <c r="BA495">
        <f>MATCH(AU495,BSFC!C$63:Q$63,0)</f>
        <v>13</v>
      </c>
      <c r="BB495" cm="1">
        <f t="array" ref="BB495">IF(AZ495&gt;0,INDEX(BSFC!C$64:Q$83,Data!AZ495,Data!BA495))</f>
        <v>494.7</v>
      </c>
      <c r="BC495">
        <f>0.5*'Vehicle Data'!C$6*Data!Z495^2</f>
        <v>15121.355000000003</v>
      </c>
      <c r="BD495">
        <f t="shared" si="349"/>
        <v>13.465906457145509</v>
      </c>
      <c r="BE495">
        <f t="shared" si="391"/>
        <v>6661.5839243498831</v>
      </c>
      <c r="BF495">
        <f t="shared" si="392"/>
        <v>0.52797221363626878</v>
      </c>
      <c r="BG495">
        <f t="shared" si="350"/>
        <v>235.08267199961588</v>
      </c>
      <c r="BH495">
        <f t="shared" si="374"/>
        <v>13465.906457145509</v>
      </c>
      <c r="BI495" s="148">
        <f t="shared" si="351"/>
        <v>6871.6622130335309</v>
      </c>
      <c r="BO495">
        <f t="shared" si="352"/>
        <v>3847.8373211135126</v>
      </c>
      <c r="BP495">
        <f t="shared" si="353"/>
        <v>863694.39399053028</v>
      </c>
      <c r="BQ495">
        <f t="shared" si="354"/>
        <v>1252182.0208763222</v>
      </c>
      <c r="BR495" s="148">
        <f t="shared" si="355"/>
        <v>1201245.993641125</v>
      </c>
      <c r="BS495" s="156">
        <f t="shared" si="356"/>
        <v>3847.8373211135126</v>
      </c>
      <c r="BT495" s="156">
        <f t="shared" si="357"/>
        <v>13465.906457145509</v>
      </c>
      <c r="BU495">
        <f t="shared" si="358"/>
        <v>1963.5542847073095</v>
      </c>
      <c r="BV495">
        <f t="shared" si="359"/>
        <v>1963.5542847073095</v>
      </c>
      <c r="BW495" s="148">
        <f t="shared" si="360"/>
        <v>455.4</v>
      </c>
      <c r="BX495" s="148">
        <f t="shared" si="361"/>
        <v>3129354.9718154697</v>
      </c>
      <c r="BY495" s="148">
        <f t="shared" si="362"/>
        <v>0.24838961701547463</v>
      </c>
      <c r="BZ495">
        <f t="shared" si="345"/>
        <v>174.52581372258524</v>
      </c>
      <c r="CB495">
        <f t="shared" si="363"/>
        <v>-1884.2830364062031</v>
      </c>
      <c r="CC495" s="162">
        <f t="shared" si="346"/>
        <v>-6604.0457664946753</v>
      </c>
      <c r="CD495">
        <f t="shared" si="371"/>
        <v>-51667.967714223509</v>
      </c>
    </row>
    <row r="496" spans="4:82" x14ac:dyDescent="0.2">
      <c r="D496" s="22">
        <f t="shared" si="378"/>
        <v>8.4203435663086926E-2</v>
      </c>
      <c r="E496" s="23">
        <v>9.7175078418949248</v>
      </c>
      <c r="F496" s="23">
        <f>IF(K496&lt;6,1,IF(Data!K496&lt;9,2,IF(K496&gt;9,3)))</f>
        <v>3</v>
      </c>
      <c r="G496" s="23">
        <v>1036.5883379665186</v>
      </c>
      <c r="H496" s="23">
        <v>219.316665</v>
      </c>
      <c r="I496" s="64">
        <v>47.461517083544351</v>
      </c>
      <c r="J496" s="65">
        <f t="shared" si="379"/>
        <v>1.5093780383831219</v>
      </c>
      <c r="K496" s="65">
        <f t="shared" si="380"/>
        <v>18.98460683341774</v>
      </c>
      <c r="L496" s="65">
        <f t="shared" si="381"/>
        <v>0.60375121535329146</v>
      </c>
      <c r="M496">
        <f t="shared" si="382"/>
        <v>19.43501568378985</v>
      </c>
      <c r="N496">
        <f t="shared" si="393"/>
        <v>0.19999747358096087</v>
      </c>
      <c r="O496">
        <f>IF(L496&lt;'Vehicle Data'!F$21,'Vehicle Data'!C$21,IF(L496&gt;'Vehicle Data'!C$21,'Vehicle Data'!C$20))</f>
        <v>0.6</v>
      </c>
      <c r="P496">
        <f>('Vehicle Data'!C$6*9.81*'Vehicle Data'!C$5*SIN(D496))/'Vehicle Data'!C$9</f>
        <v>56.010511124743715</v>
      </c>
      <c r="Q496" s="107">
        <f>'Vehicle Data'!C$6*9.81*SIN(D496)</f>
        <v>362.20130527334265</v>
      </c>
      <c r="R496" s="101">
        <f t="shared" si="395"/>
        <v>1034.2134283380981</v>
      </c>
      <c r="S496" s="101">
        <f>IF(Data!O496=0.6,'Vehicle Data'!E$21,IF(Data!O496 = 0.9,'Vehicle Data'!E$20))+(P496*O496)</f>
        <v>1583.9787066748461</v>
      </c>
      <c r="T496" s="101">
        <f>IF(F496=3,'Vehicle Data'!H$16,IF(F496=2,'Vehicle Data'!H$15,IF(F496 = 1,'Vehicle Data'!G$14)))</f>
        <v>466.23005239380637</v>
      </c>
      <c r="U496" s="148">
        <f t="shared" si="383"/>
        <v>318.07494621478202</v>
      </c>
      <c r="V496" s="102" t="s">
        <v>77</v>
      </c>
      <c r="W496" s="103" t="s">
        <v>84</v>
      </c>
      <c r="X496" s="101">
        <f>IF(V496="S",'Vehicle Data'!C$14,IF(Data!V496 = "T1",'Vehicle Data'!P$2,IF(Data!V496="T2",'Vehicle Data'!P$3)))</f>
        <v>13.411199999999999</v>
      </c>
      <c r="Y496" s="101"/>
      <c r="Z496" s="105">
        <v>8.3000000000000007</v>
      </c>
      <c r="AA496" s="101"/>
      <c r="AB496" s="101" t="b">
        <f>IF(AA496=1,'Vehicle Data'!I$14,IF(AA496=2,'Vehicle Data'!I$15,IF(AA496=3,'Vehicle Data'!I$16)))</f>
        <v>0</v>
      </c>
      <c r="AC496" s="101">
        <f>IF(Z496&lt;'Vehicle Data'!C$16,'Vehicle Data'!I$15,IF(Z496&lt;'Vehicle Data'!C$15,'Vehicle Data'!I$15,IF(Z495&gt;'Vehicle Data'!C$15,'Vehicle Data'!I$16)))</f>
        <v>0.98256251041858167</v>
      </c>
      <c r="AD496">
        <f>IF(O496=0.6,'Vehicle Data'!F$21,IF(O496=0.9,'Vehicle Data'!F$20))</f>
        <v>3.5315999999999996</v>
      </c>
      <c r="AE496" s="101">
        <f>(Data!H$15-Data!Q496)/'Vehicle Data'!C$6</f>
        <v>-0.34324519424451633</v>
      </c>
      <c r="AF496" s="158">
        <f t="shared" si="385"/>
        <v>0.28574662488255348</v>
      </c>
      <c r="AG496" s="148">
        <f t="shared" si="347"/>
        <v>0</v>
      </c>
      <c r="AH496" s="148">
        <f t="shared" si="365"/>
        <v>174.8115603474678</v>
      </c>
      <c r="AI496" s="101"/>
      <c r="AJ496" s="101">
        <f>(Z496^2)*'Vehicle Data'!C$31</f>
        <v>25.317075000000013</v>
      </c>
      <c r="AK496" s="101">
        <f>IF(O496=0.6,'Vehicle Data'!C$6*'Vehicle Data'!D$21*9.81,IF(O496=0.9,'Vehicle Data'!C$6*9.81*'Vehicle Data'!D$20))</f>
        <v>86.131799999999998</v>
      </c>
      <c r="AL496" s="101">
        <f t="shared" si="386"/>
        <v>473.6501802733427</v>
      </c>
      <c r="AM496" s="101"/>
      <c r="AN496" t="b">
        <f>IF(AG496&gt;0,AG496*'Vehicle Data'!C$6)</f>
        <v>0</v>
      </c>
      <c r="AO496" s="101">
        <f t="shared" si="387"/>
        <v>473.6501802733427</v>
      </c>
      <c r="AP496" s="101">
        <f>AO496*'Vehicle Data'!F$3</f>
        <v>121.06498607786639</v>
      </c>
      <c r="AQ496">
        <v>20</v>
      </c>
      <c r="AR496">
        <f>IF(Z496&lt;'Vehicle Data'!C$16, Z496*'Vehicle Data'!F$7*'Vehicle Data'!G$14,IF(Z496&lt;'Vehicle Data'!C$15,Z496*'Vehicle Data'!F$7*'Vehicle Data'!G$15,IF(Z496&gt;'Vehicle Data'!C$15,Z496*'Vehicle Data'!F$7*'Vehicle Data'!G$16)))</f>
        <v>107.59259259259261</v>
      </c>
      <c r="AS496">
        <f t="shared" si="388"/>
        <v>6455.5555555555566</v>
      </c>
      <c r="AT496">
        <f t="shared" si="389"/>
        <v>20</v>
      </c>
      <c r="AU496">
        <f t="shared" si="390"/>
        <v>6500</v>
      </c>
      <c r="AW496">
        <f>VLOOKUP(AT496,BSFC!A$64:A$82,1,FALSE)</f>
        <v>20</v>
      </c>
      <c r="AX496" t="e" cm="1">
        <f t="array" ref="AX496">_xlfn.XLOOKUP(AT496,BSFC!A$64:A$82,,-1,_xlfn.XLOOKUP(Data!AU496,BSFC!C$63:Q$63,BSFC!B$64:Q$82,,-1))</f>
        <v>#VALUE!</v>
      </c>
      <c r="AY496">
        <f>HLOOKUP(AU496,BSFC!F$63:Q$63,1)</f>
        <v>6500</v>
      </c>
      <c r="AZ496">
        <f>IF(AT496&gt;0,MATCH(AT496,BSFC!A$64:A$83,0),IF(AT496&lt;=0,0))</f>
        <v>3</v>
      </c>
      <c r="BA496">
        <f>MATCH(AU496,BSFC!C$63:Q$63,0)</f>
        <v>13</v>
      </c>
      <c r="BB496" cm="1">
        <f t="array" ref="BB496">IF(AZ496&gt;0,INDEX(BSFC!C$64:Q$83,Data!AZ496,Data!BA496))</f>
        <v>494.7</v>
      </c>
      <c r="BC496">
        <f>0.5*'Vehicle Data'!C$6*Data!Z496^2</f>
        <v>15121.355000000003</v>
      </c>
      <c r="BD496">
        <f t="shared" si="349"/>
        <v>13.465906457145509</v>
      </c>
      <c r="BE496">
        <f t="shared" si="391"/>
        <v>6661.5839243498831</v>
      </c>
      <c r="BF496">
        <f t="shared" si="392"/>
        <v>0.52875697854301518</v>
      </c>
      <c r="BG496">
        <f t="shared" si="350"/>
        <v>235.6114289781589</v>
      </c>
      <c r="BH496">
        <f t="shared" si="374"/>
        <v>13465.906457145509</v>
      </c>
      <c r="BI496" s="148">
        <f t="shared" si="351"/>
        <v>6871.6622130335309</v>
      </c>
      <c r="BO496">
        <f t="shared" si="352"/>
        <v>3853.0495060824592</v>
      </c>
      <c r="BP496">
        <f t="shared" si="353"/>
        <v>867547.44349661272</v>
      </c>
      <c r="BQ496">
        <f t="shared" si="354"/>
        <v>1256035.0703824046</v>
      </c>
      <c r="BR496" s="148">
        <f t="shared" si="355"/>
        <v>1203212.2077077499</v>
      </c>
      <c r="BS496" s="156">
        <f t="shared" si="356"/>
        <v>3853.0495060824592</v>
      </c>
      <c r="BT496" s="156">
        <f t="shared" si="357"/>
        <v>13465.906457145509</v>
      </c>
      <c r="BU496">
        <f t="shared" si="358"/>
        <v>1966.2140666248833</v>
      </c>
      <c r="BV496">
        <f t="shared" si="359"/>
        <v>1966.2140666248833</v>
      </c>
      <c r="BW496" s="148">
        <f t="shared" si="360"/>
        <v>455.4</v>
      </c>
      <c r="BX496" s="148">
        <f t="shared" si="361"/>
        <v>3129354.9718154697</v>
      </c>
      <c r="BY496" s="148">
        <f t="shared" si="362"/>
        <v>0.24872607942804772</v>
      </c>
      <c r="BZ496">
        <f t="shared" si="345"/>
        <v>174.8115603474678</v>
      </c>
      <c r="CB496">
        <f t="shared" si="363"/>
        <v>-1886.8354394575758</v>
      </c>
      <c r="CC496" s="162">
        <f t="shared" si="346"/>
        <v>-6603.1766437592487</v>
      </c>
      <c r="CD496">
        <f t="shared" si="371"/>
        <v>-53554.803153681081</v>
      </c>
    </row>
    <row r="497" spans="4:82" x14ac:dyDescent="0.2">
      <c r="D497" s="22">
        <f t="shared" si="378"/>
        <v>0.11964539312235034</v>
      </c>
      <c r="E497" s="23">
        <v>9.9175053154758857</v>
      </c>
      <c r="F497" s="23">
        <f>IF(K497&lt;6,1,IF(Data!K497&lt;9,2,IF(K497&gt;9,3)))</f>
        <v>3</v>
      </c>
      <c r="G497" s="23">
        <v>1038.9663170273589</v>
      </c>
      <c r="H497" s="23">
        <v>219.36666499999998</v>
      </c>
      <c r="I497" s="64">
        <v>47.536985985463481</v>
      </c>
      <c r="J497" s="65">
        <f t="shared" si="379"/>
        <v>1.5135701037153493</v>
      </c>
      <c r="K497" s="65">
        <f t="shared" si="380"/>
        <v>19.014794394185394</v>
      </c>
      <c r="L497" s="65">
        <f t="shared" si="381"/>
        <v>0.60542804148611129</v>
      </c>
      <c r="M497">
        <f t="shared" si="382"/>
        <v>19.835010630951771</v>
      </c>
      <c r="N497">
        <f t="shared" si="393"/>
        <v>0.28420028452411472</v>
      </c>
      <c r="O497">
        <f>IF(L497&lt;'Vehicle Data'!F$21,'Vehicle Data'!C$21,IF(L497&gt;'Vehicle Data'!C$21,'Vehicle Data'!C$20))</f>
        <v>0.6</v>
      </c>
      <c r="P497">
        <f>('Vehicle Data'!C$6*9.81*'Vehicle Data'!C$5*SIN(D497))/'Vehicle Data'!C$9</f>
        <v>79.489979109089504</v>
      </c>
      <c r="Q497" s="107">
        <f>'Vehicle Data'!C$6*9.81*SIN(D497)</f>
        <v>514.03519823877878</v>
      </c>
      <c r="R497" s="101">
        <f t="shared" si="395"/>
        <v>1036.5883379665186</v>
      </c>
      <c r="S497" s="101">
        <f>IF(Data!O497=0.6,'Vehicle Data'!E$21,IF(Data!O497 = 0.9,'Vehicle Data'!E$20))+(P497*O497)</f>
        <v>1598.0663874654535</v>
      </c>
      <c r="T497" s="101">
        <f>IF(F497=3,'Vehicle Data'!H$16,IF(F497=2,'Vehicle Data'!H$15,IF(F497 = 1,'Vehicle Data'!G$14)))</f>
        <v>466.23005239380637</v>
      </c>
      <c r="U497" s="148">
        <f t="shared" si="383"/>
        <v>320.4498558432025</v>
      </c>
      <c r="V497" s="102" t="s">
        <v>77</v>
      </c>
      <c r="W497" s="103" t="s">
        <v>84</v>
      </c>
      <c r="X497" s="101">
        <f>IF(V497="S",'Vehicle Data'!C$14,IF(Data!V497 = "T1",'Vehicle Data'!P$2,IF(Data!V497="T2",'Vehicle Data'!P$3)))</f>
        <v>13.411199999999999</v>
      </c>
      <c r="Y497" s="101"/>
      <c r="Z497" s="105">
        <v>8.3000000000000007</v>
      </c>
      <c r="AA497" s="101"/>
      <c r="AB497" s="101" t="b">
        <f>IF(AA497=1,'Vehicle Data'!I$14,IF(AA497=2,'Vehicle Data'!I$15,IF(AA497=3,'Vehicle Data'!I$16)))</f>
        <v>0</v>
      </c>
      <c r="AC497" s="101">
        <f>IF(Z497&lt;'Vehicle Data'!C$16,'Vehicle Data'!I$15,IF(Z497&lt;'Vehicle Data'!C$15,'Vehicle Data'!I$15,IF(Z496&gt;'Vehicle Data'!C$15,'Vehicle Data'!I$16)))</f>
        <v>0.98256251041858167</v>
      </c>
      <c r="AD497">
        <f>IF(O497=0.6,'Vehicle Data'!F$21,IF(O497=0.9,'Vehicle Data'!F$20))</f>
        <v>3.5315999999999996</v>
      </c>
      <c r="AE497" s="101">
        <f>(Data!H$15-Data!Q497)/'Vehicle Data'!C$6</f>
        <v>-0.68910827617033887</v>
      </c>
      <c r="AF497" s="158">
        <f t="shared" si="385"/>
        <v>0.28613369017114243</v>
      </c>
      <c r="AG497" s="148">
        <f t="shared" si="347"/>
        <v>0</v>
      </c>
      <c r="AH497" s="148">
        <f t="shared" si="365"/>
        <v>175.09769403763895</v>
      </c>
      <c r="AI497" s="101"/>
      <c r="AJ497" s="101">
        <f>(Z497^2)*'Vehicle Data'!C$31</f>
        <v>25.317075000000013</v>
      </c>
      <c r="AK497" s="101">
        <f>IF(O497=0.6,'Vehicle Data'!C$6*'Vehicle Data'!D$21*9.81,IF(O497=0.9,'Vehicle Data'!C$6*9.81*'Vehicle Data'!D$20))</f>
        <v>86.131799999999998</v>
      </c>
      <c r="AL497" s="101">
        <f t="shared" si="386"/>
        <v>625.48407323877882</v>
      </c>
      <c r="AM497" s="101"/>
      <c r="AN497" t="b">
        <f>IF(AG497&gt;0,AG497*'Vehicle Data'!C$6)</f>
        <v>0</v>
      </c>
      <c r="AO497" s="101">
        <f t="shared" si="387"/>
        <v>625.48407323877882</v>
      </c>
      <c r="AP497" s="101">
        <f>AO497*'Vehicle Data'!F$3</f>
        <v>159.87372911983186</v>
      </c>
      <c r="AQ497">
        <v>20</v>
      </c>
      <c r="AR497">
        <f>IF(Z497&lt;'Vehicle Data'!C$16, Z497*'Vehicle Data'!F$7*'Vehicle Data'!G$14,IF(Z497&lt;'Vehicle Data'!C$15,Z497*'Vehicle Data'!F$7*'Vehicle Data'!G$15,IF(Z497&gt;'Vehicle Data'!C$15,Z497*'Vehicle Data'!F$7*'Vehicle Data'!G$16)))</f>
        <v>107.59259259259261</v>
      </c>
      <c r="AS497">
        <f t="shared" si="388"/>
        <v>6455.5555555555566</v>
      </c>
      <c r="AT497">
        <f t="shared" si="389"/>
        <v>20</v>
      </c>
      <c r="AU497">
        <f t="shared" si="390"/>
        <v>6500</v>
      </c>
      <c r="AW497">
        <f>VLOOKUP(AT497,BSFC!A$64:A$82,1,FALSE)</f>
        <v>20</v>
      </c>
      <c r="AX497" t="e" cm="1">
        <f t="array" ref="AX497">_xlfn.XLOOKUP(AT497,BSFC!A$64:A$82,,-1,_xlfn.XLOOKUP(Data!AU497,BSFC!C$63:Q$63,BSFC!B$64:Q$82,,-1))</f>
        <v>#VALUE!</v>
      </c>
      <c r="AY497">
        <f>HLOOKUP(AU497,BSFC!F$63:Q$63,1)</f>
        <v>6500</v>
      </c>
      <c r="AZ497">
        <f>IF(AT497&gt;0,MATCH(AT497,BSFC!A$64:A$83,0),IF(AT497&lt;=0,0))</f>
        <v>3</v>
      </c>
      <c r="BA497">
        <f>MATCH(AU497,BSFC!C$63:Q$63,0)</f>
        <v>13</v>
      </c>
      <c r="BB497" cm="1">
        <f t="array" ref="BB497">IF(AZ497&gt;0,INDEX(BSFC!C$64:Q$83,Data!AZ497,Data!BA497))</f>
        <v>494.7</v>
      </c>
      <c r="BC497">
        <f>0.5*'Vehicle Data'!C$6*Data!Z497^2</f>
        <v>15121.355000000003</v>
      </c>
      <c r="BD497">
        <f t="shared" si="349"/>
        <v>13.465906457145509</v>
      </c>
      <c r="BE497">
        <f t="shared" si="391"/>
        <v>6661.5839243498831</v>
      </c>
      <c r="BF497">
        <f t="shared" si="392"/>
        <v>0.52947321962749794</v>
      </c>
      <c r="BG497">
        <f t="shared" si="350"/>
        <v>236.1409021977864</v>
      </c>
      <c r="BH497">
        <f t="shared" si="374"/>
        <v>13465.906457145509</v>
      </c>
      <c r="BI497" s="148">
        <f t="shared" si="351"/>
        <v>6871.6622130335309</v>
      </c>
      <c r="BO497">
        <f t="shared" si="352"/>
        <v>3858.0293482320553</v>
      </c>
      <c r="BP497">
        <f t="shared" si="353"/>
        <v>871405.4728448448</v>
      </c>
      <c r="BQ497">
        <f t="shared" si="354"/>
        <v>1259893.0997306367</v>
      </c>
      <c r="BR497" s="148">
        <f t="shared" si="355"/>
        <v>1205180.9629915766</v>
      </c>
      <c r="BS497" s="156">
        <f t="shared" si="356"/>
        <v>3858.0293482320553</v>
      </c>
      <c r="BT497" s="156">
        <f t="shared" si="357"/>
        <v>13465.906457145509</v>
      </c>
      <c r="BU497">
        <f t="shared" si="358"/>
        <v>1968.7552838266477</v>
      </c>
      <c r="BV497">
        <f t="shared" si="359"/>
        <v>1968.7552838266477</v>
      </c>
      <c r="BW497" s="148">
        <f t="shared" si="360"/>
        <v>455.4</v>
      </c>
      <c r="BX497" s="148">
        <f t="shared" si="361"/>
        <v>3129354.9718154697</v>
      </c>
      <c r="BY497" s="148">
        <f t="shared" si="362"/>
        <v>0.24904754340407093</v>
      </c>
      <c r="BZ497">
        <f t="shared" si="345"/>
        <v>175.09769403763895</v>
      </c>
      <c r="CB497">
        <f t="shared" si="363"/>
        <v>-1889.2740644054077</v>
      </c>
      <c r="CC497" s="162">
        <f t="shared" si="346"/>
        <v>-6602.766920859277</v>
      </c>
      <c r="CD497">
        <f t="shared" si="371"/>
        <v>-55444.077218086488</v>
      </c>
    </row>
    <row r="498" spans="4:82" x14ac:dyDescent="0.2">
      <c r="D498" s="22">
        <f t="shared" si="378"/>
        <v>8.39845225348754E-2</v>
      </c>
      <c r="E498" s="23">
        <v>10.2017056</v>
      </c>
      <c r="F498" s="23">
        <f>IF(K498&lt;6,1,IF(Data!K498&lt;9,2,IF(K498&gt;9,3)))</f>
        <v>3</v>
      </c>
      <c r="G498" s="23">
        <v>1041.3473487300948</v>
      </c>
      <c r="H498" s="23">
        <v>219.41666499999999</v>
      </c>
      <c r="I498" s="64">
        <v>47.612664490649266</v>
      </c>
      <c r="J498" s="65">
        <f t="shared" si="379"/>
        <v>1.6143492494900435</v>
      </c>
      <c r="K498" s="65">
        <f t="shared" si="380"/>
        <v>19.045065796259706</v>
      </c>
      <c r="L498" s="65">
        <f t="shared" si="381"/>
        <v>0.645739699795989</v>
      </c>
      <c r="M498">
        <f t="shared" si="382"/>
        <v>20.403411200000001</v>
      </c>
      <c r="N498">
        <f t="shared" si="393"/>
        <v>0.19999759999999966</v>
      </c>
      <c r="O498">
        <f>IF(L498&lt;'Vehicle Data'!F$21,'Vehicle Data'!C$21,IF(L498&gt;'Vehicle Data'!C$21,'Vehicle Data'!C$20))</f>
        <v>0.6</v>
      </c>
      <c r="P498">
        <f>('Vehicle Data'!C$6*9.81*'Vehicle Data'!C$5*SIN(D498))/'Vehicle Data'!C$9</f>
        <v>55.865237282212533</v>
      </c>
      <c r="Q498" s="107">
        <f>'Vehicle Data'!C$6*9.81*SIN(D498)</f>
        <v>361.26186775830769</v>
      </c>
      <c r="R498" s="101">
        <f t="shared" si="395"/>
        <v>1038.9663170273589</v>
      </c>
      <c r="S498" s="101">
        <f>IF(Data!O498=0.6,'Vehicle Data'!E$21,IF(Data!O498 = 0.9,'Vehicle Data'!E$20))+(P498*O498)</f>
        <v>1583.8915423693272</v>
      </c>
      <c r="T498" s="101">
        <f>IF(F498=3,'Vehicle Data'!H$16,IF(F498=2,'Vehicle Data'!H$15,IF(F498 = 1,'Vehicle Data'!G$14)))</f>
        <v>466.23005239380637</v>
      </c>
      <c r="U498" s="148">
        <f t="shared" si="383"/>
        <v>322.82783490404279</v>
      </c>
      <c r="V498" s="102" t="s">
        <v>77</v>
      </c>
      <c r="W498" s="103" t="s">
        <v>84</v>
      </c>
      <c r="X498" s="101">
        <f>IF(V498="S",'Vehicle Data'!C$14,IF(Data!V498 = "T1",'Vehicle Data'!P$2,IF(Data!V498="T2",'Vehicle Data'!P$3)))</f>
        <v>13.411199999999999</v>
      </c>
      <c r="Y498" s="101"/>
      <c r="Z498" s="105">
        <v>8.3000000000000007</v>
      </c>
      <c r="AA498" s="101"/>
      <c r="AB498" s="101" t="b">
        <f>IF(AA498=1,'Vehicle Data'!I$14,IF(AA498=2,'Vehicle Data'!I$15,IF(AA498=3,'Vehicle Data'!I$16)))</f>
        <v>0</v>
      </c>
      <c r="AC498" s="101">
        <f>IF(Z498&lt;'Vehicle Data'!C$16,'Vehicle Data'!I$15,IF(Z498&lt;'Vehicle Data'!C$15,'Vehicle Data'!I$15,IF(Z497&gt;'Vehicle Data'!C$15,'Vehicle Data'!I$16)))</f>
        <v>0.98256251041858167</v>
      </c>
      <c r="AD498">
        <f>IF(O498=0.6,'Vehicle Data'!F$21,IF(O498=0.9,'Vehicle Data'!F$20))</f>
        <v>3.5315999999999996</v>
      </c>
      <c r="AE498" s="101">
        <f>(Data!H$15-Data!Q498)/'Vehicle Data'!C$6</f>
        <v>-0.34110524546311549</v>
      </c>
      <c r="AF498" s="158">
        <f t="shared" si="385"/>
        <v>0.28650350130605889</v>
      </c>
      <c r="AG498" s="148">
        <f t="shared" si="347"/>
        <v>0</v>
      </c>
      <c r="AH498" s="148">
        <f t="shared" si="365"/>
        <v>175.38419753894502</v>
      </c>
      <c r="AI498" s="101"/>
      <c r="AJ498" s="101">
        <f>(Z498^2)*'Vehicle Data'!C$31</f>
        <v>25.317075000000013</v>
      </c>
      <c r="AK498" s="101">
        <f>IF(O498=0.6,'Vehicle Data'!C$6*'Vehicle Data'!D$21*9.81,IF(O498=0.9,'Vehicle Data'!C$6*9.81*'Vehicle Data'!D$20))</f>
        <v>86.131799999999998</v>
      </c>
      <c r="AL498" s="101">
        <f t="shared" si="386"/>
        <v>472.71074275830767</v>
      </c>
      <c r="AM498" s="101"/>
      <c r="AN498" t="b">
        <f>IF(AG498&gt;0,AG498*'Vehicle Data'!C$6)</f>
        <v>0</v>
      </c>
      <c r="AO498" s="101">
        <f t="shared" si="387"/>
        <v>472.71074275830767</v>
      </c>
      <c r="AP498" s="101">
        <f>AO498*'Vehicle Data'!F$3</f>
        <v>120.82486584902344</v>
      </c>
      <c r="AQ498">
        <v>20</v>
      </c>
      <c r="AR498">
        <f>IF(Z498&lt;'Vehicle Data'!C$16, Z498*'Vehicle Data'!F$7*'Vehicle Data'!G$14,IF(Z498&lt;'Vehicle Data'!C$15,Z498*'Vehicle Data'!F$7*'Vehicle Data'!G$15,IF(Z498&gt;'Vehicle Data'!C$15,Z498*'Vehicle Data'!F$7*'Vehicle Data'!G$16)))</f>
        <v>107.59259259259261</v>
      </c>
      <c r="AS498">
        <f t="shared" si="388"/>
        <v>6455.5555555555566</v>
      </c>
      <c r="AT498">
        <f t="shared" si="389"/>
        <v>20</v>
      </c>
      <c r="AU498">
        <f t="shared" si="390"/>
        <v>6500</v>
      </c>
      <c r="AW498">
        <f>VLOOKUP(AT498,BSFC!A$64:A$82,1,FALSE)</f>
        <v>20</v>
      </c>
      <c r="AX498" t="e" cm="1">
        <f t="array" ref="AX498">_xlfn.XLOOKUP(AT498,BSFC!A$64:A$82,,-1,_xlfn.XLOOKUP(Data!AU498,BSFC!C$63:Q$63,BSFC!B$64:Q$82,,-1))</f>
        <v>#VALUE!</v>
      </c>
      <c r="AY498">
        <f>HLOOKUP(AU498,BSFC!F$63:Q$63,1)</f>
        <v>6500</v>
      </c>
      <c r="AZ498">
        <f>IF(AT498&gt;0,MATCH(AT498,BSFC!A$64:A$83,0),IF(AT498&lt;=0,0))</f>
        <v>3</v>
      </c>
      <c r="BA498">
        <f>MATCH(AU498,BSFC!C$63:Q$63,0)</f>
        <v>13</v>
      </c>
      <c r="BB498" cm="1">
        <f t="array" ref="BB498">IF(AZ498&gt;0,INDEX(BSFC!C$64:Q$83,Data!AZ498,Data!BA498))</f>
        <v>494.7</v>
      </c>
      <c r="BC498">
        <f>0.5*'Vehicle Data'!C$6*Data!Z498^2</f>
        <v>15121.355000000003</v>
      </c>
      <c r="BD498">
        <f t="shared" si="349"/>
        <v>13.465906457145509</v>
      </c>
      <c r="BE498">
        <f t="shared" si="391"/>
        <v>6661.5839243498831</v>
      </c>
      <c r="BF498">
        <f t="shared" si="392"/>
        <v>0.53015753293622159</v>
      </c>
      <c r="BG498">
        <f t="shared" si="350"/>
        <v>236.67105973072262</v>
      </c>
      <c r="BH498">
        <f t="shared" si="374"/>
        <v>13465.906457145509</v>
      </c>
      <c r="BI498" s="148">
        <f t="shared" si="351"/>
        <v>6871.6622130335309</v>
      </c>
      <c r="BO498">
        <f t="shared" si="352"/>
        <v>3862.9819494627254</v>
      </c>
      <c r="BP498">
        <f t="shared" si="353"/>
        <v>875268.45479430747</v>
      </c>
      <c r="BQ498">
        <f t="shared" si="354"/>
        <v>1263756.0816800995</v>
      </c>
      <c r="BR498" s="148">
        <f t="shared" si="355"/>
        <v>1207152.2455915436</v>
      </c>
      <c r="BS498" s="156">
        <f t="shared" si="356"/>
        <v>3862.9819494627254</v>
      </c>
      <c r="BT498" s="156">
        <f t="shared" si="357"/>
        <v>13465.906457145509</v>
      </c>
      <c r="BU498">
        <f t="shared" si="358"/>
        <v>1971.2825999669556</v>
      </c>
      <c r="BV498">
        <f t="shared" si="359"/>
        <v>1971.2825999669556</v>
      </c>
      <c r="BW498" s="148">
        <f t="shared" si="360"/>
        <v>455.4</v>
      </c>
      <c r="BX498" s="148">
        <f t="shared" si="361"/>
        <v>3129354.9718154697</v>
      </c>
      <c r="BY498" s="148">
        <f t="shared" si="362"/>
        <v>0.24936724889581985</v>
      </c>
      <c r="BZ498">
        <f t="shared" si="345"/>
        <v>175.38419753894502</v>
      </c>
      <c r="CB498">
        <f t="shared" si="363"/>
        <v>-1891.6993494957699</v>
      </c>
      <c r="CC498" s="162">
        <f t="shared" si="346"/>
        <v>-6602.7093591253033</v>
      </c>
      <c r="CD498">
        <f t="shared" si="371"/>
        <v>-57335.776567582259</v>
      </c>
    </row>
    <row r="499" spans="4:82" x14ac:dyDescent="0.2">
      <c r="D499" s="22">
        <f t="shared" si="378"/>
        <v>9.0517733112231255E-2</v>
      </c>
      <c r="E499" s="23">
        <v>10.4017032</v>
      </c>
      <c r="F499" s="23">
        <f>IF(K499&lt;6,1,IF(Data!K499&lt;9,2,IF(K499&gt;9,3)))</f>
        <v>3</v>
      </c>
      <c r="G499" s="23">
        <v>1043.7315130747254</v>
      </c>
      <c r="H499" s="23">
        <v>219.46666499999998</v>
      </c>
      <c r="I499" s="64">
        <v>47.69338195312374</v>
      </c>
      <c r="J499" s="65">
        <f t="shared" si="379"/>
        <v>1.6545321290320705</v>
      </c>
      <c r="K499" s="65">
        <f t="shared" si="380"/>
        <v>19.077352781249495</v>
      </c>
      <c r="L499" s="65">
        <f t="shared" si="381"/>
        <v>0.66181285161284242</v>
      </c>
      <c r="M499">
        <f t="shared" si="382"/>
        <v>20.8034064</v>
      </c>
      <c r="N499">
        <f t="shared" si="393"/>
        <v>0.21580611547588724</v>
      </c>
      <c r="O499">
        <f>IF(L499&lt;'Vehicle Data'!F$21,'Vehicle Data'!C$21,IF(L499&gt;'Vehicle Data'!C$21,'Vehicle Data'!C$20))</f>
        <v>0.6</v>
      </c>
      <c r="P499">
        <f>('Vehicle Data'!C$6*9.81*'Vehicle Data'!C$5*SIN(D499))/'Vehicle Data'!C$9</f>
        <v>60.199584960645986</v>
      </c>
      <c r="Q499" s="107">
        <f>'Vehicle Data'!C$6*9.81*SIN(D499)</f>
        <v>389.29064941217734</v>
      </c>
      <c r="R499" s="101">
        <f t="shared" si="395"/>
        <v>1041.3473487300948</v>
      </c>
      <c r="S499" s="101">
        <f>IF(Data!O499=0.6,'Vehicle Data'!E$21,IF(Data!O499 = 0.9,'Vehicle Data'!E$20))+(P499*O499)</f>
        <v>1586.4921509763874</v>
      </c>
      <c r="T499" s="101">
        <f>IF(F499=3,'Vehicle Data'!H$16,IF(F499=2,'Vehicle Data'!H$15,IF(F499 = 1,'Vehicle Data'!G$14)))</f>
        <v>466.23005239380637</v>
      </c>
      <c r="U499" s="148">
        <f t="shared" si="383"/>
        <v>325.20886660677877</v>
      </c>
      <c r="V499" s="102" t="s">
        <v>77</v>
      </c>
      <c r="W499" s="103" t="s">
        <v>84</v>
      </c>
      <c r="X499" s="101">
        <f>IF(V499="S",'Vehicle Data'!C$14,IF(Data!V499 = "T1",'Vehicle Data'!P$2,IF(Data!V499="T2",'Vehicle Data'!P$3)))</f>
        <v>13.411199999999999</v>
      </c>
      <c r="Y499" s="101"/>
      <c r="Z499" s="105">
        <v>8.3000000000000007</v>
      </c>
      <c r="AA499" s="101"/>
      <c r="AB499" s="101" t="b">
        <f>IF(AA499=1,'Vehicle Data'!I$14,IF(AA499=2,'Vehicle Data'!I$15,IF(AA499=3,'Vehicle Data'!I$16)))</f>
        <v>0</v>
      </c>
      <c r="AC499" s="101">
        <f>IF(Z499&lt;'Vehicle Data'!C$16,'Vehicle Data'!I$15,IF(Z499&lt;'Vehicle Data'!C$15,'Vehicle Data'!I$15,IF(Z498&gt;'Vehicle Data'!C$15,'Vehicle Data'!I$16)))</f>
        <v>0.98256251041858167</v>
      </c>
      <c r="AD499">
        <f>IF(O499=0.6,'Vehicle Data'!F$21,IF(O499=0.9,'Vehicle Data'!F$20))</f>
        <v>3.5315999999999996</v>
      </c>
      <c r="AE499" s="101">
        <f>(Data!H$15-Data!Q499)/'Vehicle Data'!C$6</f>
        <v>-0.40495212850154294</v>
      </c>
      <c r="AF499" s="158">
        <f t="shared" si="385"/>
        <v>0.28687128948626284</v>
      </c>
      <c r="AG499" s="148">
        <f t="shared" si="347"/>
        <v>0</v>
      </c>
      <c r="AH499" s="148">
        <f t="shared" si="365"/>
        <v>175.67106882843129</v>
      </c>
      <c r="AI499" s="101"/>
      <c r="AJ499" s="101">
        <f>(Z499^2)*'Vehicle Data'!C$31</f>
        <v>25.317075000000013</v>
      </c>
      <c r="AK499" s="101">
        <f>IF(O499=0.6,'Vehicle Data'!C$6*'Vehicle Data'!D$21*9.81,IF(O499=0.9,'Vehicle Data'!C$6*9.81*'Vehicle Data'!D$20))</f>
        <v>86.131799999999998</v>
      </c>
      <c r="AL499" s="101">
        <f t="shared" si="386"/>
        <v>500.73952441217739</v>
      </c>
      <c r="AM499" s="101"/>
      <c r="AN499" t="b">
        <f>IF(AG499&gt;0,AG499*'Vehicle Data'!C$6)</f>
        <v>0</v>
      </c>
      <c r="AO499" s="101">
        <f t="shared" si="387"/>
        <v>500.73952441217739</v>
      </c>
      <c r="AP499" s="101">
        <f>AO499*'Vehicle Data'!F$3</f>
        <v>127.98902243975253</v>
      </c>
      <c r="AQ499">
        <v>20</v>
      </c>
      <c r="AR499">
        <f>IF(Z499&lt;'Vehicle Data'!C$16, Z499*'Vehicle Data'!F$7*'Vehicle Data'!G$14,IF(Z499&lt;'Vehicle Data'!C$15,Z499*'Vehicle Data'!F$7*'Vehicle Data'!G$15,IF(Z499&gt;'Vehicle Data'!C$15,Z499*'Vehicle Data'!F$7*'Vehicle Data'!G$16)))</f>
        <v>107.59259259259261</v>
      </c>
      <c r="AS499">
        <f t="shared" si="388"/>
        <v>6455.5555555555566</v>
      </c>
      <c r="AT499">
        <f t="shared" si="389"/>
        <v>20</v>
      </c>
      <c r="AU499">
        <f t="shared" si="390"/>
        <v>6500</v>
      </c>
      <c r="AW499">
        <f>VLOOKUP(AT499,BSFC!A$64:A$82,1,FALSE)</f>
        <v>20</v>
      </c>
      <c r="AX499" t="e" cm="1">
        <f t="array" ref="AX499">_xlfn.XLOOKUP(AT499,BSFC!A$64:A$82,,-1,_xlfn.XLOOKUP(Data!AU499,BSFC!C$63:Q$63,BSFC!B$64:Q$82,,-1))</f>
        <v>#VALUE!</v>
      </c>
      <c r="AY499">
        <f>HLOOKUP(AU499,BSFC!F$63:Q$63,1)</f>
        <v>6500</v>
      </c>
      <c r="AZ499">
        <f>IF(AT499&gt;0,MATCH(AT499,BSFC!A$64:A$83,0),IF(AT499&lt;=0,0))</f>
        <v>3</v>
      </c>
      <c r="BA499">
        <f>MATCH(AU499,BSFC!C$63:Q$63,0)</f>
        <v>13</v>
      </c>
      <c r="BB499" cm="1">
        <f t="array" ref="BB499">IF(AZ499&gt;0,INDEX(BSFC!C$64:Q$83,Data!AZ499,Data!BA499))</f>
        <v>494.7</v>
      </c>
      <c r="BC499">
        <f>0.5*'Vehicle Data'!C$6*Data!Z499^2</f>
        <v>15121.355000000003</v>
      </c>
      <c r="BD499">
        <f t="shared" si="349"/>
        <v>13.465906457145509</v>
      </c>
      <c r="BE499">
        <f t="shared" si="391"/>
        <v>6661.5839243498831</v>
      </c>
      <c r="BF499">
        <f t="shared" si="392"/>
        <v>0.53083810288866951</v>
      </c>
      <c r="BG499">
        <f t="shared" si="350"/>
        <v>237.2018978336113</v>
      </c>
      <c r="BH499">
        <f t="shared" si="374"/>
        <v>13465.906457145509</v>
      </c>
      <c r="BI499" s="148">
        <f t="shared" si="351"/>
        <v>6871.6622130335309</v>
      </c>
      <c r="BO499">
        <f t="shared" si="352"/>
        <v>3868.0643425610574</v>
      </c>
      <c r="BP499">
        <f t="shared" si="353"/>
        <v>879136.51913686853</v>
      </c>
      <c r="BQ499">
        <f t="shared" si="354"/>
        <v>1267624.1460226604</v>
      </c>
      <c r="BR499" s="148">
        <f t="shared" si="355"/>
        <v>1209126.1217405389</v>
      </c>
      <c r="BS499" s="156">
        <f t="shared" si="356"/>
        <v>3868.0643425610574</v>
      </c>
      <c r="BT499" s="156">
        <f t="shared" si="357"/>
        <v>13465.906457145509</v>
      </c>
      <c r="BU499">
        <f t="shared" si="358"/>
        <v>1973.8761489951428</v>
      </c>
      <c r="BV499">
        <f t="shared" si="359"/>
        <v>1973.8761489951428</v>
      </c>
      <c r="BW499" s="148">
        <f t="shared" si="360"/>
        <v>455.4</v>
      </c>
      <c r="BX499" s="148">
        <f t="shared" si="361"/>
        <v>3129354.9718154697</v>
      </c>
      <c r="BY499" s="148">
        <f t="shared" si="362"/>
        <v>0.24969533284788553</v>
      </c>
      <c r="BZ499">
        <f t="shared" si="345"/>
        <v>175.67106882843129</v>
      </c>
      <c r="CB499">
        <f t="shared" si="363"/>
        <v>-1894.1881935659146</v>
      </c>
      <c r="CC499" s="162">
        <f t="shared" si="346"/>
        <v>-6602.9200655040304</v>
      </c>
      <c r="CD499">
        <f t="shared" si="371"/>
        <v>-59229.964761148171</v>
      </c>
    </row>
    <row r="500" spans="4:82" x14ac:dyDescent="0.2">
      <c r="D500" s="22">
        <f t="shared" si="378"/>
        <v>7.7118916197572301E-2</v>
      </c>
      <c r="E500" s="23">
        <v>10.617509315475887</v>
      </c>
      <c r="F500" s="23">
        <f>IF(K500&lt;6,1,IF(Data!K500&lt;9,2,IF(K500&gt;9,3)))</f>
        <v>3</v>
      </c>
      <c r="G500" s="23">
        <v>1046.1189027031448</v>
      </c>
      <c r="H500" s="23">
        <v>219.51666499999999</v>
      </c>
      <c r="I500" s="64">
        <v>47.776108559575363</v>
      </c>
      <c r="J500" s="65">
        <f t="shared" si="379"/>
        <v>1.6119607088608376</v>
      </c>
      <c r="K500" s="65">
        <f t="shared" si="380"/>
        <v>19.110443423830144</v>
      </c>
      <c r="L500" s="65">
        <f t="shared" si="381"/>
        <v>0.64478428354433504</v>
      </c>
      <c r="M500">
        <f t="shared" si="382"/>
        <v>21.235018630951775</v>
      </c>
      <c r="N500">
        <f t="shared" si="393"/>
        <v>0.18419548452411227</v>
      </c>
      <c r="O500">
        <f>IF(L500&lt;'Vehicle Data'!F$21,'Vehicle Data'!C$21,IF(L500&gt;'Vehicle Data'!C$21,'Vehicle Data'!C$20))</f>
        <v>0.6</v>
      </c>
      <c r="P500">
        <f>('Vehicle Data'!C$6*9.81*'Vehicle Data'!C$5*SIN(D500))/'Vehicle Data'!C$9</f>
        <v>51.307801120126392</v>
      </c>
      <c r="Q500" s="107">
        <f>'Vehicle Data'!C$6*9.81*SIN(D500)</f>
        <v>331.79044724348398</v>
      </c>
      <c r="R500" s="101">
        <f t="shared" si="395"/>
        <v>1043.7315130747254</v>
      </c>
      <c r="S500" s="101">
        <f>IF(Data!O500=0.6,'Vehicle Data'!E$21,IF(Data!O500 = 0.9,'Vehicle Data'!E$20))+(P500*O500)</f>
        <v>1581.1570806720756</v>
      </c>
      <c r="T500" s="101">
        <f>IF(F500=3,'Vehicle Data'!H$16,IF(F500=2,'Vehicle Data'!H$15,IF(F500 = 1,'Vehicle Data'!G$14)))</f>
        <v>466.23005239380637</v>
      </c>
      <c r="U500" s="148">
        <f t="shared" si="383"/>
        <v>327.59303095140933</v>
      </c>
      <c r="V500" s="102" t="s">
        <v>77</v>
      </c>
      <c r="W500" s="103" t="s">
        <v>84</v>
      </c>
      <c r="X500" s="101">
        <f>IF(V500="S",'Vehicle Data'!C$14,IF(Data!V500 = "T1",'Vehicle Data'!P$2,IF(Data!V500="T2",'Vehicle Data'!P$3)))</f>
        <v>13.411199999999999</v>
      </c>
      <c r="Y500" s="101"/>
      <c r="Z500" s="105">
        <v>8.3000000000000007</v>
      </c>
      <c r="AA500" s="101"/>
      <c r="AB500" s="101" t="b">
        <f>IF(AA500=1,'Vehicle Data'!I$14,IF(AA500=2,'Vehicle Data'!I$15,IF(AA500=3,'Vehicle Data'!I$16)))</f>
        <v>0</v>
      </c>
      <c r="AC500" s="101">
        <f>IF(Z500&lt;'Vehicle Data'!C$16,'Vehicle Data'!I$15,IF(Z500&lt;'Vehicle Data'!C$15,'Vehicle Data'!I$15,IF(Z499&gt;'Vehicle Data'!C$15,'Vehicle Data'!I$16)))</f>
        <v>0.98256251041858167</v>
      </c>
      <c r="AD500">
        <f>IF(O500=0.6,'Vehicle Data'!F$21,IF(O500=0.9,'Vehicle Data'!F$20))</f>
        <v>3.5315999999999996</v>
      </c>
      <c r="AE500" s="101">
        <f>(Data!H$15-Data!Q500)/'Vehicle Data'!C$6</f>
        <v>-0.27397216911955352</v>
      </c>
      <c r="AF500" s="158">
        <f t="shared" si="385"/>
        <v>0.28724871622054965</v>
      </c>
      <c r="AG500" s="148">
        <f t="shared" si="347"/>
        <v>0</v>
      </c>
      <c r="AH500" s="148">
        <f t="shared" si="365"/>
        <v>175.95831754465183</v>
      </c>
      <c r="AI500" s="101"/>
      <c r="AJ500" s="101">
        <f>(Z500^2)*'Vehicle Data'!C$31</f>
        <v>25.317075000000013</v>
      </c>
      <c r="AK500" s="101">
        <f>IF(O500=0.6,'Vehicle Data'!C$6*'Vehicle Data'!D$21*9.81,IF(O500=0.9,'Vehicle Data'!C$6*9.81*'Vehicle Data'!D$20))</f>
        <v>86.131799999999998</v>
      </c>
      <c r="AL500" s="101">
        <f t="shared" si="386"/>
        <v>443.23932224348403</v>
      </c>
      <c r="AM500" s="101"/>
      <c r="AN500" t="b">
        <f>IF(AG500&gt;0,AG500*'Vehicle Data'!C$6)</f>
        <v>0</v>
      </c>
      <c r="AO500" s="101">
        <f t="shared" si="387"/>
        <v>443.23932224348403</v>
      </c>
      <c r="AP500" s="101">
        <f>AO500*'Vehicle Data'!F$3</f>
        <v>113.29197076543451</v>
      </c>
      <c r="AQ500">
        <v>20</v>
      </c>
      <c r="AR500">
        <f>IF(Z500&lt;'Vehicle Data'!C$16, Z500*'Vehicle Data'!F$7*'Vehicle Data'!G$14,IF(Z500&lt;'Vehicle Data'!C$15,Z500*'Vehicle Data'!F$7*'Vehicle Data'!G$15,IF(Z500&gt;'Vehicle Data'!C$15,Z500*'Vehicle Data'!F$7*'Vehicle Data'!G$16)))</f>
        <v>107.59259259259261</v>
      </c>
      <c r="AS500">
        <f t="shared" si="388"/>
        <v>6455.5555555555566</v>
      </c>
      <c r="AT500">
        <f t="shared" si="389"/>
        <v>20</v>
      </c>
      <c r="AU500">
        <f t="shared" si="390"/>
        <v>6500</v>
      </c>
      <c r="AW500">
        <f>VLOOKUP(AT500,BSFC!A$64:A$82,1,FALSE)</f>
        <v>20</v>
      </c>
      <c r="AX500" t="e" cm="1">
        <f t="array" ref="AX500">_xlfn.XLOOKUP(AT500,BSFC!A$64:A$82,,-1,_xlfn.XLOOKUP(Data!AU500,BSFC!C$63:Q$63,BSFC!B$64:Q$82,,-1))</f>
        <v>#VALUE!</v>
      </c>
      <c r="AY500">
        <f>HLOOKUP(AU500,BSFC!F$63:Q$63,1)</f>
        <v>6500</v>
      </c>
      <c r="AZ500">
        <f>IF(AT500&gt;0,MATCH(AT500,BSFC!A$64:A$83,0),IF(AT500&lt;=0,0))</f>
        <v>3</v>
      </c>
      <c r="BA500">
        <f>MATCH(AU500,BSFC!C$63:Q$63,0)</f>
        <v>13</v>
      </c>
      <c r="BB500" cm="1">
        <f t="array" ref="BB500">IF(AZ500&gt;0,INDEX(BSFC!C$64:Q$83,Data!AZ500,Data!BA500))</f>
        <v>494.7</v>
      </c>
      <c r="BC500">
        <f>0.5*'Vehicle Data'!C$6*Data!Z500^2</f>
        <v>15121.355000000003</v>
      </c>
      <c r="BD500">
        <f t="shared" si="349"/>
        <v>13.465906457145509</v>
      </c>
      <c r="BE500">
        <f t="shared" si="391"/>
        <v>6661.5839243498831</v>
      </c>
      <c r="BF500">
        <f t="shared" si="392"/>
        <v>0.5315365084069319</v>
      </c>
      <c r="BG500">
        <f t="shared" si="350"/>
        <v>237.73343434201823</v>
      </c>
      <c r="BH500">
        <f t="shared" si="374"/>
        <v>13465.906457145509</v>
      </c>
      <c r="BI500" s="148">
        <f t="shared" si="351"/>
        <v>6871.6622130335309</v>
      </c>
      <c r="BO500">
        <f t="shared" si="352"/>
        <v>3873.2970377175388</v>
      </c>
      <c r="BP500">
        <f t="shared" si="353"/>
        <v>883009.81617458607</v>
      </c>
      <c r="BQ500">
        <f t="shared" si="354"/>
        <v>1271497.4430603781</v>
      </c>
      <c r="BR500" s="148">
        <f t="shared" si="355"/>
        <v>1211102.6681378158</v>
      </c>
      <c r="BS500" s="156">
        <f t="shared" si="356"/>
        <v>3873.2970377175388</v>
      </c>
      <c r="BT500" s="156">
        <f t="shared" si="357"/>
        <v>13465.906457145509</v>
      </c>
      <c r="BU500">
        <f t="shared" si="358"/>
        <v>1976.5463972768719</v>
      </c>
      <c r="BV500">
        <f t="shared" si="359"/>
        <v>1976.5463972768719</v>
      </c>
      <c r="BW500" s="148">
        <f t="shared" si="360"/>
        <v>455.4</v>
      </c>
      <c r="BX500" s="148">
        <f t="shared" si="361"/>
        <v>3129354.9718154697</v>
      </c>
      <c r="BY500" s="148">
        <f t="shared" si="362"/>
        <v>0.25003311925552429</v>
      </c>
      <c r="BZ500">
        <f t="shared" si="345"/>
        <v>175.95831754465183</v>
      </c>
      <c r="CB500">
        <f t="shared" si="363"/>
        <v>-1896.750640440667</v>
      </c>
      <c r="CC500" s="162">
        <f t="shared" si="346"/>
        <v>-6603.1648997322791</v>
      </c>
      <c r="CD500">
        <f t="shared" si="371"/>
        <v>-61126.715401588837</v>
      </c>
    </row>
    <row r="501" spans="4:82" x14ac:dyDescent="0.2">
      <c r="D501" s="22">
        <f t="shared" si="378"/>
        <v>8.3626532506466691E-2</v>
      </c>
      <c r="E501" s="23">
        <v>10.8017048</v>
      </c>
      <c r="F501" s="23">
        <f>IF(K501&lt;6,1,IF(Data!K501&lt;9,2,IF(K501&gt;9,3)))</f>
        <v>3</v>
      </c>
      <c r="G501" s="23">
        <v>1048.5097323315656</v>
      </c>
      <c r="H501" s="23">
        <v>219.566665</v>
      </c>
      <c r="I501" s="64">
        <v>47.856706595018423</v>
      </c>
      <c r="J501" s="65">
        <f t="shared" si="379"/>
        <v>1.6314679559003644</v>
      </c>
      <c r="K501" s="65">
        <f t="shared" si="380"/>
        <v>19.142682638007368</v>
      </c>
      <c r="L501" s="65">
        <f t="shared" si="381"/>
        <v>0.65258718236017421</v>
      </c>
      <c r="M501">
        <f t="shared" si="382"/>
        <v>21.603409599999999</v>
      </c>
      <c r="N501">
        <f t="shared" si="393"/>
        <v>0.1999967999999992</v>
      </c>
      <c r="O501">
        <f>IF(L501&lt;'Vehicle Data'!F$21,'Vehicle Data'!C$21,IF(L501&gt;'Vehicle Data'!C$21,'Vehicle Data'!C$20))</f>
        <v>0.6</v>
      </c>
      <c r="P501">
        <f>('Vehicle Data'!C$6*9.81*'Vehicle Data'!C$5*SIN(D501))/'Vehicle Data'!C$9</f>
        <v>55.627664279577644</v>
      </c>
      <c r="Q501" s="107">
        <f>'Vehicle Data'!C$6*9.81*SIN(D501)</f>
        <v>359.7255623412687</v>
      </c>
      <c r="R501" s="101">
        <f t="shared" si="395"/>
        <v>1046.1189027031448</v>
      </c>
      <c r="S501" s="101">
        <f>IF(Data!O501=0.6,'Vehicle Data'!E$21,IF(Data!O501 = 0.9,'Vehicle Data'!E$20))+(P501*O501)</f>
        <v>1583.7489985677464</v>
      </c>
      <c r="T501" s="101">
        <f>IF(F501=3,'Vehicle Data'!H$16,IF(F501=2,'Vehicle Data'!H$15,IF(F501 = 1,'Vehicle Data'!G$14)))</f>
        <v>466.23005239380637</v>
      </c>
      <c r="U501" s="148">
        <f t="shared" si="383"/>
        <v>329.98042057982877</v>
      </c>
      <c r="V501" s="102" t="s">
        <v>77</v>
      </c>
      <c r="W501" s="103" t="s">
        <v>84</v>
      </c>
      <c r="X501" s="101">
        <f>IF(V501="S",'Vehicle Data'!C$14,IF(Data!V501 = "T1",'Vehicle Data'!P$2,IF(Data!V501="T2",'Vehicle Data'!P$3)))</f>
        <v>13.411199999999999</v>
      </c>
      <c r="Y501" s="101"/>
      <c r="Z501" s="105">
        <v>8.3000000000000007</v>
      </c>
      <c r="AA501" s="101"/>
      <c r="AB501" s="101" t="b">
        <f>IF(AA501=1,'Vehicle Data'!I$14,IF(AA501=2,'Vehicle Data'!I$15,IF(AA501=3,'Vehicle Data'!I$16)))</f>
        <v>0</v>
      </c>
      <c r="AC501" s="101">
        <f>IF(Z501&lt;'Vehicle Data'!C$16,'Vehicle Data'!I$15,IF(Z501&lt;'Vehicle Data'!C$15,'Vehicle Data'!I$15,IF(Z500&gt;'Vehicle Data'!C$15,'Vehicle Data'!I$16)))</f>
        <v>0.98256251041858167</v>
      </c>
      <c r="AD501">
        <f>IF(O501=0.6,'Vehicle Data'!F$21,IF(O501=0.9,'Vehicle Data'!F$20))</f>
        <v>3.5315999999999996</v>
      </c>
      <c r="AE501" s="101">
        <f>(Data!H$15-Data!Q501)/'Vehicle Data'!C$6</f>
        <v>-0.33760568870448454</v>
      </c>
      <c r="AF501" s="158">
        <f t="shared" si="385"/>
        <v>0.28763730462884834</v>
      </c>
      <c r="AG501" s="148">
        <f t="shared" si="347"/>
        <v>0</v>
      </c>
      <c r="AH501" s="148">
        <f t="shared" si="365"/>
        <v>176.24595484928068</v>
      </c>
      <c r="AI501" s="101"/>
      <c r="AJ501" s="101">
        <f>(Z501^2)*'Vehicle Data'!C$31</f>
        <v>25.317075000000013</v>
      </c>
      <c r="AK501" s="101">
        <f>IF(O501=0.6,'Vehicle Data'!C$6*'Vehicle Data'!D$21*9.81,IF(O501=0.9,'Vehicle Data'!C$6*9.81*'Vehicle Data'!D$20))</f>
        <v>86.131799999999998</v>
      </c>
      <c r="AL501" s="101">
        <f t="shared" si="386"/>
        <v>471.17443734126869</v>
      </c>
      <c r="AM501" s="101"/>
      <c r="AN501" t="b">
        <f>IF(AG501&gt;0,AG501*'Vehicle Data'!C$6)</f>
        <v>0</v>
      </c>
      <c r="AO501" s="101">
        <f t="shared" si="387"/>
        <v>471.17443734126869</v>
      </c>
      <c r="AP501" s="101">
        <f>AO501*'Vehicle Data'!F$3</f>
        <v>120.43218618442828</v>
      </c>
      <c r="AQ501">
        <v>20</v>
      </c>
      <c r="AR501">
        <f>IF(Z501&lt;'Vehicle Data'!C$16, Z501*'Vehicle Data'!F$7*'Vehicle Data'!G$14,IF(Z501&lt;'Vehicle Data'!C$15,Z501*'Vehicle Data'!F$7*'Vehicle Data'!G$15,IF(Z501&gt;'Vehicle Data'!C$15,Z501*'Vehicle Data'!F$7*'Vehicle Data'!G$16)))</f>
        <v>107.59259259259261</v>
      </c>
      <c r="AS501">
        <f t="shared" si="388"/>
        <v>6455.5555555555566</v>
      </c>
      <c r="AT501">
        <f t="shared" si="389"/>
        <v>20</v>
      </c>
      <c r="AU501">
        <f t="shared" si="390"/>
        <v>6500</v>
      </c>
      <c r="AW501">
        <f>VLOOKUP(AT501,BSFC!A$64:A$82,1,FALSE)</f>
        <v>20</v>
      </c>
      <c r="AX501" t="e" cm="1">
        <f t="array" ref="AX501">_xlfn.XLOOKUP(AT501,BSFC!A$64:A$82,,-1,_xlfn.XLOOKUP(Data!AU501,BSFC!C$63:Q$63,BSFC!B$64:Q$82,,-1))</f>
        <v>#VALUE!</v>
      </c>
      <c r="AY501">
        <f>HLOOKUP(AU501,BSFC!F$63:Q$63,1)</f>
        <v>6500</v>
      </c>
      <c r="AZ501">
        <f>IF(AT501&gt;0,MATCH(AT501,BSFC!A$64:A$83,0),IF(AT501&lt;=0,0))</f>
        <v>3</v>
      </c>
      <c r="BA501">
        <f>MATCH(AU501,BSFC!C$63:Q$63,0)</f>
        <v>13</v>
      </c>
      <c r="BB501" cm="1">
        <f t="array" ref="BB501">IF(AZ501&gt;0,INDEX(BSFC!C$64:Q$83,Data!AZ501,Data!BA501))</f>
        <v>494.7</v>
      </c>
      <c r="BC501">
        <f>0.5*'Vehicle Data'!C$6*Data!Z501^2</f>
        <v>15121.355000000003</v>
      </c>
      <c r="BD501">
        <f t="shared" si="349"/>
        <v>13.465906457145509</v>
      </c>
      <c r="BE501">
        <f t="shared" si="391"/>
        <v>6661.5839243498831</v>
      </c>
      <c r="BF501">
        <f t="shared" si="392"/>
        <v>0.53225556793301843</v>
      </c>
      <c r="BG501">
        <f t="shared" si="350"/>
        <v>238.26568990995125</v>
      </c>
      <c r="BH501">
        <f t="shared" si="374"/>
        <v>13465.906457145509</v>
      </c>
      <c r="BI501" s="148">
        <f t="shared" si="351"/>
        <v>6871.6622130335309</v>
      </c>
      <c r="BO501">
        <f t="shared" si="352"/>
        <v>3878.8780881067369</v>
      </c>
      <c r="BP501">
        <f t="shared" si="353"/>
        <v>886888.69426269282</v>
      </c>
      <c r="BQ501">
        <f t="shared" si="354"/>
        <v>1275376.3211484847</v>
      </c>
      <c r="BR501" s="148">
        <f t="shared" si="355"/>
        <v>1213082.0625493121</v>
      </c>
      <c r="BS501" s="156">
        <f t="shared" si="356"/>
        <v>3878.8780881067369</v>
      </c>
      <c r="BT501" s="156">
        <f t="shared" si="357"/>
        <v>13465.906457145509</v>
      </c>
      <c r="BU501">
        <f t="shared" si="358"/>
        <v>1979.3944114963781</v>
      </c>
      <c r="BV501">
        <f t="shared" si="359"/>
        <v>1979.3944114963781</v>
      </c>
      <c r="BW501" s="148">
        <f t="shared" si="360"/>
        <v>455.4</v>
      </c>
      <c r="BX501" s="148">
        <f t="shared" si="361"/>
        <v>3129354.9718154697</v>
      </c>
      <c r="BY501" s="148">
        <f t="shared" si="362"/>
        <v>0.25039339305429176</v>
      </c>
      <c r="BZ501">
        <f t="shared" si="345"/>
        <v>176.24595484928068</v>
      </c>
      <c r="CB501">
        <f t="shared" si="363"/>
        <v>-1899.4836766103588</v>
      </c>
      <c r="CC501" s="162">
        <f t="shared" si="346"/>
        <v>-6603.745919053762</v>
      </c>
      <c r="CD501">
        <f t="shared" si="371"/>
        <v>-63026.199078199199</v>
      </c>
    </row>
    <row r="502" spans="4:82" x14ac:dyDescent="0.2">
      <c r="D502" s="22">
        <f t="shared" si="378"/>
        <v>4.8314625047584658E-2</v>
      </c>
      <c r="E502" s="23">
        <v>11.001701599999999</v>
      </c>
      <c r="F502" s="23">
        <f>IF(K502&lt;6,1,IF(Data!K502&lt;9,2,IF(K502&gt;9,3)))</f>
        <v>3</v>
      </c>
      <c r="G502" s="23">
        <v>1050.90406931809</v>
      </c>
      <c r="H502" s="23">
        <v>219.61666499999998</v>
      </c>
      <c r="I502" s="64">
        <v>47.938279992813413</v>
      </c>
      <c r="J502" s="65">
        <f t="shared" si="379"/>
        <v>1.612882005716247</v>
      </c>
      <c r="K502" s="65">
        <f t="shared" si="380"/>
        <v>19.175311997125366</v>
      </c>
      <c r="L502" s="65">
        <f t="shared" si="381"/>
        <v>0.64515280228647043</v>
      </c>
      <c r="M502">
        <f t="shared" si="382"/>
        <v>22.003403199999997</v>
      </c>
      <c r="N502">
        <f t="shared" si="393"/>
        <v>0.11580771547588853</v>
      </c>
      <c r="O502">
        <f>IF(L502&lt;'Vehicle Data'!F$21,'Vehicle Data'!C$21,IF(L502&gt;'Vehicle Data'!C$21,'Vehicle Data'!C$20))</f>
        <v>0.6</v>
      </c>
      <c r="P502">
        <f>('Vehicle Data'!C$6*9.81*'Vehicle Data'!C$5*SIN(D502))/'Vehicle Data'!C$9</f>
        <v>32.163454684879788</v>
      </c>
      <c r="Q502" s="107">
        <f>'Vehicle Data'!C$6*9.81*SIN(D502)</f>
        <v>207.99034029555594</v>
      </c>
      <c r="R502" s="101">
        <f t="shared" si="395"/>
        <v>1048.5097323315656</v>
      </c>
      <c r="S502" s="101">
        <f>IF(Data!O502=0.6,'Vehicle Data'!E$21,IF(Data!O502 = 0.9,'Vehicle Data'!E$20))+(P502*O502)</f>
        <v>1569.6704728109275</v>
      </c>
      <c r="T502" s="101">
        <f>IF(F502=3,'Vehicle Data'!H$16,IF(F502=2,'Vehicle Data'!H$15,IF(F502 = 1,'Vehicle Data'!G$14)))</f>
        <v>466.23005239380637</v>
      </c>
      <c r="U502" s="148">
        <f t="shared" si="383"/>
        <v>332.37125020824953</v>
      </c>
      <c r="V502" s="102" t="s">
        <v>77</v>
      </c>
      <c r="W502" s="103" t="s">
        <v>84</v>
      </c>
      <c r="X502" s="101">
        <f>IF(V502="S",'Vehicle Data'!C$14,IF(Data!V502 = "T1",'Vehicle Data'!P$2,IF(Data!V502="T2",'Vehicle Data'!P$3)))</f>
        <v>13.411199999999999</v>
      </c>
      <c r="Y502" s="101"/>
      <c r="Z502" s="105">
        <v>8.3000000000000007</v>
      </c>
      <c r="AA502" s="101"/>
      <c r="AB502" s="101" t="b">
        <f>IF(AA502=1,'Vehicle Data'!I$14,IF(AA502=2,'Vehicle Data'!I$15,IF(AA502=3,'Vehicle Data'!I$16)))</f>
        <v>0</v>
      </c>
      <c r="AC502" s="101">
        <f>IF(Z502&lt;'Vehicle Data'!C$16,'Vehicle Data'!I$15,IF(Z502&lt;'Vehicle Data'!C$15,'Vehicle Data'!I$15,IF(Z501&gt;'Vehicle Data'!C$15,'Vehicle Data'!I$16)))</f>
        <v>0.98256251041858167</v>
      </c>
      <c r="AD502">
        <f>IF(O502=0.6,'Vehicle Data'!F$21,IF(O502=0.9,'Vehicle Data'!F$20))</f>
        <v>3.5315999999999996</v>
      </c>
      <c r="AE502" s="101">
        <f>(Data!H$15-Data!Q502)/'Vehicle Data'!C$6</f>
        <v>8.0326303062506852E-3</v>
      </c>
      <c r="AF502" s="158">
        <f t="shared" si="385"/>
        <v>0.28805176246033259</v>
      </c>
      <c r="AG502" s="148">
        <f t="shared" si="347"/>
        <v>0</v>
      </c>
      <c r="AH502" s="148">
        <f t="shared" si="365"/>
        <v>176.53400661174101</v>
      </c>
      <c r="AI502" s="101"/>
      <c r="AJ502" s="101">
        <f>(Z502^2)*'Vehicle Data'!C$31</f>
        <v>25.317075000000013</v>
      </c>
      <c r="AK502" s="101">
        <f>IF(O502=0.6,'Vehicle Data'!C$6*'Vehicle Data'!D$21*9.81,IF(O502=0.9,'Vehicle Data'!C$6*9.81*'Vehicle Data'!D$20))</f>
        <v>86.131799999999998</v>
      </c>
      <c r="AL502" s="101">
        <f t="shared" si="386"/>
        <v>319.43921529555598</v>
      </c>
      <c r="AM502" s="101"/>
      <c r="AN502" t="b">
        <f>IF(AG502&gt;0,AG502*'Vehicle Data'!C$6)</f>
        <v>0</v>
      </c>
      <c r="AO502" s="101">
        <f t="shared" si="387"/>
        <v>319.43921529555598</v>
      </c>
      <c r="AP502" s="101">
        <f>AO502*'Vehicle Data'!F$3</f>
        <v>81.648663429544101</v>
      </c>
      <c r="AQ502">
        <v>20</v>
      </c>
      <c r="AR502">
        <f>IF(Z502&lt;'Vehicle Data'!C$16, Z502*'Vehicle Data'!F$7*'Vehicle Data'!G$14,IF(Z502&lt;'Vehicle Data'!C$15,Z502*'Vehicle Data'!F$7*'Vehicle Data'!G$15,IF(Z502&gt;'Vehicle Data'!C$15,Z502*'Vehicle Data'!F$7*'Vehicle Data'!G$16)))</f>
        <v>107.59259259259261</v>
      </c>
      <c r="AS502">
        <f t="shared" si="388"/>
        <v>6455.5555555555566</v>
      </c>
      <c r="AT502">
        <f t="shared" si="389"/>
        <v>20</v>
      </c>
      <c r="AU502">
        <f t="shared" si="390"/>
        <v>6500</v>
      </c>
      <c r="AW502">
        <f>VLOOKUP(AT502,BSFC!A$64:A$82,1,FALSE)</f>
        <v>20</v>
      </c>
      <c r="AX502" t="e" cm="1">
        <f t="array" ref="AX502">_xlfn.XLOOKUP(AT502,BSFC!A$64:A$82,,-1,_xlfn.XLOOKUP(Data!AU502,BSFC!C$63:Q$63,BSFC!B$64:Q$82,,-1))</f>
        <v>#VALUE!</v>
      </c>
      <c r="AY502">
        <f>HLOOKUP(AU502,BSFC!F$63:Q$63,1)</f>
        <v>6500</v>
      </c>
      <c r="AZ502">
        <f>IF(AT502&gt;0,MATCH(AT502,BSFC!A$64:A$83,0),IF(AT502&lt;=0,0))</f>
        <v>3</v>
      </c>
      <c r="BA502">
        <f>MATCH(AU502,BSFC!C$63:Q$63,0)</f>
        <v>13</v>
      </c>
      <c r="BB502" cm="1">
        <f t="array" ref="BB502">IF(AZ502&gt;0,INDEX(BSFC!C$64:Q$83,Data!AZ502,Data!BA502))</f>
        <v>494.7</v>
      </c>
      <c r="BC502">
        <f>0.5*'Vehicle Data'!C$6*Data!Z502^2</f>
        <v>15121.355000000003</v>
      </c>
      <c r="BD502">
        <f t="shared" si="349"/>
        <v>13.465906457145509</v>
      </c>
      <c r="BE502">
        <f t="shared" si="391"/>
        <v>6661.5839243498831</v>
      </c>
      <c r="BF502">
        <f t="shared" si="392"/>
        <v>0.53302249727400075</v>
      </c>
      <c r="BG502">
        <f t="shared" si="350"/>
        <v>238.79871240722525</v>
      </c>
      <c r="BH502">
        <f t="shared" si="374"/>
        <v>13465.906457145509</v>
      </c>
      <c r="BI502" s="148">
        <f t="shared" si="351"/>
        <v>6871.6622130335309</v>
      </c>
      <c r="BO502">
        <f t="shared" si="352"/>
        <v>3884.5684201712693</v>
      </c>
      <c r="BP502">
        <f t="shared" si="353"/>
        <v>890773.26268286409</v>
      </c>
      <c r="BQ502">
        <f t="shared" si="354"/>
        <v>1279260.889568656</v>
      </c>
      <c r="BR502" s="148">
        <f t="shared" si="355"/>
        <v>1215064.3607415494</v>
      </c>
      <c r="BS502" s="156">
        <f t="shared" si="356"/>
        <v>3884.5684201712693</v>
      </c>
      <c r="BT502" s="156">
        <f t="shared" si="357"/>
        <v>13465.906457145509</v>
      </c>
      <c r="BU502">
        <f t="shared" si="358"/>
        <v>1982.2981922371621</v>
      </c>
      <c r="BV502">
        <f t="shared" si="359"/>
        <v>1982.2981922371621</v>
      </c>
      <c r="BW502" s="148">
        <f t="shared" si="360"/>
        <v>455.4</v>
      </c>
      <c r="BX502" s="148">
        <f t="shared" si="361"/>
        <v>3129354.9718154697</v>
      </c>
      <c r="BY502" s="148">
        <f t="shared" si="362"/>
        <v>0.25076072131800098</v>
      </c>
      <c r="BZ502">
        <f t="shared" si="345"/>
        <v>176.53400661174101</v>
      </c>
      <c r="CB502">
        <f t="shared" si="363"/>
        <v>-1902.2702279341072</v>
      </c>
      <c r="CC502" s="162">
        <f t="shared" si="346"/>
        <v>-6603.9180308646901</v>
      </c>
      <c r="CD502">
        <f t="shared" si="371"/>
        <v>-64928.469306133309</v>
      </c>
    </row>
    <row r="503" spans="4:82" x14ac:dyDescent="0.2">
      <c r="D503" s="22">
        <f t="shared" si="378"/>
        <v>4.1651209028775893E-2</v>
      </c>
      <c r="E503" s="23">
        <v>11.117509315475887</v>
      </c>
      <c r="F503" s="23">
        <f>IF(K503&lt;6,1,IF(Data!K503&lt;9,2,IF(K503&gt;9,3)))</f>
        <v>3</v>
      </c>
      <c r="G503" s="23">
        <v>1053.3019515884041</v>
      </c>
      <c r="H503" s="23">
        <v>219.66666499999999</v>
      </c>
      <c r="I503" s="64">
        <v>48.018924093099244</v>
      </c>
      <c r="J503" s="65">
        <f t="shared" si="379"/>
        <v>1.616747093508178</v>
      </c>
      <c r="K503" s="65">
        <f t="shared" si="380"/>
        <v>19.207569637239697</v>
      </c>
      <c r="L503" s="65">
        <f t="shared" si="381"/>
        <v>0.6466988374032997</v>
      </c>
      <c r="M503">
        <f t="shared" si="382"/>
        <v>22.235018630951775</v>
      </c>
      <c r="N503">
        <f t="shared" si="393"/>
        <v>9.9998526419128098E-2</v>
      </c>
      <c r="O503">
        <f>IF(L503&lt;'Vehicle Data'!F$21,'Vehicle Data'!C$21,IF(L503&gt;'Vehicle Data'!C$21,'Vehicle Data'!C$20))</f>
        <v>0.6</v>
      </c>
      <c r="P503">
        <f>('Vehicle Data'!C$6*9.81*'Vehicle Data'!C$5*SIN(D503))/'Vehicle Data'!C$9</f>
        <v>27.730333128335385</v>
      </c>
      <c r="Q503" s="107">
        <f>'Vehicle Data'!C$6*9.81*SIN(D503)</f>
        <v>179.3228208965688</v>
      </c>
      <c r="R503" s="101">
        <f t="shared" si="395"/>
        <v>1050.90406931809</v>
      </c>
      <c r="S503" s="101">
        <f>IF(Data!O503=0.6,'Vehicle Data'!E$21,IF(Data!O503 = 0.9,'Vehicle Data'!E$20))+(P503*O503)</f>
        <v>1567.0105998770009</v>
      </c>
      <c r="T503" s="101">
        <f>IF(F503=3,'Vehicle Data'!H$16,IF(F503=2,'Vehicle Data'!H$15,IF(F503 = 1,'Vehicle Data'!G$14)))</f>
        <v>466.23005239380637</v>
      </c>
      <c r="U503" s="148">
        <f t="shared" si="383"/>
        <v>334.76558719477396</v>
      </c>
      <c r="V503" s="102" t="s">
        <v>77</v>
      </c>
      <c r="W503" s="103" t="s">
        <v>84</v>
      </c>
      <c r="X503" s="101">
        <f>IF(V503="S",'Vehicle Data'!C$14,IF(Data!V503 = "T1",'Vehicle Data'!P$2,IF(Data!V503="T2",'Vehicle Data'!P$3)))</f>
        <v>13.411199999999999</v>
      </c>
      <c r="Y503" s="101"/>
      <c r="Z503" s="105">
        <v>8.3000000000000007</v>
      </c>
      <c r="AA503" s="101"/>
      <c r="AB503" s="101" t="b">
        <f>IF(AA503=1,'Vehicle Data'!I$14,IF(AA503=2,'Vehicle Data'!I$15,IF(AA503=3,'Vehicle Data'!I$16)))</f>
        <v>0</v>
      </c>
      <c r="AC503" s="101">
        <f>IF(Z503&lt;'Vehicle Data'!C$16,'Vehicle Data'!I$15,IF(Z503&lt;'Vehicle Data'!C$15,'Vehicle Data'!I$15,IF(Z502&gt;'Vehicle Data'!C$15,'Vehicle Data'!I$16)))</f>
        <v>0.98256251041858167</v>
      </c>
      <c r="AD503">
        <f>IF(O503=0.6,'Vehicle Data'!F$21,IF(O503=0.9,'Vehicle Data'!F$20))</f>
        <v>3.5315999999999996</v>
      </c>
      <c r="AE503" s="101">
        <f>(Data!H$15-Data!Q503)/'Vehicle Data'!C$6</f>
        <v>7.3334496818749859E-2</v>
      </c>
      <c r="AF503" s="158">
        <f t="shared" si="385"/>
        <v>0.28847433572583397</v>
      </c>
      <c r="AG503" s="148">
        <f t="shared" si="347"/>
        <v>0</v>
      </c>
      <c r="AH503" s="148">
        <f t="shared" si="365"/>
        <v>176.82248094746683</v>
      </c>
      <c r="AI503" s="101"/>
      <c r="AJ503" s="101">
        <f>(Z503^2)*'Vehicle Data'!C$31</f>
        <v>25.317075000000013</v>
      </c>
      <c r="AK503" s="101">
        <f>IF(O503=0.6,'Vehicle Data'!C$6*'Vehicle Data'!D$21*9.81,IF(O503=0.9,'Vehicle Data'!C$6*9.81*'Vehicle Data'!D$20))</f>
        <v>86.131799999999998</v>
      </c>
      <c r="AL503" s="101">
        <f t="shared" si="386"/>
        <v>290.77169589656881</v>
      </c>
      <c r="AM503" s="101"/>
      <c r="AN503" t="b">
        <f>IF(AG503&gt;0,AG503*'Vehicle Data'!C$6)</f>
        <v>0</v>
      </c>
      <c r="AO503" s="101">
        <f t="shared" si="387"/>
        <v>290.77169589656881</v>
      </c>
      <c r="AP503" s="101">
        <f>AO503*'Vehicle Data'!F$3</f>
        <v>74.321245471162982</v>
      </c>
      <c r="AQ503">
        <v>20</v>
      </c>
      <c r="AR503">
        <f>IF(Z503&lt;'Vehicle Data'!C$16, Z503*'Vehicle Data'!F$7*'Vehicle Data'!G$14,IF(Z503&lt;'Vehicle Data'!C$15,Z503*'Vehicle Data'!F$7*'Vehicle Data'!G$15,IF(Z503&gt;'Vehicle Data'!C$15,Z503*'Vehicle Data'!F$7*'Vehicle Data'!G$16)))</f>
        <v>107.59259259259261</v>
      </c>
      <c r="AS503">
        <f t="shared" si="388"/>
        <v>6455.5555555555566</v>
      </c>
      <c r="AT503">
        <f t="shared" si="389"/>
        <v>20</v>
      </c>
      <c r="AU503">
        <f t="shared" si="390"/>
        <v>6500</v>
      </c>
      <c r="AW503">
        <f>VLOOKUP(AT503,BSFC!A$64:A$82,1,FALSE)</f>
        <v>20</v>
      </c>
      <c r="AX503" t="e" cm="1">
        <f t="array" ref="AX503">_xlfn.XLOOKUP(AT503,BSFC!A$64:A$82,,-1,_xlfn.XLOOKUP(Data!AU503,BSFC!C$63:Q$63,BSFC!B$64:Q$82,,-1))</f>
        <v>#VALUE!</v>
      </c>
      <c r="AY503">
        <f>HLOOKUP(AU503,BSFC!F$63:Q$63,1)</f>
        <v>6500</v>
      </c>
      <c r="AZ503">
        <f>IF(AT503&gt;0,MATCH(AT503,BSFC!A$64:A$83,0),IF(AT503&lt;=0,0))</f>
        <v>3</v>
      </c>
      <c r="BA503">
        <f>MATCH(AU503,BSFC!C$63:Q$63,0)</f>
        <v>13</v>
      </c>
      <c r="BB503" cm="1">
        <f t="array" ref="BB503">IF(AZ503&gt;0,INDEX(BSFC!C$64:Q$83,Data!AZ503,Data!BA503))</f>
        <v>494.7</v>
      </c>
      <c r="BC503">
        <f>0.5*'Vehicle Data'!C$6*Data!Z503^2</f>
        <v>15121.355000000003</v>
      </c>
      <c r="BD503">
        <f t="shared" si="349"/>
        <v>13.465906457145509</v>
      </c>
      <c r="BE503">
        <f t="shared" si="391"/>
        <v>6661.5839243498831</v>
      </c>
      <c r="BF503">
        <f t="shared" si="392"/>
        <v>0.53380444373853519</v>
      </c>
      <c r="BG503">
        <f t="shared" si="350"/>
        <v>239.3325168509638</v>
      </c>
      <c r="BH503">
        <f t="shared" si="374"/>
        <v>13465.906457145509</v>
      </c>
      <c r="BI503" s="148">
        <f t="shared" si="351"/>
        <v>6871.6622130335309</v>
      </c>
      <c r="BO503">
        <f t="shared" si="352"/>
        <v>3890.3202828068875</v>
      </c>
      <c r="BP503">
        <f t="shared" si="353"/>
        <v>894663.58296567097</v>
      </c>
      <c r="BQ503">
        <f t="shared" si="354"/>
        <v>1283151.2098514629</v>
      </c>
      <c r="BR503" s="148">
        <f t="shared" si="355"/>
        <v>1217049.5941136242</v>
      </c>
      <c r="BS503" s="156">
        <f t="shared" si="356"/>
        <v>3890.3202828068875</v>
      </c>
      <c r="BT503" s="156">
        <f t="shared" si="357"/>
        <v>13465.906457145509</v>
      </c>
      <c r="BU503">
        <f t="shared" si="358"/>
        <v>1985.2333720747411</v>
      </c>
      <c r="BV503">
        <f t="shared" si="359"/>
        <v>1985.2333720747411</v>
      </c>
      <c r="BW503" s="148">
        <f t="shared" si="360"/>
        <v>455.4</v>
      </c>
      <c r="BX503" s="148">
        <f t="shared" si="361"/>
        <v>3129354.9718154697</v>
      </c>
      <c r="BY503" s="148">
        <f t="shared" si="362"/>
        <v>0.25113202156745468</v>
      </c>
      <c r="BZ503">
        <f t="shared" si="345"/>
        <v>176.82248094746683</v>
      </c>
      <c r="CB503">
        <f t="shared" si="363"/>
        <v>-1905.0869107321464</v>
      </c>
      <c r="CC503" s="162">
        <f t="shared" si="346"/>
        <v>-6604.0083113071569</v>
      </c>
      <c r="CD503">
        <f t="shared" si="371"/>
        <v>-66833.556216865458</v>
      </c>
    </row>
    <row r="504" spans="4:82" x14ac:dyDescent="0.2">
      <c r="D504" s="22">
        <f t="shared" si="378"/>
        <v>7.6649926927881112E-2</v>
      </c>
      <c r="E504" s="23">
        <v>11.217507841895015</v>
      </c>
      <c r="F504" s="23">
        <f>IF(K504&lt;6,1,IF(Data!K504&lt;9,2,IF(K504&gt;9,3)))</f>
        <v>3</v>
      </c>
      <c r="G504" s="23">
        <v>1055.703501216824</v>
      </c>
      <c r="H504" s="23">
        <v>219.71666499999998</v>
      </c>
      <c r="I504" s="64">
        <v>48.099761447774625</v>
      </c>
      <c r="J504" s="65">
        <f t="shared" si="379"/>
        <v>1.757489287055618</v>
      </c>
      <c r="K504" s="65">
        <f t="shared" si="380"/>
        <v>19.239904579109851</v>
      </c>
      <c r="L504" s="65">
        <f t="shared" si="381"/>
        <v>0.70299571482221879</v>
      </c>
      <c r="M504">
        <f t="shared" si="382"/>
        <v>22.435015683790031</v>
      </c>
      <c r="N504">
        <f t="shared" si="393"/>
        <v>0.18419535810498466</v>
      </c>
      <c r="O504">
        <f>IF(L504&lt;'Vehicle Data'!F$21,'Vehicle Data'!C$21,IF(L504&gt;'Vehicle Data'!C$21,'Vehicle Data'!C$20))</f>
        <v>0.6</v>
      </c>
      <c r="P504">
        <f>('Vehicle Data'!C$6*9.81*'Vehicle Data'!C$5*SIN(D504))/'Vehicle Data'!C$9</f>
        <v>50.996392174361247</v>
      </c>
      <c r="Q504" s="107">
        <f>'Vehicle Data'!C$6*9.81*SIN(D504)</f>
        <v>329.77666939420271</v>
      </c>
      <c r="R504" s="101">
        <f t="shared" si="395"/>
        <v>1053.3019515884041</v>
      </c>
      <c r="S504" s="101">
        <f>IF(Data!O504=0.6,'Vehicle Data'!E$21,IF(Data!O504 = 0.9,'Vehicle Data'!E$20))+(P504*O504)</f>
        <v>1580.9702353046164</v>
      </c>
      <c r="T504" s="101">
        <f>IF(F504=3,'Vehicle Data'!H$16,IF(F504=2,'Vehicle Data'!H$15,IF(F504 = 1,'Vehicle Data'!G$14)))</f>
        <v>466.23005239380637</v>
      </c>
      <c r="U504" s="148">
        <f t="shared" si="383"/>
        <v>337.16346946508804</v>
      </c>
      <c r="V504" s="102" t="s">
        <v>77</v>
      </c>
      <c r="W504" s="103" t="s">
        <v>84</v>
      </c>
      <c r="X504" s="101">
        <f>IF(V504="S",'Vehicle Data'!C$14,IF(Data!V504 = "T1",'Vehicle Data'!P$2,IF(Data!V504="T2",'Vehicle Data'!P$3)))</f>
        <v>13.411199999999999</v>
      </c>
      <c r="Y504" s="101"/>
      <c r="Z504" s="105">
        <v>8.3000000000000007</v>
      </c>
      <c r="AA504" s="101"/>
      <c r="AB504" s="101" t="b">
        <f>IF(AA504=1,'Vehicle Data'!I$14,IF(AA504=2,'Vehicle Data'!I$15,IF(AA504=3,'Vehicle Data'!I$16)))</f>
        <v>0</v>
      </c>
      <c r="AC504" s="101">
        <f>IF(Z504&lt;'Vehicle Data'!C$16,'Vehicle Data'!I$15,IF(Z504&lt;'Vehicle Data'!C$15,'Vehicle Data'!I$15,IF(Z503&gt;'Vehicle Data'!C$15,'Vehicle Data'!I$16)))</f>
        <v>0.98256251041858167</v>
      </c>
      <c r="AD504">
        <f>IF(O504=0.6,'Vehicle Data'!F$21,IF(O504=0.9,'Vehicle Data'!F$20))</f>
        <v>3.5315999999999996</v>
      </c>
      <c r="AE504" s="101">
        <f>(Data!H$15-Data!Q504)/'Vehicle Data'!C$6</f>
        <v>-0.26938497584100846</v>
      </c>
      <c r="AF504" s="158">
        <f t="shared" si="385"/>
        <v>0.28890147835109453</v>
      </c>
      <c r="AG504" s="148">
        <f t="shared" si="347"/>
        <v>0</v>
      </c>
      <c r="AH504" s="148">
        <f t="shared" si="365"/>
        <v>177.11138242581794</v>
      </c>
      <c r="AI504" s="101"/>
      <c r="AJ504" s="101">
        <f>(Z504^2)*'Vehicle Data'!C$31</f>
        <v>25.317075000000013</v>
      </c>
      <c r="AK504" s="101">
        <f>IF(O504=0.6,'Vehicle Data'!C$6*'Vehicle Data'!D$21*9.81,IF(O504=0.9,'Vehicle Data'!C$6*9.81*'Vehicle Data'!D$20))</f>
        <v>86.131799999999998</v>
      </c>
      <c r="AL504" s="101">
        <f t="shared" si="386"/>
        <v>441.22554439420276</v>
      </c>
      <c r="AM504" s="101"/>
      <c r="AN504" t="b">
        <f>IF(AG504&gt;0,AG504*'Vehicle Data'!C$6)</f>
        <v>0</v>
      </c>
      <c r="AO504" s="101">
        <f t="shared" si="387"/>
        <v>441.22554439420276</v>
      </c>
      <c r="AP504" s="101">
        <f>AO504*'Vehicle Data'!F$3</f>
        <v>112.77724914715822</v>
      </c>
      <c r="AQ504">
        <v>20</v>
      </c>
      <c r="AR504">
        <f>IF(Z504&lt;'Vehicle Data'!C$16, Z504*'Vehicle Data'!F$7*'Vehicle Data'!G$14,IF(Z504&lt;'Vehicle Data'!C$15,Z504*'Vehicle Data'!F$7*'Vehicle Data'!G$15,IF(Z504&gt;'Vehicle Data'!C$15,Z504*'Vehicle Data'!F$7*'Vehicle Data'!G$16)))</f>
        <v>107.59259259259261</v>
      </c>
      <c r="AS504">
        <f t="shared" si="388"/>
        <v>6455.5555555555566</v>
      </c>
      <c r="AT504">
        <f t="shared" si="389"/>
        <v>20</v>
      </c>
      <c r="AU504">
        <f t="shared" si="390"/>
        <v>6500</v>
      </c>
      <c r="AW504">
        <f>VLOOKUP(AT504,BSFC!A$64:A$82,1,FALSE)</f>
        <v>20</v>
      </c>
      <c r="AX504" t="e" cm="1">
        <f t="array" ref="AX504">_xlfn.XLOOKUP(AT504,BSFC!A$64:A$82,,-1,_xlfn.XLOOKUP(Data!AU504,BSFC!C$63:Q$63,BSFC!B$64:Q$82,,-1))</f>
        <v>#VALUE!</v>
      </c>
      <c r="AY504">
        <f>HLOOKUP(AU504,BSFC!F$63:Q$63,1)</f>
        <v>6500</v>
      </c>
      <c r="AZ504">
        <f>IF(AT504&gt;0,MATCH(AT504,BSFC!A$64:A$83,0),IF(AT504&lt;=0,0))</f>
        <v>3</v>
      </c>
      <c r="BA504">
        <f>MATCH(AU504,BSFC!C$63:Q$63,0)</f>
        <v>13</v>
      </c>
      <c r="BB504" cm="1">
        <f t="array" ref="BB504">IF(AZ504&gt;0,INDEX(BSFC!C$64:Q$83,Data!AZ504,Data!BA504))</f>
        <v>494.7</v>
      </c>
      <c r="BC504">
        <f>0.5*'Vehicle Data'!C$6*Data!Z504^2</f>
        <v>15121.355000000003</v>
      </c>
      <c r="BD504">
        <f t="shared" si="349"/>
        <v>13.465906457145509</v>
      </c>
      <c r="BE504">
        <f t="shared" si="391"/>
        <v>6661.5839243498831</v>
      </c>
      <c r="BF504">
        <f t="shared" si="392"/>
        <v>0.53459484552904646</v>
      </c>
      <c r="BG504">
        <f t="shared" si="350"/>
        <v>239.86711169649286</v>
      </c>
      <c r="BH504">
        <f t="shared" si="374"/>
        <v>13465.906457145509</v>
      </c>
      <c r="BI504" s="148">
        <f t="shared" si="351"/>
        <v>6871.6622130335309</v>
      </c>
      <c r="BO504">
        <f t="shared" si="352"/>
        <v>3896.2701986137545</v>
      </c>
      <c r="BP504">
        <f t="shared" si="353"/>
        <v>898559.85316428472</v>
      </c>
      <c r="BQ504">
        <f t="shared" si="354"/>
        <v>1287047.4800500767</v>
      </c>
      <c r="BR504" s="148">
        <f t="shared" si="355"/>
        <v>1219037.863732219</v>
      </c>
      <c r="BS504" s="156">
        <f t="shared" si="356"/>
        <v>3896.2701986137545</v>
      </c>
      <c r="BT504" s="156">
        <f t="shared" si="357"/>
        <v>13465.906457145509</v>
      </c>
      <c r="BU504">
        <f t="shared" si="358"/>
        <v>1988.2696185948616</v>
      </c>
      <c r="BV504">
        <f t="shared" si="359"/>
        <v>1988.2696185948616</v>
      </c>
      <c r="BW504" s="148">
        <f t="shared" si="360"/>
        <v>455.4</v>
      </c>
      <c r="BX504" s="148">
        <f t="shared" si="361"/>
        <v>3129354.9718154697</v>
      </c>
      <c r="BY504" s="148">
        <f t="shared" si="362"/>
        <v>0.25151610675225</v>
      </c>
      <c r="BZ504">
        <f t="shared" si="345"/>
        <v>177.11138242581794</v>
      </c>
      <c r="CB504">
        <f t="shared" si="363"/>
        <v>-1908.0005800188928</v>
      </c>
      <c r="CC504" s="162">
        <f t="shared" si="346"/>
        <v>-6604.3295829039162</v>
      </c>
      <c r="CD504">
        <f t="shared" si="371"/>
        <v>-68741.556796884353</v>
      </c>
    </row>
    <row r="505" spans="4:82" x14ac:dyDescent="0.2">
      <c r="D505" s="22">
        <f t="shared" si="378"/>
        <v>0</v>
      </c>
      <c r="E505" s="23">
        <v>11.4017032</v>
      </c>
      <c r="F505" s="23">
        <f>IF(K505&lt;6,1,IF(Data!K505&lt;9,2,IF(K505&gt;9,3)))</f>
        <v>3</v>
      </c>
      <c r="G505" s="23">
        <v>1058.1089287709276</v>
      </c>
      <c r="H505" s="23">
        <v>219.76666499999999</v>
      </c>
      <c r="I505" s="64">
        <v>48.187635912127426</v>
      </c>
      <c r="J505" s="65">
        <f t="shared" si="379"/>
        <v>1.8680885259291828</v>
      </c>
      <c r="K505" s="65">
        <f t="shared" si="380"/>
        <v>19.27505436485097</v>
      </c>
      <c r="L505" s="65">
        <f t="shared" si="381"/>
        <v>0.7472354103717016</v>
      </c>
      <c r="M505">
        <f t="shared" si="382"/>
        <v>22.8034064</v>
      </c>
      <c r="N505">
        <f t="shared" si="393"/>
        <v>0</v>
      </c>
      <c r="O505">
        <f>IF(L505&lt;'Vehicle Data'!F$21,'Vehicle Data'!C$21,IF(L505&gt;'Vehicle Data'!C$21,'Vehicle Data'!C$20))</f>
        <v>0.6</v>
      </c>
      <c r="P505">
        <f>('Vehicle Data'!C$6*9.81*'Vehicle Data'!C$5*SIN(D505))/'Vehicle Data'!C$9</f>
        <v>0</v>
      </c>
      <c r="Q505" s="107">
        <f>'Vehicle Data'!C$6*9.81*SIN(D505)</f>
        <v>0</v>
      </c>
      <c r="R505" s="101">
        <f t="shared" si="395"/>
        <v>1055.703501216824</v>
      </c>
      <c r="S505" s="101">
        <f>IF(Data!O505=0.6,'Vehicle Data'!E$21,IF(Data!O505 = 0.9,'Vehicle Data'!E$20))+(P505*O505)</f>
        <v>1550.3723999999997</v>
      </c>
      <c r="T505" s="101">
        <f>IF(F505=3,'Vehicle Data'!H$16,IF(F505=2,'Vehicle Data'!H$15,IF(F505 = 1,'Vehicle Data'!G$14)))</f>
        <v>466.23005239380637</v>
      </c>
      <c r="U505" s="148">
        <f t="shared" si="383"/>
        <v>339.56501909350789</v>
      </c>
      <c r="V505" s="102" t="s">
        <v>77</v>
      </c>
      <c r="W505" s="103" t="s">
        <v>84</v>
      </c>
      <c r="X505" s="101">
        <f>IF(V505="S",'Vehicle Data'!C$14,IF(Data!V505 = "T1",'Vehicle Data'!P$2,IF(Data!V505="T2",'Vehicle Data'!P$3)))</f>
        <v>13.411199999999999</v>
      </c>
      <c r="Y505" s="101"/>
      <c r="Z505" s="105">
        <v>8.3000000000000007</v>
      </c>
      <c r="AA505" s="101"/>
      <c r="AB505" s="101" t="b">
        <f>IF(AA505=1,'Vehicle Data'!I$14,IF(AA505=2,'Vehicle Data'!I$15,IF(AA505=3,'Vehicle Data'!I$16)))</f>
        <v>0</v>
      </c>
      <c r="AC505" s="101">
        <f>IF(Z505&lt;'Vehicle Data'!C$16,'Vehicle Data'!I$15,IF(Z505&lt;'Vehicle Data'!C$15,'Vehicle Data'!I$15,IF(Z504&gt;'Vehicle Data'!C$15,'Vehicle Data'!I$16)))</f>
        <v>0.98256251041858167</v>
      </c>
      <c r="AD505">
        <f>IF(O505=0.6,'Vehicle Data'!F$21,IF(O505=0.9,'Vehicle Data'!F$20))</f>
        <v>3.5315999999999996</v>
      </c>
      <c r="AE505" s="101">
        <f>(Data!H$15-Data!Q505)/'Vehicle Data'!C$6</f>
        <v>0.48181472665148062</v>
      </c>
      <c r="AF505" s="158">
        <f t="shared" si="385"/>
        <v>0.28934332872528229</v>
      </c>
      <c r="AG505" s="148">
        <f t="shared" si="347"/>
        <v>0</v>
      </c>
      <c r="AH505" s="148">
        <f t="shared" si="365"/>
        <v>177.40072575454323</v>
      </c>
      <c r="AI505" s="101"/>
      <c r="AJ505" s="101">
        <f>(Z505^2)*'Vehicle Data'!C$31</f>
        <v>25.317075000000013</v>
      </c>
      <c r="AK505" s="101">
        <f>IF(O505=0.6,'Vehicle Data'!C$6*'Vehicle Data'!D$21*9.81,IF(O505=0.9,'Vehicle Data'!C$6*9.81*'Vehicle Data'!D$20))</f>
        <v>86.131799999999998</v>
      </c>
      <c r="AL505" s="101">
        <f t="shared" si="386"/>
        <v>111.44887500000002</v>
      </c>
      <c r="AM505" s="101"/>
      <c r="AN505" t="b">
        <f>IF(AG505&gt;0,AG505*'Vehicle Data'!C$6)</f>
        <v>0</v>
      </c>
      <c r="AO505" s="101">
        <f t="shared" si="387"/>
        <v>111.44887500000002</v>
      </c>
      <c r="AP505" s="101">
        <f>AO505*'Vehicle Data'!F$3</f>
        <v>28.486332450000003</v>
      </c>
      <c r="AQ505">
        <v>20</v>
      </c>
      <c r="AR505">
        <f>IF(Z505&lt;'Vehicle Data'!C$16, Z505*'Vehicle Data'!F$7*'Vehicle Data'!G$14,IF(Z505&lt;'Vehicle Data'!C$15,Z505*'Vehicle Data'!F$7*'Vehicle Data'!G$15,IF(Z505&gt;'Vehicle Data'!C$15,Z505*'Vehicle Data'!F$7*'Vehicle Data'!G$16)))</f>
        <v>107.59259259259261</v>
      </c>
      <c r="AS505">
        <f t="shared" si="388"/>
        <v>6455.5555555555566</v>
      </c>
      <c r="AT505">
        <f t="shared" si="389"/>
        <v>20</v>
      </c>
      <c r="AU505">
        <f t="shared" si="390"/>
        <v>6500</v>
      </c>
      <c r="AW505">
        <f>VLOOKUP(AT505,BSFC!A$64:A$82,1,FALSE)</f>
        <v>20</v>
      </c>
      <c r="AX505" t="e" cm="1">
        <f t="array" ref="AX505">_xlfn.XLOOKUP(AT505,BSFC!A$64:A$82,,-1,_xlfn.XLOOKUP(Data!AU505,BSFC!C$63:Q$63,BSFC!B$64:Q$82,,-1))</f>
        <v>#VALUE!</v>
      </c>
      <c r="AY505">
        <f>HLOOKUP(AU505,BSFC!F$63:Q$63,1)</f>
        <v>6500</v>
      </c>
      <c r="AZ505">
        <f>IF(AT505&gt;0,MATCH(AT505,BSFC!A$64:A$83,0),IF(AT505&lt;=0,0))</f>
        <v>3</v>
      </c>
      <c r="BA505">
        <f>MATCH(AU505,BSFC!C$63:Q$63,0)</f>
        <v>13</v>
      </c>
      <c r="BB505" cm="1">
        <f t="array" ref="BB505">IF(AZ505&gt;0,INDEX(BSFC!C$64:Q$83,Data!AZ505,Data!BA505))</f>
        <v>494.7</v>
      </c>
      <c r="BC505">
        <f>0.5*'Vehicle Data'!C$6*Data!Z505^2</f>
        <v>15121.355000000003</v>
      </c>
      <c r="BD505">
        <f t="shared" si="349"/>
        <v>13.465906457145509</v>
      </c>
      <c r="BE505">
        <f t="shared" si="391"/>
        <v>6661.5839243498831</v>
      </c>
      <c r="BF505">
        <f t="shared" si="392"/>
        <v>0.53541246312617341</v>
      </c>
      <c r="BG505">
        <f t="shared" si="350"/>
        <v>240.40252415961902</v>
      </c>
      <c r="BH505">
        <f t="shared" si="374"/>
        <v>13465.906457145509</v>
      </c>
      <c r="BI505" s="148">
        <f t="shared" si="351"/>
        <v>6871.6622130335309</v>
      </c>
      <c r="BO505">
        <f t="shared" si="352"/>
        <v>3902.5617389156755</v>
      </c>
      <c r="BP505">
        <f t="shared" si="353"/>
        <v>902462.41490320035</v>
      </c>
      <c r="BQ505">
        <f t="shared" si="354"/>
        <v>1290950.0417889925</v>
      </c>
      <c r="BR505" s="148">
        <f t="shared" si="355"/>
        <v>1221029.3439285713</v>
      </c>
      <c r="BS505" s="156">
        <f t="shared" si="356"/>
        <v>3902.5617389156755</v>
      </c>
      <c r="BT505" s="156">
        <f t="shared" si="357"/>
        <v>13465.906457145509</v>
      </c>
      <c r="BU505">
        <f t="shared" si="358"/>
        <v>1991.480196352258</v>
      </c>
      <c r="BV505">
        <f t="shared" si="359"/>
        <v>1991.480196352258</v>
      </c>
      <c r="BW505" s="148">
        <f t="shared" si="360"/>
        <v>455.4</v>
      </c>
      <c r="BX505" s="148">
        <f t="shared" si="361"/>
        <v>3129354.9718154697</v>
      </c>
      <c r="BY505" s="148">
        <f t="shared" si="362"/>
        <v>0.25192224483856063</v>
      </c>
      <c r="BZ505">
        <f t="shared" si="345"/>
        <v>177.40072575454323</v>
      </c>
      <c r="CB505">
        <f t="shared" si="363"/>
        <v>-1911.0815425634175</v>
      </c>
      <c r="CC505" s="162">
        <f t="shared" si="346"/>
        <v>-6604.8923643158078</v>
      </c>
      <c r="CD505">
        <f t="shared" si="371"/>
        <v>-70652.638339447774</v>
      </c>
    </row>
    <row r="506" spans="4:82" x14ac:dyDescent="0.2">
      <c r="D506" s="22">
        <f t="shared" si="378"/>
        <v>4.142616122772616E-2</v>
      </c>
      <c r="E506" s="23">
        <v>11.4017032</v>
      </c>
      <c r="F506" s="23">
        <f>IF(K506&lt;6,1,IF(Data!K506&lt;9,2,IF(K506&gt;9,3)))</f>
        <v>3</v>
      </c>
      <c r="G506" s="23">
        <v>1060.5186889669269</v>
      </c>
      <c r="H506" s="23">
        <v>219.816665</v>
      </c>
      <c r="I506" s="64">
        <v>48.281040338423907</v>
      </c>
      <c r="J506" s="65">
        <f t="shared" si="379"/>
        <v>1.9321061135158342</v>
      </c>
      <c r="K506" s="65">
        <f t="shared" si="380"/>
        <v>19.312416135369563</v>
      </c>
      <c r="L506" s="65">
        <f t="shared" si="381"/>
        <v>0.77284244540633362</v>
      </c>
      <c r="M506">
        <f t="shared" si="382"/>
        <v>22.8034064</v>
      </c>
      <c r="N506">
        <f t="shared" si="393"/>
        <v>9.9998399999998711E-2</v>
      </c>
      <c r="O506">
        <f>IF(L506&lt;'Vehicle Data'!F$21,'Vehicle Data'!C$21,IF(L506&gt;'Vehicle Data'!C$21,'Vehicle Data'!C$20))</f>
        <v>0.6</v>
      </c>
      <c r="P506">
        <f>('Vehicle Data'!C$6*9.81*'Vehicle Data'!C$5*SIN(D506))/'Vehicle Data'!C$9</f>
        <v>27.580587884242512</v>
      </c>
      <c r="Q506" s="107">
        <f>'Vehicle Data'!C$6*9.81*SIN(D506)</f>
        <v>178.35446831810157</v>
      </c>
      <c r="R506" s="101">
        <f t="shared" si="395"/>
        <v>1058.1089287709276</v>
      </c>
      <c r="S506" s="101">
        <f>IF(Data!O506=0.6,'Vehicle Data'!E$21,IF(Data!O506 = 0.9,'Vehicle Data'!E$20))+(P506*O506)</f>
        <v>1566.9207527305452</v>
      </c>
      <c r="T506" s="101">
        <f>IF(F506=3,'Vehicle Data'!H$16,IF(F506=2,'Vehicle Data'!H$15,IF(F506 = 1,'Vehicle Data'!G$14)))</f>
        <v>466.23005239380637</v>
      </c>
      <c r="U506" s="148">
        <f t="shared" si="383"/>
        <v>341.97044664761154</v>
      </c>
      <c r="V506" s="102" t="s">
        <v>77</v>
      </c>
      <c r="W506" s="103" t="s">
        <v>84</v>
      </c>
      <c r="X506" s="101">
        <f>IF(V506="S",'Vehicle Data'!C$14,IF(Data!V506 = "T1",'Vehicle Data'!P$2,IF(Data!V506="T2",'Vehicle Data'!P$3)))</f>
        <v>13.411199999999999</v>
      </c>
      <c r="Y506" s="101"/>
      <c r="Z506" s="105">
        <v>8.3000000000000007</v>
      </c>
      <c r="AA506" s="101"/>
      <c r="AB506" s="101" t="b">
        <f>IF(AA506=1,'Vehicle Data'!I$14,IF(AA506=2,'Vehicle Data'!I$15,IF(AA506=3,'Vehicle Data'!I$16)))</f>
        <v>0</v>
      </c>
      <c r="AC506" s="101">
        <f>IF(Z506&lt;'Vehicle Data'!C$16,'Vehicle Data'!I$15,IF(Z506&lt;'Vehicle Data'!C$15,'Vehicle Data'!I$15,IF(Z505&gt;'Vehicle Data'!C$15,'Vehicle Data'!I$16)))</f>
        <v>0.98256251041858167</v>
      </c>
      <c r="AD506">
        <f>IF(O506=0.6,'Vehicle Data'!F$21,IF(O506=0.9,'Vehicle Data'!F$20))</f>
        <v>3.5315999999999996</v>
      </c>
      <c r="AE506" s="101">
        <f>(Data!H$15-Data!Q506)/'Vehicle Data'!C$6</f>
        <v>7.5540311348287981E-2</v>
      </c>
      <c r="AF506" s="158">
        <f t="shared" si="385"/>
        <v>0.28981054868718709</v>
      </c>
      <c r="AG506" s="148">
        <f t="shared" si="347"/>
        <v>0</v>
      </c>
      <c r="AH506" s="148">
        <f t="shared" si="365"/>
        <v>177.69053630323043</v>
      </c>
      <c r="AI506" s="101"/>
      <c r="AJ506" s="101">
        <f>(Z506^2)*'Vehicle Data'!C$31</f>
        <v>25.317075000000013</v>
      </c>
      <c r="AK506" s="101">
        <f>IF(O506=0.6,'Vehicle Data'!C$6*'Vehicle Data'!D$21*9.81,IF(O506=0.9,'Vehicle Data'!C$6*9.81*'Vehicle Data'!D$20))</f>
        <v>86.131799999999998</v>
      </c>
      <c r="AL506" s="101">
        <f t="shared" si="386"/>
        <v>289.80334331810161</v>
      </c>
      <c r="AM506" s="101"/>
      <c r="AN506" t="b">
        <f>IF(AG506&gt;0,AG506*'Vehicle Data'!C$6)</f>
        <v>0</v>
      </c>
      <c r="AO506" s="101">
        <f t="shared" si="387"/>
        <v>289.80334331810161</v>
      </c>
      <c r="AP506" s="101">
        <f>AO506*'Vehicle Data'!F$3</f>
        <v>74.073734552106771</v>
      </c>
      <c r="AQ506">
        <v>20</v>
      </c>
      <c r="AR506">
        <f>IF(Z506&lt;'Vehicle Data'!C$16, Z506*'Vehicle Data'!F$7*'Vehicle Data'!G$14,IF(Z506&lt;'Vehicle Data'!C$15,Z506*'Vehicle Data'!F$7*'Vehicle Data'!G$15,IF(Z506&gt;'Vehicle Data'!C$15,Z506*'Vehicle Data'!F$7*'Vehicle Data'!G$16)))</f>
        <v>107.59259259259261</v>
      </c>
      <c r="AS506">
        <f t="shared" si="388"/>
        <v>6455.5555555555566</v>
      </c>
      <c r="AT506">
        <f t="shared" si="389"/>
        <v>20</v>
      </c>
      <c r="AU506">
        <f t="shared" si="390"/>
        <v>6500</v>
      </c>
      <c r="AW506">
        <f>VLOOKUP(AT506,BSFC!A$64:A$82,1,FALSE)</f>
        <v>20</v>
      </c>
      <c r="AX506" t="e" cm="1">
        <f t="array" ref="AX506">_xlfn.XLOOKUP(AT506,BSFC!A$64:A$82,,-1,_xlfn.XLOOKUP(Data!AU506,BSFC!C$63:Q$63,BSFC!B$64:Q$82,,-1))</f>
        <v>#VALUE!</v>
      </c>
      <c r="AY506">
        <f>HLOOKUP(AU506,BSFC!F$63:Q$63,1)</f>
        <v>6500</v>
      </c>
      <c r="AZ506">
        <f>IF(AT506&gt;0,MATCH(AT506,BSFC!A$64:A$83,0),IF(AT506&lt;=0,0))</f>
        <v>3</v>
      </c>
      <c r="BA506">
        <f>MATCH(AU506,BSFC!C$63:Q$63,0)</f>
        <v>13</v>
      </c>
      <c r="BB506" cm="1">
        <f t="array" ref="BB506">IF(AZ506&gt;0,INDEX(BSFC!C$64:Q$83,Data!AZ506,Data!BA506))</f>
        <v>494.7</v>
      </c>
      <c r="BC506">
        <f>0.5*'Vehicle Data'!C$6*Data!Z506^2</f>
        <v>15121.355000000003</v>
      </c>
      <c r="BD506">
        <f t="shared" si="349"/>
        <v>13.465906457145509</v>
      </c>
      <c r="BE506">
        <f t="shared" si="391"/>
        <v>6661.5839243498831</v>
      </c>
      <c r="BF506">
        <f t="shared" si="392"/>
        <v>0.53627702562266233</v>
      </c>
      <c r="BG506">
        <f t="shared" si="350"/>
        <v>240.93880118524169</v>
      </c>
      <c r="BH506">
        <f t="shared" si="374"/>
        <v>13465.906457145509</v>
      </c>
      <c r="BI506" s="148">
        <f t="shared" si="351"/>
        <v>6871.6622130335309</v>
      </c>
      <c r="BO506">
        <f t="shared" si="352"/>
        <v>3909.5910100577303</v>
      </c>
      <c r="BP506">
        <f t="shared" si="353"/>
        <v>906372.00591325806</v>
      </c>
      <c r="BQ506">
        <f t="shared" si="354"/>
        <v>1294859.6327990503</v>
      </c>
      <c r="BR506" s="148">
        <f t="shared" si="355"/>
        <v>1223024.4111672847</v>
      </c>
      <c r="BS506" s="156">
        <f t="shared" si="356"/>
        <v>3909.5910100577303</v>
      </c>
      <c r="BT506" s="156">
        <f t="shared" si="357"/>
        <v>13465.906457145509</v>
      </c>
      <c r="BU506">
        <f t="shared" si="358"/>
        <v>1995.0672387133307</v>
      </c>
      <c r="BV506">
        <f t="shared" si="359"/>
        <v>1995.0672387133307</v>
      </c>
      <c r="BW506" s="148">
        <f t="shared" si="360"/>
        <v>455.4</v>
      </c>
      <c r="BX506" s="148">
        <f t="shared" si="361"/>
        <v>3129354.9718154697</v>
      </c>
      <c r="BY506" s="148">
        <f t="shared" si="362"/>
        <v>0.25237600569723628</v>
      </c>
      <c r="BZ506">
        <f t="shared" si="345"/>
        <v>177.69053630323043</v>
      </c>
      <c r="CB506">
        <f t="shared" si="363"/>
        <v>-1914.5237713443996</v>
      </c>
      <c r="CC506" s="162">
        <f t="shared" si="346"/>
        <v>-6606.1217578756796</v>
      </c>
      <c r="CD506">
        <f t="shared" si="371"/>
        <v>-72567.162110792167</v>
      </c>
    </row>
    <row r="507" spans="4:82" x14ac:dyDescent="0.2">
      <c r="D507" s="22">
        <f t="shared" si="378"/>
        <v>0</v>
      </c>
      <c r="E507" s="23">
        <v>11.501701599999999</v>
      </c>
      <c r="F507" s="23">
        <f>IF(K507&lt;6,1,IF(Data!K507&lt;9,2,IF(K507&gt;9,3)))</f>
        <v>3</v>
      </c>
      <c r="G507" s="23">
        <v>1062.9332744467138</v>
      </c>
      <c r="H507" s="23">
        <v>219.86666499999998</v>
      </c>
      <c r="I507" s="64">
        <v>48.377645644099665</v>
      </c>
      <c r="J507" s="65">
        <f t="shared" si="379"/>
        <v>1.8949605291949423</v>
      </c>
      <c r="K507" s="65">
        <f t="shared" si="380"/>
        <v>19.351058257639867</v>
      </c>
      <c r="L507" s="65">
        <f t="shared" si="381"/>
        <v>0.75798421167793428</v>
      </c>
      <c r="M507">
        <f t="shared" si="382"/>
        <v>23.003403199999997</v>
      </c>
      <c r="N507">
        <f t="shared" si="393"/>
        <v>0</v>
      </c>
      <c r="O507">
        <f>IF(L507&lt;'Vehicle Data'!F$21,'Vehicle Data'!C$21,IF(L507&gt;'Vehicle Data'!C$21,'Vehicle Data'!C$20))</f>
        <v>0.6</v>
      </c>
      <c r="P507">
        <f>('Vehicle Data'!C$6*9.81*'Vehicle Data'!C$5*SIN(D507))/'Vehicle Data'!C$9</f>
        <v>0</v>
      </c>
      <c r="Q507" s="107">
        <f>'Vehicle Data'!C$6*9.81*SIN(D507)</f>
        <v>0</v>
      </c>
      <c r="R507" s="101">
        <f t="shared" si="395"/>
        <v>1060.5186889669269</v>
      </c>
      <c r="S507" s="101">
        <f>IF(Data!O507=0.6,'Vehicle Data'!E$21,IF(Data!O507 = 0.9,'Vehicle Data'!E$20))+(P507*O507)</f>
        <v>1550.3723999999997</v>
      </c>
      <c r="T507" s="101">
        <f>IF(F507=3,'Vehicle Data'!H$16,IF(F507=2,'Vehicle Data'!H$15,IF(F507 = 1,'Vehicle Data'!G$14)))</f>
        <v>466.23005239380637</v>
      </c>
      <c r="U507" s="148">
        <f t="shared" si="383"/>
        <v>344.38020684361084</v>
      </c>
      <c r="V507" s="102" t="s">
        <v>77</v>
      </c>
      <c r="W507" s="103" t="s">
        <v>84</v>
      </c>
      <c r="X507" s="101">
        <f>IF(V507="S",'Vehicle Data'!C$14,IF(Data!V507 = "T1",'Vehicle Data'!P$2,IF(Data!V507="T2",'Vehicle Data'!P$3)))</f>
        <v>13.411199999999999</v>
      </c>
      <c r="Y507" s="101"/>
      <c r="Z507" s="105">
        <v>8.3000000000000007</v>
      </c>
      <c r="AA507" s="101"/>
      <c r="AB507" s="101" t="b">
        <f>IF(AA507=1,'Vehicle Data'!I$14,IF(AA507=2,'Vehicle Data'!I$15,IF(AA507=3,'Vehicle Data'!I$16)))</f>
        <v>0</v>
      </c>
      <c r="AC507" s="101">
        <f>IF(Z507&lt;'Vehicle Data'!C$16,'Vehicle Data'!I$15,IF(Z507&lt;'Vehicle Data'!C$15,'Vehicle Data'!I$15,IF(Z506&gt;'Vehicle Data'!C$15,'Vehicle Data'!I$16)))</f>
        <v>0.98256251041858167</v>
      </c>
      <c r="AD507">
        <f>IF(O507=0.6,'Vehicle Data'!F$21,IF(O507=0.9,'Vehicle Data'!F$20))</f>
        <v>3.5315999999999996</v>
      </c>
      <c r="AE507" s="101">
        <f>(Data!H$15-Data!Q507)/'Vehicle Data'!C$6</f>
        <v>0.48181472665148062</v>
      </c>
      <c r="AF507" s="158">
        <f t="shared" si="385"/>
        <v>0.29033255373485506</v>
      </c>
      <c r="AG507" s="148">
        <f t="shared" si="347"/>
        <v>0</v>
      </c>
      <c r="AH507" s="148">
        <f t="shared" si="365"/>
        <v>177.98086885696529</v>
      </c>
      <c r="AI507" s="101"/>
      <c r="AJ507" s="101">
        <f>(Z507^2)*'Vehicle Data'!C$31</f>
        <v>25.317075000000013</v>
      </c>
      <c r="AK507" s="101">
        <f>IF(O507=0.6,'Vehicle Data'!C$6*'Vehicle Data'!D$21*9.81,IF(O507=0.9,'Vehicle Data'!C$6*9.81*'Vehicle Data'!D$20))</f>
        <v>86.131799999999998</v>
      </c>
      <c r="AL507" s="101">
        <f t="shared" si="386"/>
        <v>111.44887500000002</v>
      </c>
      <c r="AM507" s="101"/>
      <c r="AN507" t="b">
        <f>IF(AG507&gt;0,AG507*'Vehicle Data'!C$6)</f>
        <v>0</v>
      </c>
      <c r="AO507" s="101">
        <f t="shared" si="387"/>
        <v>111.44887500000002</v>
      </c>
      <c r="AP507" s="101">
        <f>AO507*'Vehicle Data'!F$3</f>
        <v>28.486332450000003</v>
      </c>
      <c r="AQ507">
        <v>20</v>
      </c>
      <c r="AR507">
        <f>IF(Z507&lt;'Vehicle Data'!C$16, Z507*'Vehicle Data'!F$7*'Vehicle Data'!G$14,IF(Z507&lt;'Vehicle Data'!C$15,Z507*'Vehicle Data'!F$7*'Vehicle Data'!G$15,IF(Z507&gt;'Vehicle Data'!C$15,Z507*'Vehicle Data'!F$7*'Vehicle Data'!G$16)))</f>
        <v>107.59259259259261</v>
      </c>
      <c r="AS507">
        <f t="shared" si="388"/>
        <v>6455.5555555555566</v>
      </c>
      <c r="AT507">
        <f t="shared" si="389"/>
        <v>20</v>
      </c>
      <c r="AU507">
        <f t="shared" si="390"/>
        <v>6500</v>
      </c>
      <c r="AW507">
        <f>VLOOKUP(AT507,BSFC!A$64:A$82,1,FALSE)</f>
        <v>20</v>
      </c>
      <c r="AX507" t="e" cm="1">
        <f t="array" ref="AX507">_xlfn.XLOOKUP(AT507,BSFC!A$64:A$82,,-1,_xlfn.XLOOKUP(Data!AU507,BSFC!C$63:Q$63,BSFC!B$64:Q$82,,-1))</f>
        <v>#VALUE!</v>
      </c>
      <c r="AY507">
        <f>HLOOKUP(AU507,BSFC!F$63:Q$63,1)</f>
        <v>6500</v>
      </c>
      <c r="AZ507">
        <f>IF(AT507&gt;0,MATCH(AT507,BSFC!A$64:A$83,0),IF(AT507&lt;=0,0))</f>
        <v>3</v>
      </c>
      <c r="BA507">
        <f>MATCH(AU507,BSFC!C$63:Q$63,0)</f>
        <v>13</v>
      </c>
      <c r="BB507" cm="1">
        <f t="array" ref="BB507">IF(AZ507&gt;0,INDEX(BSFC!C$64:Q$83,Data!AZ507,Data!BA507))</f>
        <v>494.7</v>
      </c>
      <c r="BC507">
        <f>0.5*'Vehicle Data'!C$6*Data!Z507^2</f>
        <v>15121.355000000003</v>
      </c>
      <c r="BD507">
        <f t="shared" si="349"/>
        <v>13.465906457145509</v>
      </c>
      <c r="BE507">
        <f t="shared" si="391"/>
        <v>6661.5839243498831</v>
      </c>
      <c r="BF507">
        <f t="shared" si="392"/>
        <v>0.53724296463209975</v>
      </c>
      <c r="BG507">
        <f t="shared" si="350"/>
        <v>241.47604414987379</v>
      </c>
      <c r="BH507">
        <f t="shared" si="374"/>
        <v>13465.906457145509</v>
      </c>
      <c r="BI507" s="148">
        <f t="shared" si="351"/>
        <v>6871.6622130335309</v>
      </c>
      <c r="BO507">
        <f t="shared" si="352"/>
        <v>3917.4195426014135</v>
      </c>
      <c r="BP507">
        <f t="shared" si="353"/>
        <v>910289.42545585951</v>
      </c>
      <c r="BQ507">
        <f t="shared" si="354"/>
        <v>1298777.0523416516</v>
      </c>
      <c r="BR507" s="148">
        <f t="shared" si="355"/>
        <v>1225023.4733120548</v>
      </c>
      <c r="BS507" s="156">
        <f t="shared" si="356"/>
        <v>3917.4195426014135</v>
      </c>
      <c r="BT507" s="156">
        <f t="shared" si="357"/>
        <v>13465.906457145509</v>
      </c>
      <c r="BU507">
        <f t="shared" si="358"/>
        <v>1999.0621447699805</v>
      </c>
      <c r="BV507">
        <f t="shared" si="359"/>
        <v>1999.0621447699805</v>
      </c>
      <c r="BW507" s="148">
        <f t="shared" si="360"/>
        <v>455.4</v>
      </c>
      <c r="BX507" s="148">
        <f t="shared" si="361"/>
        <v>3129354.9718154697</v>
      </c>
      <c r="BY507" s="148">
        <f t="shared" si="362"/>
        <v>0.2528813613134025</v>
      </c>
      <c r="BZ507">
        <f t="shared" si="345"/>
        <v>177.98086885696529</v>
      </c>
      <c r="CB507">
        <f t="shared" si="363"/>
        <v>-1918.357397831433</v>
      </c>
      <c r="CC507" s="162">
        <f t="shared" si="346"/>
        <v>-6607.4485039778056</v>
      </c>
      <c r="CD507">
        <f t="shared" si="371"/>
        <v>-74485.519508623605</v>
      </c>
    </row>
    <row r="508" spans="4:82" x14ac:dyDescent="0.2">
      <c r="D508" s="22">
        <f t="shared" si="378"/>
        <v>0</v>
      </c>
      <c r="E508" s="23">
        <v>11.501701599999999</v>
      </c>
      <c r="F508" s="23">
        <f>IF(K508&lt;6,1,IF(Data!K508&lt;9,2,IF(K508&gt;9,3)))</f>
        <v>3</v>
      </c>
      <c r="G508" s="23">
        <v>1065.3528199265015</v>
      </c>
      <c r="H508" s="23">
        <v>219.91666499999999</v>
      </c>
      <c r="I508" s="64">
        <v>48.472393670559434</v>
      </c>
      <c r="J508" s="65">
        <f t="shared" si="379"/>
        <v>1.9343653736226887</v>
      </c>
      <c r="K508" s="65">
        <f t="shared" si="380"/>
        <v>19.388957468223772</v>
      </c>
      <c r="L508" s="65">
        <f t="shared" si="381"/>
        <v>0.77374614944913234</v>
      </c>
      <c r="M508">
        <f t="shared" si="382"/>
        <v>23.003403199999997</v>
      </c>
      <c r="N508">
        <f t="shared" si="393"/>
        <v>0</v>
      </c>
      <c r="O508">
        <f>IF(L508&lt;'Vehicle Data'!F$21,'Vehicle Data'!C$21,IF(L508&gt;'Vehicle Data'!C$21,'Vehicle Data'!C$20))</f>
        <v>0.6</v>
      </c>
      <c r="P508">
        <f>('Vehicle Data'!C$6*9.81*'Vehicle Data'!C$5*SIN(D508))/'Vehicle Data'!C$9</f>
        <v>0</v>
      </c>
      <c r="Q508" s="107">
        <f>'Vehicle Data'!C$6*9.81*SIN(D508)</f>
        <v>0</v>
      </c>
      <c r="R508" s="101">
        <f t="shared" si="395"/>
        <v>1062.9332744467138</v>
      </c>
      <c r="S508" s="101">
        <f>IF(Data!O508=0.6,'Vehicle Data'!E$21,IF(Data!O508 = 0.9,'Vehicle Data'!E$20))+(P508*O508)</f>
        <v>1550.3723999999997</v>
      </c>
      <c r="T508" s="101">
        <f>IF(F508=3,'Vehicle Data'!H$16,IF(F508=2,'Vehicle Data'!H$15,IF(F508 = 1,'Vehicle Data'!G$14)))</f>
        <v>466.23005239380637</v>
      </c>
      <c r="U508" s="148">
        <f t="shared" si="383"/>
        <v>346.7947923233977</v>
      </c>
      <c r="V508" s="102" t="s">
        <v>77</v>
      </c>
      <c r="W508" s="103" t="s">
        <v>84</v>
      </c>
      <c r="X508" s="101">
        <f>IF(V508="S",'Vehicle Data'!C$14,IF(Data!V508 = "T1",'Vehicle Data'!P$2,IF(Data!V508="T2",'Vehicle Data'!P$3)))</f>
        <v>13.411199999999999</v>
      </c>
      <c r="Y508" s="101"/>
      <c r="Z508" s="105">
        <v>8.3000000000000007</v>
      </c>
      <c r="AA508" s="101"/>
      <c r="AB508" s="101" t="b">
        <f>IF(AA508=1,'Vehicle Data'!I$14,IF(AA508=2,'Vehicle Data'!I$15,IF(AA508=3,'Vehicle Data'!I$16)))</f>
        <v>0</v>
      </c>
      <c r="AC508" s="101">
        <f>IF(Z508&lt;'Vehicle Data'!C$16,'Vehicle Data'!I$15,IF(Z508&lt;'Vehicle Data'!C$15,'Vehicle Data'!I$15,IF(Z507&gt;'Vehicle Data'!C$15,'Vehicle Data'!I$16)))</f>
        <v>0.98256251041858167</v>
      </c>
      <c r="AD508">
        <f>IF(O508=0.6,'Vehicle Data'!F$21,IF(O508=0.9,'Vehicle Data'!F$20))</f>
        <v>3.5315999999999996</v>
      </c>
      <c r="AE508" s="101">
        <f>(Data!H$15-Data!Q508)/'Vehicle Data'!C$6</f>
        <v>0.48181472665148062</v>
      </c>
      <c r="AF508" s="158">
        <f t="shared" si="385"/>
        <v>0.29091391322733312</v>
      </c>
      <c r="AG508" s="148">
        <f t="shared" si="347"/>
        <v>0</v>
      </c>
      <c r="AH508" s="148">
        <f t="shared" si="365"/>
        <v>178.27178277019263</v>
      </c>
      <c r="AI508" s="101"/>
      <c r="AJ508" s="101">
        <f>(Z508^2)*'Vehicle Data'!C$31</f>
        <v>25.317075000000013</v>
      </c>
      <c r="AK508" s="101">
        <f>IF(O508=0.6,'Vehicle Data'!C$6*'Vehicle Data'!D$21*9.81,IF(O508=0.9,'Vehicle Data'!C$6*9.81*'Vehicle Data'!D$20))</f>
        <v>86.131799999999998</v>
      </c>
      <c r="AL508" s="101">
        <f t="shared" si="386"/>
        <v>111.44887500000002</v>
      </c>
      <c r="AM508" s="101"/>
      <c r="AN508" t="b">
        <f>IF(AG508&gt;0,AG508*'Vehicle Data'!C$6)</f>
        <v>0</v>
      </c>
      <c r="AO508" s="101">
        <f t="shared" si="387"/>
        <v>111.44887500000002</v>
      </c>
      <c r="AP508" s="101">
        <f>AO508*'Vehicle Data'!F$3</f>
        <v>28.486332450000003</v>
      </c>
      <c r="AQ508">
        <v>20</v>
      </c>
      <c r="AR508">
        <f>IF(Z508&lt;'Vehicle Data'!C$16, Z508*'Vehicle Data'!F$7*'Vehicle Data'!G$14,IF(Z508&lt;'Vehicle Data'!C$15,Z508*'Vehicle Data'!F$7*'Vehicle Data'!G$15,IF(Z508&gt;'Vehicle Data'!C$15,Z508*'Vehicle Data'!F$7*'Vehicle Data'!G$16)))</f>
        <v>107.59259259259261</v>
      </c>
      <c r="AS508">
        <f t="shared" si="388"/>
        <v>6455.5555555555566</v>
      </c>
      <c r="AT508">
        <f t="shared" si="389"/>
        <v>20</v>
      </c>
      <c r="AU508">
        <f t="shared" si="390"/>
        <v>6500</v>
      </c>
      <c r="AW508">
        <f>VLOOKUP(AT508,BSFC!A$64:A$82,1,FALSE)</f>
        <v>20</v>
      </c>
      <c r="AX508" t="e" cm="1">
        <f t="array" ref="AX508">_xlfn.XLOOKUP(AT508,BSFC!A$64:A$82,,-1,_xlfn.XLOOKUP(Data!AU508,BSFC!C$63:Q$63,BSFC!B$64:Q$82,,-1))</f>
        <v>#VALUE!</v>
      </c>
      <c r="AY508">
        <f>HLOOKUP(AU508,BSFC!F$63:Q$63,1)</f>
        <v>6500</v>
      </c>
      <c r="AZ508">
        <f>IF(AT508&gt;0,MATCH(AT508,BSFC!A$64:A$83,0),IF(AT508&lt;=0,0))</f>
        <v>3</v>
      </c>
      <c r="BA508">
        <f>MATCH(AU508,BSFC!C$63:Q$63,0)</f>
        <v>13</v>
      </c>
      <c r="BB508" cm="1">
        <f t="array" ref="BB508">IF(AZ508&gt;0,INDEX(BSFC!C$64:Q$83,Data!AZ508,Data!BA508))</f>
        <v>494.7</v>
      </c>
      <c r="BC508">
        <f>0.5*'Vehicle Data'!C$6*Data!Z508^2</f>
        <v>15121.355000000003</v>
      </c>
      <c r="BD508">
        <f t="shared" si="349"/>
        <v>13.465906457145509</v>
      </c>
      <c r="BE508">
        <f t="shared" si="391"/>
        <v>6661.5839243498831</v>
      </c>
      <c r="BF508">
        <f t="shared" si="392"/>
        <v>0.53831873547914422</v>
      </c>
      <c r="BG508">
        <f t="shared" si="350"/>
        <v>242.01436288535294</v>
      </c>
      <c r="BH508">
        <f t="shared" si="374"/>
        <v>13465.906457145509</v>
      </c>
      <c r="BI508" s="148">
        <f t="shared" si="351"/>
        <v>6871.6622130335309</v>
      </c>
      <c r="BO508">
        <f t="shared" si="352"/>
        <v>3925.4666385097817</v>
      </c>
      <c r="BP508">
        <f t="shared" si="353"/>
        <v>914214.89209436928</v>
      </c>
      <c r="BQ508">
        <f t="shared" si="354"/>
        <v>1302702.5189801615</v>
      </c>
      <c r="BR508" s="148">
        <f t="shared" si="355"/>
        <v>1227026.6418959312</v>
      </c>
      <c r="BS508" s="156">
        <f t="shared" si="356"/>
        <v>3925.4666385097817</v>
      </c>
      <c r="BT508" s="156">
        <f t="shared" si="357"/>
        <v>13465.906457145509</v>
      </c>
      <c r="BU508">
        <f t="shared" si="358"/>
        <v>2003.1685838763392</v>
      </c>
      <c r="BV508">
        <f t="shared" si="359"/>
        <v>2003.1685838763392</v>
      </c>
      <c r="BW508" s="148">
        <f t="shared" si="360"/>
        <v>455.4</v>
      </c>
      <c r="BX508" s="148">
        <f t="shared" si="361"/>
        <v>3129354.9718154697</v>
      </c>
      <c r="BY508" s="148">
        <f t="shared" si="362"/>
        <v>0.25340082586035684</v>
      </c>
      <c r="BZ508">
        <f t="shared" si="345"/>
        <v>178.27178277019263</v>
      </c>
      <c r="CB508">
        <f t="shared" si="363"/>
        <v>-1922.2980546334425</v>
      </c>
      <c r="CC508" s="162">
        <f t="shared" si="346"/>
        <v>-6607.7900273240339</v>
      </c>
      <c r="CD508">
        <f t="shared" si="371"/>
        <v>-76407.817563257049</v>
      </c>
    </row>
    <row r="509" spans="4:82" ht="16" thickBot="1" x14ac:dyDescent="0.25">
      <c r="D509" s="22">
        <f t="shared" si="378"/>
        <v>0</v>
      </c>
      <c r="E509" s="23">
        <v>11.501701599999999</v>
      </c>
      <c r="F509" s="23">
        <f>IF(K509&lt;6,1,IF(Data!K509&lt;9,2,IF(K509&gt;9,3)))</f>
        <v>3</v>
      </c>
      <c r="G509" s="23">
        <v>1067.7775654062891</v>
      </c>
      <c r="H509" s="23">
        <v>219.96666499999998</v>
      </c>
      <c r="I509" s="64">
        <v>48.569111939240535</v>
      </c>
      <c r="J509" s="65">
        <f t="shared" si="379"/>
        <v>1.9153387929762198</v>
      </c>
      <c r="K509" s="65">
        <f t="shared" si="380"/>
        <v>19.427644775696216</v>
      </c>
      <c r="L509" s="65">
        <f t="shared" si="381"/>
        <v>0.76613551719045947</v>
      </c>
      <c r="M509">
        <f t="shared" si="382"/>
        <v>23.003403199999997</v>
      </c>
      <c r="N509">
        <f t="shared" si="393"/>
        <v>0</v>
      </c>
      <c r="O509">
        <f>IF(L509&lt;'Vehicle Data'!F$21,'Vehicle Data'!C$21,IF(L509&gt;'Vehicle Data'!C$21,'Vehicle Data'!C$20))</f>
        <v>0.6</v>
      </c>
      <c r="P509">
        <f>('Vehicle Data'!C$6*9.81*'Vehicle Data'!C$5*SIN(D509))/'Vehicle Data'!C$9</f>
        <v>0</v>
      </c>
      <c r="Q509" s="107">
        <f>'Vehicle Data'!C$6*9.81*SIN(D509)</f>
        <v>0</v>
      </c>
      <c r="R509" s="101">
        <f t="shared" si="395"/>
        <v>1065.3528199265015</v>
      </c>
      <c r="S509" s="101">
        <f>IF(Data!O509=0.6,'Vehicle Data'!E$21,IF(Data!O509 = 0.9,'Vehicle Data'!E$20))+(P509*O509)</f>
        <v>1550.3723999999997</v>
      </c>
      <c r="T509" s="101">
        <f>IF(F509=3,'Vehicle Data'!H$16,IF(F509=2,'Vehicle Data'!H$15,IF(F509 = 1,'Vehicle Data'!G$14)))</f>
        <v>466.23005239380637</v>
      </c>
      <c r="U509" s="148">
        <f t="shared" si="383"/>
        <v>349.21433780318546</v>
      </c>
      <c r="V509" s="102" t="s">
        <v>77</v>
      </c>
      <c r="W509" s="103" t="s">
        <v>84</v>
      </c>
      <c r="X509" s="101">
        <f>IF(V509="S",'Vehicle Data'!C$14,IF(Data!V509 = "T1",'Vehicle Data'!P$2,IF(Data!V509="T2",'Vehicle Data'!P$3)))</f>
        <v>13.411199999999999</v>
      </c>
      <c r="Y509" s="101"/>
      <c r="Z509" s="106">
        <v>8.3000000000000007</v>
      </c>
      <c r="AA509" s="101"/>
      <c r="AB509" s="101" t="b">
        <f>IF(AA509=1,'Vehicle Data'!I$14,IF(AA509=2,'Vehicle Data'!I$15,IF(AA509=3,'Vehicle Data'!I$16)))</f>
        <v>0</v>
      </c>
      <c r="AC509" s="101">
        <f>IF(Z509&lt;'Vehicle Data'!C$16,'Vehicle Data'!I$15,IF(Z509&lt;'Vehicle Data'!C$15,'Vehicle Data'!I$15,IF(Z508&gt;'Vehicle Data'!C$15,'Vehicle Data'!I$16)))</f>
        <v>0.98256251041858167</v>
      </c>
      <c r="AD509">
        <f>IF(O509=0.6,'Vehicle Data'!F$21,IF(O509=0.9,'Vehicle Data'!F$20))</f>
        <v>3.5315999999999996</v>
      </c>
      <c r="AE509" s="101">
        <f>(Data!H$15-Data!Q509)/'Vehicle Data'!C$6</f>
        <v>0.48181472665148062</v>
      </c>
      <c r="AF509" s="158">
        <f t="shared" si="385"/>
        <v>0.29151150358888639</v>
      </c>
      <c r="AG509" s="148">
        <f t="shared" si="347"/>
        <v>0</v>
      </c>
      <c r="AH509" s="148">
        <f t="shared" si="365"/>
        <v>178.56329427378151</v>
      </c>
      <c r="AI509" s="101"/>
      <c r="AJ509" s="101">
        <f>(Z509^2)*'Vehicle Data'!C$31</f>
        <v>25.317075000000013</v>
      </c>
      <c r="AK509" s="101">
        <f>IF(O509=0.6,'Vehicle Data'!C$6*'Vehicle Data'!D$21*9.81,IF(O509=0.9,'Vehicle Data'!C$6*9.81*'Vehicle Data'!D$20))</f>
        <v>86.131799999999998</v>
      </c>
      <c r="AL509" s="101">
        <f t="shared" si="386"/>
        <v>111.44887500000002</v>
      </c>
      <c r="AM509" s="101"/>
      <c r="AN509" t="b">
        <f>IF(AG509&gt;0,AG509*'Vehicle Data'!C$6)</f>
        <v>0</v>
      </c>
      <c r="AO509" s="101">
        <f t="shared" si="387"/>
        <v>111.44887500000002</v>
      </c>
      <c r="AP509" s="101">
        <f>AO509*'Vehicle Data'!F$3</f>
        <v>28.486332450000003</v>
      </c>
      <c r="AQ509">
        <v>20</v>
      </c>
      <c r="AR509">
        <f>IF(Z509&lt;'Vehicle Data'!C$16, Z509*'Vehicle Data'!F$7*'Vehicle Data'!G$14,IF(Z509&lt;'Vehicle Data'!C$15,Z509*'Vehicle Data'!F$7*'Vehicle Data'!G$15,IF(Z509&gt;'Vehicle Data'!C$15,Z509*'Vehicle Data'!F$7*'Vehicle Data'!G$16)))</f>
        <v>107.59259259259261</v>
      </c>
      <c r="AS509">
        <f t="shared" si="388"/>
        <v>6455.5555555555566</v>
      </c>
      <c r="AT509">
        <f t="shared" si="389"/>
        <v>20</v>
      </c>
      <c r="AU509">
        <f t="shared" si="390"/>
        <v>6500</v>
      </c>
      <c r="AW509">
        <f>VLOOKUP(AT509,BSFC!A$64:A$82,1,FALSE)</f>
        <v>20</v>
      </c>
      <c r="AX509" t="e" cm="1">
        <f t="array" ref="AX509">_xlfn.XLOOKUP(AT509,BSFC!A$64:A$82,,-1,_xlfn.XLOOKUP(Data!AU509,BSFC!C$63:Q$63,BSFC!B$64:Q$82,,-1))</f>
        <v>#VALUE!</v>
      </c>
      <c r="AY509">
        <f>HLOOKUP(AU509,BSFC!F$63:Q$63,1)</f>
        <v>6500</v>
      </c>
      <c r="AZ509">
        <f>IF(AT509&gt;0,MATCH(AT509,BSFC!A$64:A$83,0),IF(AT509&lt;=0,0))</f>
        <v>3</v>
      </c>
      <c r="BA509">
        <f>MATCH(AU509,BSFC!C$63:Q$63,0)</f>
        <v>13</v>
      </c>
      <c r="BB509" cm="1">
        <f t="array" ref="BB509">IF(AZ509&gt;0,INDEX(BSFC!C$64:Q$83,Data!AZ509,Data!BA509))</f>
        <v>494.7</v>
      </c>
      <c r="BC509">
        <f>0.5*'Vehicle Data'!C$6*Data!Z509^2</f>
        <v>15121.355000000003</v>
      </c>
      <c r="BD509">
        <f t="shared" si="349"/>
        <v>3.2250722167563075</v>
      </c>
      <c r="BE509">
        <f t="shared" si="391"/>
        <v>1595.4432256293453</v>
      </c>
      <c r="BF509">
        <f t="shared" si="392"/>
        <v>0.12919168155386482</v>
      </c>
      <c r="BG509">
        <f t="shared" si="350"/>
        <v>242.1435545669068</v>
      </c>
      <c r="BH509">
        <f t="shared" si="374"/>
        <v>13465.906457145509</v>
      </c>
      <c r="BI509" s="148">
        <f t="shared" si="351"/>
        <v>6871.6622130335309</v>
      </c>
      <c r="BO509">
        <f t="shared" si="352"/>
        <v>3868.8400802917517</v>
      </c>
      <c r="BP509">
        <f t="shared" si="353"/>
        <v>918083.73217466101</v>
      </c>
      <c r="BQ509">
        <f t="shared" si="354"/>
        <v>1306571.3590604533</v>
      </c>
      <c r="BR509" s="148">
        <f t="shared" si="355"/>
        <v>1229000.9139044748</v>
      </c>
      <c r="BS509" s="156">
        <f t="shared" si="356"/>
        <v>3868.8400802917517</v>
      </c>
      <c r="BT509" s="156">
        <f t="shared" si="357"/>
        <v>13465.906457145509</v>
      </c>
      <c r="BU509">
        <f t="shared" si="358"/>
        <v>1974.2720085437147</v>
      </c>
      <c r="BV509">
        <f t="shared" si="359"/>
        <v>1974.2720085437147</v>
      </c>
      <c r="BW509" s="148">
        <f t="shared" si="360"/>
        <v>455.4</v>
      </c>
      <c r="BX509" s="148">
        <f t="shared" si="361"/>
        <v>3129354.9718154697</v>
      </c>
      <c r="BY509" s="148">
        <f t="shared" si="362"/>
        <v>0.24974540908077988</v>
      </c>
      <c r="BZ509">
        <f t="shared" si="345"/>
        <v>178.56329427378151</v>
      </c>
      <c r="CB509">
        <f t="shared" si="363"/>
        <v>-1894.568071748037</v>
      </c>
      <c r="CC509" s="162">
        <f t="shared" si="346"/>
        <v>-6499.1194118361864</v>
      </c>
      <c r="CD509">
        <f t="shared" si="371"/>
        <v>-78302.385635005092</v>
      </c>
    </row>
    <row r="510" spans="4:82" x14ac:dyDescent="0.2">
      <c r="D510" s="22">
        <f t="shared" si="378"/>
        <v>-4.107080121875966E-2</v>
      </c>
      <c r="E510" s="23">
        <v>11.501701599999999</v>
      </c>
      <c r="F510" s="23">
        <f>IF(K510&lt;6,1,IF(Data!K510&lt;9,2,IF(K510&gt;9,3)))</f>
        <v>3</v>
      </c>
      <c r="G510" s="23">
        <v>1070.2076035279713</v>
      </c>
      <c r="H510" s="23">
        <v>220.01666499999999</v>
      </c>
      <c r="I510" s="64">
        <v>48.664878878889368</v>
      </c>
      <c r="J510" s="65">
        <f t="shared" si="379"/>
        <v>1.7855161126991197</v>
      </c>
      <c r="K510" s="65">
        <f t="shared" si="380"/>
        <v>19.465951551555747</v>
      </c>
      <c r="L510" s="65">
        <f t="shared" si="381"/>
        <v>0.71420644507964781</v>
      </c>
      <c r="M510">
        <f t="shared" si="382"/>
        <v>23.003403199999997</v>
      </c>
      <c r="N510">
        <f t="shared" si="393"/>
        <v>-9.9998399999998711E-2</v>
      </c>
      <c r="O510">
        <f>IF(L510&lt;'Vehicle Data'!F$21,'Vehicle Data'!C$21,IF(L510&gt;'Vehicle Data'!C$21,'Vehicle Data'!C$20))</f>
        <v>0.6</v>
      </c>
      <c r="P510">
        <f>('Vehicle Data'!C$6*9.81*'Vehicle Data'!C$5*SIN(D510))/'Vehicle Data'!C$9</f>
        <v>-27.344130960567359</v>
      </c>
      <c r="Q510" s="107">
        <f>'Vehicle Data'!C$6*9.81*SIN(D510)</f>
        <v>-176.82538021166891</v>
      </c>
      <c r="R510">
        <f t="shared" si="395"/>
        <v>1067.7775654062891</v>
      </c>
      <c r="S510">
        <f>IF(Data!O510=0.6,'Vehicle Data'!E$21,IF(Data!O510 = 0.9,'Vehicle Data'!E$20))+(P510*O510)</f>
        <v>1533.9659214236594</v>
      </c>
      <c r="T510">
        <f>IF(F510=3,'Vehicle Data'!H$16,IF(F510=2,'Vehicle Data'!H$15,IF(F510 = 1,'Vehicle Data'!G$14)))</f>
        <v>466.23005239380637</v>
      </c>
      <c r="U510" s="148">
        <f t="shared" si="383"/>
        <v>351.63908328297305</v>
      </c>
      <c r="V510" s="70" t="s">
        <v>77</v>
      </c>
      <c r="W510" s="99" t="s">
        <v>84</v>
      </c>
      <c r="X510">
        <f>IF(V510="S",'Vehicle Data'!C$14,IF(Data!V510 = "T1",'Vehicle Data'!P$2,IF(Data!V510="T2",'Vehicle Data'!P$3)))</f>
        <v>13.411199999999999</v>
      </c>
      <c r="Z510">
        <f>SQRT(Z509^2+2*AE509*(U510-U509))</f>
        <v>8.4395827006485664</v>
      </c>
      <c r="AB510" t="b">
        <f>IF(AA510=1,'Vehicle Data'!I$14,IF(AA510=2,'Vehicle Data'!I$15,IF(AA510=3,'Vehicle Data'!I$16)))</f>
        <v>0</v>
      </c>
      <c r="AC510">
        <f>IF(Z510&lt;'Vehicle Data'!C$16,'Vehicle Data'!I$15,IF(Z510&lt;'Vehicle Data'!C$15,'Vehicle Data'!I$15,IF(Z509&gt;'Vehicle Data'!C$15,'Vehicle Data'!I$16)))</f>
        <v>0.98256251041858167</v>
      </c>
      <c r="AD510">
        <f>IF(O510=0.6,'Vehicle Data'!F$21,IF(O510=0.9,'Vehicle Data'!F$20))</f>
        <v>3.5315999999999996</v>
      </c>
      <c r="AE510" s="100">
        <f t="shared" ref="AE510:AE533" si="396">IF(W510="a",AC510,IF(W510="b",AD510*-1))</f>
        <v>0.98256251041858167</v>
      </c>
      <c r="AF510" s="158">
        <f t="shared" si="385"/>
        <v>0.28730632375949722</v>
      </c>
      <c r="AG510" s="148">
        <f t="shared" si="347"/>
        <v>0.48583232983555813</v>
      </c>
      <c r="AH510" s="148">
        <f t="shared" si="365"/>
        <v>178.85060059754102</v>
      </c>
      <c r="AJ510">
        <f>(Z510^2)*'Vehicle Data'!C$31</f>
        <v>26.175759389199314</v>
      </c>
      <c r="AK510">
        <f>IF(O510=0.6,'Vehicle Data'!C$6*'Vehicle Data'!D$21*9.81,IF(O510=0.9,'Vehicle Data'!C$6*9.81*'Vehicle Data'!D$20))</f>
        <v>86.131799999999998</v>
      </c>
      <c r="AL510">
        <f t="shared" si="386"/>
        <v>-64.517820822469602</v>
      </c>
      <c r="AN510">
        <f>IF(AG510&gt;0,AG510*'Vehicle Data'!C$6)</f>
        <v>213.28039279781001</v>
      </c>
      <c r="AO510">
        <f t="shared" si="387"/>
        <v>148.76257197534039</v>
      </c>
      <c r="AP510">
        <f>AO510*'Vehicle Data'!F$3</f>
        <v>38.023713396897001</v>
      </c>
      <c r="AQ510">
        <f>IF(AE510='Vehicle Data'!I$15,AP510/'Vehicle Data'!G$15,IF(AE510='Vehicle Data'!I$16,AP510/'Vehicle Data'!G$16,IF(AE510='Vehicle Data'!I$14,Data!AP510/'Vehicle Data'!G521)))</f>
        <v>4.7107598562553266</v>
      </c>
      <c r="AR510">
        <f>IF(Z510&lt;'Vehicle Data'!C$16, Z510*'Vehicle Data'!F$7*'Vehicle Data'!G$14,IF(Z510&lt;'Vehicle Data'!C$15,Z510*'Vehicle Data'!F$7*'Vehicle Data'!G$15,IF(Z510&gt;'Vehicle Data'!C$15,Z510*'Vehicle Data'!F$7*'Vehicle Data'!G$16)))</f>
        <v>109.40199797137031</v>
      </c>
      <c r="AS510">
        <f t="shared" si="388"/>
        <v>6564.1198782822185</v>
      </c>
      <c r="AT510">
        <f t="shared" si="389"/>
        <v>5</v>
      </c>
      <c r="AU510">
        <f t="shared" si="390"/>
        <v>6500</v>
      </c>
      <c r="AW510">
        <f>VLOOKUP(AT510,BSFC!A$64:A$82,1,FALSE)</f>
        <v>5</v>
      </c>
      <c r="AX510" t="e" cm="1">
        <f t="array" ref="AX510">_xlfn.XLOOKUP(AT510,BSFC!A$64:A$82,,-1,_xlfn.XLOOKUP(Data!AU510,BSFC!C$63:Q$63,BSFC!B$64:Q$82,,-1))</f>
        <v>#VALUE!</v>
      </c>
      <c r="AY510">
        <f>HLOOKUP(AU510,BSFC!F$63:Q$63,1)</f>
        <v>6500</v>
      </c>
      <c r="AZ510">
        <f>IF(AT510&gt;0,MATCH(AT510,BSFC!A$64:A$83,0),IF(AT510&lt;=0,0))</f>
        <v>18</v>
      </c>
      <c r="BA510">
        <f>MATCH(AU510,BSFC!C$63:Q$63,0)</f>
        <v>13</v>
      </c>
      <c r="BB510" cm="1">
        <f t="array" ref="BB510">IF(AZ510&gt;0,INDEX(BSFC!C$64:Q$83,Data!AZ510,Data!BA510))</f>
        <v>600</v>
      </c>
      <c r="BC510">
        <f>0.5*'Vehicle Data'!C$6*Data!Z510^2</f>
        <v>15634.229077358497</v>
      </c>
      <c r="BD510">
        <f t="shared" si="349"/>
        <v>11.746270514507263</v>
      </c>
      <c r="BE510">
        <f t="shared" si="391"/>
        <v>7047.7623087043576</v>
      </c>
      <c r="BF510">
        <f t="shared" si="392"/>
        <v>0.56246296656794326</v>
      </c>
      <c r="BG510">
        <f t="shared" si="350"/>
        <v>242.70601753347475</v>
      </c>
      <c r="BH510">
        <f t="shared" si="374"/>
        <v>3225.0722167563076</v>
      </c>
      <c r="BI510" s="148">
        <f t="shared" si="351"/>
        <v>6871.6622130335309</v>
      </c>
      <c r="BO510">
        <f t="shared" si="352"/>
        <v>898.959961209791</v>
      </c>
      <c r="BP510">
        <f t="shared" si="353"/>
        <v>918982.69213587081</v>
      </c>
      <c r="BQ510">
        <f t="shared" si="354"/>
        <v>1307470.3190216629</v>
      </c>
      <c r="BR510" s="148">
        <f t="shared" si="355"/>
        <v>1230916.3281281875</v>
      </c>
      <c r="BS510" s="156">
        <f t="shared" si="356"/>
        <v>898.959961209791</v>
      </c>
      <c r="BT510" s="156">
        <f t="shared" si="357"/>
        <v>3225.0722167563076</v>
      </c>
      <c r="BU510">
        <f t="shared" si="358"/>
        <v>1915.4142237126161</v>
      </c>
      <c r="BV510">
        <f t="shared" si="359"/>
        <v>1915.4142237126161</v>
      </c>
      <c r="BW510" s="148">
        <f t="shared" si="360"/>
        <v>455.4</v>
      </c>
      <c r="BX510" s="148">
        <f t="shared" si="361"/>
        <v>3129354.9718154697</v>
      </c>
      <c r="BY510" s="148">
        <f t="shared" si="362"/>
        <v>0.2422998992996459</v>
      </c>
      <c r="BZ510">
        <f t="shared" si="345"/>
        <v>178.85060059754102</v>
      </c>
      <c r="CB510">
        <f t="shared" si="363"/>
        <v>1016.4542625028251</v>
      </c>
      <c r="CC510" s="162">
        <f t="shared" si="346"/>
        <v>3537.8764003595425</v>
      </c>
      <c r="CD510">
        <f t="shared" si="371"/>
        <v>-77285.931372502266</v>
      </c>
    </row>
    <row r="511" spans="4:82" x14ac:dyDescent="0.2">
      <c r="D511" s="22">
        <f t="shared" si="378"/>
        <v>-6.4746343068807508E-3</v>
      </c>
      <c r="E511" s="23">
        <v>11.4017032</v>
      </c>
      <c r="F511" s="23">
        <f>IF(K511&lt;6,1,IF(Data!K511&lt;9,2,IF(K511&gt;9,3)))</f>
        <v>3</v>
      </c>
      <c r="G511" s="23">
        <v>1072.6430690077598</v>
      </c>
      <c r="H511" s="23">
        <v>220.066665</v>
      </c>
      <c r="I511" s="64">
        <v>48.754154684524345</v>
      </c>
      <c r="J511" s="65">
        <f t="shared" si="379"/>
        <v>1.737401231523019</v>
      </c>
      <c r="K511" s="65">
        <f t="shared" si="380"/>
        <v>19.501661873809738</v>
      </c>
      <c r="L511" s="65">
        <f t="shared" si="381"/>
        <v>0.69496049260922177</v>
      </c>
      <c r="M511">
        <f t="shared" si="382"/>
        <v>22.8034064</v>
      </c>
      <c r="N511">
        <f t="shared" si="393"/>
        <v>-1.5802115475887391E-2</v>
      </c>
      <c r="O511">
        <f>IF(L511&lt;'Vehicle Data'!F$21,'Vehicle Data'!C$21,IF(L511&gt;'Vehicle Data'!C$21,'Vehicle Data'!C$20))</f>
        <v>0.6</v>
      </c>
      <c r="P511">
        <f>('Vehicle Data'!C$6*9.81*'Vehicle Data'!C$5*SIN(D511))/'Vehicle Data'!C$9</f>
        <v>-4.3118660632822206</v>
      </c>
      <c r="Q511" s="107">
        <f>'Vehicle Data'!C$6*9.81*SIN(D511)</f>
        <v>-27.883400542558359</v>
      </c>
      <c r="R511">
        <f t="shared" si="395"/>
        <v>1070.2076035279713</v>
      </c>
      <c r="S511">
        <f>IF(Data!O511=0.6,'Vehicle Data'!E$21,IF(Data!O511 = 0.9,'Vehicle Data'!E$20))+(P511*O511)</f>
        <v>1547.7852803620303</v>
      </c>
      <c r="T511">
        <f>IF(F511=3,'Vehicle Data'!H$16,IF(F511=2,'Vehicle Data'!H$15,IF(F511 = 1,'Vehicle Data'!G$14)))</f>
        <v>466.23005239380637</v>
      </c>
      <c r="U511" s="148">
        <f t="shared" si="383"/>
        <v>354.06912140465522</v>
      </c>
      <c r="V511" s="70" t="s">
        <v>77</v>
      </c>
      <c r="W511" s="99" t="s">
        <v>84</v>
      </c>
      <c r="X511">
        <f>IF(V511="S",'Vehicle Data'!C$14,IF(Data!V511 = "T1",'Vehicle Data'!P$2,IF(Data!V511="T2",'Vehicle Data'!P$3)))</f>
        <v>13.411199999999999</v>
      </c>
      <c r="Z511">
        <f t="shared" ref="Z511:Z528" si="397">SQRT(Z510^2+2*AE510*(U511-U510))</f>
        <v>8.7179059914403947</v>
      </c>
      <c r="AB511" t="b">
        <f>IF(AA511=1,'Vehicle Data'!I$14,IF(AA511=2,'Vehicle Data'!I$15,IF(AA511=3,'Vehicle Data'!I$16)))</f>
        <v>0</v>
      </c>
      <c r="AC511">
        <f>IF(Z511&lt;'Vehicle Data'!C$16,'Vehicle Data'!I$15,IF(Z511&lt;'Vehicle Data'!C$15,'Vehicle Data'!I$15,IF(Z510&gt;'Vehicle Data'!C$15,'Vehicle Data'!I$16)))</f>
        <v>0.98256251041858167</v>
      </c>
      <c r="AD511">
        <f>IF(O511=0.6,'Vehicle Data'!F$21,IF(O511=0.9,'Vehicle Data'!F$20))</f>
        <v>3.5315999999999996</v>
      </c>
      <c r="AE511" s="100">
        <f t="shared" si="396"/>
        <v>0.98256251041858167</v>
      </c>
      <c r="AF511" s="158">
        <f t="shared" si="385"/>
        <v>0.27874103300357755</v>
      </c>
      <c r="AG511" s="148">
        <f t="shared" si="347"/>
        <v>0.99850132502112121</v>
      </c>
      <c r="AH511" s="148">
        <f t="shared" si="365"/>
        <v>179.12934163054459</v>
      </c>
      <c r="AJ511">
        <f>(Z511^2)*'Vehicle Data'!C$31</f>
        <v>27.930692691780187</v>
      </c>
      <c r="AK511">
        <f>IF(O511=0.6,'Vehicle Data'!C$6*'Vehicle Data'!D$21*9.81,IF(O511=0.9,'Vehicle Data'!C$6*9.81*'Vehicle Data'!D$20))</f>
        <v>86.131799999999998</v>
      </c>
      <c r="AL511">
        <f t="shared" si="386"/>
        <v>86.17909214922183</v>
      </c>
      <c r="AN511">
        <f>IF(AG511&gt;0,AG511*'Vehicle Data'!C$6)</f>
        <v>438.34208168427222</v>
      </c>
      <c r="AO511">
        <f t="shared" si="387"/>
        <v>524.521173833494</v>
      </c>
      <c r="AP511">
        <f>AO511*'Vehicle Data'!F$3</f>
        <v>134.06761203184107</v>
      </c>
      <c r="AQ511">
        <f>IF(AE511='Vehicle Data'!I$15,AP511/'Vehicle Data'!G$15,IF(AE511='Vehicle Data'!I$16,AP511/'Vehicle Data'!G$16,IF(AE511='Vehicle Data'!I$14,Data!AP511/'Vehicle Data'!G522)))</f>
        <v>16.609643518803459</v>
      </c>
      <c r="AR511">
        <f>IF(Z511&lt;'Vehicle Data'!C$16, Z511*'Vehicle Data'!F$7*'Vehicle Data'!G$14,IF(Z511&lt;'Vehicle Data'!C$15,Z511*'Vehicle Data'!F$7*'Vehicle Data'!G$15,IF(Z511&gt;'Vehicle Data'!C$15,Z511*'Vehicle Data'!F$7*'Vehicle Data'!G$16)))</f>
        <v>113.00989248163475</v>
      </c>
      <c r="AS511">
        <f t="shared" si="388"/>
        <v>6780.5935488980849</v>
      </c>
      <c r="AT511">
        <f t="shared" si="389"/>
        <v>17</v>
      </c>
      <c r="AU511">
        <f t="shared" si="390"/>
        <v>7000</v>
      </c>
      <c r="AW511">
        <f>VLOOKUP(AT511,BSFC!A$64:A$82,1,FALSE)</f>
        <v>17</v>
      </c>
      <c r="AX511" t="e" cm="1">
        <f t="array" ref="AX511">_xlfn.XLOOKUP(AT511,BSFC!A$64:A$82,,-1,_xlfn.XLOOKUP(Data!AU511,BSFC!C$63:Q$63,BSFC!B$64:Q$82,,-1))</f>
        <v>#VALUE!</v>
      </c>
      <c r="AY511">
        <f>HLOOKUP(AU511,BSFC!F$63:Q$63,1)</f>
        <v>7000</v>
      </c>
      <c r="AZ511">
        <f>IF(AT511&gt;0,MATCH(AT511,BSFC!A$64:A$83,0),IF(AT511&lt;=0,0))</f>
        <v>6</v>
      </c>
      <c r="BA511">
        <f>MATCH(AU511,BSFC!C$63:Q$63,0)</f>
        <v>14</v>
      </c>
      <c r="BB511" cm="1">
        <f t="array" ref="BB511">IF(AZ511&gt;0,INDEX(BSFC!C$64:Q$83,Data!AZ511,Data!BA511))</f>
        <v>500</v>
      </c>
      <c r="BC511">
        <f>0.5*'Vehicle Data'!C$6*Data!Z511^2</f>
        <v>16682.413730192515</v>
      </c>
      <c r="BD511">
        <f t="shared" si="349"/>
        <v>8.7192170294856286</v>
      </c>
      <c r="BE511">
        <f t="shared" si="391"/>
        <v>4359.6085147428139</v>
      </c>
      <c r="BF511">
        <f t="shared" si="392"/>
        <v>0.3375560502473901</v>
      </c>
      <c r="BG511">
        <f t="shared" si="350"/>
        <v>243.04357358372215</v>
      </c>
      <c r="BH511">
        <f t="shared" si="374"/>
        <v>11746.270514507263</v>
      </c>
      <c r="BI511" s="148">
        <f t="shared" si="351"/>
        <v>6871.6622130335309</v>
      </c>
      <c r="BO511">
        <f t="shared" si="352"/>
        <v>3182.7965114733715</v>
      </c>
      <c r="BP511">
        <f t="shared" si="353"/>
        <v>922165.48864734417</v>
      </c>
      <c r="BQ511">
        <f t="shared" si="354"/>
        <v>1310653.1155331363</v>
      </c>
      <c r="BR511" s="148">
        <f t="shared" si="355"/>
        <v>1232778.2895475719</v>
      </c>
      <c r="BS511" s="156">
        <f t="shared" si="356"/>
        <v>3182.7965114733715</v>
      </c>
      <c r="BT511" s="156">
        <f t="shared" si="357"/>
        <v>11746.270514507263</v>
      </c>
      <c r="BU511">
        <f t="shared" si="358"/>
        <v>1861.9614193845225</v>
      </c>
      <c r="BV511">
        <f t="shared" si="359"/>
        <v>1861.9614193845225</v>
      </c>
      <c r="BW511" s="148">
        <f t="shared" si="360"/>
        <v>455.4</v>
      </c>
      <c r="BX511" s="148">
        <f t="shared" si="361"/>
        <v>3129354.9718154697</v>
      </c>
      <c r="BY511" s="148">
        <f t="shared" si="362"/>
        <v>0.23553811955214207</v>
      </c>
      <c r="BZ511">
        <f t="shared" si="345"/>
        <v>179.12934163054459</v>
      </c>
      <c r="CB511">
        <f t="shared" si="363"/>
        <v>-1320.835092088849</v>
      </c>
      <c r="CC511" s="162">
        <f t="shared" si="346"/>
        <v>-4738.5742883141766</v>
      </c>
      <c r="CD511">
        <f t="shared" si="371"/>
        <v>-78606.766464591114</v>
      </c>
    </row>
    <row r="512" spans="4:82" x14ac:dyDescent="0.2">
      <c r="D512" s="22">
        <f t="shared" si="378"/>
        <v>-4.0904504877040788E-2</v>
      </c>
      <c r="E512" s="23">
        <v>11.385901084524113</v>
      </c>
      <c r="F512" s="23">
        <f>IF(K512&lt;6,1,IF(Data!K512&lt;9,2,IF(K512&gt;9,3)))</f>
        <v>3</v>
      </c>
      <c r="G512" s="23">
        <v>1075.0837050551254</v>
      </c>
      <c r="H512" s="23">
        <v>220.11666499999998</v>
      </c>
      <c r="I512" s="64">
        <v>48.841024746100466</v>
      </c>
      <c r="J512" s="65">
        <f t="shared" si="379"/>
        <v>1.6514353025723036</v>
      </c>
      <c r="K512" s="65">
        <f t="shared" si="380"/>
        <v>19.536409898440187</v>
      </c>
      <c r="L512" s="65">
        <f t="shared" si="381"/>
        <v>0.66057412102892143</v>
      </c>
      <c r="M512">
        <f t="shared" si="382"/>
        <v>22.771802169048225</v>
      </c>
      <c r="N512">
        <f t="shared" si="393"/>
        <v>-9.9998526418946909E-2</v>
      </c>
      <c r="O512">
        <f>IF(L512&lt;'Vehicle Data'!F$21,'Vehicle Data'!C$21,IF(L512&gt;'Vehicle Data'!C$21,'Vehicle Data'!C$20))</f>
        <v>0.6</v>
      </c>
      <c r="P512">
        <f>('Vehicle Data'!C$6*9.81*'Vehicle Data'!C$5*SIN(D512))/'Vehicle Data'!C$9</f>
        <v>-27.233476012040324</v>
      </c>
      <c r="Q512" s="107">
        <f>'Vehicle Data'!C$6*9.81*SIN(D512)</f>
        <v>-176.10981154452742</v>
      </c>
      <c r="R512">
        <f t="shared" si="395"/>
        <v>1072.6430690077598</v>
      </c>
      <c r="S512">
        <f>IF(Data!O512=0.6,'Vehicle Data'!E$21,IF(Data!O512 = 0.9,'Vehicle Data'!E$20))+(P512*O512)</f>
        <v>1534.0323143927756</v>
      </c>
      <c r="T512">
        <f>IF(F512=3,'Vehicle Data'!H$16,IF(F512=2,'Vehicle Data'!H$15,IF(F512 = 1,'Vehicle Data'!G$14)))</f>
        <v>466.23005239380637</v>
      </c>
      <c r="U512" s="148">
        <f t="shared" si="383"/>
        <v>356.50458688444371</v>
      </c>
      <c r="V512" s="70" t="s">
        <v>77</v>
      </c>
      <c r="W512" s="99" t="s">
        <v>84</v>
      </c>
      <c r="X512">
        <f>IF(V512="S",'Vehicle Data'!C$14,IF(Data!V512 = "T1",'Vehicle Data'!P$2,IF(Data!V512="T2",'Vehicle Data'!P$3)))</f>
        <v>13.411199999999999</v>
      </c>
      <c r="Z512">
        <f t="shared" si="397"/>
        <v>8.9882077761537023</v>
      </c>
      <c r="AB512" t="b">
        <f>IF(AA512=1,'Vehicle Data'!I$14,IF(AA512=2,'Vehicle Data'!I$15,IF(AA512=3,'Vehicle Data'!I$16)))</f>
        <v>0</v>
      </c>
      <c r="AC512">
        <f>IF(Z512&lt;'Vehicle Data'!C$16,'Vehicle Data'!I$15,IF(Z512&lt;'Vehicle Data'!C$15,'Vehicle Data'!I$15,IF(Z511&gt;'Vehicle Data'!C$15,'Vehicle Data'!I$16)))</f>
        <v>0.98256251041858167</v>
      </c>
      <c r="AD512">
        <f>IF(O512=0.6,'Vehicle Data'!F$21,IF(O512=0.9,'Vehicle Data'!F$20))</f>
        <v>3.5315999999999996</v>
      </c>
      <c r="AE512" s="100">
        <f t="shared" si="396"/>
        <v>0.98256251041858167</v>
      </c>
      <c r="AF512" s="158">
        <f t="shared" si="385"/>
        <v>0.27096230310228681</v>
      </c>
      <c r="AG512" s="148">
        <f t="shared" si="347"/>
        <v>0.99756232368334319</v>
      </c>
      <c r="AH512" s="148">
        <f t="shared" si="365"/>
        <v>179.40030393364688</v>
      </c>
      <c r="AJ512">
        <f>(Z512^2)*'Vehicle Data'!C$31</f>
        <v>29.68954554253639</v>
      </c>
      <c r="AK512">
        <f>IF(O512=0.6,'Vehicle Data'!C$6*'Vehicle Data'!D$21*9.81,IF(O512=0.9,'Vehicle Data'!C$6*9.81*'Vehicle Data'!D$20))</f>
        <v>86.131799999999998</v>
      </c>
      <c r="AL512">
        <f t="shared" si="386"/>
        <v>-60.288466001991026</v>
      </c>
      <c r="AN512">
        <f>IF(AG512&gt;0,AG512*'Vehicle Data'!C$6)</f>
        <v>437.92986009698768</v>
      </c>
      <c r="AO512">
        <f t="shared" si="387"/>
        <v>377.64139409499666</v>
      </c>
      <c r="AP512">
        <f>AO512*'Vehicle Data'!F$3</f>
        <v>96.52514033068114</v>
      </c>
      <c r="AQ512">
        <f>IF(AE512='Vehicle Data'!I$15,AP512/'Vehicle Data'!G$15,IF(AE512='Vehicle Data'!I$16,AP512/'Vehicle Data'!G$16,IF(AE512='Vehicle Data'!I$14,Data!AP512/'Vehicle Data'!G523)))</f>
        <v>11.958504721590185</v>
      </c>
      <c r="AR512">
        <f>IF(Z512&lt;'Vehicle Data'!C$16, Z512*'Vehicle Data'!F$7*'Vehicle Data'!G$14,IF(Z512&lt;'Vehicle Data'!C$15,Z512*'Vehicle Data'!F$7*'Vehicle Data'!G$15,IF(Z512&gt;'Vehicle Data'!C$15,Z512*'Vehicle Data'!F$7*'Vehicle Data'!G$16)))</f>
        <v>116.51380450569616</v>
      </c>
      <c r="AS512">
        <f t="shared" si="388"/>
        <v>6990.8282703417699</v>
      </c>
      <c r="AT512">
        <f t="shared" si="389"/>
        <v>12</v>
      </c>
      <c r="AU512">
        <f t="shared" si="390"/>
        <v>7000</v>
      </c>
      <c r="AW512">
        <f>VLOOKUP(AT512,BSFC!A$64:A$82,1,FALSE)</f>
        <v>12</v>
      </c>
      <c r="AX512" t="e" cm="1">
        <f t="array" ref="AX512">_xlfn.XLOOKUP(AT512,BSFC!A$64:A$82,,-1,_xlfn.XLOOKUP(Data!AU512,BSFC!C$63:Q$63,BSFC!B$64:Q$82,,-1))</f>
        <v>#VALUE!</v>
      </c>
      <c r="AY512">
        <f>HLOOKUP(AU512,BSFC!F$63:Q$63,1)</f>
        <v>7000</v>
      </c>
      <c r="AZ512">
        <f>IF(AT512&gt;0,MATCH(AT512,BSFC!A$64:A$83,0),IF(AT512&lt;=0,0))</f>
        <v>11</v>
      </c>
      <c r="BA512">
        <f>MATCH(AU512,BSFC!C$63:Q$63,0)</f>
        <v>14</v>
      </c>
      <c r="BB512" cm="1">
        <f t="array" ref="BB512">IF(AZ512&gt;0,INDEX(BSFC!C$64:Q$83,Data!AZ512,Data!BA512))</f>
        <v>474.5</v>
      </c>
      <c r="BC512">
        <f>0.5*'Vehicle Data'!C$6*Data!Z512^2</f>
        <v>17732.939446494518</v>
      </c>
      <c r="BD512">
        <f t="shared" si="349"/>
        <v>0</v>
      </c>
      <c r="BE512">
        <f t="shared" si="391"/>
        <v>0</v>
      </c>
      <c r="BF512">
        <f t="shared" si="392"/>
        <v>0</v>
      </c>
      <c r="BG512">
        <f t="shared" si="350"/>
        <v>243.04357358372215</v>
      </c>
      <c r="BH512">
        <f t="shared" si="374"/>
        <v>8719.2170294856278</v>
      </c>
      <c r="BI512" s="148">
        <f t="shared" si="351"/>
        <v>6871.6622130335309</v>
      </c>
      <c r="BO512">
        <f t="shared" si="352"/>
        <v>2300.2981631894686</v>
      </c>
      <c r="BP512">
        <f t="shared" si="353"/>
        <v>924465.78681053361</v>
      </c>
      <c r="BQ512">
        <f t="shared" si="354"/>
        <v>1312953.4136963258</v>
      </c>
      <c r="BR512" s="148">
        <f t="shared" si="355"/>
        <v>1234591.1670012751</v>
      </c>
      <c r="BS512" s="156">
        <f t="shared" si="356"/>
        <v>2300.2981631894686</v>
      </c>
      <c r="BT512" s="156">
        <f t="shared" si="357"/>
        <v>8719.2170294856278</v>
      </c>
      <c r="BU512">
        <f t="shared" si="358"/>
        <v>1812.8774537032027</v>
      </c>
      <c r="BV512">
        <f t="shared" si="359"/>
        <v>1812.8774537032027</v>
      </c>
      <c r="BW512" s="148">
        <f t="shared" si="360"/>
        <v>455.4</v>
      </c>
      <c r="BX512" s="148">
        <f t="shared" si="361"/>
        <v>3129354.9718154697</v>
      </c>
      <c r="BY512" s="148">
        <f t="shared" si="362"/>
        <v>0.22932899789345512</v>
      </c>
      <c r="BZ512">
        <f t="shared" si="345"/>
        <v>179.40030393364688</v>
      </c>
      <c r="CB512">
        <f t="shared" si="363"/>
        <v>-487.42070948626588</v>
      </c>
      <c r="CC512" s="162">
        <f t="shared" si="346"/>
        <v>-1798.8506294259453</v>
      </c>
      <c r="CD512">
        <f t="shared" si="371"/>
        <v>-79094.187174077379</v>
      </c>
    </row>
    <row r="513" spans="4:82" x14ac:dyDescent="0.2">
      <c r="D513" s="22">
        <f t="shared" si="378"/>
        <v>-7.5293619300337275E-2</v>
      </c>
      <c r="E513" s="23">
        <v>11.285902558105166</v>
      </c>
      <c r="F513" s="23">
        <f>IF(K513&lt;6,1,IF(Data!K513&lt;9,2,IF(K513&gt;9,3)))</f>
        <v>3</v>
      </c>
      <c r="G513" s="23">
        <v>1077.5290693997558</v>
      </c>
      <c r="H513" s="23">
        <v>220.16666499999999</v>
      </c>
      <c r="I513" s="64">
        <v>48.9235965112291</v>
      </c>
      <c r="J513" s="65">
        <f t="shared" si="379"/>
        <v>0.98040533768828952</v>
      </c>
      <c r="K513" s="65">
        <f t="shared" si="380"/>
        <v>19.569438604491641</v>
      </c>
      <c r="L513" s="65">
        <f t="shared" si="381"/>
        <v>0.39216213507528735</v>
      </c>
      <c r="M513">
        <f t="shared" si="382"/>
        <v>22.571805116210331</v>
      </c>
      <c r="N513">
        <f t="shared" si="393"/>
        <v>-0.18419535810516585</v>
      </c>
      <c r="O513">
        <f>IF(L513&lt;'Vehicle Data'!F$21,'Vehicle Data'!C$21,IF(L513&gt;'Vehicle Data'!C$21,'Vehicle Data'!C$20))</f>
        <v>0.6</v>
      </c>
      <c r="P513">
        <f>('Vehicle Data'!C$6*9.81*'Vehicle Data'!C$5*SIN(D513))/'Vehicle Data'!C$9</f>
        <v>-50.095740823382329</v>
      </c>
      <c r="Q513" s="107">
        <f>'Vehicle Data'!C$6*9.81*SIN(D513)</f>
        <v>-323.95245732453901</v>
      </c>
      <c r="R513">
        <f t="shared" si="395"/>
        <v>1075.0837050551254</v>
      </c>
      <c r="S513">
        <f>IF(Data!O513=0.6,'Vehicle Data'!E$21,IF(Data!O513 = 0.9,'Vehicle Data'!E$20))+(P513*O513)</f>
        <v>1520.3149555059704</v>
      </c>
      <c r="T513">
        <f>IF(F513=3,'Vehicle Data'!H$16,IF(F513=2,'Vehicle Data'!H$15,IF(F513 = 1,'Vehicle Data'!G$14)))</f>
        <v>466.23005239380637</v>
      </c>
      <c r="U513" s="148">
        <f t="shared" si="383"/>
        <v>358.94522293180933</v>
      </c>
      <c r="V513" s="70" t="s">
        <v>77</v>
      </c>
      <c r="W513" s="99" t="s">
        <v>84</v>
      </c>
      <c r="X513">
        <f>IF(V513="S",'Vehicle Data'!C$14,IF(Data!V513 = "T1",'Vehicle Data'!P$2,IF(Data!V513="T2",'Vehicle Data'!P$3)))</f>
        <v>13.411199999999999</v>
      </c>
      <c r="Z513">
        <f t="shared" si="397"/>
        <v>9.2511639262713956</v>
      </c>
      <c r="AB513" t="b">
        <f>IF(AA513=1,'Vehicle Data'!I$14,IF(AA513=2,'Vehicle Data'!I$15,IF(AA513=3,'Vehicle Data'!I$16)))</f>
        <v>0</v>
      </c>
      <c r="AC513" t="b">
        <f>IF(Z513&lt;'Vehicle Data'!C$16,'Vehicle Data'!I$15,IF(Z513&lt;'Vehicle Data'!C$15,'Vehicle Data'!I$15,IF(Z512&gt;'Vehicle Data'!C$15,'Vehicle Data'!I$16)))</f>
        <v>0</v>
      </c>
      <c r="AD513">
        <f>IF(O513=0.6,'Vehicle Data'!F$21,IF(O513=0.9,'Vehicle Data'!F$20))</f>
        <v>3.5315999999999996</v>
      </c>
      <c r="AE513" s="100" t="b">
        <f t="shared" si="396"/>
        <v>0</v>
      </c>
      <c r="AF513" s="158">
        <f t="shared" si="385"/>
        <v>0.26381934930746526</v>
      </c>
      <c r="AG513" s="148">
        <f t="shared" si="347"/>
        <v>0.99672806717157847</v>
      </c>
      <c r="AH513" s="148">
        <f t="shared" si="365"/>
        <v>179.66412328295434</v>
      </c>
      <c r="AJ513">
        <f>(Z513^2)*'Vehicle Data'!C$31</f>
        <v>31.452132491598864</v>
      </c>
      <c r="AK513">
        <f>IF(O513=0.6,'Vehicle Data'!C$6*'Vehicle Data'!D$21*9.81,IF(O513=0.9,'Vehicle Data'!C$6*9.81*'Vehicle Data'!D$20))</f>
        <v>86.131799999999998</v>
      </c>
      <c r="AL513">
        <f t="shared" si="386"/>
        <v>-206.36852483294015</v>
      </c>
      <c r="AN513">
        <f>IF(AG513&gt;0,AG513*'Vehicle Data'!C$6)</f>
        <v>437.56362148832295</v>
      </c>
      <c r="AO513">
        <f t="shared" si="387"/>
        <v>231.1950966553828</v>
      </c>
      <c r="AP513">
        <f>AO513*'Vehicle Data'!F$3</f>
        <v>59.093466705115844</v>
      </c>
      <c r="AQ513" t="b">
        <f>IF(AE513='Vehicle Data'!I$15,AP513/'Vehicle Data'!G$15,IF(AE513='Vehicle Data'!I$16,AP513/'Vehicle Data'!G$16,IF(AE513='Vehicle Data'!I$14,Data!AP513/'Vehicle Data'!G524)))</f>
        <v>0</v>
      </c>
      <c r="AR513">
        <f>IF(Z513&lt;'Vehicle Data'!C$16, Z513*'Vehicle Data'!F$7*'Vehicle Data'!G$14,IF(Z513&lt;'Vehicle Data'!C$15,Z513*'Vehicle Data'!F$7*'Vehicle Data'!G$15,IF(Z513&gt;'Vehicle Data'!C$15,Z513*'Vehicle Data'!F$7*'Vehicle Data'!G$16)))</f>
        <v>80.477694618303829</v>
      </c>
      <c r="AS513">
        <f t="shared" si="388"/>
        <v>4828.66167709823</v>
      </c>
      <c r="AT513">
        <f t="shared" si="389"/>
        <v>0</v>
      </c>
      <c r="AU513">
        <f t="shared" si="390"/>
        <v>5000</v>
      </c>
      <c r="AW513" t="e">
        <f>VLOOKUP(AT513,BSFC!A$64:A$82,1,FALSE)</f>
        <v>#N/A</v>
      </c>
      <c r="AX513" t="e" cm="1">
        <f t="array" ref="AX513">_xlfn.XLOOKUP(AT513,BSFC!A$64:A$82,,-1,_xlfn.XLOOKUP(Data!AU513,BSFC!C$63:Q$63,BSFC!B$64:Q$82,,-1))</f>
        <v>#VALUE!</v>
      </c>
      <c r="AY513">
        <f>HLOOKUP(AU513,BSFC!F$63:Q$63,1)</f>
        <v>5000</v>
      </c>
      <c r="AZ513">
        <f>IF(AT513&gt;0,MATCH(AT513,BSFC!A$64:A$83,0),IF(AT513&lt;=0,0))</f>
        <v>0</v>
      </c>
      <c r="BA513">
        <f>MATCH(AU513,BSFC!C$63:Q$63,0)</f>
        <v>10</v>
      </c>
      <c r="BB513" t="b" cm="1">
        <f t="array" ref="BB513">IF(AZ513&gt;0,INDEX(BSFC!C$64:Q$83,Data!AZ513,Data!BA513))</f>
        <v>0</v>
      </c>
      <c r="BC513">
        <f>0.5*'Vehicle Data'!C$6*Data!Z513^2</f>
        <v>18785.695460968567</v>
      </c>
      <c r="BD513">
        <f t="shared" si="349"/>
        <v>2.0516947603002373</v>
      </c>
      <c r="BE513">
        <f t="shared" si="391"/>
        <v>0</v>
      </c>
      <c r="BF513">
        <f t="shared" si="392"/>
        <v>0</v>
      </c>
      <c r="BG513">
        <f t="shared" si="350"/>
        <v>243.04357358372215</v>
      </c>
      <c r="BH513">
        <f t="shared" si="374"/>
        <v>0</v>
      </c>
      <c r="BI513" s="148">
        <f t="shared" si="351"/>
        <v>6871.6622130335309</v>
      </c>
      <c r="BO513">
        <f t="shared" si="352"/>
        <v>0</v>
      </c>
      <c r="BP513">
        <f t="shared" si="353"/>
        <v>924465.78681053361</v>
      </c>
      <c r="BQ513">
        <f t="shared" si="354"/>
        <v>1312953.4136963258</v>
      </c>
      <c r="BR513" s="148">
        <f t="shared" si="355"/>
        <v>1236407.5565818746</v>
      </c>
      <c r="BS513" s="156" t="b">
        <f t="shared" si="356"/>
        <v>0</v>
      </c>
      <c r="BT513" s="156">
        <f t="shared" si="357"/>
        <v>0</v>
      </c>
      <c r="BU513">
        <f t="shared" si="358"/>
        <v>1816.3895805994066</v>
      </c>
      <c r="BV513">
        <f t="shared" si="359"/>
        <v>1816.3895805994066</v>
      </c>
      <c r="BW513" s="148">
        <f t="shared" si="360"/>
        <v>455.4</v>
      </c>
      <c r="BX513" s="148">
        <f t="shared" si="361"/>
        <v>3129354.9718154697</v>
      </c>
      <c r="BY513" s="148">
        <f t="shared" si="362"/>
        <v>0.22977328194582489</v>
      </c>
      <c r="BZ513">
        <f t="shared" si="345"/>
        <v>179.66412328295434</v>
      </c>
      <c r="CB513">
        <f t="shared" si="363"/>
        <v>1816.3895805994066</v>
      </c>
      <c r="CC513" s="162">
        <f t="shared" si="346"/>
        <v>6884.9748336032562</v>
      </c>
      <c r="CD513">
        <f t="shared" si="371"/>
        <v>-77277.797593477968</v>
      </c>
    </row>
    <row r="514" spans="4:82" x14ac:dyDescent="0.2">
      <c r="D514" s="22">
        <f t="shared" si="378"/>
        <v>-4.7368368520190052E-2</v>
      </c>
      <c r="E514" s="23">
        <v>11.1017072</v>
      </c>
      <c r="F514" s="23">
        <f>IF(K514&lt;6,1,IF(Data!K514&lt;9,2,IF(K514&gt;9,3)))</f>
        <v>3</v>
      </c>
      <c r="G514" s="23">
        <v>1079.9777431768077</v>
      </c>
      <c r="H514" s="23">
        <v>220.21666499999998</v>
      </c>
      <c r="I514" s="64">
        <v>48.972616778113498</v>
      </c>
      <c r="J514" s="65">
        <f t="shared" si="379"/>
        <v>-4.4257151947752389</v>
      </c>
      <c r="K514" s="65">
        <f t="shared" si="380"/>
        <v>19.589046711245398</v>
      </c>
      <c r="L514" s="65">
        <f t="shared" si="381"/>
        <v>-1.7702860779101097</v>
      </c>
      <c r="M514">
        <f t="shared" si="382"/>
        <v>22.2034144</v>
      </c>
      <c r="N514">
        <f t="shared" si="393"/>
        <v>-0.11580771547588675</v>
      </c>
      <c r="O514">
        <f>IF(L514&lt;'Vehicle Data'!F$21,'Vehicle Data'!C$21,IF(L514&gt;'Vehicle Data'!C$21,'Vehicle Data'!C$20))</f>
        <v>0.6</v>
      </c>
      <c r="P514">
        <f>('Vehicle Data'!C$6*9.81*'Vehicle Data'!C$5*SIN(D514))/'Vehicle Data'!C$9</f>
        <v>-31.533999628852754</v>
      </c>
      <c r="Q514" s="107">
        <f>'Vehicle Data'!C$6*9.81*SIN(D514)</f>
        <v>-203.91986426658113</v>
      </c>
      <c r="R514">
        <f t="shared" si="395"/>
        <v>1077.5290693997558</v>
      </c>
      <c r="S514">
        <f>IF(Data!O514=0.6,'Vehicle Data'!E$21,IF(Data!O514 = 0.9,'Vehicle Data'!E$20))+(P514*O514)</f>
        <v>1531.4520002226882</v>
      </c>
      <c r="T514">
        <f>IF(F514=3,'Vehicle Data'!H$16,IF(F514=2,'Vehicle Data'!H$15,IF(F514 = 1,'Vehicle Data'!G$14)))</f>
        <v>466.23005239380637</v>
      </c>
      <c r="U514" s="148">
        <f t="shared" si="383"/>
        <v>361.39058727643976</v>
      </c>
      <c r="V514" s="70" t="s">
        <v>77</v>
      </c>
      <c r="W514" s="99" t="s">
        <v>84</v>
      </c>
      <c r="X514">
        <f>IF(V514="S",'Vehicle Data'!C$14,IF(Data!V514 = "T1",'Vehicle Data'!P$2,IF(Data!V514="T2",'Vehicle Data'!P$3)))</f>
        <v>13.411199999999999</v>
      </c>
      <c r="Z514">
        <f t="shared" si="397"/>
        <v>9.2511639262713956</v>
      </c>
      <c r="AB514" t="b">
        <f>IF(AA514=1,'Vehicle Data'!I$14,IF(AA514=2,'Vehicle Data'!I$15,IF(AA514=3,'Vehicle Data'!I$16)))</f>
        <v>0</v>
      </c>
      <c r="AC514">
        <f>IF(Z514&lt;'Vehicle Data'!C$16,'Vehicle Data'!I$15,IF(Z514&lt;'Vehicle Data'!C$15,'Vehicle Data'!I$15,IF(Z513&gt;'Vehicle Data'!C$15,'Vehicle Data'!I$16)))</f>
        <v>0.46202745420001456</v>
      </c>
      <c r="AD514">
        <f>IF(O514=0.6,'Vehicle Data'!F$21,IF(O514=0.9,'Vehicle Data'!F$20))</f>
        <v>3.5315999999999996</v>
      </c>
      <c r="AE514" s="100">
        <f t="shared" si="396"/>
        <v>0.46202745420001456</v>
      </c>
      <c r="AF514" s="158">
        <f t="shared" si="385"/>
        <v>0.26433045226732005</v>
      </c>
      <c r="AG514" s="148">
        <f t="shared" si="347"/>
        <v>0</v>
      </c>
      <c r="AH514" s="148">
        <f t="shared" si="365"/>
        <v>179.92845373522167</v>
      </c>
      <c r="AJ514">
        <f>(Z514^2)*'Vehicle Data'!C$31</f>
        <v>31.452132491598864</v>
      </c>
      <c r="AK514">
        <f>IF(O514=0.6,'Vehicle Data'!C$6*'Vehicle Data'!D$21*9.81,IF(O514=0.9,'Vehicle Data'!C$6*9.81*'Vehicle Data'!D$20))</f>
        <v>86.131799999999998</v>
      </c>
      <c r="AL514">
        <f t="shared" si="386"/>
        <v>-86.335931774982271</v>
      </c>
      <c r="AN514" t="b">
        <f>IF(AG514&gt;0,AG514*'Vehicle Data'!C$6)</f>
        <v>0</v>
      </c>
      <c r="AO514">
        <f t="shared" si="387"/>
        <v>-86.335931774982271</v>
      </c>
      <c r="AP514">
        <f>AO514*'Vehicle Data'!F$3</f>
        <v>-22.067464161685468</v>
      </c>
      <c r="AQ514">
        <f>IF(AE514='Vehicle Data'!I$15,AP514/'Vehicle Data'!G$15,IF(AE514='Vehicle Data'!I$16,AP514/'Vehicle Data'!G$16,IF(AE514='Vehicle Data'!I$14,Data!AP514/'Vehicle Data'!G525)))</f>
        <v>-4.0739340788895966</v>
      </c>
      <c r="AR514">
        <f>IF(Z514&lt;'Vehicle Data'!C$16, Z514*'Vehicle Data'!F$7*'Vehicle Data'!G$14,IF(Z514&lt;'Vehicle Data'!C$15,Z514*'Vehicle Data'!F$7*'Vehicle Data'!G$15,IF(Z514&gt;'Vehicle Data'!C$15,Z514*'Vehicle Data'!F$7*'Vehicle Data'!G$16)))</f>
        <v>80.477694618303829</v>
      </c>
      <c r="AS514">
        <f t="shared" si="388"/>
        <v>4828.66167709823</v>
      </c>
      <c r="AT514">
        <v>4</v>
      </c>
      <c r="AU514">
        <f t="shared" si="390"/>
        <v>5000</v>
      </c>
      <c r="AW514">
        <f>VLOOKUP(AT514,BSFC!A$64:A$82,1,FALSE)</f>
        <v>4</v>
      </c>
      <c r="AX514" t="e" cm="1">
        <f t="array" ref="AX514">_xlfn.XLOOKUP(AT514,BSFC!A$64:A$82,,-1,_xlfn.XLOOKUP(Data!AU514,BSFC!C$63:Q$63,BSFC!B$64:Q$82,,-1))</f>
        <v>#VALUE!</v>
      </c>
      <c r="AY514">
        <f>HLOOKUP(AU514,BSFC!F$63:Q$63,1)</f>
        <v>5000</v>
      </c>
      <c r="AZ514">
        <f>IF(AT514&gt;0,MATCH(AT514,BSFC!A$64:A$83,0),IF(AT514&lt;=0,0))</f>
        <v>19</v>
      </c>
      <c r="BA514">
        <f>MATCH(AU514,BSFC!C$63:Q$63,0)</f>
        <v>10</v>
      </c>
      <c r="BB514" cm="1">
        <f t="array" ref="BB514">IF(AZ514&gt;0,INDEX(BSFC!C$64:Q$83,Data!AZ514,Data!BA514))</f>
        <v>700</v>
      </c>
      <c r="BC514">
        <f>0.5*'Vehicle Data'!C$6*Data!Z514^2</f>
        <v>18785.695460968567</v>
      </c>
      <c r="BD514">
        <f t="shared" si="349"/>
        <v>0.7902558436083178</v>
      </c>
      <c r="BE514">
        <f t="shared" si="391"/>
        <v>553.1790905258224</v>
      </c>
      <c r="BF514">
        <f t="shared" si="392"/>
        <v>4.0617244217643171E-2</v>
      </c>
      <c r="BG514">
        <f t="shared" si="350"/>
        <v>243.08419082793981</v>
      </c>
      <c r="BH514">
        <f t="shared" si="374"/>
        <v>-2051.6947603002372</v>
      </c>
      <c r="BI514" s="148">
        <f t="shared" si="351"/>
        <v>6871.6622130335309</v>
      </c>
      <c r="BO514">
        <f t="shared" si="352"/>
        <v>-536.0198187509211</v>
      </c>
      <c r="BP514">
        <f t="shared" si="353"/>
        <v>923929.7669917827</v>
      </c>
      <c r="BQ514">
        <f t="shared" si="354"/>
        <v>1312953.4136963258</v>
      </c>
      <c r="BR514" s="148">
        <f t="shared" si="355"/>
        <v>1238202.82710906</v>
      </c>
      <c r="BS514" s="156" t="b">
        <f t="shared" si="356"/>
        <v>0</v>
      </c>
      <c r="BT514" s="156">
        <f t="shared" si="357"/>
        <v>0</v>
      </c>
      <c r="BU514">
        <f t="shared" si="358"/>
        <v>1795.2705271854277</v>
      </c>
      <c r="BV514">
        <f t="shared" si="359"/>
        <v>1795.2705271854277</v>
      </c>
      <c r="BW514" s="148">
        <f t="shared" si="360"/>
        <v>455.4</v>
      </c>
      <c r="BX514" s="148">
        <f t="shared" si="361"/>
        <v>3129354.9718154697</v>
      </c>
      <c r="BY514" s="148">
        <f t="shared" si="362"/>
        <v>0.22710172168895656</v>
      </c>
      <c r="BZ514">
        <f t="shared" si="345"/>
        <v>179.92845373522167</v>
      </c>
      <c r="CB514">
        <f t="shared" si="363"/>
        <v>1795.2705271854277</v>
      </c>
      <c r="CC514" s="162">
        <f t="shared" si="346"/>
        <v>6791.76580596844</v>
      </c>
      <c r="CD514">
        <f t="shared" si="371"/>
        <v>-75482.527066292547</v>
      </c>
    </row>
    <row r="515" spans="4:82" x14ac:dyDescent="0.2">
      <c r="D515" s="22">
        <f t="shared" ref="D515:D533" si="398">ASIN((N515)/(G516-G515))</f>
        <v>-8.2616750833246363E-2</v>
      </c>
      <c r="E515" s="23">
        <v>10.985899484524113</v>
      </c>
      <c r="F515" s="23">
        <f>IF(K515&lt;6,1,IF(Data!K515&lt;9,2,IF(K515&gt;9,3)))</f>
        <v>3</v>
      </c>
      <c r="G515" s="23">
        <v>1082.4234899469179</v>
      </c>
      <c r="H515" s="23">
        <v>220.26666499999999</v>
      </c>
      <c r="I515" s="64">
        <v>48.751331018374685</v>
      </c>
      <c r="J515" s="65">
        <f t="shared" ref="J515:J533" si="399">(I516-I515)/(H516-H515)</f>
        <v>-12.883821262559023</v>
      </c>
      <c r="K515" s="65">
        <f t="shared" ref="K515:K533" si="400">I515/2.5</f>
        <v>19.500532407349873</v>
      </c>
      <c r="L515" s="65">
        <f t="shared" ref="L515:L533" si="401">(K516-K515)/(H516-H515)</f>
        <v>-5.1535285050235666</v>
      </c>
      <c r="M515">
        <f t="shared" ref="M515:M533" si="402">2*E515</f>
        <v>21.971798969048226</v>
      </c>
      <c r="N515">
        <f t="shared" ref="N515:N532" si="403">E516-E515</f>
        <v>-0.1999969264189474</v>
      </c>
      <c r="O515">
        <f>IF(L515&lt;'Vehicle Data'!F$21,'Vehicle Data'!C$21,IF(L515&gt;'Vehicle Data'!C$21,'Vehicle Data'!C$20))</f>
        <v>0.6</v>
      </c>
      <c r="P515">
        <f>('Vehicle Data'!C$6*9.81*'Vehicle Data'!C$5*SIN(D515))/'Vehicle Data'!C$9</f>
        <v>-54.957504326367967</v>
      </c>
      <c r="Q515" s="107">
        <f>'Vehicle Data'!C$6*9.81*SIN(D515)</f>
        <v>-355.39186131051281</v>
      </c>
      <c r="R515">
        <f t="shared" si="395"/>
        <v>1079.9777431768077</v>
      </c>
      <c r="S515">
        <f>IF(Data!O515=0.6,'Vehicle Data'!E$21,IF(Data!O515 = 0.9,'Vehicle Data'!E$20))+(P515*O515)</f>
        <v>1517.397897404179</v>
      </c>
      <c r="T515">
        <f>IF(F515=3,'Vehicle Data'!H$16,IF(F515=2,'Vehicle Data'!H$15,IF(F515 = 1,'Vehicle Data'!G$14)))</f>
        <v>466.23005239380637</v>
      </c>
      <c r="U515" s="148">
        <f t="shared" ref="U515:U533" si="404">R515-R$2</f>
        <v>363.83926105349167</v>
      </c>
      <c r="V515" s="70" t="s">
        <v>77</v>
      </c>
      <c r="W515" s="99" t="s">
        <v>84</v>
      </c>
      <c r="X515">
        <f>IF(V515="S",'Vehicle Data'!C$14,IF(Data!V515 = "T1",'Vehicle Data'!P$2,IF(Data!V515="T2",'Vehicle Data'!P$3)))</f>
        <v>13.411199999999999</v>
      </c>
      <c r="Z515">
        <f t="shared" si="397"/>
        <v>9.3726593351887306</v>
      </c>
      <c r="AB515" t="b">
        <f>IF(AA515=1,'Vehicle Data'!I$14,IF(AA515=2,'Vehicle Data'!I$15,IF(AA515=3,'Vehicle Data'!I$16)))</f>
        <v>0</v>
      </c>
      <c r="AC515">
        <f>IF(Z515&lt;'Vehicle Data'!C$16,'Vehicle Data'!I$15,IF(Z515&lt;'Vehicle Data'!C$15,'Vehicle Data'!I$15,IF(Z514&gt;'Vehicle Data'!C$15,'Vehicle Data'!I$16)))</f>
        <v>0.46202745420001456</v>
      </c>
      <c r="AD515">
        <f>IF(O515=0.6,'Vehicle Data'!F$21,IF(O515=0.9,'Vehicle Data'!F$20))</f>
        <v>3.5315999999999996</v>
      </c>
      <c r="AE515" s="100">
        <f t="shared" si="396"/>
        <v>0.46202745420001456</v>
      </c>
      <c r="AF515" s="158">
        <f t="shared" si="385"/>
        <v>0.26125709785040441</v>
      </c>
      <c r="AG515" s="148">
        <f t="shared" si="347"/>
        <v>0.46504156218907089</v>
      </c>
      <c r="AH515" s="148">
        <f t="shared" si="365"/>
        <v>180.18971083307207</v>
      </c>
      <c r="AJ515">
        <f>(Z515^2)*'Vehicle Data'!C$31</f>
        <v>32.283678057461429</v>
      </c>
      <c r="AK515">
        <f>IF(O515=0.6,'Vehicle Data'!C$6*'Vehicle Data'!D$21*9.81,IF(O515=0.9,'Vehicle Data'!C$6*9.81*'Vehicle Data'!D$20))</f>
        <v>86.131799999999998</v>
      </c>
      <c r="AL515">
        <f t="shared" ref="AL515:AL533" si="405">AJ515+AK515+Q515</f>
        <v>-236.97638325305138</v>
      </c>
      <c r="AN515">
        <f>IF(AG515&gt;0,AG515*'Vehicle Data'!C$6)</f>
        <v>204.15324580100213</v>
      </c>
      <c r="AO515">
        <f t="shared" si="387"/>
        <v>-32.823137452049252</v>
      </c>
      <c r="AP515">
        <f>AO515*'Vehicle Data'!F$3</f>
        <v>-8.3895939327437894</v>
      </c>
      <c r="AQ515">
        <f>IF(AE515='Vehicle Data'!I$15,AP515/'Vehicle Data'!G$15,IF(AE515='Vehicle Data'!I$16,AP515/'Vehicle Data'!G$16,IF(AE515='Vehicle Data'!I$14,Data!AP515/'Vehicle Data'!G526)))</f>
        <v>-1.5488255641983932</v>
      </c>
      <c r="AR515">
        <f>IF(Z515&lt;'Vehicle Data'!C$16, Z515*'Vehicle Data'!F$7*'Vehicle Data'!G$14,IF(Z515&lt;'Vehicle Data'!C$15,Z515*'Vehicle Data'!F$7*'Vehicle Data'!G$15,IF(Z515&gt;'Vehicle Data'!C$15,Z515*'Vehicle Data'!F$7*'Vehicle Data'!G$16)))</f>
        <v>81.534607077568396</v>
      </c>
      <c r="AS515">
        <f t="shared" si="388"/>
        <v>4892.0764246541039</v>
      </c>
      <c r="AT515">
        <f t="shared" si="389"/>
        <v>-2</v>
      </c>
      <c r="AU515">
        <f t="shared" si="390"/>
        <v>5000</v>
      </c>
      <c r="AW515" t="e">
        <f>VLOOKUP(AT515,BSFC!A$64:A$82,1,FALSE)</f>
        <v>#N/A</v>
      </c>
      <c r="AX515" t="e" cm="1">
        <f t="array" ref="AX515">_xlfn.XLOOKUP(AT515,BSFC!A$64:A$82,,-1,_xlfn.XLOOKUP(Data!AU515,BSFC!C$63:Q$63,BSFC!B$64:Q$82,,-1))</f>
        <v>#VALUE!</v>
      </c>
      <c r="AY515">
        <f>HLOOKUP(AU515,BSFC!F$63:Q$63,1)</f>
        <v>5000</v>
      </c>
      <c r="AZ515">
        <f>IF(AT515&gt;0,MATCH(AT515,BSFC!A$64:A$83,0),IF(AT515&lt;=0,0))</f>
        <v>0</v>
      </c>
      <c r="BA515">
        <f>MATCH(AU515,BSFC!C$63:Q$63,0)</f>
        <v>10</v>
      </c>
      <c r="BB515" t="b" cm="1">
        <f t="array" ref="BB515">IF(AZ515&gt;0,INDEX(BSFC!C$64:Q$83,Data!AZ515,Data!BA515))</f>
        <v>0</v>
      </c>
      <c r="BC515">
        <f>0.5*'Vehicle Data'!C$6*Data!Z515^2</f>
        <v>19282.36009146335</v>
      </c>
      <c r="BD515">
        <f t="shared" si="349"/>
        <v>0.91207595569832267</v>
      </c>
      <c r="BE515">
        <f t="shared" si="391"/>
        <v>0</v>
      </c>
      <c r="BF515">
        <f t="shared" si="392"/>
        <v>0</v>
      </c>
      <c r="BG515">
        <f t="shared" si="350"/>
        <v>243.08419082793981</v>
      </c>
      <c r="BH515">
        <f t="shared" si="374"/>
        <v>-790.25584360831783</v>
      </c>
      <c r="BI515" s="148">
        <f t="shared" si="351"/>
        <v>6871.6622130335309</v>
      </c>
      <c r="BO515">
        <f t="shared" si="352"/>
        <v>-203.61067713463268</v>
      </c>
      <c r="BP515">
        <f t="shared" si="353"/>
        <v>923726.15631464811</v>
      </c>
      <c r="BQ515">
        <f t="shared" si="354"/>
        <v>1312953.4136963258</v>
      </c>
      <c r="BR515" s="148">
        <f t="shared" si="355"/>
        <v>1239973.3218261225</v>
      </c>
      <c r="BS515" s="156" t="b">
        <f t="shared" si="356"/>
        <v>0</v>
      </c>
      <c r="BT515" s="156">
        <f t="shared" si="357"/>
        <v>0</v>
      </c>
      <c r="BU515">
        <f t="shared" si="358"/>
        <v>1770.4947170624112</v>
      </c>
      <c r="BV515">
        <f t="shared" si="359"/>
        <v>1770.4947170624112</v>
      </c>
      <c r="BW515" s="148">
        <f t="shared" si="360"/>
        <v>455.4</v>
      </c>
      <c r="BX515" s="148">
        <f t="shared" si="361"/>
        <v>3129354.9718154697</v>
      </c>
      <c r="BY515" s="148">
        <f t="shared" si="362"/>
        <v>0.22396758170839498</v>
      </c>
      <c r="BZ515">
        <f t="shared" ref="BZ515:BZ534" si="406">AH515</f>
        <v>180.18971083307207</v>
      </c>
      <c r="CB515">
        <f t="shared" si="363"/>
        <v>1770.4947170624112</v>
      </c>
      <c r="CC515" s="162">
        <f t="shared" ref="CC515:CC534" si="407">CB515/(BZ515-BZ514)</f>
        <v>6776.8291526999919</v>
      </c>
      <c r="CD515">
        <f t="shared" si="371"/>
        <v>-73712.03234923014</v>
      </c>
    </row>
    <row r="516" spans="4:82" x14ac:dyDescent="0.2">
      <c r="D516" s="22">
        <f t="shared" si="398"/>
        <v>-8.3869654862761614E-2</v>
      </c>
      <c r="E516" s="23">
        <v>10.785902558105166</v>
      </c>
      <c r="F516" s="23">
        <f>IF(K516&lt;6,1,IF(Data!K516&lt;9,2,IF(K516&gt;9,3)))</f>
        <v>3</v>
      </c>
      <c r="G516" s="23">
        <v>1084.8470253654571</v>
      </c>
      <c r="H516" s="23">
        <v>220.316665</v>
      </c>
      <c r="I516" s="64">
        <v>48.107139955246588</v>
      </c>
      <c r="J516" s="65">
        <f t="shared" si="399"/>
        <v>-15.760277847286066</v>
      </c>
      <c r="K516" s="65">
        <f t="shared" si="400"/>
        <v>19.242855982098636</v>
      </c>
      <c r="L516" s="65">
        <f t="shared" si="401"/>
        <v>-6.3041111389144264</v>
      </c>
      <c r="M516">
        <f t="shared" si="402"/>
        <v>21.571805116210331</v>
      </c>
      <c r="N516">
        <f t="shared" si="403"/>
        <v>-0.19999861135157104</v>
      </c>
      <c r="O516">
        <f>IF(L516&lt;'Vehicle Data'!F$21,'Vehicle Data'!C$21,IF(L516&gt;'Vehicle Data'!C$21,'Vehicle Data'!C$20))</f>
        <v>0.6</v>
      </c>
      <c r="P516">
        <f>('Vehicle Data'!C$6*9.81*'Vehicle Data'!C$5*SIN(D516))/'Vehicle Data'!C$9</f>
        <v>-55.789008401882718</v>
      </c>
      <c r="Q516" s="107">
        <f>'Vehicle Data'!C$6*9.81*SIN(D516)</f>
        <v>-360.76892099884157</v>
      </c>
      <c r="R516">
        <f t="shared" si="395"/>
        <v>1082.4234899469179</v>
      </c>
      <c r="S516">
        <f>IF(Data!O516=0.6,'Vehicle Data'!E$21,IF(Data!O516 = 0.9,'Vehicle Data'!E$20))+(P516*O516)</f>
        <v>1516.8989949588702</v>
      </c>
      <c r="T516">
        <f>IF(F516=3,'Vehicle Data'!H$16,IF(F516=2,'Vehicle Data'!H$15,IF(F516 = 1,'Vehicle Data'!G$14)))</f>
        <v>466.23005239380637</v>
      </c>
      <c r="U516" s="148">
        <f t="shared" si="404"/>
        <v>366.28500782360186</v>
      </c>
      <c r="V516" s="70" t="s">
        <v>77</v>
      </c>
      <c r="W516" s="99" t="s">
        <v>84</v>
      </c>
      <c r="X516">
        <f>IF(V516="S",'Vehicle Data'!C$14,IF(Data!V516 = "T1",'Vehicle Data'!P$2,IF(Data!V516="T2",'Vehicle Data'!P$3)))</f>
        <v>13.411199999999999</v>
      </c>
      <c r="Z516">
        <f t="shared" si="397"/>
        <v>9.4924573910618264</v>
      </c>
      <c r="AB516" t="b">
        <f>IF(AA516=1,'Vehicle Data'!I$14,IF(AA516=2,'Vehicle Data'!I$15,IF(AA516=3,'Vehicle Data'!I$16)))</f>
        <v>0</v>
      </c>
      <c r="AC516">
        <f>IF(Z516&lt;'Vehicle Data'!C$16,'Vehicle Data'!I$15,IF(Z516&lt;'Vehicle Data'!C$15,'Vehicle Data'!I$15,IF(Z515&gt;'Vehicle Data'!C$15,'Vehicle Data'!I$16)))</f>
        <v>0.46202745420001456</v>
      </c>
      <c r="AD516">
        <f>IF(O516=0.6,'Vehicle Data'!F$21,IF(O516=0.9,'Vehicle Data'!F$20))</f>
        <v>3.5315999999999996</v>
      </c>
      <c r="AE516" s="100">
        <f t="shared" si="396"/>
        <v>0.46202745420001456</v>
      </c>
      <c r="AF516" s="158">
        <f t="shared" si="385"/>
        <v>0.25765159319157177</v>
      </c>
      <c r="AG516" s="148">
        <f t="shared" ref="AG516:AG533" si="408">(Z516-Z515)/AF516</f>
        <v>0.46496144032776188</v>
      </c>
      <c r="AH516" s="148">
        <f t="shared" si="365"/>
        <v>180.44736242626365</v>
      </c>
      <c r="AJ516">
        <f>(Z516^2)*'Vehicle Data'!C$31</f>
        <v>33.114229640513187</v>
      </c>
      <c r="AK516">
        <f>IF(O516=0.6,'Vehicle Data'!C$6*'Vehicle Data'!D$21*9.81,IF(O516=0.9,'Vehicle Data'!C$6*9.81*'Vehicle Data'!D$20))</f>
        <v>86.131799999999998</v>
      </c>
      <c r="AL516">
        <f t="shared" si="405"/>
        <v>-241.52289135832837</v>
      </c>
      <c r="AN516">
        <f>IF(AG516&gt;0,AG516*'Vehicle Data'!C$6)</f>
        <v>204.11807230388746</v>
      </c>
      <c r="AO516">
        <f t="shared" ref="AO516:AO533" si="409">AN516+AL516</f>
        <v>-37.404819054440907</v>
      </c>
      <c r="AP516">
        <f>AO516*'Vehicle Data'!F$3</f>
        <v>-9.5606717503150946</v>
      </c>
      <c r="AQ516">
        <f>IF(AE516='Vehicle Data'!I$15,AP516/'Vehicle Data'!G$15,IF(AE516='Vehicle Data'!I$16,AP516/'Vehicle Data'!G$16,IF(AE516='Vehicle Data'!I$14,Data!AP516/'Vehicle Data'!G527)))</f>
        <v>-1.7650213987120316</v>
      </c>
      <c r="AR516">
        <f>IF(Z516&lt;'Vehicle Data'!C$16, Z516*'Vehicle Data'!F$7*'Vehicle Data'!G$14,IF(Z516&lt;'Vehicle Data'!C$15,Z516*'Vehicle Data'!F$7*'Vehicle Data'!G$15,IF(Z516&gt;'Vehicle Data'!C$15,Z516*'Vehicle Data'!F$7*'Vehicle Data'!G$16)))</f>
        <v>82.576753928846529</v>
      </c>
      <c r="AS516">
        <f t="shared" si="388"/>
        <v>4954.6052357307917</v>
      </c>
      <c r="AT516">
        <f t="shared" si="389"/>
        <v>-2</v>
      </c>
      <c r="AU516">
        <f t="shared" si="390"/>
        <v>5000</v>
      </c>
      <c r="AW516" t="e">
        <f>VLOOKUP(AT516,BSFC!A$64:A$82,1,FALSE)</f>
        <v>#N/A</v>
      </c>
      <c r="AX516" t="e" cm="1">
        <f t="array" ref="AX516">_xlfn.XLOOKUP(AT516,BSFC!A$64:A$82,,-1,_xlfn.XLOOKUP(Data!AU516,BSFC!C$63:Q$63,BSFC!B$64:Q$82,,-1))</f>
        <v>#VALUE!</v>
      </c>
      <c r="AY516">
        <f>HLOOKUP(AU516,BSFC!F$63:Q$63,1)</f>
        <v>5000</v>
      </c>
      <c r="AZ516">
        <f>IF(AT516&gt;0,MATCH(AT516,BSFC!A$64:A$83,0),IF(AT516&lt;=0,0))</f>
        <v>0</v>
      </c>
      <c r="BA516">
        <f>MATCH(AU516,BSFC!C$63:Q$63,0)</f>
        <v>10</v>
      </c>
      <c r="BB516" t="b" cm="1">
        <f t="array" ref="BB516">IF(AZ516&gt;0,INDEX(BSFC!C$64:Q$83,Data!AZ516,Data!BA516))</f>
        <v>0</v>
      </c>
      <c r="BC516">
        <f>0.5*'Vehicle Data'!C$6*Data!Z516^2</f>
        <v>19778.431036986785</v>
      </c>
      <c r="BD516">
        <f t="shared" ref="BD516:BD533" si="410">ABS(AQ517*(AS517/9.588))/1000</f>
        <v>1.0576097977591015</v>
      </c>
      <c r="BE516">
        <f t="shared" si="391"/>
        <v>0</v>
      </c>
      <c r="BF516">
        <f t="shared" si="392"/>
        <v>0</v>
      </c>
      <c r="BG516">
        <f t="shared" ref="BG516:BG533" si="411">BG515+BF516</f>
        <v>243.08419082793981</v>
      </c>
      <c r="BH516">
        <f t="shared" si="374"/>
        <v>-912.07595569832267</v>
      </c>
      <c r="BI516" s="148">
        <f t="shared" ref="BI516:BI533" si="412">BM$9</f>
        <v>6871.6622130335309</v>
      </c>
      <c r="BO516">
        <f t="shared" ref="BO516:BO533" si="413">BH516*AF517</f>
        <v>-230.02275443293379</v>
      </c>
      <c r="BP516">
        <f t="shared" ref="BP516:BP533" si="414">BP515+BO516</f>
        <v>923496.13356021512</v>
      </c>
      <c r="BQ516">
        <f t="shared" ref="BQ516:BQ533" si="415">IF(BO516&gt;0,BQ515+BO516,IF(BO516&lt;=0,BQ515))</f>
        <v>1312953.4136963258</v>
      </c>
      <c r="BR516" s="148">
        <f t="shared" ref="BR516:BR533" si="416">(BM$9*AF517)+BR515</f>
        <v>1241706.3339287871</v>
      </c>
      <c r="BS516" s="156" t="b">
        <f t="shared" ref="BS516:BS533" si="417">IF(BO516&gt;0,BO516)</f>
        <v>0</v>
      </c>
      <c r="BT516" s="156">
        <f t="shared" ref="BT516:BT533" si="418">IF(BH516&gt;=0,BH516, IF(BH516&lt;0,0))</f>
        <v>0</v>
      </c>
      <c r="BU516">
        <f t="shared" ref="BU516:BU533" si="419">BI516*AF517</f>
        <v>1733.0121026647178</v>
      </c>
      <c r="BV516">
        <f t="shared" ref="BV516:BV533" si="420">BM$9*AF517</f>
        <v>1733.0121026647178</v>
      </c>
      <c r="BW516" s="148">
        <f t="shared" ref="BW516:BW533" si="421">BN$9</f>
        <v>455.4</v>
      </c>
      <c r="BX516" s="148">
        <f t="shared" ref="BX516:BX533" si="422">BW516*BI516</f>
        <v>3129354.9718154697</v>
      </c>
      <c r="BY516" s="148">
        <f t="shared" ref="BY516:BY533" si="423">((BX516/3600)*AF517)/1000</f>
        <v>0.21922603098708676</v>
      </c>
      <c r="BZ516">
        <f t="shared" si="406"/>
        <v>180.44736242626365</v>
      </c>
      <c r="CB516">
        <f t="shared" ref="CB516:CB534" si="424">BU516-BS516</f>
        <v>1733.0121026647178</v>
      </c>
      <c r="CC516" s="162">
        <f t="shared" si="407"/>
        <v>6726.1843064797231</v>
      </c>
      <c r="CD516">
        <f t="shared" si="371"/>
        <v>-71979.020246565415</v>
      </c>
    </row>
    <row r="517" spans="4:82" x14ac:dyDescent="0.2">
      <c r="D517" s="22">
        <f t="shared" si="398"/>
        <v>-8.5318931516472213E-2</v>
      </c>
      <c r="E517" s="23">
        <v>10.585903946753595</v>
      </c>
      <c r="F517" s="23">
        <f>IF(K517&lt;6,1,IF(Data!K517&lt;9,2,IF(K517&gt;9,3)))</f>
        <v>3</v>
      </c>
      <c r="G517" s="23">
        <v>1087.2344594528388</v>
      </c>
      <c r="H517" s="23">
        <v>220.36666499999998</v>
      </c>
      <c r="I517" s="64">
        <v>47.319126062882553</v>
      </c>
      <c r="J517" s="65">
        <f t="shared" si="399"/>
        <v>-16.794786704773532</v>
      </c>
      <c r="K517" s="65">
        <f t="shared" si="400"/>
        <v>18.927650425153022</v>
      </c>
      <c r="L517" s="65">
        <f t="shared" si="401"/>
        <v>-6.7179146819094271</v>
      </c>
      <c r="M517">
        <f t="shared" si="402"/>
        <v>21.171807893507189</v>
      </c>
      <c r="N517">
        <f t="shared" si="403"/>
        <v>-0.20000286222948205</v>
      </c>
      <c r="O517">
        <f>IF(L517&lt;'Vehicle Data'!F$21,'Vehicle Data'!C$21,IF(L517&gt;'Vehicle Data'!C$21,'Vehicle Data'!C$20))</f>
        <v>0.6</v>
      </c>
      <c r="P517">
        <f>('Vehicle Data'!C$6*9.81*'Vehicle Data'!C$5*SIN(D517))/'Vehicle Data'!C$9</f>
        <v>-56.750728087594425</v>
      </c>
      <c r="Q517" s="107">
        <f>'Vehicle Data'!C$6*9.81*SIN(D517)</f>
        <v>-366.98804163311064</v>
      </c>
      <c r="R517">
        <f t="shared" si="395"/>
        <v>1084.8470253654571</v>
      </c>
      <c r="S517">
        <f>IF(Data!O517=0.6,'Vehicle Data'!E$21,IF(Data!O517 = 0.9,'Vehicle Data'!E$20))+(P517*O517)</f>
        <v>1516.3219631474431</v>
      </c>
      <c r="T517">
        <f>IF(F517=3,'Vehicle Data'!H$16,IF(F517=2,'Vehicle Data'!H$15,IF(F517 = 1,'Vehicle Data'!G$14)))</f>
        <v>466.23005239380637</v>
      </c>
      <c r="U517" s="148">
        <f t="shared" si="404"/>
        <v>368.70854324214099</v>
      </c>
      <c r="V517" s="70" t="s">
        <v>77</v>
      </c>
      <c r="W517" s="99" t="s">
        <v>84</v>
      </c>
      <c r="X517">
        <f>IF(V517="S",'Vehicle Data'!C$14,IF(Data!V517 = "T1",'Vehicle Data'!P$2,IF(Data!V517="T2",'Vehicle Data'!P$3)))</f>
        <v>13.411199999999999</v>
      </c>
      <c r="Z517">
        <f t="shared" si="397"/>
        <v>9.6096944342838864</v>
      </c>
      <c r="AB517" t="b">
        <f>IF(AA517=1,'Vehicle Data'!I$14,IF(AA517=2,'Vehicle Data'!I$15,IF(AA517=3,'Vehicle Data'!I$16)))</f>
        <v>0</v>
      </c>
      <c r="AC517">
        <f>IF(Z517&lt;'Vehicle Data'!C$16,'Vehicle Data'!I$15,IF(Z517&lt;'Vehicle Data'!C$15,'Vehicle Data'!I$15,IF(Z516&gt;'Vehicle Data'!C$15,'Vehicle Data'!I$16)))</f>
        <v>0.46202745420001456</v>
      </c>
      <c r="AD517">
        <f>IF(O517=0.6,'Vehicle Data'!F$21,IF(O517=0.9,'Vehicle Data'!F$20))</f>
        <v>3.5315999999999996</v>
      </c>
      <c r="AE517" s="100">
        <f t="shared" si="396"/>
        <v>0.46202745420001456</v>
      </c>
      <c r="AF517" s="158">
        <f t="shared" ref="AF517:AF533" si="425">(U517-U516)/Z517</f>
        <v>0.25219692833237661</v>
      </c>
      <c r="AG517" s="148">
        <f t="shared" si="408"/>
        <v>0.46486308932181103</v>
      </c>
      <c r="AH517" s="148">
        <f t="shared" ref="AH517:AH533" si="426">AH516+AF517</f>
        <v>180.69955935459603</v>
      </c>
      <c r="AJ517">
        <f>(Z517^2)*'Vehicle Data'!C$31</f>
        <v>33.937238466712728</v>
      </c>
      <c r="AK517">
        <f>IF(O517=0.6,'Vehicle Data'!C$6*'Vehicle Data'!D$21*9.81,IF(O517=0.9,'Vehicle Data'!C$6*9.81*'Vehicle Data'!D$20))</f>
        <v>86.131799999999998</v>
      </c>
      <c r="AL517">
        <f t="shared" si="405"/>
        <v>-246.91900316639791</v>
      </c>
      <c r="AN517">
        <f>IF(AG517&gt;0,AG517*'Vehicle Data'!C$6)</f>
        <v>204.07489621227504</v>
      </c>
      <c r="AO517">
        <f t="shared" si="409"/>
        <v>-42.844106954122879</v>
      </c>
      <c r="AP517">
        <f>AO517*'Vehicle Data'!F$3</f>
        <v>-10.950953737473807</v>
      </c>
      <c r="AQ517">
        <f>IF(AE517='Vehicle Data'!I$15,AP517/'Vehicle Data'!G$15,IF(AE517='Vehicle Data'!I$16,AP517/'Vehicle Data'!G$16,IF(AE517='Vehicle Data'!I$14,Data!AP517/'Vehicle Data'!G528)))</f>
        <v>-2.0216851062070762</v>
      </c>
      <c r="AR517">
        <f>IF(Z517&lt;'Vehicle Data'!C$16, Z517*'Vehicle Data'!F$7*'Vehicle Data'!G$14,IF(Z517&lt;'Vehicle Data'!C$15,Z517*'Vehicle Data'!F$7*'Vehicle Data'!G$15,IF(Z517&gt;'Vehicle Data'!C$15,Z517*'Vehicle Data'!F$7*'Vehicle Data'!G$16)))</f>
        <v>83.596622027344324</v>
      </c>
      <c r="AS517">
        <f t="shared" ref="AS517:AS533" si="427">AR517*60</f>
        <v>5015.797321640659</v>
      </c>
      <c r="AT517">
        <f t="shared" ref="AT517:AT533" si="428">ROUND(AQ517,0)</f>
        <v>-2</v>
      </c>
      <c r="AU517">
        <f t="shared" ref="AU517:AU533" si="429">MROUND(AS517,500)</f>
        <v>5000</v>
      </c>
      <c r="AW517" t="e">
        <f>VLOOKUP(AT517,BSFC!A$64:A$82,1,FALSE)</f>
        <v>#N/A</v>
      </c>
      <c r="AX517" t="e" cm="1">
        <f t="array" ref="AX517">_xlfn.XLOOKUP(AT517,BSFC!A$64:A$82,,-1,_xlfn.XLOOKUP(Data!AU517,BSFC!C$63:Q$63,BSFC!B$64:Q$82,,-1))</f>
        <v>#VALUE!</v>
      </c>
      <c r="AY517">
        <f>HLOOKUP(AU517,BSFC!F$63:Q$63,1)</f>
        <v>5000</v>
      </c>
      <c r="AZ517">
        <f>IF(AT517&gt;0,MATCH(AT517,BSFC!A$64:A$83,0),IF(AT517&lt;=0,0))</f>
        <v>0</v>
      </c>
      <c r="BA517">
        <f>MATCH(AU517,BSFC!C$63:Q$63,0)</f>
        <v>10</v>
      </c>
      <c r="BB517" t="b" cm="1">
        <f t="array" ref="BB517">IF(AZ517&gt;0,INDEX(BSFC!C$64:Q$83,Data!AZ517,Data!BA517))</f>
        <v>0</v>
      </c>
      <c r="BC517">
        <f>0.5*'Vehicle Data'!C$6*Data!Z517^2</f>
        <v>20269.996852907323</v>
      </c>
      <c r="BD517">
        <f t="shared" si="410"/>
        <v>5.8811097829197037</v>
      </c>
      <c r="BE517">
        <f t="shared" ref="BE517:BE533" si="430">BB517*BD517</f>
        <v>0</v>
      </c>
      <c r="BF517">
        <f t="shared" ref="BF517:BF533" si="431">(BE517/3600)*AF517</f>
        <v>0</v>
      </c>
      <c r="BG517">
        <f t="shared" si="411"/>
        <v>243.08419082793981</v>
      </c>
      <c r="BH517">
        <f t="shared" si="374"/>
        <v>-1057.6097977591014</v>
      </c>
      <c r="BI517" s="148">
        <f t="shared" si="412"/>
        <v>6871.6622130335309</v>
      </c>
      <c r="BO517">
        <f t="shared" si="413"/>
        <v>-259.66935453260714</v>
      </c>
      <c r="BP517">
        <f t="shared" si="414"/>
        <v>923236.46420568251</v>
      </c>
      <c r="BQ517">
        <f t="shared" si="415"/>
        <v>1312953.4136963258</v>
      </c>
      <c r="BR517" s="148">
        <f t="shared" si="416"/>
        <v>1243393.4969025089</v>
      </c>
      <c r="BS517" s="156" t="b">
        <f t="shared" si="417"/>
        <v>0</v>
      </c>
      <c r="BT517" s="156">
        <f t="shared" si="418"/>
        <v>0</v>
      </c>
      <c r="BU517">
        <f t="shared" si="419"/>
        <v>1687.1629737217686</v>
      </c>
      <c r="BV517">
        <f t="shared" si="420"/>
        <v>1687.1629737217686</v>
      </c>
      <c r="BW517" s="148">
        <f t="shared" si="421"/>
        <v>455.4</v>
      </c>
      <c r="BX517" s="148">
        <f t="shared" si="422"/>
        <v>3129354.9718154697</v>
      </c>
      <c r="BY517" s="148">
        <f t="shared" si="423"/>
        <v>0.21342611617580368</v>
      </c>
      <c r="BZ517">
        <f t="shared" si="406"/>
        <v>180.69955935459603</v>
      </c>
      <c r="CB517">
        <f t="shared" si="424"/>
        <v>1687.1629737217686</v>
      </c>
      <c r="CC517" s="162">
        <f t="shared" si="407"/>
        <v>6689.8632940452917</v>
      </c>
      <c r="CD517">
        <f t="shared" ref="CD517:CD534" si="432">CB517+CD516</f>
        <v>-70291.857272843641</v>
      </c>
    </row>
    <row r="518" spans="4:82" x14ac:dyDescent="0.2">
      <c r="D518" s="22">
        <f t="shared" si="398"/>
        <v>-0.1304860927284231</v>
      </c>
      <c r="E518" s="23">
        <v>10.385901084524113</v>
      </c>
      <c r="F518" s="23">
        <f>IF(K518&lt;6,1,IF(Data!K518&lt;9,2,IF(K518&gt;9,3)))</f>
        <v>3</v>
      </c>
      <c r="G518" s="23">
        <v>1089.5814850469587</v>
      </c>
      <c r="H518" s="23">
        <v>220.41666499999999</v>
      </c>
      <c r="I518" s="64">
        <v>46.479386727643686</v>
      </c>
      <c r="J518" s="65">
        <f t="shared" si="399"/>
        <v>-16.463528532467748</v>
      </c>
      <c r="K518" s="65">
        <f t="shared" si="400"/>
        <v>18.591754691057474</v>
      </c>
      <c r="L518" s="65">
        <f t="shared" si="401"/>
        <v>-6.5854114129871002</v>
      </c>
      <c r="M518">
        <f t="shared" si="402"/>
        <v>20.771802169048225</v>
      </c>
      <c r="N518">
        <f t="shared" si="403"/>
        <v>-0.29999713777070092</v>
      </c>
      <c r="O518">
        <f>IF(L518&lt;'Vehicle Data'!F$21,'Vehicle Data'!C$21,IF(L518&gt;'Vehicle Data'!C$21,'Vehicle Data'!C$20))</f>
        <v>0.6</v>
      </c>
      <c r="P518">
        <f>('Vehicle Data'!C$6*9.81*'Vehicle Data'!C$5*SIN(D518))/'Vehicle Data'!C$9</f>
        <v>-86.653109375224929</v>
      </c>
      <c r="Q518" s="107">
        <f>'Vehicle Data'!C$6*9.81*SIN(D518)</f>
        <v>-560.35677395978792</v>
      </c>
      <c r="R518">
        <f t="shared" si="395"/>
        <v>1087.2344594528388</v>
      </c>
      <c r="S518">
        <f>IF(Data!O518=0.6,'Vehicle Data'!E$21,IF(Data!O518 = 0.9,'Vehicle Data'!E$20))+(P518*O518)</f>
        <v>1498.3805343748647</v>
      </c>
      <c r="T518">
        <f>IF(F518=3,'Vehicle Data'!H$16,IF(F518=2,'Vehicle Data'!H$15,IF(F518 = 1,'Vehicle Data'!G$14)))</f>
        <v>466.23005239380637</v>
      </c>
      <c r="U518" s="148">
        <f t="shared" si="404"/>
        <v>371.09597732952273</v>
      </c>
      <c r="V518" s="70" t="s">
        <v>77</v>
      </c>
      <c r="W518" s="99" t="s">
        <v>84</v>
      </c>
      <c r="X518">
        <f>IF(V518="S",'Vehicle Data'!C$14,IF(Data!V518 = "T1",'Vehicle Data'!P$2,IF(Data!V518="T2",'Vehicle Data'!P$3)))</f>
        <v>13.411199999999999</v>
      </c>
      <c r="Z518">
        <f t="shared" si="397"/>
        <v>9.7238031298064307</v>
      </c>
      <c r="AB518" t="b">
        <f>IF(AA518=1,'Vehicle Data'!I$14,IF(AA518=2,'Vehicle Data'!I$15,IF(AA518=3,'Vehicle Data'!I$16)))</f>
        <v>0</v>
      </c>
      <c r="AC518">
        <f>IF(Z518&lt;'Vehicle Data'!C$16,'Vehicle Data'!I$15,IF(Z518&lt;'Vehicle Data'!C$15,'Vehicle Data'!I$15,IF(Z517&gt;'Vehicle Data'!C$15,'Vehicle Data'!I$16)))</f>
        <v>0.46202745420001456</v>
      </c>
      <c r="AD518">
        <f>IF(O518=0.6,'Vehicle Data'!F$21,IF(O518=0.9,'Vehicle Data'!F$20))</f>
        <v>3.5315999999999996</v>
      </c>
      <c r="AE518" s="100">
        <f t="shared" si="396"/>
        <v>0.46202745420001456</v>
      </c>
      <c r="AF518" s="158">
        <f t="shared" si="425"/>
        <v>0.2455247247924548</v>
      </c>
      <c r="AG518" s="148">
        <f t="shared" si="408"/>
        <v>0.46475439741965652</v>
      </c>
      <c r="AH518" s="148">
        <f t="shared" si="426"/>
        <v>180.94508407938849</v>
      </c>
      <c r="AJ518">
        <f>(Z518^2)*'Vehicle Data'!C$31</f>
        <v>34.747987635408258</v>
      </c>
      <c r="AK518">
        <f>IF(O518=0.6,'Vehicle Data'!C$6*'Vehicle Data'!D$21*9.81,IF(O518=0.9,'Vehicle Data'!C$6*9.81*'Vehicle Data'!D$20))</f>
        <v>86.131799999999998</v>
      </c>
      <c r="AL518">
        <f t="shared" si="405"/>
        <v>-439.47698632437965</v>
      </c>
      <c r="AN518">
        <f>IF(AG518&gt;0,AG518*'Vehicle Data'!C$6)</f>
        <v>204.02718046722921</v>
      </c>
      <c r="AO518">
        <f t="shared" si="409"/>
        <v>-235.44980585715044</v>
      </c>
      <c r="AP518">
        <f>AO518*'Vehicle Data'!F$3</f>
        <v>-60.180970377087654</v>
      </c>
      <c r="AQ518">
        <f>IF(AE518='Vehicle Data'!I$15,AP518/'Vehicle Data'!G$15,IF(AE518='Vehicle Data'!I$16,AP518/'Vehicle Data'!G$16,IF(AE518='Vehicle Data'!I$14,Data!AP518/'Vehicle Data'!G529)))</f>
        <v>-11.110171260436154</v>
      </c>
      <c r="AR518">
        <f>IF(Z518&lt;'Vehicle Data'!C$16, Z518*'Vehicle Data'!F$7*'Vehicle Data'!G$14,IF(Z518&lt;'Vehicle Data'!C$15,Z518*'Vehicle Data'!F$7*'Vehicle Data'!G$15,IF(Z518&gt;'Vehicle Data'!C$15,Z518*'Vehicle Data'!F$7*'Vehicle Data'!G$16)))</f>
        <v>84.589276013885183</v>
      </c>
      <c r="AS518">
        <f t="shared" si="427"/>
        <v>5075.356560833111</v>
      </c>
      <c r="AT518">
        <f t="shared" si="428"/>
        <v>-11</v>
      </c>
      <c r="AU518">
        <f t="shared" si="429"/>
        <v>5000</v>
      </c>
      <c r="AW518" t="e">
        <f>VLOOKUP(AT518,BSFC!A$64:A$82,1,FALSE)</f>
        <v>#N/A</v>
      </c>
      <c r="AX518" t="e" cm="1">
        <f t="array" ref="AX518">_xlfn.XLOOKUP(AT518,BSFC!A$64:A$82,,-1,_xlfn.XLOOKUP(Data!AU518,BSFC!C$63:Q$63,BSFC!B$64:Q$82,,-1))</f>
        <v>#VALUE!</v>
      </c>
      <c r="AY518">
        <f>HLOOKUP(AU518,BSFC!F$63:Q$63,1)</f>
        <v>5000</v>
      </c>
      <c r="AZ518">
        <f>IF(AT518&gt;0,MATCH(AT518,BSFC!A$64:A$83,0),IF(AT518&lt;=0,0))</f>
        <v>0</v>
      </c>
      <c r="BA518">
        <f>MATCH(AU518,BSFC!C$63:Q$63,0)</f>
        <v>10</v>
      </c>
      <c r="BB518" t="b" cm="1">
        <f t="array" ref="BB518">IF(AZ518&gt;0,INDEX(BSFC!C$64:Q$83,Data!AZ518,Data!BA518))</f>
        <v>0</v>
      </c>
      <c r="BC518">
        <f>0.5*'Vehicle Data'!C$6*Data!Z518^2</f>
        <v>20754.240233937715</v>
      </c>
      <c r="BD518">
        <f t="shared" si="410"/>
        <v>1.3789025558719818</v>
      </c>
      <c r="BE518">
        <f t="shared" si="430"/>
        <v>0</v>
      </c>
      <c r="BF518">
        <f t="shared" si="431"/>
        <v>0</v>
      </c>
      <c r="BG518">
        <f t="shared" si="411"/>
        <v>243.08419082793981</v>
      </c>
      <c r="BH518">
        <f t="shared" si="374"/>
        <v>-5881.1097829197033</v>
      </c>
      <c r="BI518" s="148">
        <f t="shared" si="412"/>
        <v>6871.6622130335309</v>
      </c>
      <c r="BO518">
        <f t="shared" si="413"/>
        <v>-1403.5129883657219</v>
      </c>
      <c r="BP518">
        <f t="shared" si="414"/>
        <v>921832.95121731679</v>
      </c>
      <c r="BQ518">
        <f t="shared" si="415"/>
        <v>1312953.4136963258</v>
      </c>
      <c r="BR518" s="148">
        <f t="shared" si="416"/>
        <v>1245033.4028936645</v>
      </c>
      <c r="BS518" s="156" t="b">
        <f t="shared" si="417"/>
        <v>0</v>
      </c>
      <c r="BT518" s="156">
        <f t="shared" si="418"/>
        <v>0</v>
      </c>
      <c r="BU518">
        <f t="shared" si="419"/>
        <v>1639.9059911557138</v>
      </c>
      <c r="BV518">
        <f t="shared" si="420"/>
        <v>1639.9059911557138</v>
      </c>
      <c r="BW518" s="148">
        <f t="shared" si="421"/>
        <v>455.4</v>
      </c>
      <c r="BX518" s="148">
        <f t="shared" si="422"/>
        <v>3129354.9718154697</v>
      </c>
      <c r="BY518" s="148">
        <f t="shared" si="423"/>
        <v>0.20744810788119775</v>
      </c>
      <c r="BZ518">
        <f t="shared" si="406"/>
        <v>180.94508407938849</v>
      </c>
      <c r="CB518">
        <f t="shared" si="424"/>
        <v>1639.9059911557138</v>
      </c>
      <c r="CC518" s="162">
        <f t="shared" si="407"/>
        <v>6679.1887967369084</v>
      </c>
      <c r="CD518">
        <f t="shared" si="432"/>
        <v>-68651.951281687929</v>
      </c>
    </row>
    <row r="519" spans="4:82" x14ac:dyDescent="0.2">
      <c r="D519" s="22">
        <f t="shared" si="398"/>
        <v>-8.8407397001256313E-2</v>
      </c>
      <c r="E519" s="23">
        <v>10.085903946753412</v>
      </c>
      <c r="F519" s="23">
        <f>IF(K519&lt;6,1,IF(Data!K519&lt;9,2,IF(K519&gt;9,3)))</f>
        <v>3</v>
      </c>
      <c r="G519" s="23">
        <v>1091.8870959248682</v>
      </c>
      <c r="H519" s="23">
        <v>220.46666499999998</v>
      </c>
      <c r="I519" s="64">
        <v>45.656210301020579</v>
      </c>
      <c r="J519" s="65">
        <f t="shared" si="399"/>
        <v>-16.108133213553121</v>
      </c>
      <c r="K519" s="65">
        <f t="shared" si="400"/>
        <v>18.262484120408232</v>
      </c>
      <c r="L519" s="65">
        <f t="shared" si="401"/>
        <v>-6.443253285421263</v>
      </c>
      <c r="M519">
        <f t="shared" si="402"/>
        <v>20.171807893506823</v>
      </c>
      <c r="N519">
        <f t="shared" si="403"/>
        <v>-0.20000286222929908</v>
      </c>
      <c r="O519">
        <f>IF(L519&lt;'Vehicle Data'!F$21,'Vehicle Data'!C$21,IF(L519&gt;'Vehicle Data'!C$21,'Vehicle Data'!C$20))</f>
        <v>0.6</v>
      </c>
      <c r="P519">
        <f>('Vehicle Data'!C$6*9.81*'Vehicle Data'!C$5*SIN(D519))/'Vehicle Data'!C$9</f>
        <v>-58.799790308189436</v>
      </c>
      <c r="Q519" s="107">
        <f>'Vehicle Data'!C$6*9.81*SIN(D519)</f>
        <v>-380.23864399295837</v>
      </c>
      <c r="R519">
        <f t="shared" si="395"/>
        <v>1089.5814850469587</v>
      </c>
      <c r="S519">
        <f>IF(Data!O519=0.6,'Vehicle Data'!E$21,IF(Data!O519 = 0.9,'Vehicle Data'!E$20))+(P519*O519)</f>
        <v>1515.092525815086</v>
      </c>
      <c r="T519">
        <f>IF(F519=3,'Vehicle Data'!H$16,IF(F519=2,'Vehicle Data'!H$15,IF(F519 = 1,'Vehicle Data'!G$14)))</f>
        <v>466.23005239380637</v>
      </c>
      <c r="U519" s="148">
        <f t="shared" si="404"/>
        <v>373.44300292364267</v>
      </c>
      <c r="V519" s="70" t="s">
        <v>77</v>
      </c>
      <c r="W519" s="99" t="s">
        <v>84</v>
      </c>
      <c r="X519">
        <f>IF(V519="S",'Vehicle Data'!C$14,IF(Data!V519 = "T1",'Vehicle Data'!P$2,IF(Data!V519="T2",'Vehicle Data'!P$3)))</f>
        <v>13.411199999999999</v>
      </c>
      <c r="Z519">
        <f t="shared" si="397"/>
        <v>9.8346900219386875</v>
      </c>
      <c r="AB519" t="b">
        <f>IF(AA519=1,'Vehicle Data'!I$14,IF(AA519=2,'Vehicle Data'!I$15,IF(AA519=3,'Vehicle Data'!I$16)))</f>
        <v>0</v>
      </c>
      <c r="AC519">
        <f>IF(Z519&lt;'Vehicle Data'!C$16,'Vehicle Data'!I$15,IF(Z519&lt;'Vehicle Data'!C$15,'Vehicle Data'!I$15,IF(Z518&gt;'Vehicle Data'!C$15,'Vehicle Data'!I$16)))</f>
        <v>0.46202745420001456</v>
      </c>
      <c r="AD519">
        <f>IF(O519=0.6,'Vehicle Data'!F$21,IF(O519=0.9,'Vehicle Data'!F$20))</f>
        <v>3.5315999999999996</v>
      </c>
      <c r="AE519" s="100">
        <f t="shared" si="396"/>
        <v>0.46202745420001456</v>
      </c>
      <c r="AF519" s="158">
        <f t="shared" si="425"/>
        <v>0.23864764307612391</v>
      </c>
      <c r="AG519" s="148">
        <f t="shared" si="408"/>
        <v>0.46464691921087209</v>
      </c>
      <c r="AH519" s="148">
        <f t="shared" si="426"/>
        <v>181.18373172246461</v>
      </c>
      <c r="AJ519">
        <f>(Z519^2)*'Vehicle Data'!C$31</f>
        <v>35.545014476650501</v>
      </c>
      <c r="AK519">
        <f>IF(O519=0.6,'Vehicle Data'!C$6*'Vehicle Data'!D$21*9.81,IF(O519=0.9,'Vehicle Data'!C$6*9.81*'Vehicle Data'!D$20))</f>
        <v>86.131799999999998</v>
      </c>
      <c r="AL519">
        <f t="shared" si="405"/>
        <v>-258.56182951630785</v>
      </c>
      <c r="AN519">
        <f>IF(AG519&gt;0,AG519*'Vehicle Data'!C$6)</f>
        <v>203.97999753357286</v>
      </c>
      <c r="AO519">
        <f t="shared" si="409"/>
        <v>-54.581831982734997</v>
      </c>
      <c r="AP519">
        <f>AO519*'Vehicle Data'!F$3</f>
        <v>-13.951116254787065</v>
      </c>
      <c r="AQ519">
        <f>IF(AE519='Vehicle Data'!I$15,AP519/'Vehicle Data'!G$15,IF(AE519='Vehicle Data'!I$16,AP519/'Vehicle Data'!G$16,IF(AE519='Vehicle Data'!I$14,Data!AP519/'Vehicle Data'!G530)))</f>
        <v>-2.5755532005171999</v>
      </c>
      <c r="AR519">
        <f>IF(Z519&lt;'Vehicle Data'!C$16, Z519*'Vehicle Data'!F$7*'Vehicle Data'!G$14,IF(Z519&lt;'Vehicle Data'!C$15,Z519*'Vehicle Data'!F$7*'Vehicle Data'!G$15,IF(Z519&gt;'Vehicle Data'!C$15,Z519*'Vehicle Data'!F$7*'Vehicle Data'!G$16)))</f>
        <v>85.553902899033176</v>
      </c>
      <c r="AS519">
        <f t="shared" si="427"/>
        <v>5133.2341739419908</v>
      </c>
      <c r="AT519">
        <f t="shared" si="428"/>
        <v>-3</v>
      </c>
      <c r="AU519">
        <f t="shared" si="429"/>
        <v>5000</v>
      </c>
      <c r="AW519" t="e">
        <f>VLOOKUP(AT519,BSFC!A$64:A$82,1,FALSE)</f>
        <v>#N/A</v>
      </c>
      <c r="AX519" t="e" cm="1">
        <f t="array" ref="AX519">_xlfn.XLOOKUP(AT519,BSFC!A$64:A$82,,-1,_xlfn.XLOOKUP(Data!AU519,BSFC!C$63:Q$63,BSFC!B$64:Q$82,,-1))</f>
        <v>#VALUE!</v>
      </c>
      <c r="AY519">
        <f>HLOOKUP(AU519,BSFC!F$63:Q$63,1)</f>
        <v>5000</v>
      </c>
      <c r="AZ519">
        <f>IF(AT519&gt;0,MATCH(AT519,BSFC!A$64:A$83,0),IF(AT519&lt;=0,0))</f>
        <v>0</v>
      </c>
      <c r="BA519">
        <f>MATCH(AU519,BSFC!C$63:Q$63,0)</f>
        <v>10</v>
      </c>
      <c r="BB519" t="b" cm="1">
        <f t="array" ref="BB519">IF(AZ519&gt;0,INDEX(BSFC!C$64:Q$83,Data!AZ519,Data!BA519))</f>
        <v>0</v>
      </c>
      <c r="BC519">
        <f>0.5*'Vehicle Data'!C$6*Data!Z519^2</f>
        <v>21230.287558162672</v>
      </c>
      <c r="BD519">
        <f t="shared" si="410"/>
        <v>6.4979271417635163</v>
      </c>
      <c r="BE519">
        <f t="shared" si="430"/>
        <v>0</v>
      </c>
      <c r="BF519">
        <f t="shared" si="431"/>
        <v>0</v>
      </c>
      <c r="BG519">
        <f t="shared" si="411"/>
        <v>243.08419082793981</v>
      </c>
      <c r="BH519">
        <f t="shared" si="374"/>
        <v>-1378.9025558719818</v>
      </c>
      <c r="BI519" s="148">
        <f t="shared" si="412"/>
        <v>6871.6622130335309</v>
      </c>
      <c r="BO519">
        <f t="shared" si="413"/>
        <v>-319.76258937567638</v>
      </c>
      <c r="BP519">
        <f t="shared" si="414"/>
        <v>921513.18862794107</v>
      </c>
      <c r="BQ519">
        <f t="shared" si="415"/>
        <v>1312953.4136963258</v>
      </c>
      <c r="BR519" s="148">
        <f t="shared" si="416"/>
        <v>1246626.9168756334</v>
      </c>
      <c r="BS519" s="156" t="b">
        <f t="shared" si="417"/>
        <v>0</v>
      </c>
      <c r="BT519" s="156">
        <f t="shared" si="418"/>
        <v>0</v>
      </c>
      <c r="BU519">
        <f t="shared" si="419"/>
        <v>1593.5139819688545</v>
      </c>
      <c r="BV519">
        <f t="shared" si="420"/>
        <v>1593.5139819688545</v>
      </c>
      <c r="BW519" s="148">
        <f t="shared" si="421"/>
        <v>455.4</v>
      </c>
      <c r="BX519" s="148">
        <f t="shared" si="422"/>
        <v>3129354.9718154697</v>
      </c>
      <c r="BY519" s="148">
        <f t="shared" si="423"/>
        <v>0.20157951871906007</v>
      </c>
      <c r="BZ519">
        <f t="shared" si="406"/>
        <v>181.18373172246461</v>
      </c>
      <c r="CB519">
        <f t="shared" si="424"/>
        <v>1593.5139819688545</v>
      </c>
      <c r="CC519" s="162">
        <f t="shared" si="407"/>
        <v>6677.2667914452304</v>
      </c>
      <c r="CD519">
        <f t="shared" si="432"/>
        <v>-67058.43729971908</v>
      </c>
    </row>
    <row r="520" spans="4:82" x14ac:dyDescent="0.2">
      <c r="D520" s="22">
        <f t="shared" si="398"/>
        <v>-0.13527965497370459</v>
      </c>
      <c r="E520" s="23">
        <v>9.8859010845241126</v>
      </c>
      <c r="F520" s="23">
        <f>IF(K520&lt;6,1,IF(Data!K520&lt;9,2,IF(K520&gt;9,3)))</f>
        <v>3</v>
      </c>
      <c r="G520" s="23">
        <v>1094.1523320865667</v>
      </c>
      <c r="H520" s="23">
        <v>220.51666499999999</v>
      </c>
      <c r="I520" s="64">
        <v>44.85080364034274</v>
      </c>
      <c r="J520" s="65">
        <f t="shared" si="399"/>
        <v>-16.366979109841655</v>
      </c>
      <c r="K520" s="65">
        <f t="shared" si="400"/>
        <v>17.940321456137095</v>
      </c>
      <c r="L520" s="65">
        <f t="shared" si="401"/>
        <v>-6.5467916439366327</v>
      </c>
      <c r="M520">
        <f t="shared" si="402"/>
        <v>19.771802169048225</v>
      </c>
      <c r="N520">
        <f t="shared" si="403"/>
        <v>-0.29999713777051795</v>
      </c>
      <c r="O520">
        <f>IF(L520&lt;'Vehicle Data'!F$21,'Vehicle Data'!C$21,IF(L520&gt;'Vehicle Data'!C$21,'Vehicle Data'!C$20))</f>
        <v>0.6</v>
      </c>
      <c r="P520">
        <f>('Vehicle Data'!C$6*9.81*'Vehicle Data'!C$5*SIN(D520))/'Vehicle Data'!C$9</f>
        <v>-89.817319491794251</v>
      </c>
      <c r="Q520" s="107">
        <f>'Vehicle Data'!C$6*9.81*SIN(D520)</f>
        <v>-580.81866604693607</v>
      </c>
      <c r="R520">
        <f t="shared" si="395"/>
        <v>1091.8870959248682</v>
      </c>
      <c r="S520">
        <f>IF(Data!O520=0.6,'Vehicle Data'!E$21,IF(Data!O520 = 0.9,'Vehicle Data'!E$20))+(P520*O520)</f>
        <v>1496.4820083049233</v>
      </c>
      <c r="T520">
        <f>IF(F520=3,'Vehicle Data'!H$16,IF(F520=2,'Vehicle Data'!H$15,IF(F520 = 1,'Vehicle Data'!G$14)))</f>
        <v>466.23005239380637</v>
      </c>
      <c r="U520" s="148">
        <f t="shared" si="404"/>
        <v>375.7486138015521</v>
      </c>
      <c r="V520" s="70" t="s">
        <v>77</v>
      </c>
      <c r="W520" s="99" t="s">
        <v>84</v>
      </c>
      <c r="X520">
        <f>IF(V520="S",'Vehicle Data'!C$14,IF(Data!V520 = "T1",'Vehicle Data'!P$2,IF(Data!V520="T2",'Vehicle Data'!P$3)))</f>
        <v>13.411199999999999</v>
      </c>
      <c r="Z520">
        <f t="shared" si="397"/>
        <v>9.9424161488147877</v>
      </c>
      <c r="AB520" t="b">
        <f>IF(AA520=1,'Vehicle Data'!I$14,IF(AA520=2,'Vehicle Data'!I$15,IF(AA520=3,'Vehicle Data'!I$16)))</f>
        <v>0</v>
      </c>
      <c r="AC520">
        <f>IF(Z520&lt;'Vehicle Data'!C$16,'Vehicle Data'!I$15,IF(Z520&lt;'Vehicle Data'!C$15,'Vehicle Data'!I$15,IF(Z519&gt;'Vehicle Data'!C$15,'Vehicle Data'!I$16)))</f>
        <v>0.46202745420001456</v>
      </c>
      <c r="AD520">
        <f>IF(O520=0.6,'Vehicle Data'!F$21,IF(O520=0.9,'Vehicle Data'!F$20))</f>
        <v>3.5315999999999996</v>
      </c>
      <c r="AE520" s="100">
        <f t="shared" si="396"/>
        <v>0.46202745420001456</v>
      </c>
      <c r="AF520" s="158">
        <f t="shared" si="425"/>
        <v>0.23189643678154395</v>
      </c>
      <c r="AG520" s="148">
        <f t="shared" si="408"/>
        <v>0.46454412310605164</v>
      </c>
      <c r="AH520" s="148">
        <f t="shared" si="426"/>
        <v>181.41562815924615</v>
      </c>
      <c r="AJ520">
        <f>(Z520^2)*'Vehicle Data'!C$31</f>
        <v>36.327977287008316</v>
      </c>
      <c r="AK520">
        <f>IF(O520=0.6,'Vehicle Data'!C$6*'Vehicle Data'!D$21*9.81,IF(O520=0.9,'Vehicle Data'!C$6*9.81*'Vehicle Data'!D$20))</f>
        <v>86.131799999999998</v>
      </c>
      <c r="AL520">
        <f t="shared" si="405"/>
        <v>-458.35888875992777</v>
      </c>
      <c r="AN520">
        <f>IF(AG520&gt;0,AG520*'Vehicle Data'!C$6)</f>
        <v>203.93487004355666</v>
      </c>
      <c r="AO520">
        <f t="shared" si="409"/>
        <v>-254.42401871637111</v>
      </c>
      <c r="AP520">
        <f>AO520*'Vehicle Data'!F$3</f>
        <v>-65.030779183904457</v>
      </c>
      <c r="AQ520">
        <f>IF(AE520='Vehicle Data'!I$15,AP520/'Vehicle Data'!G$15,IF(AE520='Vehicle Data'!I$16,AP520/'Vehicle Data'!G$16,IF(AE520='Vehicle Data'!I$14,Data!AP520/'Vehicle Data'!G531)))</f>
        <v>-12.005507545087031</v>
      </c>
      <c r="AR520">
        <f>IF(Z520&lt;'Vehicle Data'!C$16, Z520*'Vehicle Data'!F$7*'Vehicle Data'!G$14,IF(Z520&lt;'Vehicle Data'!C$15,Z520*'Vehicle Data'!F$7*'Vehicle Data'!G$15,IF(Z520&gt;'Vehicle Data'!C$15,Z520*'Vehicle Data'!F$7*'Vehicle Data'!G$16)))</f>
        <v>86.49103366552275</v>
      </c>
      <c r="AS520">
        <f t="shared" si="427"/>
        <v>5189.4620199313649</v>
      </c>
      <c r="AT520">
        <f t="shared" si="428"/>
        <v>-12</v>
      </c>
      <c r="AU520">
        <f t="shared" si="429"/>
        <v>5000</v>
      </c>
      <c r="AW520" t="e">
        <f>VLOOKUP(AT520,BSFC!A$64:A$82,1,FALSE)</f>
        <v>#N/A</v>
      </c>
      <c r="AX520" t="e" cm="1">
        <f t="array" ref="AX520">_xlfn.XLOOKUP(AT520,BSFC!A$64:A$82,,-1,_xlfn.XLOOKUP(Data!AU520,BSFC!C$63:Q$63,BSFC!B$64:Q$82,,-1))</f>
        <v>#VALUE!</v>
      </c>
      <c r="AY520">
        <f>HLOOKUP(AU520,BSFC!F$63:Q$63,1)</f>
        <v>5000</v>
      </c>
      <c r="AZ520">
        <f>IF(AT520&gt;0,MATCH(AT520,BSFC!A$64:A$83,0),IF(AT520&lt;=0,0))</f>
        <v>0</v>
      </c>
      <c r="BA520">
        <f>MATCH(AU520,BSFC!C$63:Q$63,0)</f>
        <v>10</v>
      </c>
      <c r="BB520" t="b" cm="1">
        <f t="array" ref="BB520">IF(AZ520&gt;0,INDEX(BSFC!C$64:Q$83,Data!AZ520,Data!BA520))</f>
        <v>0</v>
      </c>
      <c r="BC520">
        <f>0.5*'Vehicle Data'!C$6*Data!Z520^2</f>
        <v>21697.93473332877</v>
      </c>
      <c r="BD520">
        <f t="shared" si="410"/>
        <v>0</v>
      </c>
      <c r="BE520">
        <f t="shared" si="430"/>
        <v>0</v>
      </c>
      <c r="BF520">
        <f t="shared" si="431"/>
        <v>0</v>
      </c>
      <c r="BG520">
        <f t="shared" si="411"/>
        <v>243.08419082793981</v>
      </c>
      <c r="BH520">
        <f t="shared" si="374"/>
        <v>-6497.9271417635164</v>
      </c>
      <c r="BI520" s="148">
        <f t="shared" si="412"/>
        <v>6871.6622130335309</v>
      </c>
      <c r="BO520">
        <f t="shared" si="413"/>
        <v>-1465.0291239831979</v>
      </c>
      <c r="BP520">
        <f t="shared" si="414"/>
        <v>920048.15950395784</v>
      </c>
      <c r="BQ520">
        <f t="shared" si="415"/>
        <v>1312953.4136963258</v>
      </c>
      <c r="BR520" s="148">
        <f t="shared" si="416"/>
        <v>1248176.2086809485</v>
      </c>
      <c r="BS520" s="156" t="b">
        <f t="shared" si="417"/>
        <v>0</v>
      </c>
      <c r="BT520" s="156">
        <f t="shared" si="418"/>
        <v>0</v>
      </c>
      <c r="BU520">
        <f t="shared" si="419"/>
        <v>1549.2918053151263</v>
      </c>
      <c r="BV520">
        <f t="shared" si="420"/>
        <v>1549.2918053151263</v>
      </c>
      <c r="BW520" s="148">
        <f t="shared" si="421"/>
        <v>455.4</v>
      </c>
      <c r="BX520" s="148">
        <f t="shared" si="422"/>
        <v>3129354.9718154697</v>
      </c>
      <c r="BY520" s="148">
        <f t="shared" si="423"/>
        <v>0.19598541337236347</v>
      </c>
      <c r="BZ520">
        <f t="shared" si="406"/>
        <v>181.41562815924615</v>
      </c>
      <c r="CB520">
        <f t="shared" si="424"/>
        <v>1549.2918053151263</v>
      </c>
      <c r="CC520" s="162">
        <f t="shared" si="407"/>
        <v>6680.9642563617817</v>
      </c>
      <c r="CD520">
        <f t="shared" si="432"/>
        <v>-65509.145494403951</v>
      </c>
    </row>
    <row r="521" spans="4:82" x14ac:dyDescent="0.2">
      <c r="D521" s="22">
        <f t="shared" si="398"/>
        <v>-0.1378028096821646</v>
      </c>
      <c r="E521" s="23">
        <v>9.5859039467535947</v>
      </c>
      <c r="F521" s="23">
        <f>IF(K521&lt;6,1,IF(Data!K521&lt;9,2,IF(K521&gt;9,3)))</f>
        <v>3</v>
      </c>
      <c r="G521" s="23">
        <v>1096.3767176806873</v>
      </c>
      <c r="H521" s="23">
        <v>220.566665</v>
      </c>
      <c r="I521" s="64">
        <v>44.032454684850471</v>
      </c>
      <c r="J521" s="65">
        <f t="shared" si="399"/>
        <v>-15.79245069171121</v>
      </c>
      <c r="K521" s="65">
        <f t="shared" si="400"/>
        <v>17.612981873940189</v>
      </c>
      <c r="L521" s="65">
        <f t="shared" si="401"/>
        <v>-6.3169802766845127</v>
      </c>
      <c r="M521">
        <f t="shared" si="402"/>
        <v>19.171807893507189</v>
      </c>
      <c r="N521">
        <f t="shared" si="403"/>
        <v>-0.30000138864842896</v>
      </c>
      <c r="O521">
        <f>IF(L521&lt;'Vehicle Data'!F$21,'Vehicle Data'!C$21,IF(L521&gt;'Vehicle Data'!C$21,'Vehicle Data'!C$20))</f>
        <v>0.6</v>
      </c>
      <c r="P521">
        <f>('Vehicle Data'!C$6*9.81*'Vehicle Data'!C$5*SIN(D521))/'Vehicle Data'!C$9</f>
        <v>-91.482018761150869</v>
      </c>
      <c r="Q521" s="107">
        <f>'Vehicle Data'!C$6*9.81*SIN(D521)</f>
        <v>-591.58372132210889</v>
      </c>
      <c r="R521">
        <f t="shared" si="395"/>
        <v>1094.1523320865667</v>
      </c>
      <c r="S521">
        <f>IF(Data!O521=0.6,'Vehicle Data'!E$21,IF(Data!O521 = 0.9,'Vehicle Data'!E$20))+(P521*O521)</f>
        <v>1495.4831887433093</v>
      </c>
      <c r="T521">
        <f>IF(F521=3,'Vehicle Data'!H$16,IF(F521=2,'Vehicle Data'!H$15,IF(F521 = 1,'Vehicle Data'!G$14)))</f>
        <v>466.23005239380637</v>
      </c>
      <c r="U521" s="148">
        <f t="shared" si="404"/>
        <v>378.01384996325066</v>
      </c>
      <c r="V521" s="70" t="s">
        <v>77</v>
      </c>
      <c r="W521" s="99" t="s">
        <v>84</v>
      </c>
      <c r="X521">
        <f>IF(V521="S",'Vehicle Data'!C$14,IF(Data!V521 = "T1",'Vehicle Data'!P$2,IF(Data!V521="T2",'Vehicle Data'!P$3)))</f>
        <v>13.411199999999999</v>
      </c>
      <c r="Z521">
        <f t="shared" si="397"/>
        <v>10.047131006915151</v>
      </c>
      <c r="AB521" t="b">
        <f>IF(AA521=1,'Vehicle Data'!I$14,IF(AA521=2,'Vehicle Data'!I$15,IF(AA521=3,'Vehicle Data'!I$16)))</f>
        <v>0</v>
      </c>
      <c r="AC521">
        <v>1.3037776999999999</v>
      </c>
      <c r="AD521">
        <f>IF(O521=0.6,'Vehicle Data'!F$21,IF(O521=0.9,'Vehicle Data'!F$20))</f>
        <v>3.5315999999999996</v>
      </c>
      <c r="AE521" s="100">
        <f t="shared" si="396"/>
        <v>1.3037776999999999</v>
      </c>
      <c r="AF521" s="158">
        <f t="shared" si="425"/>
        <v>0.22546099579466719</v>
      </c>
      <c r="AG521" s="148">
        <f t="shared" si="408"/>
        <v>0.46444777612767218</v>
      </c>
      <c r="AH521" s="148">
        <f t="shared" si="426"/>
        <v>181.64108915504082</v>
      </c>
      <c r="AJ521">
        <f>(Z521^2)*'Vehicle Data'!C$31</f>
        <v>37.097229240267588</v>
      </c>
      <c r="AK521">
        <f>IF(O521=0.6,'Vehicle Data'!C$6*'Vehicle Data'!D$21*9.81,IF(O521=0.9,'Vehicle Data'!C$6*9.81*'Vehicle Data'!D$20))</f>
        <v>86.131799999999998</v>
      </c>
      <c r="AL521">
        <f t="shared" si="405"/>
        <v>-468.35469208184134</v>
      </c>
      <c r="AN521">
        <f>IF(AG521&gt;0,AG521*'Vehicle Data'!C$6)</f>
        <v>203.89257372004809</v>
      </c>
      <c r="AO521">
        <f t="shared" si="409"/>
        <v>-264.46211836179327</v>
      </c>
      <c r="AP521">
        <f>AO521*'Vehicle Data'!F$3</f>
        <v>-67.596517453274359</v>
      </c>
      <c r="AQ521" t="b">
        <f>IF(AE521='Vehicle Data'!I$15,AP521/'Vehicle Data'!G$15,IF(AE521='Vehicle Data'!I$16,AP521/'Vehicle Data'!G$16,IF(AE521='Vehicle Data'!I$14,Data!AP521/'Vehicle Data'!G532)))</f>
        <v>0</v>
      </c>
      <c r="AR521">
        <f>IF(Z521&lt;'Vehicle Data'!C$16, Z521*'Vehicle Data'!F$7*'Vehicle Data'!G$14,IF(Z521&lt;'Vehicle Data'!C$15,Z521*'Vehicle Data'!F$7*'Vehicle Data'!G$15,IF(Z521&gt;'Vehicle Data'!C$15,Z521*'Vehicle Data'!F$7*'Vehicle Data'!G$16)))</f>
        <v>87.401968812641755</v>
      </c>
      <c r="AS521">
        <f t="shared" si="427"/>
        <v>5244.118128758505</v>
      </c>
      <c r="AT521">
        <f t="shared" si="428"/>
        <v>0</v>
      </c>
      <c r="AU521">
        <f t="shared" si="429"/>
        <v>5000</v>
      </c>
      <c r="AW521" t="e">
        <f>VLOOKUP(AT521,BSFC!A$64:A$82,1,FALSE)</f>
        <v>#N/A</v>
      </c>
      <c r="AX521" t="e" cm="1">
        <f t="array" ref="AX521">_xlfn.XLOOKUP(AT521,BSFC!A$64:A$82,,-1,_xlfn.XLOOKUP(Data!AU521,BSFC!C$63:Q$63,BSFC!B$64:Q$82,,-1))</f>
        <v>#VALUE!</v>
      </c>
      <c r="AY521">
        <f>HLOOKUP(AU521,BSFC!F$63:Q$63,1)</f>
        <v>5000</v>
      </c>
      <c r="AZ521">
        <f>IF(AT521&gt;0,MATCH(AT521,BSFC!A$64:A$83,0),IF(AT521&lt;=0,0))</f>
        <v>0</v>
      </c>
      <c r="BA521">
        <f>MATCH(AU521,BSFC!C$63:Q$63,0)</f>
        <v>10</v>
      </c>
      <c r="BB521" t="b" cm="1">
        <f t="array" ref="BB521">IF(AZ521&gt;0,INDEX(BSFC!C$64:Q$83,Data!AZ521,Data!BA521))</f>
        <v>0</v>
      </c>
      <c r="BC521">
        <f>0.5*'Vehicle Data'!C$6*Data!Z521^2</f>
        <v>22157.392702690431</v>
      </c>
      <c r="BD521">
        <f t="shared" si="410"/>
        <v>3.5864720281922668</v>
      </c>
      <c r="BE521">
        <f t="shared" si="430"/>
        <v>0</v>
      </c>
      <c r="BF521">
        <f t="shared" si="431"/>
        <v>0</v>
      </c>
      <c r="BG521">
        <f t="shared" si="411"/>
        <v>243.08419082793981</v>
      </c>
      <c r="BH521">
        <f t="shared" si="374"/>
        <v>0</v>
      </c>
      <c r="BI521" s="148">
        <f t="shared" si="412"/>
        <v>6871.6622130335309</v>
      </c>
      <c r="BO521">
        <f t="shared" si="413"/>
        <v>0</v>
      </c>
      <c r="BP521">
        <f t="shared" si="414"/>
        <v>920048.15950395784</v>
      </c>
      <c r="BQ521">
        <f t="shared" si="415"/>
        <v>1312953.4136963258</v>
      </c>
      <c r="BR521" s="148">
        <f t="shared" si="416"/>
        <v>1249655.6508859692</v>
      </c>
      <c r="BS521" s="156" t="b">
        <f t="shared" si="417"/>
        <v>0</v>
      </c>
      <c r="BT521" s="156">
        <f t="shared" si="418"/>
        <v>0</v>
      </c>
      <c r="BU521">
        <f t="shared" si="419"/>
        <v>1479.4422050206522</v>
      </c>
      <c r="BV521">
        <f t="shared" si="420"/>
        <v>1479.4422050206522</v>
      </c>
      <c r="BW521" s="148">
        <f t="shared" si="421"/>
        <v>455.4</v>
      </c>
      <c r="BX521" s="148">
        <f t="shared" si="422"/>
        <v>3129354.9718154697</v>
      </c>
      <c r="BY521" s="148">
        <f t="shared" si="423"/>
        <v>0.18714943893511249</v>
      </c>
      <c r="BZ521">
        <f t="shared" si="406"/>
        <v>181.64108915504082</v>
      </c>
      <c r="CB521">
        <f t="shared" si="424"/>
        <v>1479.4422050206522</v>
      </c>
      <c r="CC521" s="162">
        <f t="shared" si="407"/>
        <v>6561.8543012559276</v>
      </c>
      <c r="CD521">
        <f t="shared" si="432"/>
        <v>-64029.703289383295</v>
      </c>
    </row>
    <row r="522" spans="4:82" x14ac:dyDescent="0.2">
      <c r="D522" s="22">
        <f t="shared" si="398"/>
        <v>-0.13288009181467</v>
      </c>
      <c r="E522" s="23">
        <v>9.2859025581051657</v>
      </c>
      <c r="F522" s="23">
        <f>IF(K522&lt;6,1,IF(Data!K522&lt;9,2,IF(K522&gt;9,3)))</f>
        <v>3</v>
      </c>
      <c r="G522" s="23">
        <v>1098.5606570518587</v>
      </c>
      <c r="H522" s="23">
        <v>220.61666499999998</v>
      </c>
      <c r="I522" s="64">
        <v>43.24283215026518</v>
      </c>
      <c r="J522" s="65">
        <f t="shared" si="399"/>
        <v>-15.168623118003911</v>
      </c>
      <c r="K522" s="65">
        <f t="shared" si="400"/>
        <v>17.297132860106071</v>
      </c>
      <c r="L522" s="65">
        <f t="shared" si="401"/>
        <v>-6.0674492472015791</v>
      </c>
      <c r="M522">
        <f t="shared" si="402"/>
        <v>18.571805116210331</v>
      </c>
      <c r="N522">
        <f t="shared" si="403"/>
        <v>-0.28420095810516699</v>
      </c>
      <c r="O522">
        <f>IF(L522&lt;'Vehicle Data'!F$21,'Vehicle Data'!C$21,IF(L522&gt;'Vehicle Data'!C$21,'Vehicle Data'!C$20))</f>
        <v>0.6</v>
      </c>
      <c r="P522">
        <f>('Vehicle Data'!C$6*9.81*'Vehicle Data'!C$5*SIN(D522))/'Vehicle Data'!C$9</f>
        <v>-88.233631457817623</v>
      </c>
      <c r="Q522" s="107">
        <f>'Vehicle Data'!C$6*9.81*SIN(D522)</f>
        <v>-570.57748342722061</v>
      </c>
      <c r="R522">
        <f t="shared" si="395"/>
        <v>1096.3767176806873</v>
      </c>
      <c r="S522">
        <f>IF(Data!O522=0.6,'Vehicle Data'!E$21,IF(Data!O522 = 0.9,'Vehicle Data'!E$20))+(P522*O522)</f>
        <v>1497.4322211253091</v>
      </c>
      <c r="T522">
        <f>IF(F522=3,'Vehicle Data'!H$16,IF(F522=2,'Vehicle Data'!H$15,IF(F522 = 1,'Vehicle Data'!G$14)))</f>
        <v>466.23005239380637</v>
      </c>
      <c r="U522" s="148">
        <f t="shared" si="404"/>
        <v>380.23823555737124</v>
      </c>
      <c r="V522" s="70" t="s">
        <v>77</v>
      </c>
      <c r="W522" s="99" t="s">
        <v>84</v>
      </c>
      <c r="X522">
        <f>IF(V522="S",'Vehicle Data'!C$14,IF(Data!V522 = "T1",'Vehicle Data'!P$2,IF(Data!V522="T2",'Vehicle Data'!P$3)))</f>
        <v>13.411199999999999</v>
      </c>
      <c r="Z522">
        <f t="shared" si="397"/>
        <v>10.331749616485446</v>
      </c>
      <c r="AB522" t="b">
        <f>IF(AA522=1,'Vehicle Data'!I$14,IF(AA522=2,'Vehicle Data'!I$15,IF(AA522=3,'Vehicle Data'!I$16)))</f>
        <v>0</v>
      </c>
      <c r="AC522">
        <f>IF(Z522&lt;'Vehicle Data'!C$16,'Vehicle Data'!I$15,IF(Z522&lt;'Vehicle Data'!C$15,'Vehicle Data'!I$15,IF(Z521&gt;'Vehicle Data'!C$15,'Vehicle Data'!I$16)))</f>
        <v>0.46202745420001456</v>
      </c>
      <c r="AD522">
        <f>IF(O522=0.6,'Vehicle Data'!F$21,IF(O522=0.9,'Vehicle Data'!F$20))</f>
        <v>3.5315999999999996</v>
      </c>
      <c r="AE522" s="100">
        <f t="shared" si="396"/>
        <v>0.46202745420001456</v>
      </c>
      <c r="AF522" s="158">
        <f t="shared" si="425"/>
        <v>0.21529611892368394</v>
      </c>
      <c r="AG522" s="148">
        <f t="shared" si="408"/>
        <v>1.3219867176109363</v>
      </c>
      <c r="AH522" s="148">
        <f t="shared" si="426"/>
        <v>181.85638527396449</v>
      </c>
      <c r="AJ522">
        <f>(Z522^2)*'Vehicle Data'!C$31</f>
        <v>39.22880592562209</v>
      </c>
      <c r="AK522">
        <f>IF(O522=0.6,'Vehicle Data'!C$6*'Vehicle Data'!D$21*9.81,IF(O522=0.9,'Vehicle Data'!C$6*9.81*'Vehicle Data'!D$20))</f>
        <v>86.131799999999998</v>
      </c>
      <c r="AL522">
        <f t="shared" si="405"/>
        <v>-445.21687750159856</v>
      </c>
      <c r="AN522">
        <f>IF(AG522&gt;0,AG522*'Vehicle Data'!C$6)</f>
        <v>580.35216903120102</v>
      </c>
      <c r="AO522">
        <f t="shared" si="409"/>
        <v>135.13529152960245</v>
      </c>
      <c r="AP522">
        <f>AO522*'Vehicle Data'!F$3</f>
        <v>34.540580514966386</v>
      </c>
      <c r="AQ522">
        <f>IF(AE522='Vehicle Data'!I$15,AP522/'Vehicle Data'!G$15,IF(AE522='Vehicle Data'!I$16,AP522/'Vehicle Data'!G$16,IF(AE522='Vehicle Data'!I$14,Data!AP522/'Vehicle Data'!G533)))</f>
        <v>6.3766297311527582</v>
      </c>
      <c r="AR522">
        <f>IF(Z522&lt;'Vehicle Data'!C$16, Z522*'Vehicle Data'!F$7*'Vehicle Data'!G$14,IF(Z522&lt;'Vehicle Data'!C$15,Z522*'Vehicle Data'!F$7*'Vehicle Data'!G$15,IF(Z522&gt;'Vehicle Data'!C$15,Z522*'Vehicle Data'!F$7*'Vehicle Data'!G$16)))</f>
        <v>89.877922079304525</v>
      </c>
      <c r="AS522">
        <f t="shared" si="427"/>
        <v>5392.6753247582719</v>
      </c>
      <c r="AT522">
        <f t="shared" si="428"/>
        <v>6</v>
      </c>
      <c r="AU522">
        <f t="shared" si="429"/>
        <v>5500</v>
      </c>
      <c r="AW522">
        <f>VLOOKUP(AT522,BSFC!A$64:A$82,1,FALSE)</f>
        <v>6</v>
      </c>
      <c r="AX522" t="e" cm="1">
        <f t="array" ref="AX522">_xlfn.XLOOKUP(AT522,BSFC!A$64:A$82,,-1,_xlfn.XLOOKUP(Data!AU522,BSFC!C$63:Q$63,BSFC!B$64:Q$82,,-1))</f>
        <v>#VALUE!</v>
      </c>
      <c r="AY522">
        <f>HLOOKUP(AU522,BSFC!F$63:Q$63,1)</f>
        <v>5500</v>
      </c>
      <c r="AZ522">
        <f>IF(AT522&gt;0,MATCH(AT522,BSFC!A$64:A$83,0),IF(AT522&lt;=0,0))</f>
        <v>17</v>
      </c>
      <c r="BA522">
        <f>MATCH(AU522,BSFC!C$63:Q$63,0)</f>
        <v>11</v>
      </c>
      <c r="BB522" cm="1">
        <f t="array" ref="BB522">IF(AZ522&gt;0,INDEX(BSFC!C$64:Q$83,Data!AZ522,Data!BA522))</f>
        <v>664</v>
      </c>
      <c r="BC522">
        <f>0.5*'Vehicle Data'!C$6*Data!Z522^2</f>
        <v>23430.538505235501</v>
      </c>
      <c r="BD522">
        <f t="shared" si="410"/>
        <v>8.8373949316118221</v>
      </c>
      <c r="BE522">
        <f t="shared" si="430"/>
        <v>5868.0302345902501</v>
      </c>
      <c r="BF522">
        <f t="shared" si="431"/>
        <v>0.35093448200947652</v>
      </c>
      <c r="BG522">
        <f t="shared" si="411"/>
        <v>243.43512530994929</v>
      </c>
      <c r="BH522">
        <f t="shared" si="374"/>
        <v>3586.4720281922669</v>
      </c>
      <c r="BI522" s="148">
        <f t="shared" si="412"/>
        <v>6871.6622130335309</v>
      </c>
      <c r="BO522">
        <f t="shared" si="413"/>
        <v>751.04710593459083</v>
      </c>
      <c r="BP522">
        <f t="shared" si="414"/>
        <v>920799.20660989243</v>
      </c>
      <c r="BQ522">
        <f t="shared" si="415"/>
        <v>1313704.4608022606</v>
      </c>
      <c r="BR522" s="148">
        <f t="shared" si="416"/>
        <v>1251094.653331127</v>
      </c>
      <c r="BS522" s="156">
        <f t="shared" si="417"/>
        <v>751.04710593459083</v>
      </c>
      <c r="BT522" s="156">
        <f t="shared" si="418"/>
        <v>3586.4720281922669</v>
      </c>
      <c r="BU522">
        <f t="shared" si="419"/>
        <v>1439.0024451578538</v>
      </c>
      <c r="BV522">
        <f t="shared" si="420"/>
        <v>1439.0024451578538</v>
      </c>
      <c r="BW522" s="148">
        <f t="shared" si="421"/>
        <v>455.4</v>
      </c>
      <c r="BX522" s="148">
        <f t="shared" si="422"/>
        <v>3129354.9718154697</v>
      </c>
      <c r="BY522" s="148">
        <f t="shared" si="423"/>
        <v>0.18203380931246846</v>
      </c>
      <c r="BZ522">
        <f t="shared" si="406"/>
        <v>181.85638527396449</v>
      </c>
      <c r="CB522">
        <f t="shared" si="424"/>
        <v>687.95533922326297</v>
      </c>
      <c r="CC522" s="162">
        <f t="shared" si="407"/>
        <v>3195.391271624138</v>
      </c>
      <c r="CD522">
        <f t="shared" si="432"/>
        <v>-63341.747950160032</v>
      </c>
    </row>
    <row r="523" spans="4:82" x14ac:dyDescent="0.2">
      <c r="D523" s="22">
        <f t="shared" si="398"/>
        <v>0</v>
      </c>
      <c r="E523" s="23">
        <v>9.0017015999999987</v>
      </c>
      <c r="F523" s="23">
        <f>IF(K523&lt;6,1,IF(Data!K523&lt;9,2,IF(K523&gt;9,3)))</f>
        <v>3</v>
      </c>
      <c r="G523" s="23">
        <v>1100.7057417068199</v>
      </c>
      <c r="H523" s="23">
        <v>220.66666499999999</v>
      </c>
      <c r="I523" s="64">
        <v>42.484400994364812</v>
      </c>
      <c r="J523" s="65">
        <f t="shared" si="399"/>
        <v>-15.514697512459497</v>
      </c>
      <c r="K523" s="65">
        <f t="shared" si="400"/>
        <v>16.993760397745923</v>
      </c>
      <c r="L523" s="65">
        <f t="shared" si="401"/>
        <v>-6.2058790049837702</v>
      </c>
      <c r="M523">
        <f t="shared" si="402"/>
        <v>18.003403199999997</v>
      </c>
      <c r="N523">
        <f t="shared" si="403"/>
        <v>0</v>
      </c>
      <c r="O523">
        <f>IF(L523&lt;'Vehicle Data'!F$21,'Vehicle Data'!C$21,IF(L523&gt;'Vehicle Data'!C$21,'Vehicle Data'!C$20))</f>
        <v>0.6</v>
      </c>
      <c r="P523">
        <f>('Vehicle Data'!C$6*9.81*'Vehicle Data'!C$5*SIN(D523))/'Vehicle Data'!C$9</f>
        <v>0</v>
      </c>
      <c r="Q523" s="107">
        <f>'Vehicle Data'!C$6*9.81*SIN(D523)</f>
        <v>0</v>
      </c>
      <c r="R523">
        <f t="shared" si="395"/>
        <v>1098.5606570518587</v>
      </c>
      <c r="S523">
        <f>IF(Data!O523=0.6,'Vehicle Data'!E$21,IF(Data!O523 = 0.9,'Vehicle Data'!E$20))+(P523*O523)</f>
        <v>1550.3723999999997</v>
      </c>
      <c r="T523">
        <f>IF(F523=3,'Vehicle Data'!H$16,IF(F523=2,'Vehicle Data'!H$15,IF(F523 = 1,'Vehicle Data'!G$14)))</f>
        <v>466.23005239380637</v>
      </c>
      <c r="U523" s="148">
        <f t="shared" si="404"/>
        <v>382.42217492854263</v>
      </c>
      <c r="V523" s="70" t="s">
        <v>77</v>
      </c>
      <c r="W523" s="99" t="s">
        <v>84</v>
      </c>
      <c r="X523">
        <f>IF(V523="S",'Vehicle Data'!C$14,IF(Data!V523 = "T1",'Vehicle Data'!P$2,IF(Data!V523="T2",'Vehicle Data'!P$3)))</f>
        <v>13.411199999999999</v>
      </c>
      <c r="Z523">
        <f t="shared" si="397"/>
        <v>10.428956325219037</v>
      </c>
      <c r="AB523" t="b">
        <f>IF(AA523=1,'Vehicle Data'!I$14,IF(AA523=2,'Vehicle Data'!I$15,IF(AA523=3,'Vehicle Data'!I$16)))</f>
        <v>0</v>
      </c>
      <c r="AC523">
        <f>IF(Z523&lt;'Vehicle Data'!C$16,'Vehicle Data'!I$15,IF(Z523&lt;'Vehicle Data'!C$15,'Vehicle Data'!I$15,IF(Z522&gt;'Vehicle Data'!C$15,'Vehicle Data'!I$16)))</f>
        <v>0.46202745420001456</v>
      </c>
      <c r="AD523">
        <f>IF(O523=0.6,'Vehicle Data'!F$21,IF(O523=0.9,'Vehicle Data'!F$20))</f>
        <v>3.5315999999999996</v>
      </c>
      <c r="AE523" s="100">
        <f t="shared" si="396"/>
        <v>0.46202745420001456</v>
      </c>
      <c r="AF523" s="158">
        <f t="shared" si="425"/>
        <v>0.2094111148869465</v>
      </c>
      <c r="AG523" s="148">
        <f t="shared" si="408"/>
        <v>0.46419077987369117</v>
      </c>
      <c r="AH523" s="148">
        <f t="shared" si="426"/>
        <v>182.06579638885142</v>
      </c>
      <c r="AJ523">
        <f>(Z523^2)*'Vehicle Data'!C$31</f>
        <v>39.970450287247374</v>
      </c>
      <c r="AK523">
        <f>IF(O523=0.6,'Vehicle Data'!C$6*'Vehicle Data'!D$21*9.81,IF(O523=0.9,'Vehicle Data'!C$6*9.81*'Vehicle Data'!D$20))</f>
        <v>86.131799999999998</v>
      </c>
      <c r="AL523">
        <f t="shared" si="405"/>
        <v>126.10225028724737</v>
      </c>
      <c r="AN523">
        <f>IF(AG523&gt;0,AG523*'Vehicle Data'!C$6)</f>
        <v>203.77975236455043</v>
      </c>
      <c r="AO523">
        <f t="shared" si="409"/>
        <v>329.88200265179779</v>
      </c>
      <c r="AP523">
        <f>AO523*'Vehicle Data'!F$3</f>
        <v>84.317839877799514</v>
      </c>
      <c r="AQ523">
        <f>IF(AE523='Vehicle Data'!I$15,AP523/'Vehicle Data'!G$15,IF(AE523='Vehicle Data'!I$16,AP523/'Vehicle Data'!G$16,IF(AE523='Vehicle Data'!I$14,Data!AP523/'Vehicle Data'!G534)))</f>
        <v>15.566143840529406</v>
      </c>
      <c r="AR523">
        <f>IF(Z523&lt;'Vehicle Data'!C$16, Z523*'Vehicle Data'!F$7*'Vehicle Data'!G$14,IF(Z523&lt;'Vehicle Data'!C$15,Z523*'Vehicle Data'!F$7*'Vehicle Data'!G$15,IF(Z523&gt;'Vehicle Data'!C$15,Z523*'Vehicle Data'!F$7*'Vehicle Data'!G$16)))</f>
        <v>90.723542358294139</v>
      </c>
      <c r="AS523">
        <f t="shared" si="427"/>
        <v>5443.4125414976479</v>
      </c>
      <c r="AT523">
        <f t="shared" si="428"/>
        <v>16</v>
      </c>
      <c r="AU523">
        <f t="shared" si="429"/>
        <v>5500</v>
      </c>
      <c r="AW523">
        <f>VLOOKUP(AT523,BSFC!A$64:A$82,1,FALSE)</f>
        <v>16</v>
      </c>
      <c r="AX523" t="e" cm="1">
        <f t="array" ref="AX523">_xlfn.XLOOKUP(AT523,BSFC!A$64:A$82,,-1,_xlfn.XLOOKUP(Data!AU523,BSFC!C$63:Q$63,BSFC!B$64:Q$82,,-1))</f>
        <v>#VALUE!</v>
      </c>
      <c r="AY523">
        <f>HLOOKUP(AU523,BSFC!F$63:Q$63,1)</f>
        <v>5500</v>
      </c>
      <c r="AZ523">
        <f>IF(AT523&gt;0,MATCH(AT523,BSFC!A$64:A$83,0),IF(AT523&lt;=0,0))</f>
        <v>7</v>
      </c>
      <c r="BA523">
        <f>MATCH(AU523,BSFC!C$63:Q$63,0)</f>
        <v>11</v>
      </c>
      <c r="BB523" cm="1">
        <f t="array" ref="BB523">IF(AZ523&gt;0,INDEX(BSFC!C$64:Q$83,Data!AZ523,Data!BA523))</f>
        <v>632.5</v>
      </c>
      <c r="BC523">
        <f>0.5*'Vehicle Data'!C$6*Data!Z523^2</f>
        <v>23873.507042315094</v>
      </c>
      <c r="BD523">
        <f t="shared" si="410"/>
        <v>8.9363363461116343</v>
      </c>
      <c r="BE523">
        <f t="shared" si="430"/>
        <v>5652.2327389156089</v>
      </c>
      <c r="BF523">
        <f t="shared" si="431"/>
        <v>0.32878898873800466</v>
      </c>
      <c r="BG523">
        <f t="shared" si="411"/>
        <v>243.7639142986873</v>
      </c>
      <c r="BH523">
        <f t="shared" si="374"/>
        <v>8837.3949316118214</v>
      </c>
      <c r="BI523" s="148">
        <f t="shared" si="412"/>
        <v>6871.6622130335309</v>
      </c>
      <c r="BO523">
        <f t="shared" si="413"/>
        <v>1801.3828999882371</v>
      </c>
      <c r="BP523">
        <f t="shared" si="414"/>
        <v>922600.58950988064</v>
      </c>
      <c r="BQ523">
        <f t="shared" si="415"/>
        <v>1315505.8437022488</v>
      </c>
      <c r="BR523" s="148">
        <f t="shared" si="416"/>
        <v>1252495.3483210923</v>
      </c>
      <c r="BS523" s="156">
        <f t="shared" si="417"/>
        <v>1801.3828999882371</v>
      </c>
      <c r="BT523" s="156">
        <f t="shared" si="418"/>
        <v>8837.3949316118214</v>
      </c>
      <c r="BU523">
        <f t="shared" si="419"/>
        <v>1400.6949899653582</v>
      </c>
      <c r="BV523">
        <f t="shared" si="420"/>
        <v>1400.6949899653582</v>
      </c>
      <c r="BW523" s="148">
        <f t="shared" si="421"/>
        <v>455.4</v>
      </c>
      <c r="BX523" s="148">
        <f t="shared" si="422"/>
        <v>3129354.9718154697</v>
      </c>
      <c r="BY523" s="148">
        <f t="shared" si="423"/>
        <v>0.1771879162306178</v>
      </c>
      <c r="BZ523">
        <f t="shared" si="406"/>
        <v>182.06579638885142</v>
      </c>
      <c r="CB523">
        <f t="shared" si="424"/>
        <v>-400.6879100228789</v>
      </c>
      <c r="CC523" s="162">
        <f t="shared" si="407"/>
        <v>-1913.4032605634209</v>
      </c>
      <c r="CD523">
        <f t="shared" si="432"/>
        <v>-63742.435860182908</v>
      </c>
    </row>
    <row r="524" spans="4:82" x14ac:dyDescent="0.2">
      <c r="D524" s="22">
        <f t="shared" si="398"/>
        <v>0</v>
      </c>
      <c r="E524" s="23">
        <v>9.0017015999999987</v>
      </c>
      <c r="F524" s="23">
        <f>IF(K524&lt;6,1,IF(Data!K524&lt;9,2,IF(K524&gt;9,3)))</f>
        <v>3</v>
      </c>
      <c r="G524" s="23">
        <v>1102.8123210779918</v>
      </c>
      <c r="H524" s="23">
        <v>220.71666499999998</v>
      </c>
      <c r="I524" s="64">
        <v>41.708666118742102</v>
      </c>
      <c r="J524" s="65">
        <f t="shared" si="399"/>
        <v>-16.151301331152176</v>
      </c>
      <c r="K524" s="65">
        <f t="shared" si="400"/>
        <v>16.683466447496841</v>
      </c>
      <c r="L524" s="65">
        <f t="shared" si="401"/>
        <v>-6.4605205324608992</v>
      </c>
      <c r="M524">
        <f t="shared" si="402"/>
        <v>18.003403199999997</v>
      </c>
      <c r="N524">
        <f t="shared" si="403"/>
        <v>0</v>
      </c>
      <c r="O524">
        <f>IF(L524&lt;'Vehicle Data'!F$21,'Vehicle Data'!C$21,IF(L524&gt;'Vehicle Data'!C$21,'Vehicle Data'!C$20))</f>
        <v>0.6</v>
      </c>
      <c r="P524">
        <f>('Vehicle Data'!C$6*9.81*'Vehicle Data'!C$5*SIN(D524))/'Vehicle Data'!C$9</f>
        <v>0</v>
      </c>
      <c r="Q524" s="107">
        <f>'Vehicle Data'!C$6*9.81*SIN(D524)</f>
        <v>0</v>
      </c>
      <c r="R524">
        <f t="shared" si="395"/>
        <v>1100.7057417068199</v>
      </c>
      <c r="S524">
        <f>IF(Data!O524=0.6,'Vehicle Data'!E$21,IF(Data!O524 = 0.9,'Vehicle Data'!E$20))+(P524*O524)</f>
        <v>1550.3723999999997</v>
      </c>
      <c r="T524">
        <f>IF(F524=3,'Vehicle Data'!H$16,IF(F524=2,'Vehicle Data'!H$15,IF(F524 = 1,'Vehicle Data'!G$14)))</f>
        <v>466.23005239380637</v>
      </c>
      <c r="U524" s="148">
        <f t="shared" si="404"/>
        <v>384.56725958350387</v>
      </c>
      <c r="V524" s="70" t="s">
        <v>77</v>
      </c>
      <c r="W524" s="99" t="s">
        <v>84</v>
      </c>
      <c r="X524">
        <f>IF(V524="S",'Vehicle Data'!C$14,IF(Data!V524 = "T1",'Vehicle Data'!P$2,IF(Data!V524="T2",'Vehicle Data'!P$3)))</f>
        <v>13.411199999999999</v>
      </c>
      <c r="Z524">
        <f t="shared" si="397"/>
        <v>10.523559570681238</v>
      </c>
      <c r="AB524" t="b">
        <f>IF(AA524=1,'Vehicle Data'!I$14,IF(AA524=2,'Vehicle Data'!I$15,IF(AA524=3,'Vehicle Data'!I$16)))</f>
        <v>0</v>
      </c>
      <c r="AC524">
        <f>IF(Z524&lt;'Vehicle Data'!C$16,'Vehicle Data'!I$15,IF(Z524&lt;'Vehicle Data'!C$15,'Vehicle Data'!I$15,IF(Z523&gt;'Vehicle Data'!C$15,'Vehicle Data'!I$16)))</f>
        <v>0.46202745420001456</v>
      </c>
      <c r="AD524">
        <f>IF(O524=0.6,'Vehicle Data'!F$21,IF(O524=0.9,'Vehicle Data'!F$20))</f>
        <v>3.5315999999999996</v>
      </c>
      <c r="AE524" s="100">
        <f t="shared" si="396"/>
        <v>0.46202745420001456</v>
      </c>
      <c r="AF524" s="158">
        <f t="shared" si="425"/>
        <v>0.20383641490826632</v>
      </c>
      <c r="AG524" s="148">
        <f t="shared" si="408"/>
        <v>0.46411356628684747</v>
      </c>
      <c r="AH524" s="148">
        <f t="shared" si="426"/>
        <v>182.26963280375969</v>
      </c>
      <c r="AJ524">
        <f>(Z524^2)*'Vehicle Data'!C$31</f>
        <v>40.698899968846192</v>
      </c>
      <c r="AK524">
        <f>IF(O524=0.6,'Vehicle Data'!C$6*'Vehicle Data'!D$21*9.81,IF(O524=0.9,'Vehicle Data'!C$6*9.81*'Vehicle Data'!D$20))</f>
        <v>86.131799999999998</v>
      </c>
      <c r="AL524">
        <f t="shared" si="405"/>
        <v>126.83069996884619</v>
      </c>
      <c r="AN524">
        <f>IF(AG524&gt;0,AG524*'Vehicle Data'!C$6)</f>
        <v>203.74585559992605</v>
      </c>
      <c r="AO524">
        <f t="shared" si="409"/>
        <v>330.57655556877222</v>
      </c>
      <c r="AP524">
        <f>AO524*'Vehicle Data'!F$3</f>
        <v>84.495367603378185</v>
      </c>
      <c r="AQ524">
        <f>IF(AE524='Vehicle Data'!I$15,AP524/'Vehicle Data'!G$15,IF(AE524='Vehicle Data'!I$16,AP524/'Vehicle Data'!G$16,IF(AE524='Vehicle Data'!I$14,Data!AP524/'Vehicle Data'!G535)))</f>
        <v>15.598917712773341</v>
      </c>
      <c r="AR524">
        <f>IF(Z524&lt;'Vehicle Data'!C$16, Z524*'Vehicle Data'!F$7*'Vehicle Data'!G$14,IF(Z524&lt;'Vehicle Data'!C$15,Z524*'Vehicle Data'!F$7*'Vehicle Data'!G$15,IF(Z524&gt;'Vehicle Data'!C$15,Z524*'Vehicle Data'!F$7*'Vehicle Data'!G$16)))</f>
        <v>91.54651459820731</v>
      </c>
      <c r="AS524">
        <f t="shared" si="427"/>
        <v>5492.7908758924386</v>
      </c>
      <c r="AT524">
        <f t="shared" si="428"/>
        <v>16</v>
      </c>
      <c r="AU524">
        <f t="shared" si="429"/>
        <v>5500</v>
      </c>
      <c r="AW524">
        <f>VLOOKUP(AT524,BSFC!A$64:A$82,1,FALSE)</f>
        <v>16</v>
      </c>
      <c r="AX524" t="e" cm="1">
        <f t="array" ref="AX524">_xlfn.XLOOKUP(AT524,BSFC!A$64:A$82,,-1,_xlfn.XLOOKUP(Data!AU524,BSFC!C$63:Q$63,BSFC!B$64:Q$82,,-1))</f>
        <v>#VALUE!</v>
      </c>
      <c r="AY524">
        <f>HLOOKUP(AU524,BSFC!F$63:Q$63,1)</f>
        <v>5500</v>
      </c>
      <c r="AZ524">
        <f>IF(AT524&gt;0,MATCH(AT524,BSFC!A$64:A$83,0),IF(AT524&lt;=0,0))</f>
        <v>7</v>
      </c>
      <c r="BA524">
        <f>MATCH(AU524,BSFC!C$63:Q$63,0)</f>
        <v>11</v>
      </c>
      <c r="BB524" cm="1">
        <f t="array" ref="BB524">IF(AZ524&gt;0,INDEX(BSFC!C$64:Q$83,Data!AZ524,Data!BA524))</f>
        <v>632.5</v>
      </c>
      <c r="BC524">
        <f>0.5*'Vehicle Data'!C$6*Data!Z524^2</f>
        <v>24308.594675270033</v>
      </c>
      <c r="BD524">
        <f t="shared" si="410"/>
        <v>9.033160285996761</v>
      </c>
      <c r="BE524">
        <f t="shared" si="430"/>
        <v>5713.4738808929515</v>
      </c>
      <c r="BF524">
        <f t="shared" si="431"/>
        <v>0.32350389793145506</v>
      </c>
      <c r="BG524">
        <f t="shared" si="411"/>
        <v>244.08741819661876</v>
      </c>
      <c r="BH524">
        <f t="shared" si="374"/>
        <v>8936.3363461116351</v>
      </c>
      <c r="BI524" s="148">
        <f t="shared" si="412"/>
        <v>6871.6622130335309</v>
      </c>
      <c r="BO524">
        <f t="shared" si="413"/>
        <v>1773.3357964277175</v>
      </c>
      <c r="BP524">
        <f t="shared" si="414"/>
        <v>924373.92530630832</v>
      </c>
      <c r="BQ524">
        <f t="shared" si="415"/>
        <v>1317279.1794986764</v>
      </c>
      <c r="BR524" s="148">
        <f t="shared" si="416"/>
        <v>1253858.9680542096</v>
      </c>
      <c r="BS524" s="156">
        <f t="shared" si="417"/>
        <v>1773.3357964277175</v>
      </c>
      <c r="BT524" s="156">
        <f t="shared" si="418"/>
        <v>8936.3363461116351</v>
      </c>
      <c r="BU524">
        <f t="shared" si="419"/>
        <v>1363.6197331173998</v>
      </c>
      <c r="BV524">
        <f t="shared" si="420"/>
        <v>1363.6197331173998</v>
      </c>
      <c r="BW524" s="148">
        <f t="shared" si="421"/>
        <v>455.4</v>
      </c>
      <c r="BX524" s="148">
        <f t="shared" si="422"/>
        <v>3129354.9718154697</v>
      </c>
      <c r="BY524" s="148">
        <f t="shared" si="423"/>
        <v>0.17249789623935105</v>
      </c>
      <c r="BZ524">
        <f t="shared" si="406"/>
        <v>182.26963280375969</v>
      </c>
      <c r="CB524">
        <f t="shared" si="424"/>
        <v>-409.71606331031762</v>
      </c>
      <c r="CC524" s="162">
        <f t="shared" si="407"/>
        <v>-2010.0238884926603</v>
      </c>
      <c r="CD524">
        <f t="shared" si="432"/>
        <v>-64152.151923493228</v>
      </c>
    </row>
    <row r="525" spans="4:82" x14ac:dyDescent="0.2">
      <c r="D525" s="22">
        <f t="shared" si="398"/>
        <v>0</v>
      </c>
      <c r="E525" s="23">
        <v>9.0017015999999987</v>
      </c>
      <c r="F525" s="23">
        <f>IF(K525&lt;6,1,IF(Data!K525&lt;9,2,IF(K525&gt;9,3)))</f>
        <v>3</v>
      </c>
      <c r="G525" s="23">
        <v>1104.879291955901</v>
      </c>
      <c r="H525" s="23">
        <v>220.76666499999999</v>
      </c>
      <c r="I525" s="64">
        <v>40.901101052184309</v>
      </c>
      <c r="J525" s="65">
        <f t="shared" si="399"/>
        <v>-15.75517953777077</v>
      </c>
      <c r="K525" s="65">
        <f t="shared" si="400"/>
        <v>16.360440420873722</v>
      </c>
      <c r="L525" s="65">
        <f t="shared" si="401"/>
        <v>-6.3020718151082518</v>
      </c>
      <c r="M525">
        <f t="shared" si="402"/>
        <v>18.003403199999997</v>
      </c>
      <c r="N525">
        <f t="shared" si="403"/>
        <v>0</v>
      </c>
      <c r="O525">
        <f>IF(L525&lt;'Vehicle Data'!F$21,'Vehicle Data'!C$21,IF(L525&gt;'Vehicle Data'!C$21,'Vehicle Data'!C$20))</f>
        <v>0.6</v>
      </c>
      <c r="P525">
        <f>('Vehicle Data'!C$6*9.81*'Vehicle Data'!C$5*SIN(D525))/'Vehicle Data'!C$9</f>
        <v>0</v>
      </c>
      <c r="Q525" s="107">
        <f>'Vehicle Data'!C$6*9.81*SIN(D525)</f>
        <v>0</v>
      </c>
      <c r="R525">
        <f t="shared" si="395"/>
        <v>1102.8123210779918</v>
      </c>
      <c r="S525">
        <f>IF(Data!O525=0.6,'Vehicle Data'!E$21,IF(Data!O525 = 0.9,'Vehicle Data'!E$20))+(P525*O525)</f>
        <v>1550.3723999999997</v>
      </c>
      <c r="T525">
        <f>IF(F525=3,'Vehicle Data'!H$16,IF(F525=2,'Vehicle Data'!H$15,IF(F525 = 1,'Vehicle Data'!G$14)))</f>
        <v>466.23005239380637</v>
      </c>
      <c r="U525" s="148">
        <f t="shared" si="404"/>
        <v>386.67383895467572</v>
      </c>
      <c r="V525" s="70" t="s">
        <v>77</v>
      </c>
      <c r="W525" s="99" t="s">
        <v>84</v>
      </c>
      <c r="X525">
        <f>IF(V525="S",'Vehicle Data'!C$14,IF(Data!V525 = "T1",'Vehicle Data'!P$2,IF(Data!V525="T2",'Vehicle Data'!P$3)))</f>
        <v>13.411199999999999</v>
      </c>
      <c r="Z525">
        <f t="shared" si="397"/>
        <v>10.615644165360022</v>
      </c>
      <c r="AB525" t="b">
        <f>IF(AA525=1,'Vehicle Data'!I$14,IF(AA525=2,'Vehicle Data'!I$15,IF(AA525=3,'Vehicle Data'!I$16)))</f>
        <v>0</v>
      </c>
      <c r="AC525">
        <f>IF(Z525&lt;'Vehicle Data'!C$16,'Vehicle Data'!I$15,IF(Z525&lt;'Vehicle Data'!C$15,'Vehicle Data'!I$15,IF(Z524&gt;'Vehicle Data'!C$15,'Vehicle Data'!I$16)))</f>
        <v>0.46202745420001456</v>
      </c>
      <c r="AD525">
        <f>IF(O525=0.6,'Vehicle Data'!F$21,IF(O525=0.9,'Vehicle Data'!F$20))</f>
        <v>3.5315999999999996</v>
      </c>
      <c r="AE525" s="100">
        <f t="shared" si="396"/>
        <v>0.46202745420001456</v>
      </c>
      <c r="AF525" s="158">
        <f t="shared" si="425"/>
        <v>0.19844103083690764</v>
      </c>
      <c r="AG525" s="148">
        <f t="shared" si="408"/>
        <v>0.46404009438181998</v>
      </c>
      <c r="AH525" s="148">
        <f t="shared" si="426"/>
        <v>182.46807383459659</v>
      </c>
      <c r="AJ525">
        <f>(Z525^2)*'Vehicle Data'!C$31</f>
        <v>41.4142736342368</v>
      </c>
      <c r="AK525">
        <f>IF(O525=0.6,'Vehicle Data'!C$6*'Vehicle Data'!D$21*9.81,IF(O525=0.9,'Vehicle Data'!C$6*9.81*'Vehicle Data'!D$20))</f>
        <v>86.131799999999998</v>
      </c>
      <c r="AL525">
        <f t="shared" si="405"/>
        <v>127.54607363423679</v>
      </c>
      <c r="AN525">
        <f>IF(AG525&gt;0,AG525*'Vehicle Data'!C$6)</f>
        <v>203.71360143361898</v>
      </c>
      <c r="AO525">
        <f t="shared" si="409"/>
        <v>331.25967506785577</v>
      </c>
      <c r="AP525">
        <f>AO525*'Vehicle Data'!F$3</f>
        <v>84.669972947343936</v>
      </c>
      <c r="AQ525">
        <f>IF(AE525='Vehicle Data'!I$15,AP525/'Vehicle Data'!G$15,IF(AE525='Vehicle Data'!I$16,AP525/'Vehicle Data'!G$16,IF(AE525='Vehicle Data'!I$14,Data!AP525/'Vehicle Data'!G536)))</f>
        <v>15.631152076265517</v>
      </c>
      <c r="AR525">
        <f>IF(Z525&lt;'Vehicle Data'!C$16, Z525*'Vehicle Data'!F$7*'Vehicle Data'!G$14,IF(Z525&lt;'Vehicle Data'!C$15,Z525*'Vehicle Data'!F$7*'Vehicle Data'!G$15,IF(Z525&gt;'Vehicle Data'!C$15,Z525*'Vehicle Data'!F$7*'Vehicle Data'!G$16)))</f>
        <v>92.347576599558792</v>
      </c>
      <c r="AS525">
        <f t="shared" si="427"/>
        <v>5540.8545959735275</v>
      </c>
      <c r="AT525">
        <f t="shared" si="428"/>
        <v>16</v>
      </c>
      <c r="AU525">
        <f t="shared" si="429"/>
        <v>5500</v>
      </c>
      <c r="AW525">
        <f>VLOOKUP(AT525,BSFC!A$64:A$82,1,FALSE)</f>
        <v>16</v>
      </c>
      <c r="AX525" t="e" cm="1">
        <f t="array" ref="AX525">_xlfn.XLOOKUP(AT525,BSFC!A$64:A$82,,-1,_xlfn.XLOOKUP(Data!AU525,BSFC!C$63:Q$63,BSFC!B$64:Q$82,,-1))</f>
        <v>#VALUE!</v>
      </c>
      <c r="AY525">
        <f>HLOOKUP(AU525,BSFC!F$63:Q$63,1)</f>
        <v>5500</v>
      </c>
      <c r="AZ525">
        <f>IF(AT525&gt;0,MATCH(AT525,BSFC!A$64:A$83,0),IF(AT525&lt;=0,0))</f>
        <v>7</v>
      </c>
      <c r="BA525">
        <f>MATCH(AU525,BSFC!C$63:Q$63,0)</f>
        <v>11</v>
      </c>
      <c r="BB525" cm="1">
        <f t="array" ref="BB525">IF(AZ525&gt;0,INDEX(BSFC!C$64:Q$83,Data!AZ525,Data!BA525))</f>
        <v>632.5</v>
      </c>
      <c r="BC525">
        <f>0.5*'Vehicle Data'!C$6*Data!Z525^2</f>
        <v>24735.872279496532</v>
      </c>
      <c r="BD525">
        <f t="shared" si="410"/>
        <v>9.1278303183932064</v>
      </c>
      <c r="BE525">
        <f t="shared" si="430"/>
        <v>5773.3526763837026</v>
      </c>
      <c r="BF525">
        <f t="shared" si="431"/>
        <v>0.31824168235738931</v>
      </c>
      <c r="BG525">
        <f t="shared" si="411"/>
        <v>244.40565987897614</v>
      </c>
      <c r="BH525">
        <f t="shared" si="374"/>
        <v>9033.1602859967606</v>
      </c>
      <c r="BI525" s="148">
        <f t="shared" si="412"/>
        <v>6871.6622130335309</v>
      </c>
      <c r="BO525">
        <f t="shared" si="413"/>
        <v>1744.1272745118531</v>
      </c>
      <c r="BP525">
        <f t="shared" si="414"/>
        <v>926118.05258082016</v>
      </c>
      <c r="BQ525">
        <f t="shared" si="415"/>
        <v>1319023.3067731883</v>
      </c>
      <c r="BR525" s="148">
        <f t="shared" si="416"/>
        <v>1255185.7521593873</v>
      </c>
      <c r="BS525" s="156">
        <f t="shared" si="417"/>
        <v>1744.1272745118531</v>
      </c>
      <c r="BT525" s="156">
        <f t="shared" si="418"/>
        <v>9033.1602859967606</v>
      </c>
      <c r="BU525">
        <f t="shared" si="419"/>
        <v>1326.7841051778453</v>
      </c>
      <c r="BV525">
        <f t="shared" si="420"/>
        <v>1326.7841051778453</v>
      </c>
      <c r="BW525" s="148">
        <f t="shared" si="421"/>
        <v>455.4</v>
      </c>
      <c r="BX525" s="148">
        <f t="shared" si="422"/>
        <v>3129354.9718154697</v>
      </c>
      <c r="BY525" s="148">
        <f t="shared" si="423"/>
        <v>0.16783818930499739</v>
      </c>
      <c r="BZ525">
        <f t="shared" si="406"/>
        <v>182.46807383459659</v>
      </c>
      <c r="CB525">
        <f t="shared" si="424"/>
        <v>-417.34316933400783</v>
      </c>
      <c r="CC525" s="162">
        <f t="shared" si="407"/>
        <v>-2103.1092590776625</v>
      </c>
      <c r="CD525">
        <f t="shared" si="432"/>
        <v>-64569.495092827237</v>
      </c>
    </row>
    <row r="526" spans="4:82" x14ac:dyDescent="0.2">
      <c r="D526" s="22">
        <f t="shared" si="398"/>
        <v>0</v>
      </c>
      <c r="E526" s="23">
        <v>9.0017015999999987</v>
      </c>
      <c r="F526" s="23">
        <f>IF(K526&lt;6,1,IF(Data!K526&lt;9,2,IF(K526&gt;9,3)))</f>
        <v>3</v>
      </c>
      <c r="G526" s="23">
        <v>1106.9056818946522</v>
      </c>
      <c r="H526" s="23">
        <v>220.816665</v>
      </c>
      <c r="I526" s="64">
        <v>40.113342075295591</v>
      </c>
      <c r="J526" s="65">
        <f t="shared" si="399"/>
        <v>-14.761745665986926</v>
      </c>
      <c r="K526" s="65">
        <f t="shared" si="400"/>
        <v>16.045336830118238</v>
      </c>
      <c r="L526" s="65">
        <f t="shared" si="401"/>
        <v>-5.9046982663947984</v>
      </c>
      <c r="M526">
        <f t="shared" si="402"/>
        <v>18.003403199999997</v>
      </c>
      <c r="N526">
        <f t="shared" si="403"/>
        <v>0</v>
      </c>
      <c r="O526">
        <f>IF(L526&lt;'Vehicle Data'!F$21,'Vehicle Data'!C$21,IF(L526&gt;'Vehicle Data'!C$21,'Vehicle Data'!C$20))</f>
        <v>0.6</v>
      </c>
      <c r="P526">
        <f>('Vehicle Data'!C$6*9.81*'Vehicle Data'!C$5*SIN(D526))/'Vehicle Data'!C$9</f>
        <v>0</v>
      </c>
      <c r="Q526" s="107">
        <f>'Vehicle Data'!C$6*9.81*SIN(D526)</f>
        <v>0</v>
      </c>
      <c r="R526">
        <f t="shared" si="395"/>
        <v>1104.879291955901</v>
      </c>
      <c r="S526">
        <f>IF(Data!O526=0.6,'Vehicle Data'!E$21,IF(Data!O526 = 0.9,'Vehicle Data'!E$20))+(P526*O526)</f>
        <v>1550.3723999999997</v>
      </c>
      <c r="T526">
        <f>IF(F526=3,'Vehicle Data'!H$16,IF(F526=2,'Vehicle Data'!H$15,IF(F526 = 1,'Vehicle Data'!G$14)))</f>
        <v>466.23005239380637</v>
      </c>
      <c r="U526" s="148">
        <f t="shared" si="404"/>
        <v>388.74080983258489</v>
      </c>
      <c r="V526" s="70" t="s">
        <v>77</v>
      </c>
      <c r="W526" s="99" t="s">
        <v>84</v>
      </c>
      <c r="X526">
        <f>IF(V526="S",'Vehicle Data'!C$14,IF(Data!V526 = "T1",'Vehicle Data'!P$2,IF(Data!V526="T2",'Vehicle Data'!P$3)))</f>
        <v>13.411199999999999</v>
      </c>
      <c r="Z526">
        <f t="shared" si="397"/>
        <v>10.705227490847365</v>
      </c>
      <c r="AB526" t="b">
        <f>IF(AA526=1,'Vehicle Data'!I$14,IF(AA526=2,'Vehicle Data'!I$15,IF(AA526=3,'Vehicle Data'!I$16)))</f>
        <v>0</v>
      </c>
      <c r="AC526">
        <f>IF(Z526&lt;'Vehicle Data'!C$16,'Vehicle Data'!I$15,IF(Z526&lt;'Vehicle Data'!C$15,'Vehicle Data'!I$15,IF(Z525&gt;'Vehicle Data'!C$15,'Vehicle Data'!I$16)))</f>
        <v>0.46202745420001456</v>
      </c>
      <c r="AD526">
        <f>IF(O526=0.6,'Vehicle Data'!F$21,IF(O526=0.9,'Vehicle Data'!F$20))</f>
        <v>3.5315999999999996</v>
      </c>
      <c r="AE526" s="100">
        <f t="shared" si="396"/>
        <v>0.46202745420001456</v>
      </c>
      <c r="AF526" s="158">
        <f t="shared" si="425"/>
        <v>0.19308051880974655</v>
      </c>
      <c r="AG526" s="148">
        <f t="shared" si="408"/>
        <v>0.46396874236501662</v>
      </c>
      <c r="AH526" s="148">
        <f t="shared" si="426"/>
        <v>182.66115435340635</v>
      </c>
      <c r="AJ526">
        <f>(Z526^2)*'Vehicle Data'!C$31</f>
        <v>42.116196644316872</v>
      </c>
      <c r="AK526">
        <f>IF(O526=0.6,'Vehicle Data'!C$6*'Vehicle Data'!D$21*9.81,IF(O526=0.9,'Vehicle Data'!C$6*9.81*'Vehicle Data'!D$20))</f>
        <v>86.131799999999998</v>
      </c>
      <c r="AL526">
        <f t="shared" si="405"/>
        <v>128.24799664431686</v>
      </c>
      <c r="AN526">
        <f>IF(AG526&gt;0,AG526*'Vehicle Data'!C$6)</f>
        <v>203.68227789824229</v>
      </c>
      <c r="AO526">
        <f t="shared" si="409"/>
        <v>331.93027454255912</v>
      </c>
      <c r="AP526">
        <f>AO526*'Vehicle Data'!F$3</f>
        <v>84.841378173078112</v>
      </c>
      <c r="AQ526">
        <f>IF(AE526='Vehicle Data'!I$15,AP526/'Vehicle Data'!G$15,IF(AE526='Vehicle Data'!I$16,AP526/'Vehicle Data'!G$16,IF(AE526='Vehicle Data'!I$14,Data!AP526/'Vehicle Data'!G537)))</f>
        <v>15.662795657299654</v>
      </c>
      <c r="AR526">
        <f>IF(Z526&lt;'Vehicle Data'!C$16, Z526*'Vehicle Data'!F$7*'Vehicle Data'!G$14,IF(Z526&lt;'Vehicle Data'!C$15,Z526*'Vehicle Data'!F$7*'Vehicle Data'!G$15,IF(Z526&gt;'Vehicle Data'!C$15,Z526*'Vehicle Data'!F$7*'Vehicle Data'!G$16)))</f>
        <v>93.12687956823595</v>
      </c>
      <c r="AS526">
        <f t="shared" si="427"/>
        <v>5587.6127740941574</v>
      </c>
      <c r="AT526">
        <f t="shared" si="428"/>
        <v>16</v>
      </c>
      <c r="AU526">
        <f t="shared" si="429"/>
        <v>5500</v>
      </c>
      <c r="AW526">
        <f>VLOOKUP(AT526,BSFC!A$64:A$82,1,FALSE)</f>
        <v>16</v>
      </c>
      <c r="AX526" t="e" cm="1">
        <f t="array" ref="AX526">_xlfn.XLOOKUP(AT526,BSFC!A$64:A$82,,-1,_xlfn.XLOOKUP(Data!AU526,BSFC!C$63:Q$63,BSFC!B$64:Q$82,,-1))</f>
        <v>#VALUE!</v>
      </c>
      <c r="AY526">
        <f>HLOOKUP(AU526,BSFC!F$63:Q$63,1)</f>
        <v>5500</v>
      </c>
      <c r="AZ526">
        <f>IF(AT526&gt;0,MATCH(AT526,BSFC!A$64:A$83,0),IF(AT526&lt;=0,0))</f>
        <v>7</v>
      </c>
      <c r="BA526">
        <f>MATCH(AU526,BSFC!C$63:Q$63,0)</f>
        <v>11</v>
      </c>
      <c r="BB526" cm="1">
        <f t="array" ref="BB526">IF(AZ526&gt;0,INDEX(BSFC!C$64:Q$83,Data!AZ526,Data!BA526))</f>
        <v>632.5</v>
      </c>
      <c r="BC526">
        <f>0.5*'Vehicle Data'!C$6*Data!Z526^2</f>
        <v>25155.11609095932</v>
      </c>
      <c r="BD526">
        <f t="shared" si="410"/>
        <v>9.2203329191571211</v>
      </c>
      <c r="BE526">
        <f t="shared" si="430"/>
        <v>5831.8605713668794</v>
      </c>
      <c r="BF526">
        <f t="shared" si="431"/>
        <v>0.31278296242933945</v>
      </c>
      <c r="BG526">
        <f t="shared" si="411"/>
        <v>244.71844284140548</v>
      </c>
      <c r="BH526">
        <f t="shared" si="374"/>
        <v>9127.8303183932057</v>
      </c>
      <c r="BI526" s="148">
        <f t="shared" si="412"/>
        <v>6871.6622130335309</v>
      </c>
      <c r="BO526">
        <f t="shared" si="413"/>
        <v>1713.8600443782607</v>
      </c>
      <c r="BP526">
        <f t="shared" si="414"/>
        <v>927831.91262519837</v>
      </c>
      <c r="BQ526">
        <f t="shared" si="415"/>
        <v>1320737.1668175666</v>
      </c>
      <c r="BR526" s="148">
        <f t="shared" si="416"/>
        <v>1256475.9894769732</v>
      </c>
      <c r="BS526" s="156">
        <f t="shared" si="417"/>
        <v>1713.8600443782607</v>
      </c>
      <c r="BT526" s="156">
        <f t="shared" si="418"/>
        <v>9127.8303183932057</v>
      </c>
      <c r="BU526">
        <f t="shared" si="419"/>
        <v>1290.2373175858083</v>
      </c>
      <c r="BV526">
        <f t="shared" si="420"/>
        <v>1290.2373175858083</v>
      </c>
      <c r="BW526" s="148">
        <f t="shared" si="421"/>
        <v>455.4</v>
      </c>
      <c r="BX526" s="148">
        <f t="shared" si="422"/>
        <v>3129354.9718154697</v>
      </c>
      <c r="BY526" s="148">
        <f t="shared" si="423"/>
        <v>0.16321502067460472</v>
      </c>
      <c r="BZ526">
        <f t="shared" si="406"/>
        <v>182.66115435340635</v>
      </c>
      <c r="CB526">
        <f t="shared" si="424"/>
        <v>-423.62272679245234</v>
      </c>
      <c r="CC526" s="162">
        <f t="shared" si="407"/>
        <v>-2194.021071643499</v>
      </c>
      <c r="CD526">
        <f t="shared" si="432"/>
        <v>-64993.117819619692</v>
      </c>
    </row>
    <row r="527" spans="4:82" x14ac:dyDescent="0.2">
      <c r="D527" s="22">
        <f t="shared" si="398"/>
        <v>0</v>
      </c>
      <c r="E527" s="23">
        <v>9.0017015999999987</v>
      </c>
      <c r="F527" s="23">
        <f>IF(K527&lt;6,1,IF(Data!K527&lt;9,2,IF(K527&gt;9,3)))</f>
        <v>3</v>
      </c>
      <c r="G527" s="23">
        <v>1108.8945897590859</v>
      </c>
      <c r="H527" s="23">
        <v>220.86666499999998</v>
      </c>
      <c r="I527" s="64">
        <v>39.375254791996497</v>
      </c>
      <c r="J527" s="65">
        <f t="shared" si="399"/>
        <v>-15.764286745606849</v>
      </c>
      <c r="K527" s="65">
        <f t="shared" si="400"/>
        <v>15.750101916798599</v>
      </c>
      <c r="L527" s="65">
        <f t="shared" si="401"/>
        <v>-6.3057146982427401</v>
      </c>
      <c r="M527">
        <f t="shared" si="402"/>
        <v>18.003403199999997</v>
      </c>
      <c r="N527">
        <f t="shared" si="403"/>
        <v>0</v>
      </c>
      <c r="O527">
        <f>IF(L527&lt;'Vehicle Data'!F$21,'Vehicle Data'!C$21,IF(L527&gt;'Vehicle Data'!C$21,'Vehicle Data'!C$20))</f>
        <v>0.6</v>
      </c>
      <c r="P527">
        <f>('Vehicle Data'!C$6*9.81*'Vehicle Data'!C$5*SIN(D527))/'Vehicle Data'!C$9</f>
        <v>0</v>
      </c>
      <c r="Q527" s="107">
        <f>'Vehicle Data'!C$6*9.81*SIN(D527)</f>
        <v>0</v>
      </c>
      <c r="R527">
        <f t="shared" si="395"/>
        <v>1106.9056818946522</v>
      </c>
      <c r="S527">
        <f>IF(Data!O527=0.6,'Vehicle Data'!E$21,IF(Data!O527 = 0.9,'Vehicle Data'!E$20))+(P527*O527)</f>
        <v>1550.3723999999997</v>
      </c>
      <c r="T527">
        <f>IF(F527=3,'Vehicle Data'!H$16,IF(F527=2,'Vehicle Data'!H$15,IF(F527 = 1,'Vehicle Data'!G$14)))</f>
        <v>466.23005239380637</v>
      </c>
      <c r="U527" s="148">
        <f t="shared" si="404"/>
        <v>390.7671997713361</v>
      </c>
      <c r="V527" s="70" t="s">
        <v>77</v>
      </c>
      <c r="W527" s="99" t="s">
        <v>84</v>
      </c>
      <c r="X527">
        <f>IF(V527="S",'Vehicle Data'!C$14,IF(Data!V527 = "T1",'Vehicle Data'!P$2,IF(Data!V527="T2",'Vehicle Data'!P$3)))</f>
        <v>13.411199999999999</v>
      </c>
      <c r="Z527">
        <f t="shared" si="397"/>
        <v>10.792330202510932</v>
      </c>
      <c r="AB527" t="b">
        <f>IF(AA527=1,'Vehicle Data'!I$14,IF(AA527=2,'Vehicle Data'!I$15,IF(AA527=3,'Vehicle Data'!I$16)))</f>
        <v>0</v>
      </c>
      <c r="AC527">
        <f>IF(Z527&lt;'Vehicle Data'!C$16,'Vehicle Data'!I$15,IF(Z527&lt;'Vehicle Data'!C$15,'Vehicle Data'!I$15,IF(Z526&gt;'Vehicle Data'!C$15,'Vehicle Data'!I$16)))</f>
        <v>0.46202745420001456</v>
      </c>
      <c r="AD527">
        <f>IF(O527=0.6,'Vehicle Data'!F$21,IF(O527=0.9,'Vehicle Data'!F$20))</f>
        <v>3.5315999999999996</v>
      </c>
      <c r="AE527" s="100">
        <f t="shared" si="396"/>
        <v>0.46202745420001456</v>
      </c>
      <c r="AF527" s="158">
        <f t="shared" si="425"/>
        <v>0.1877620403311743</v>
      </c>
      <c r="AG527" s="148">
        <f t="shared" si="408"/>
        <v>0.46389947355671785</v>
      </c>
      <c r="AH527" s="148">
        <f t="shared" si="426"/>
        <v>182.84891639373751</v>
      </c>
      <c r="AJ527">
        <f>(Z527^2)*'Vehicle Data'!C$31</f>
        <v>42.804338766010915</v>
      </c>
      <c r="AK527">
        <f>IF(O527=0.6,'Vehicle Data'!C$6*'Vehicle Data'!D$21*9.81,IF(O527=0.9,'Vehicle Data'!C$6*9.81*'Vehicle Data'!D$20))</f>
        <v>86.131799999999998</v>
      </c>
      <c r="AL527">
        <f t="shared" si="405"/>
        <v>128.93613876601091</v>
      </c>
      <c r="AN527">
        <f>IF(AG527&gt;0,AG527*'Vehicle Data'!C$6)</f>
        <v>203.65186889139915</v>
      </c>
      <c r="AO527">
        <f t="shared" si="409"/>
        <v>332.58800765741006</v>
      </c>
      <c r="AP527">
        <f>AO527*'Vehicle Data'!F$3</f>
        <v>85.009494757234009</v>
      </c>
      <c r="AQ527">
        <f>IF(AE527='Vehicle Data'!I$15,AP527/'Vehicle Data'!G$15,IF(AE527='Vehicle Data'!I$16,AP527/'Vehicle Data'!G$16,IF(AE527='Vehicle Data'!I$14,Data!AP527/'Vehicle Data'!G538)))</f>
        <v>15.693832113341957</v>
      </c>
      <c r="AR527">
        <f>IF(Z527&lt;'Vehicle Data'!C$16, Z527*'Vehicle Data'!F$7*'Vehicle Data'!G$14,IF(Z527&lt;'Vehicle Data'!C$15,Z527*'Vehicle Data'!F$7*'Vehicle Data'!G$15,IF(Z527&gt;'Vehicle Data'!C$15,Z527*'Vehicle Data'!F$7*'Vehicle Data'!G$16)))</f>
        <v>93.884603189344901</v>
      </c>
      <c r="AS527">
        <f t="shared" si="427"/>
        <v>5633.0761913606939</v>
      </c>
      <c r="AT527">
        <f t="shared" si="428"/>
        <v>16</v>
      </c>
      <c r="AU527">
        <f t="shared" si="429"/>
        <v>5500</v>
      </c>
      <c r="AW527">
        <f>VLOOKUP(AT527,BSFC!A$64:A$82,1,FALSE)</f>
        <v>16</v>
      </c>
      <c r="AX527" t="e" cm="1">
        <f t="array" ref="AX527">_xlfn.XLOOKUP(AT527,BSFC!A$64:A$82,,-1,_xlfn.XLOOKUP(Data!AU527,BSFC!C$63:Q$63,BSFC!B$64:Q$82,,-1))</f>
        <v>#VALUE!</v>
      </c>
      <c r="AY527">
        <f>HLOOKUP(AU527,BSFC!F$63:Q$63,1)</f>
        <v>5500</v>
      </c>
      <c r="AZ527">
        <f>IF(AT527&gt;0,MATCH(AT527,BSFC!A$64:A$83,0),IF(AT527&lt;=0,0))</f>
        <v>7</v>
      </c>
      <c r="BA527">
        <f>MATCH(AU527,BSFC!C$63:Q$63,0)</f>
        <v>11</v>
      </c>
      <c r="BB527" cm="1">
        <f t="array" ref="BB527">IF(AZ527&gt;0,INDEX(BSFC!C$64:Q$83,Data!AZ527,Data!BA527))</f>
        <v>632.5</v>
      </c>
      <c r="BC527">
        <f>0.5*'Vehicle Data'!C$6*Data!Z527^2</f>
        <v>25566.128868406511</v>
      </c>
      <c r="BD527">
        <f t="shared" si="410"/>
        <v>9.3108831519173556</v>
      </c>
      <c r="BE527">
        <f t="shared" si="430"/>
        <v>5889.1335935877278</v>
      </c>
      <c r="BF527">
        <f t="shared" si="431"/>
        <v>0.30715437203191454</v>
      </c>
      <c r="BG527">
        <f t="shared" si="411"/>
        <v>245.02559721343738</v>
      </c>
      <c r="BH527">
        <f t="shared" si="374"/>
        <v>9220.3329191571211</v>
      </c>
      <c r="BI527" s="148">
        <f t="shared" si="412"/>
        <v>6871.6622130335309</v>
      </c>
      <c r="BO527">
        <f t="shared" si="413"/>
        <v>1685.956667998556</v>
      </c>
      <c r="BP527">
        <f t="shared" si="414"/>
        <v>929517.86929319694</v>
      </c>
      <c r="BQ527">
        <f t="shared" si="415"/>
        <v>1322423.1234855652</v>
      </c>
      <c r="BR527" s="148">
        <f t="shared" si="416"/>
        <v>1257732.4869190804</v>
      </c>
      <c r="BS527" s="156">
        <f t="shared" si="417"/>
        <v>1685.956667998556</v>
      </c>
      <c r="BT527" s="156">
        <f t="shared" si="418"/>
        <v>9220.3329191571211</v>
      </c>
      <c r="BU527">
        <f t="shared" si="419"/>
        <v>1256.497442107185</v>
      </c>
      <c r="BV527">
        <f t="shared" si="420"/>
        <v>1256.497442107185</v>
      </c>
      <c r="BW527" s="148">
        <f t="shared" si="421"/>
        <v>455.4</v>
      </c>
      <c r="BX527" s="148">
        <f t="shared" si="422"/>
        <v>3129354.9718154697</v>
      </c>
      <c r="BY527" s="148">
        <f t="shared" si="423"/>
        <v>0.15894692642655886</v>
      </c>
      <c r="BZ527">
        <f t="shared" si="406"/>
        <v>182.84891639373751</v>
      </c>
      <c r="CB527">
        <f t="shared" si="424"/>
        <v>-429.45922589137103</v>
      </c>
      <c r="CC527" s="162">
        <f t="shared" si="407"/>
        <v>-2287.2526583856479</v>
      </c>
      <c r="CD527">
        <f t="shared" si="432"/>
        <v>-65422.577045511061</v>
      </c>
    </row>
    <row r="528" spans="4:82" x14ac:dyDescent="0.2">
      <c r="D528" s="22">
        <f t="shared" si="398"/>
        <v>0</v>
      </c>
      <c r="E528" s="23">
        <v>9.0017015999999987</v>
      </c>
      <c r="F528" s="23">
        <f>IF(K528&lt;6,1,IF(Data!K528&lt;9,2,IF(K528&gt;9,3)))</f>
        <v>3</v>
      </c>
      <c r="G528" s="23">
        <v>1110.8453838464686</v>
      </c>
      <c r="H528" s="23">
        <v>220.91666499999999</v>
      </c>
      <c r="I528" s="64">
        <v>38.587040454715975</v>
      </c>
      <c r="J528" s="65">
        <f t="shared" si="399"/>
        <v>-16.146622275220572</v>
      </c>
      <c r="K528" s="65">
        <f t="shared" si="400"/>
        <v>15.43481618188639</v>
      </c>
      <c r="L528" s="65">
        <f t="shared" si="401"/>
        <v>-6.4586489100882361</v>
      </c>
      <c r="M528">
        <f t="shared" si="402"/>
        <v>18.003403199999997</v>
      </c>
      <c r="N528">
        <f t="shared" si="403"/>
        <v>0</v>
      </c>
      <c r="O528">
        <f>IF(L528&lt;'Vehicle Data'!F$21,'Vehicle Data'!C$21,IF(L528&gt;'Vehicle Data'!C$21,'Vehicle Data'!C$20))</f>
        <v>0.6</v>
      </c>
      <c r="P528">
        <f>('Vehicle Data'!C$6*9.81*'Vehicle Data'!C$5*SIN(D528))/'Vehicle Data'!C$9</f>
        <v>0</v>
      </c>
      <c r="Q528" s="107">
        <f>'Vehicle Data'!C$6*9.81*SIN(D528)</f>
        <v>0</v>
      </c>
      <c r="R528">
        <f t="shared" si="395"/>
        <v>1108.8945897590859</v>
      </c>
      <c r="S528">
        <f>IF(Data!O528=0.6,'Vehicle Data'!E$21,IF(Data!O528 = 0.9,'Vehicle Data'!E$20))+(P528*O528)</f>
        <v>1550.3723999999997</v>
      </c>
      <c r="T528">
        <f>IF(F528=3,'Vehicle Data'!H$16,IF(F528=2,'Vehicle Data'!H$15,IF(F528 = 1,'Vehicle Data'!G$14)))</f>
        <v>466.23005239380637</v>
      </c>
      <c r="U528" s="148">
        <f t="shared" si="404"/>
        <v>392.75610763576981</v>
      </c>
      <c r="V528" s="70" t="s">
        <v>77</v>
      </c>
      <c r="W528" s="99" t="s">
        <v>84</v>
      </c>
      <c r="X528">
        <f>IF(V528="S",'Vehicle Data'!C$14,IF(Data!V528 = "T1",'Vehicle Data'!P$2,IF(Data!V528="T2",'Vehicle Data'!P$3)))</f>
        <v>13.411199999999999</v>
      </c>
      <c r="Z528">
        <f t="shared" si="397"/>
        <v>10.877143525508664</v>
      </c>
      <c r="AB528" t="b">
        <f>IF(AA528=1,'Vehicle Data'!I$14,IF(AA528=2,'Vehicle Data'!I$15,IF(AA528=3,'Vehicle Data'!I$16)))</f>
        <v>0</v>
      </c>
      <c r="AC528">
        <f>IF(Z528&lt;'Vehicle Data'!C$16,'Vehicle Data'!I$15,IF(Z528&lt;'Vehicle Data'!C$15,'Vehicle Data'!I$15,IF(Z527&gt;'Vehicle Data'!C$15,'Vehicle Data'!I$16)))</f>
        <v>0.46202745420001456</v>
      </c>
      <c r="AD528">
        <f>IF(O528=0.6,'Vehicle Data'!F$21,IF(O528=0.9,'Vehicle Data'!F$20))</f>
        <v>3.5315999999999996</v>
      </c>
      <c r="AE528" s="100">
        <f t="shared" si="396"/>
        <v>0.46202745420001456</v>
      </c>
      <c r="AF528" s="158">
        <f t="shared" si="425"/>
        <v>0.18285203829198374</v>
      </c>
      <c r="AG528" s="148">
        <f t="shared" si="408"/>
        <v>0.46383580839443328</v>
      </c>
      <c r="AH528" s="148">
        <f t="shared" si="426"/>
        <v>183.03176843202951</v>
      </c>
      <c r="AJ528">
        <f>(Z528^2)*'Vehicle Data'!C$31</f>
        <v>43.479752343384298</v>
      </c>
      <c r="AK528">
        <f>IF(O528=0.6,'Vehicle Data'!C$6*'Vehicle Data'!D$21*9.81,IF(O528=0.9,'Vehicle Data'!C$6*9.81*'Vehicle Data'!D$20))</f>
        <v>86.131799999999998</v>
      </c>
      <c r="AL528">
        <f t="shared" si="405"/>
        <v>129.61155234338429</v>
      </c>
      <c r="AN528">
        <f>IF(AG528&gt;0,AG528*'Vehicle Data'!C$6)</f>
        <v>203.6239198851562</v>
      </c>
      <c r="AO528">
        <f t="shared" si="409"/>
        <v>333.23547222854052</v>
      </c>
      <c r="AP528">
        <f>AO528*'Vehicle Data'!F$3</f>
        <v>85.174986701614955</v>
      </c>
      <c r="AQ528">
        <f>IF(AE528='Vehicle Data'!I$15,AP528/'Vehicle Data'!G$15,IF(AE528='Vehicle Data'!I$16,AP528/'Vehicle Data'!G$16,IF(AE528='Vehicle Data'!I$14,Data!AP528/'Vehicle Data'!G539)))</f>
        <v>15.724384027556269</v>
      </c>
      <c r="AR528">
        <f>IF(Z528&lt;'Vehicle Data'!C$16, Z528*'Vehicle Data'!F$7*'Vehicle Data'!G$14,IF(Z528&lt;'Vehicle Data'!C$15,Z528*'Vehicle Data'!F$7*'Vehicle Data'!G$15,IF(Z528&gt;'Vehicle Data'!C$15,Z528*'Vehicle Data'!F$7*'Vehicle Data'!G$16)))</f>
        <v>94.622410968146852</v>
      </c>
      <c r="AS528">
        <f t="shared" si="427"/>
        <v>5677.3446580888112</v>
      </c>
      <c r="AT528">
        <f t="shared" si="428"/>
        <v>16</v>
      </c>
      <c r="AU528">
        <f t="shared" si="429"/>
        <v>5500</v>
      </c>
      <c r="AW528">
        <f>VLOOKUP(AT528,BSFC!A$64:A$82,1,FALSE)</f>
        <v>16</v>
      </c>
      <c r="AX528" t="e" cm="1">
        <f t="array" ref="AX528">_xlfn.XLOOKUP(AT528,BSFC!A$64:A$82,,-1,_xlfn.XLOOKUP(Data!AU528,BSFC!C$63:Q$63,BSFC!B$64:Q$82,,-1))</f>
        <v>#VALUE!</v>
      </c>
      <c r="AY528">
        <f>HLOOKUP(AU528,BSFC!F$63:Q$63,1)</f>
        <v>5500</v>
      </c>
      <c r="AZ528">
        <f>IF(AT528&gt;0,MATCH(AT528,BSFC!A$64:A$83,0),IF(AT528&lt;=0,0))</f>
        <v>7</v>
      </c>
      <c r="BA528">
        <f>MATCH(AU528,BSFC!C$63:Q$63,0)</f>
        <v>11</v>
      </c>
      <c r="BB528" cm="1">
        <f t="array" ref="BB528">IF(AZ528&gt;0,INDEX(BSFC!C$64:Q$83,Data!AZ528,Data!BA528))</f>
        <v>632.5</v>
      </c>
      <c r="BC528">
        <f>0.5*'Vehicle Data'!C$6*Data!Z528^2</f>
        <v>25969.539154756058</v>
      </c>
      <c r="BD528">
        <f t="shared" si="410"/>
        <v>9.3994341502905829</v>
      </c>
      <c r="BE528">
        <f t="shared" si="430"/>
        <v>5945.1421000587934</v>
      </c>
      <c r="BF528">
        <f t="shared" si="431"/>
        <v>0.30196704192534307</v>
      </c>
      <c r="BG528">
        <f t="shared" si="411"/>
        <v>245.32756425536272</v>
      </c>
      <c r="BH528">
        <f t="shared" si="374"/>
        <v>9310.8831519173564</v>
      </c>
      <c r="BI528" s="148">
        <f t="shared" si="412"/>
        <v>6871.6622130335309</v>
      </c>
      <c r="BO528">
        <f t="shared" si="413"/>
        <v>1657.3104901377185</v>
      </c>
      <c r="BP528">
        <f t="shared" si="414"/>
        <v>931175.17978333461</v>
      </c>
      <c r="BQ528">
        <f t="shared" si="415"/>
        <v>1324080.4339757029</v>
      </c>
      <c r="BR528" s="148">
        <f t="shared" si="416"/>
        <v>1258955.6230796925</v>
      </c>
      <c r="BS528" s="156">
        <f t="shared" si="417"/>
        <v>1657.3104901377185</v>
      </c>
      <c r="BT528" s="156">
        <f t="shared" si="418"/>
        <v>9310.8831519173564</v>
      </c>
      <c r="BU528">
        <f t="shared" si="419"/>
        <v>1223.1361606120308</v>
      </c>
      <c r="BV528">
        <f t="shared" si="420"/>
        <v>1223.1361606120308</v>
      </c>
      <c r="BW528" s="148">
        <f t="shared" si="421"/>
        <v>455.4</v>
      </c>
      <c r="BX528" s="148">
        <f t="shared" si="422"/>
        <v>3129354.9718154697</v>
      </c>
      <c r="BY528" s="148">
        <f t="shared" si="423"/>
        <v>0.15472672431742188</v>
      </c>
      <c r="BZ528">
        <f t="shared" si="406"/>
        <v>183.03176843202951</v>
      </c>
      <c r="CB528">
        <f t="shared" si="424"/>
        <v>-434.17432952568765</v>
      </c>
      <c r="CC528" s="162">
        <f t="shared" si="407"/>
        <v>-2374.4571489673631</v>
      </c>
      <c r="CD528">
        <f t="shared" si="432"/>
        <v>-65856.751375036751</v>
      </c>
    </row>
    <row r="529" spans="4:82" x14ac:dyDescent="0.2">
      <c r="D529" s="22">
        <f t="shared" si="398"/>
        <v>0</v>
      </c>
      <c r="E529" s="23">
        <v>9.0017015999999987</v>
      </c>
      <c r="F529" s="23">
        <f>IF(K529&lt;6,1,IF(Data!K529&lt;9,2,IF(K529&gt;9,3)))</f>
        <v>3</v>
      </c>
      <c r="G529" s="23">
        <v>1112.7565273662726</v>
      </c>
      <c r="H529" s="23">
        <v>220.96666499999998</v>
      </c>
      <c r="I529" s="64">
        <v>37.779709340955222</v>
      </c>
      <c r="J529" s="65">
        <f t="shared" si="399"/>
        <v>-17.707863781131106</v>
      </c>
      <c r="K529" s="65">
        <f t="shared" si="400"/>
        <v>15.111883736382088</v>
      </c>
      <c r="L529" s="65">
        <f t="shared" si="401"/>
        <v>-7.0831455124524352</v>
      </c>
      <c r="M529">
        <f t="shared" si="402"/>
        <v>18.003403199999997</v>
      </c>
      <c r="N529">
        <f t="shared" si="403"/>
        <v>0</v>
      </c>
      <c r="O529">
        <f>IF(L529&lt;'Vehicle Data'!F$21,'Vehicle Data'!C$21,IF(L529&gt;'Vehicle Data'!C$21,'Vehicle Data'!C$20))</f>
        <v>0.6</v>
      </c>
      <c r="P529">
        <f>('Vehicle Data'!C$6*9.81*'Vehicle Data'!C$5*SIN(D529))/'Vehicle Data'!C$9</f>
        <v>0</v>
      </c>
      <c r="Q529" s="107">
        <f>'Vehicle Data'!C$6*9.81*SIN(D529)</f>
        <v>0</v>
      </c>
      <c r="R529">
        <f t="shared" si="395"/>
        <v>1110.8453838464686</v>
      </c>
      <c r="S529">
        <f>IF(Data!O529=0.6,'Vehicle Data'!E$21,IF(Data!O529 = 0.9,'Vehicle Data'!E$20))+(P529*O529)</f>
        <v>1550.3723999999997</v>
      </c>
      <c r="T529">
        <f>IF(F529=3,'Vehicle Data'!H$16,IF(F529=2,'Vehicle Data'!H$15,IF(F529 = 1,'Vehicle Data'!G$14)))</f>
        <v>466.23005239380637</v>
      </c>
      <c r="U529" s="148">
        <f t="shared" si="404"/>
        <v>394.70690172315255</v>
      </c>
      <c r="V529" s="70" t="s">
        <v>77</v>
      </c>
      <c r="W529" s="99" t="s">
        <v>84</v>
      </c>
      <c r="X529">
        <f>IF(V529="S",'Vehicle Data'!C$14,IF(Data!V529 = "T1",'Vehicle Data'!P$2,IF(Data!V529="T2",'Vehicle Data'!P$3)))</f>
        <v>13.411199999999999</v>
      </c>
      <c r="Z529">
        <f>SQRT(Z528^2+2*AE528*(U529-U528))</f>
        <v>10.959693979588977</v>
      </c>
      <c r="AB529" t="b">
        <f>IF(AA529=1,'Vehicle Data'!I$14,IF(AA529=2,'Vehicle Data'!I$15,IF(AA529=3,'Vehicle Data'!I$16)))</f>
        <v>0</v>
      </c>
      <c r="AC529">
        <f>IF(Z529&lt;'Vehicle Data'!C$16,'Vehicle Data'!I$15,IF(Z529&lt;'Vehicle Data'!C$15,'Vehicle Data'!I$15,IF(Z528&gt;'Vehicle Data'!C$15,'Vehicle Data'!I$16)))</f>
        <v>0.46202745420001456</v>
      </c>
      <c r="AD529">
        <f>IF(O529=0.6,'Vehicle Data'!F$21,IF(O529=0.9,'Vehicle Data'!F$20))</f>
        <v>3.5315999999999996</v>
      </c>
      <c r="AE529" s="100">
        <f t="shared" si="396"/>
        <v>0.46202745420001456</v>
      </c>
      <c r="AF529" s="158">
        <f t="shared" si="425"/>
        <v>0.17799713121697103</v>
      </c>
      <c r="AG529" s="148">
        <f t="shared" si="408"/>
        <v>0.46377407049154534</v>
      </c>
      <c r="AH529" s="148">
        <f t="shared" si="426"/>
        <v>183.20976556324649</v>
      </c>
      <c r="AJ529">
        <f>(Z529^2)*'Vehicle Data'!C$31</f>
        <v>44.142222856392792</v>
      </c>
      <c r="AK529">
        <f>IF(O529=0.6,'Vehicle Data'!C$6*'Vehicle Data'!D$21*9.81,IF(O529=0.9,'Vehicle Data'!C$6*9.81*'Vehicle Data'!D$20))</f>
        <v>86.131799999999998</v>
      </c>
      <c r="AL529">
        <f t="shared" si="405"/>
        <v>130.27402285639278</v>
      </c>
      <c r="AN529">
        <f>IF(AG529&gt;0,AG529*'Vehicle Data'!C$6)</f>
        <v>203.59681694578842</v>
      </c>
      <c r="AO529">
        <f t="shared" si="409"/>
        <v>333.87083980218119</v>
      </c>
      <c r="AP529">
        <f>AO529*'Vehicle Data'!F$3</f>
        <v>85.337386653437505</v>
      </c>
      <c r="AQ529">
        <f>IF(AE529='Vehicle Data'!I$15,AP529/'Vehicle Data'!G$15,IF(AE529='Vehicle Data'!I$16,AP529/'Vehicle Data'!G$16,IF(AE529='Vehicle Data'!I$14,Data!AP529/'Vehicle Data'!G540)))</f>
        <v>15.754365120684705</v>
      </c>
      <c r="AR529">
        <f>IF(Z529&lt;'Vehicle Data'!C$16, Z529*'Vehicle Data'!F$7*'Vehicle Data'!G$14,IF(Z529&lt;'Vehicle Data'!C$15,Z529*'Vehicle Data'!F$7*'Vehicle Data'!G$15,IF(Z529&gt;'Vehicle Data'!C$15,Z529*'Vehicle Data'!F$7*'Vehicle Data'!G$16)))</f>
        <v>95.340533605149488</v>
      </c>
      <c r="AS529">
        <f t="shared" si="427"/>
        <v>5720.4320163089697</v>
      </c>
      <c r="AT529">
        <f t="shared" si="428"/>
        <v>16</v>
      </c>
      <c r="AU529">
        <f t="shared" si="429"/>
        <v>5500</v>
      </c>
      <c r="AW529">
        <f>VLOOKUP(AT529,BSFC!A$64:A$82,1,FALSE)</f>
        <v>16</v>
      </c>
      <c r="AX529" t="e" cm="1">
        <f t="array" ref="AX529">_xlfn.XLOOKUP(AT529,BSFC!A$64:A$82,,-1,_xlfn.XLOOKUP(Data!AU529,BSFC!C$63:Q$63,BSFC!B$64:Q$82,,-1))</f>
        <v>#VALUE!</v>
      </c>
      <c r="AY529">
        <f>HLOOKUP(AU529,BSFC!F$63:Q$63,1)</f>
        <v>5500</v>
      </c>
      <c r="AZ529">
        <f>IF(AT529&gt;0,MATCH(AT529,BSFC!A$64:A$83,0),IF(AT529&lt;=0,0))</f>
        <v>7</v>
      </c>
      <c r="BA529">
        <f>MATCH(AU529,BSFC!C$63:Q$63,0)</f>
        <v>11</v>
      </c>
      <c r="BB529" cm="1">
        <f t="array" ref="BB529">IF(AZ529&gt;0,INDEX(BSFC!C$64:Q$83,Data!AZ529,Data!BA529))</f>
        <v>632.5</v>
      </c>
      <c r="BC529">
        <f>0.5*'Vehicle Data'!C$6*Data!Z529^2</f>
        <v>26365.21882170943</v>
      </c>
      <c r="BD529">
        <f t="shared" si="410"/>
        <v>9.4859291777858452</v>
      </c>
      <c r="BE529">
        <f t="shared" si="430"/>
        <v>5999.8502049495473</v>
      </c>
      <c r="BF529">
        <f t="shared" si="431"/>
        <v>0.29665447894793751</v>
      </c>
      <c r="BG529">
        <f t="shared" si="411"/>
        <v>245.62421873431066</v>
      </c>
      <c r="BH529">
        <f t="shared" si="374"/>
        <v>9399.4341502905827</v>
      </c>
      <c r="BI529" s="148">
        <f t="shared" si="412"/>
        <v>6871.6622130335309</v>
      </c>
      <c r="BO529">
        <f t="shared" si="413"/>
        <v>1627.148525141444</v>
      </c>
      <c r="BP529">
        <f t="shared" si="414"/>
        <v>932802.32830847602</v>
      </c>
      <c r="BQ529">
        <f t="shared" si="415"/>
        <v>1325707.5825008443</v>
      </c>
      <c r="BR529" s="148">
        <f t="shared" si="416"/>
        <v>1260145.1856487182</v>
      </c>
      <c r="BS529" s="156">
        <f t="shared" si="417"/>
        <v>1627.148525141444</v>
      </c>
      <c r="BT529" s="156">
        <f t="shared" si="418"/>
        <v>9399.4341502905827</v>
      </c>
      <c r="BU529">
        <f t="shared" si="419"/>
        <v>1189.5625690257148</v>
      </c>
      <c r="BV529">
        <f t="shared" si="420"/>
        <v>1189.5625690257148</v>
      </c>
      <c r="BW529" s="148">
        <f t="shared" si="421"/>
        <v>455.4</v>
      </c>
      <c r="BX529" s="148">
        <f t="shared" si="422"/>
        <v>3129354.9718154697</v>
      </c>
      <c r="BY529" s="148">
        <f t="shared" si="423"/>
        <v>0.15047966498175291</v>
      </c>
      <c r="BZ529">
        <f t="shared" si="406"/>
        <v>183.20976556324649</v>
      </c>
      <c r="CB529">
        <f t="shared" si="424"/>
        <v>-437.58595611572923</v>
      </c>
      <c r="CC529" s="162">
        <f t="shared" si="407"/>
        <v>-2458.3876893066313</v>
      </c>
      <c r="CD529">
        <f t="shared" si="432"/>
        <v>-66294.337331152477</v>
      </c>
    </row>
    <row r="530" spans="4:82" x14ac:dyDescent="0.2">
      <c r="D530" s="22">
        <f t="shared" si="398"/>
        <v>0</v>
      </c>
      <c r="E530" s="23">
        <v>9.0017015999999987</v>
      </c>
      <c r="F530" s="23">
        <f>IF(K530&lt;6,1,IF(Data!K530&lt;9,2,IF(K530&gt;9,3)))</f>
        <v>3</v>
      </c>
      <c r="G530" s="23">
        <v>1114.6249212576568</v>
      </c>
      <c r="H530" s="23">
        <v>221.01666499999999</v>
      </c>
      <c r="I530" s="64">
        <v>36.894316151898465</v>
      </c>
      <c r="J530" s="65">
        <f t="shared" si="399"/>
        <v>-16.307442358513512</v>
      </c>
      <c r="K530" s="65">
        <f t="shared" si="400"/>
        <v>14.757726460759386</v>
      </c>
      <c r="L530" s="65">
        <f t="shared" si="401"/>
        <v>-6.5229769434054052</v>
      </c>
      <c r="M530">
        <f t="shared" si="402"/>
        <v>18.003403199999997</v>
      </c>
      <c r="N530">
        <f t="shared" si="403"/>
        <v>0</v>
      </c>
      <c r="O530">
        <f>IF(L530&lt;'Vehicle Data'!F$21,'Vehicle Data'!C$21,IF(L530&gt;'Vehicle Data'!C$21,'Vehicle Data'!C$20))</f>
        <v>0.6</v>
      </c>
      <c r="P530">
        <f>('Vehicle Data'!C$6*9.81*'Vehicle Data'!C$5*SIN(D530))/'Vehicle Data'!C$9</f>
        <v>0</v>
      </c>
      <c r="Q530" s="107">
        <f>'Vehicle Data'!C$6*9.81*SIN(D530)</f>
        <v>0</v>
      </c>
      <c r="R530">
        <f t="shared" si="395"/>
        <v>1112.7565273662726</v>
      </c>
      <c r="S530">
        <f>IF(Data!O530=0.6,'Vehicle Data'!E$21,IF(Data!O530 = 0.9,'Vehicle Data'!E$20))+(P530*O530)</f>
        <v>1550.3723999999997</v>
      </c>
      <c r="T530">
        <f>IF(F530=3,'Vehicle Data'!H$16,IF(F530=2,'Vehicle Data'!H$15,IF(F530 = 1,'Vehicle Data'!G$14)))</f>
        <v>466.23005239380637</v>
      </c>
      <c r="U530" s="148">
        <f t="shared" si="404"/>
        <v>396.61804524295655</v>
      </c>
      <c r="V530" s="70" t="s">
        <v>77</v>
      </c>
      <c r="W530" s="99" t="s">
        <v>84</v>
      </c>
      <c r="X530">
        <f>IF(V530="S",'Vehicle Data'!C$14,IF(Data!V530 = "T1",'Vehicle Data'!P$2,IF(Data!V530="T2",'Vehicle Data'!P$3)))</f>
        <v>13.411199999999999</v>
      </c>
      <c r="Z530">
        <f t="shared" ref="Z530:Z533" si="433">SQRT(Z529^2+2*AE529*(U530-U529))</f>
        <v>11.039968010658846</v>
      </c>
      <c r="AB530" t="b">
        <f>IF(AA530=1,'Vehicle Data'!I$14,IF(AA530=2,'Vehicle Data'!I$15,IF(AA530=3,'Vehicle Data'!I$16)))</f>
        <v>0</v>
      </c>
      <c r="AC530">
        <f>IF(Z530&lt;'Vehicle Data'!C$16,'Vehicle Data'!I$15,IF(Z530&lt;'Vehicle Data'!C$15,'Vehicle Data'!I$15,IF(Z529&gt;'Vehicle Data'!C$15,'Vehicle Data'!I$16)))</f>
        <v>0.46202745420001456</v>
      </c>
      <c r="AD530">
        <f>IF(O530=0.6,'Vehicle Data'!F$21,IF(O530=0.9,'Vehicle Data'!F$20))</f>
        <v>3.5315999999999996</v>
      </c>
      <c r="AE530" s="100">
        <f t="shared" si="396"/>
        <v>0.46202745420001456</v>
      </c>
      <c r="AF530" s="158">
        <f t="shared" si="425"/>
        <v>0.17311132767403248</v>
      </c>
      <c r="AG530" s="148">
        <f t="shared" si="408"/>
        <v>0.46371333492990713</v>
      </c>
      <c r="AH530" s="148">
        <f t="shared" si="426"/>
        <v>183.38287689092053</v>
      </c>
      <c r="AJ530">
        <f>(Z530^2)*'Vehicle Data'!C$31</f>
        <v>44.791228426066226</v>
      </c>
      <c r="AK530">
        <f>IF(O530=0.6,'Vehicle Data'!C$6*'Vehicle Data'!D$21*9.81,IF(O530=0.9,'Vehicle Data'!C$6*9.81*'Vehicle Data'!D$20))</f>
        <v>86.131799999999998</v>
      </c>
      <c r="AL530">
        <f t="shared" si="405"/>
        <v>130.92302842606622</v>
      </c>
      <c r="AN530">
        <f>IF(AG530&gt;0,AG530*'Vehicle Data'!C$6)</f>
        <v>203.57015403422923</v>
      </c>
      <c r="AO530">
        <f t="shared" si="409"/>
        <v>334.49318246029543</v>
      </c>
      <c r="AP530">
        <f>AO530*'Vehicle Data'!F$3</f>
        <v>85.496457436851514</v>
      </c>
      <c r="AQ530">
        <f>IF(AE530='Vehicle Data'!I$15,AP530/'Vehicle Data'!G$15,IF(AE530='Vehicle Data'!I$16,AP530/'Vehicle Data'!G$16,IF(AE530='Vehicle Data'!I$14,Data!AP530/'Vehicle Data'!G541)))</f>
        <v>15.783731607053863</v>
      </c>
      <c r="AR530">
        <f>IF(Z530&lt;'Vehicle Data'!C$16, Z530*'Vehicle Data'!F$7*'Vehicle Data'!G$14,IF(Z530&lt;'Vehicle Data'!C$15,Z530*'Vehicle Data'!F$7*'Vehicle Data'!G$15,IF(Z530&gt;'Vehicle Data'!C$15,Z530*'Vehicle Data'!F$7*'Vehicle Data'!G$16)))</f>
        <v>96.038853190631627</v>
      </c>
      <c r="AS530">
        <f t="shared" si="427"/>
        <v>5762.3311914378974</v>
      </c>
      <c r="AT530">
        <f t="shared" si="428"/>
        <v>16</v>
      </c>
      <c r="AU530">
        <f t="shared" si="429"/>
        <v>6000</v>
      </c>
      <c r="AW530">
        <f>VLOOKUP(AT530,BSFC!A$64:A$82,1,FALSE)</f>
        <v>16</v>
      </c>
      <c r="AX530" t="e" cm="1">
        <f t="array" ref="AX530">_xlfn.XLOOKUP(AT530,BSFC!A$64:A$82,,-1,_xlfn.XLOOKUP(Data!AU530,BSFC!C$63:Q$63,BSFC!B$64:Q$82,,-1))</f>
        <v>#VALUE!</v>
      </c>
      <c r="AY530">
        <f>HLOOKUP(AU530,BSFC!F$63:Q$63,1)</f>
        <v>6000</v>
      </c>
      <c r="AZ530">
        <f>IF(AT530&gt;0,MATCH(AT530,BSFC!A$64:A$83,0),IF(AT530&lt;=0,0))</f>
        <v>7</v>
      </c>
      <c r="BA530">
        <f>MATCH(AU530,BSFC!C$63:Q$63,0)</f>
        <v>12</v>
      </c>
      <c r="BB530" cm="1">
        <f t="array" ref="BB530">IF(AZ530&gt;0,INDEX(BSFC!C$64:Q$83,Data!AZ530,Data!BA530))</f>
        <v>580.6</v>
      </c>
      <c r="BC530">
        <f>0.5*'Vehicle Data'!C$6*Data!Z530^2</f>
        <v>26752.856161963358</v>
      </c>
      <c r="BD530">
        <f t="shared" si="410"/>
        <v>9.5702328940374795</v>
      </c>
      <c r="BE530">
        <f t="shared" si="430"/>
        <v>5556.4772182781608</v>
      </c>
      <c r="BF530">
        <f t="shared" si="431"/>
        <v>0.26719143012406865</v>
      </c>
      <c r="BG530">
        <f t="shared" si="411"/>
        <v>245.89141016443472</v>
      </c>
      <c r="BH530">
        <f t="shared" si="374"/>
        <v>9485.9291777858452</v>
      </c>
      <c r="BI530" s="148">
        <f t="shared" si="412"/>
        <v>6871.6622130335309</v>
      </c>
      <c r="BO530">
        <f t="shared" si="413"/>
        <v>1594.1386614919895</v>
      </c>
      <c r="BP530">
        <f t="shared" si="414"/>
        <v>934396.46696996805</v>
      </c>
      <c r="BQ530">
        <f t="shared" si="415"/>
        <v>1327301.7211623362</v>
      </c>
      <c r="BR530" s="148">
        <f t="shared" si="416"/>
        <v>1261299.9889576195</v>
      </c>
      <c r="BS530" s="156">
        <f t="shared" si="417"/>
        <v>1594.1386614919895</v>
      </c>
      <c r="BT530" s="156">
        <f t="shared" si="418"/>
        <v>9485.9291777858452</v>
      </c>
      <c r="BU530">
        <f t="shared" si="419"/>
        <v>1154.8033089012865</v>
      </c>
      <c r="BV530">
        <f t="shared" si="420"/>
        <v>1154.8033089012865</v>
      </c>
      <c r="BW530" s="148">
        <f t="shared" si="421"/>
        <v>455.4</v>
      </c>
      <c r="BX530" s="148">
        <f t="shared" si="422"/>
        <v>3129354.9718154697</v>
      </c>
      <c r="BY530" s="148">
        <f t="shared" si="423"/>
        <v>0.14608261857601273</v>
      </c>
      <c r="BZ530">
        <f t="shared" si="406"/>
        <v>183.38287689092053</v>
      </c>
      <c r="CB530">
        <f t="shared" si="424"/>
        <v>-439.335352590703</v>
      </c>
      <c r="CC530" s="162">
        <f t="shared" si="407"/>
        <v>-2537.8775525190354</v>
      </c>
      <c r="CD530">
        <f t="shared" si="432"/>
        <v>-66733.672683743178</v>
      </c>
    </row>
    <row r="531" spans="4:82" x14ac:dyDescent="0.2">
      <c r="D531" s="22">
        <f t="shared" si="398"/>
        <v>0</v>
      </c>
      <c r="E531" s="23">
        <v>9.0017015999999987</v>
      </c>
      <c r="F531" s="23">
        <f>IF(K531&lt;6,1,IF(Data!K531&lt;9,2,IF(K531&gt;9,3)))</f>
        <v>3</v>
      </c>
      <c r="G531" s="23">
        <v>1116.4502500612507</v>
      </c>
      <c r="H531" s="23">
        <v>221.066665</v>
      </c>
      <c r="I531" s="64">
        <v>36.078944033972604</v>
      </c>
      <c r="J531" s="65">
        <f t="shared" si="399"/>
        <v>-14.538014131482823</v>
      </c>
      <c r="K531" s="65">
        <f t="shared" si="400"/>
        <v>14.431577613589042</v>
      </c>
      <c r="L531" s="65">
        <f t="shared" si="401"/>
        <v>-5.8152056525931366</v>
      </c>
      <c r="M531">
        <f t="shared" si="402"/>
        <v>18.003403199999997</v>
      </c>
      <c r="N531">
        <f t="shared" si="403"/>
        <v>0</v>
      </c>
      <c r="O531">
        <f>IF(L531&lt;'Vehicle Data'!F$21,'Vehicle Data'!C$21,IF(L531&gt;'Vehicle Data'!C$21,'Vehicle Data'!C$20))</f>
        <v>0.6</v>
      </c>
      <c r="P531">
        <f>('Vehicle Data'!C$6*9.81*'Vehicle Data'!C$5*SIN(D531))/'Vehicle Data'!C$9</f>
        <v>0</v>
      </c>
      <c r="Q531" s="107">
        <f>'Vehicle Data'!C$6*9.81*SIN(D531)</f>
        <v>0</v>
      </c>
      <c r="R531">
        <f t="shared" si="395"/>
        <v>1114.6249212576568</v>
      </c>
      <c r="S531">
        <f>IF(Data!O531=0.6,'Vehicle Data'!E$21,IF(Data!O531 = 0.9,'Vehicle Data'!E$20))+(P531*O531)</f>
        <v>1550.3723999999997</v>
      </c>
      <c r="T531">
        <f>IF(F531=3,'Vehicle Data'!H$16,IF(F531=2,'Vehicle Data'!H$15,IF(F531 = 1,'Vehicle Data'!G$14)))</f>
        <v>466.23005239380637</v>
      </c>
      <c r="U531" s="148">
        <f t="shared" si="404"/>
        <v>398.48643913434069</v>
      </c>
      <c r="V531" s="70" t="s">
        <v>77</v>
      </c>
      <c r="W531" s="99" t="s">
        <v>84</v>
      </c>
      <c r="X531">
        <f>IF(V531="S",'Vehicle Data'!C$14,IF(Data!V531 = "T1",'Vehicle Data'!P$2,IF(Data!V531="T2",'Vehicle Data'!P$3)))</f>
        <v>13.411199999999999</v>
      </c>
      <c r="Z531">
        <f t="shared" si="433"/>
        <v>11.117886140023597</v>
      </c>
      <c r="AB531" t="b">
        <f>IF(AA531=1,'Vehicle Data'!I$14,IF(AA531=2,'Vehicle Data'!I$15,IF(AA531=3,'Vehicle Data'!I$16)))</f>
        <v>0</v>
      </c>
      <c r="AC531">
        <f>IF(Z531&lt;'Vehicle Data'!C$16,'Vehicle Data'!I$15,IF(Z531&lt;'Vehicle Data'!C$15,'Vehicle Data'!I$15,IF(Z530&gt;'Vehicle Data'!C$15,'Vehicle Data'!I$16)))</f>
        <v>0.46202745420001456</v>
      </c>
      <c r="AD531">
        <f>IF(O531=0.6,'Vehicle Data'!F$21,IF(O531=0.9,'Vehicle Data'!F$20))</f>
        <v>3.5315999999999996</v>
      </c>
      <c r="AE531" s="100">
        <f t="shared" si="396"/>
        <v>0.46202745420001456</v>
      </c>
      <c r="AF531" s="158">
        <f t="shared" si="425"/>
        <v>0.1680529794830373</v>
      </c>
      <c r="AG531" s="148">
        <f t="shared" si="408"/>
        <v>0.46365217447760393</v>
      </c>
      <c r="AH531" s="148">
        <f t="shared" si="426"/>
        <v>183.55092987040356</v>
      </c>
      <c r="AJ531">
        <f>(Z531^2)*'Vehicle Data'!C$31</f>
        <v>45.425716641779346</v>
      </c>
      <c r="AK531">
        <f>IF(O531=0.6,'Vehicle Data'!C$6*'Vehicle Data'!D$21*9.81,IF(O531=0.9,'Vehicle Data'!C$6*9.81*'Vehicle Data'!D$20))</f>
        <v>86.131799999999998</v>
      </c>
      <c r="AL531">
        <f t="shared" si="405"/>
        <v>131.55751664177933</v>
      </c>
      <c r="AN531">
        <f>IF(AG531&gt;0,AG531*'Vehicle Data'!C$6)</f>
        <v>203.54330459566813</v>
      </c>
      <c r="AO531">
        <f t="shared" si="409"/>
        <v>335.10082123744746</v>
      </c>
      <c r="AP531">
        <f>AO531*'Vehicle Data'!F$3</f>
        <v>85.65176990829157</v>
      </c>
      <c r="AQ531">
        <f>IF(AE531='Vehicle Data'!I$15,AP531/'Vehicle Data'!G$15,IF(AE531='Vehicle Data'!I$16,AP531/'Vehicle Data'!G$16,IF(AE531='Vehicle Data'!I$14,Data!AP531/'Vehicle Data'!G542)))</f>
        <v>15.812404261312651</v>
      </c>
      <c r="AR531">
        <f>IF(Z531&lt;'Vehicle Data'!C$16, Z531*'Vehicle Data'!F$7*'Vehicle Data'!G$14,IF(Z531&lt;'Vehicle Data'!C$15,Z531*'Vehicle Data'!F$7*'Vehicle Data'!G$15,IF(Z531&gt;'Vehicle Data'!C$15,Z531*'Vehicle Data'!F$7*'Vehicle Data'!G$16)))</f>
        <v>96.71667832379552</v>
      </c>
      <c r="AS531">
        <f t="shared" si="427"/>
        <v>5803.000699427731</v>
      </c>
      <c r="AT531">
        <f t="shared" si="428"/>
        <v>16</v>
      </c>
      <c r="AU531">
        <f t="shared" si="429"/>
        <v>6000</v>
      </c>
      <c r="AW531">
        <f>VLOOKUP(AT531,BSFC!A$64:A$82,1,FALSE)</f>
        <v>16</v>
      </c>
      <c r="AX531" t="e" cm="1">
        <f t="array" ref="AX531">_xlfn.XLOOKUP(AT531,BSFC!A$64:A$82,,-1,_xlfn.XLOOKUP(Data!AU531,BSFC!C$63:Q$63,BSFC!B$64:Q$82,,-1))</f>
        <v>#VALUE!</v>
      </c>
      <c r="AY531">
        <f>HLOOKUP(AU531,BSFC!F$63:Q$63,1)</f>
        <v>6000</v>
      </c>
      <c r="AZ531">
        <f>IF(AT531&gt;0,MATCH(AT531,BSFC!A$64:A$83,0),IF(AT531&lt;=0,0))</f>
        <v>7</v>
      </c>
      <c r="BA531">
        <f>MATCH(AU531,BSFC!C$63:Q$63,0)</f>
        <v>12</v>
      </c>
      <c r="BB531" cm="1">
        <f t="array" ref="BB531">IF(AZ531&gt;0,INDEX(BSFC!C$64:Q$83,Data!AZ531,Data!BA531))</f>
        <v>580.6</v>
      </c>
      <c r="BC531">
        <f>0.5*'Vehicle Data'!C$6*Data!Z531^2</f>
        <v>27131.82259284507</v>
      </c>
      <c r="BD531">
        <f t="shared" si="410"/>
        <v>8.7855779464729107</v>
      </c>
      <c r="BE531">
        <f t="shared" si="430"/>
        <v>5100.906555722172</v>
      </c>
      <c r="BF531">
        <f t="shared" si="431"/>
        <v>0.23811737354268572</v>
      </c>
      <c r="BG531">
        <f t="shared" si="411"/>
        <v>246.1295275379774</v>
      </c>
      <c r="BH531">
        <f t="shared" si="374"/>
        <v>9570.2328940374791</v>
      </c>
      <c r="BI531" s="148">
        <f t="shared" si="412"/>
        <v>6871.6622130335309</v>
      </c>
      <c r="BO531">
        <f t="shared" si="413"/>
        <v>1560.6241012883245</v>
      </c>
      <c r="BP531">
        <f t="shared" si="414"/>
        <v>935957.09107125632</v>
      </c>
      <c r="BQ531">
        <f t="shared" si="415"/>
        <v>1328862.3452636246</v>
      </c>
      <c r="BR531" s="148">
        <f t="shared" si="416"/>
        <v>1262420.5553831507</v>
      </c>
      <c r="BS531" s="156">
        <f t="shared" si="417"/>
        <v>1560.6241012883245</v>
      </c>
      <c r="BT531" s="156">
        <f t="shared" si="418"/>
        <v>9570.2328940374791</v>
      </c>
      <c r="BU531">
        <f t="shared" si="419"/>
        <v>1120.566425531169</v>
      </c>
      <c r="BV531">
        <f t="shared" si="420"/>
        <v>1120.566425531169</v>
      </c>
      <c r="BW531" s="148">
        <f t="shared" si="421"/>
        <v>455.4</v>
      </c>
      <c r="BX531" s="148">
        <f t="shared" si="422"/>
        <v>3129354.9718154697</v>
      </c>
      <c r="BY531" s="148">
        <f t="shared" si="423"/>
        <v>0.14175165282969285</v>
      </c>
      <c r="BZ531">
        <f t="shared" si="406"/>
        <v>183.55092987040356</v>
      </c>
      <c r="CB531">
        <f t="shared" si="424"/>
        <v>-440.05767575715549</v>
      </c>
      <c r="CC531" s="162">
        <f t="shared" si="407"/>
        <v>-2618.5651519589746</v>
      </c>
      <c r="CD531">
        <f t="shared" si="432"/>
        <v>-67173.730359500332</v>
      </c>
    </row>
    <row r="532" spans="4:82" x14ac:dyDescent="0.2">
      <c r="D532" s="22">
        <f t="shared" si="398"/>
        <v>0</v>
      </c>
      <c r="E532" s="23">
        <v>9.0017015999999987</v>
      </c>
      <c r="F532" s="23">
        <f>IF(K532&lt;6,1,IF(Data!K532&lt;9,2,IF(K532&gt;9,3)))</f>
        <v>3</v>
      </c>
      <c r="G532" s="23">
        <v>1118.2375158513685</v>
      </c>
      <c r="H532" s="23">
        <v>221.11666499999998</v>
      </c>
      <c r="I532" s="64">
        <v>35.352043327398711</v>
      </c>
      <c r="J532" s="65">
        <f t="shared" si="399"/>
        <v>-15.498825303385956</v>
      </c>
      <c r="K532" s="65">
        <f t="shared" si="400"/>
        <v>14.140817330959484</v>
      </c>
      <c r="L532" s="65">
        <f t="shared" si="401"/>
        <v>-6.1995301213543756</v>
      </c>
      <c r="M532">
        <f t="shared" si="402"/>
        <v>18.003403199999997</v>
      </c>
      <c r="N532">
        <f t="shared" si="403"/>
        <v>0</v>
      </c>
      <c r="O532">
        <f>'Vehicle Data'!C$20</f>
        <v>0.9</v>
      </c>
      <c r="P532">
        <f>('Vehicle Data'!C$6*9.81*'Vehicle Data'!C$5*SIN(D532))/'Vehicle Data'!C$9</f>
        <v>0</v>
      </c>
      <c r="Q532" s="107">
        <f>'Vehicle Data'!C$6*9.81*SIN(D532)</f>
        <v>0</v>
      </c>
      <c r="R532">
        <f t="shared" si="395"/>
        <v>1116.4502500612507</v>
      </c>
      <c r="S532">
        <f>IF(Data!O532=0.6,'Vehicle Data'!E$21,IF(Data!O532 = 0.9,'Vehicle Data'!E$20))+(P532*O532)</f>
        <v>2325.5585999999998</v>
      </c>
      <c r="T532">
        <f>IF(F532=3,'Vehicle Data'!H$16,IF(F532=2,'Vehicle Data'!H$15,IF(F532 = 1,'Vehicle Data'!G$14)))</f>
        <v>466.23005239380637</v>
      </c>
      <c r="U532" s="148">
        <f t="shared" si="404"/>
        <v>400.31176793793463</v>
      </c>
      <c r="V532" s="70" t="s">
        <v>77</v>
      </c>
      <c r="W532" s="99" t="s">
        <v>84</v>
      </c>
      <c r="X532">
        <f>IF(V532="S",'Vehicle Data'!C$14,IF(Data!V532 = "T1",'Vehicle Data'!P$2,IF(Data!V532="T2",'Vehicle Data'!P$3)))</f>
        <v>13.411199999999999</v>
      </c>
      <c r="Z532">
        <f t="shared" si="433"/>
        <v>11.193484545168841</v>
      </c>
      <c r="AB532" t="b">
        <f>IF(AA532=1,'Vehicle Data'!I$14,IF(AA532=2,'Vehicle Data'!I$15,IF(AA532=3,'Vehicle Data'!I$16)))</f>
        <v>0</v>
      </c>
      <c r="AC532">
        <f>IF(Z532&lt;'Vehicle Data'!C$16,'Vehicle Data'!I$15,IF(Z532&lt;'Vehicle Data'!C$15,'Vehicle Data'!I$15,IF(Z531&gt;'Vehicle Data'!C$15,'Vehicle Data'!I$16)))</f>
        <v>0.46202745420001456</v>
      </c>
      <c r="AD532">
        <f>IF(O532=0.6,'Vehicle Data'!F$21,IF(O532=0.9,'Vehicle Data'!F$20))</f>
        <v>5.2973999999999997</v>
      </c>
      <c r="AE532" s="100">
        <f t="shared" si="396"/>
        <v>0.46202745420001456</v>
      </c>
      <c r="AF532" s="158">
        <f t="shared" si="425"/>
        <v>0.16307065027232898</v>
      </c>
      <c r="AG532" s="148">
        <f t="shared" si="408"/>
        <v>0.46359295813805207</v>
      </c>
      <c r="AH532" s="148">
        <f t="shared" si="426"/>
        <v>183.71400052067588</v>
      </c>
      <c r="AJ532">
        <f>(Z532^2)*'Vehicle Data'!C$31</f>
        <v>46.045580376628152</v>
      </c>
      <c r="AK532">
        <f>IF(O532=0.6,'Vehicle Data'!C$6*'Vehicle Data'!D$21*9.81,IF(O532=0.9,'Vehicle Data'!C$6*9.81*'Vehicle Data'!D$20))</f>
        <v>55.985669999999999</v>
      </c>
      <c r="AL532">
        <f t="shared" si="405"/>
        <v>102.03125037662815</v>
      </c>
      <c r="AN532">
        <f>IF(AG532&gt;0,AG532*'Vehicle Data'!C$6)</f>
        <v>203.51730862260487</v>
      </c>
      <c r="AO532">
        <f t="shared" si="409"/>
        <v>305.54855899923302</v>
      </c>
      <c r="AP532">
        <f>AO532*'Vehicle Data'!F$3</f>
        <v>78.09821168020396</v>
      </c>
      <c r="AQ532">
        <f>IF(AE532='Vehicle Data'!I$15,AP532/'Vehicle Data'!G$15,IF(AE532='Vehicle Data'!I$16,AP532/'Vehicle Data'!G$16,IF(AE532='Vehicle Data'!I$14,Data!AP532/'Vehicle Data'!G543)))</f>
        <v>14.417921503492567</v>
      </c>
      <c r="AR532">
        <f>IF(Z532&lt;'Vehicle Data'!C$16, Z532*'Vehicle Data'!F$7*'Vehicle Data'!G$14,IF(Z532&lt;'Vehicle Data'!C$15,Z532*'Vehicle Data'!F$7*'Vehicle Data'!G$15,IF(Z532&gt;'Vehicle Data'!C$15,Z532*'Vehicle Data'!F$7*'Vehicle Data'!G$16)))</f>
        <v>97.374323719704307</v>
      </c>
      <c r="AS532">
        <f t="shared" si="427"/>
        <v>5842.4594231822584</v>
      </c>
      <c r="AT532">
        <f t="shared" si="428"/>
        <v>14</v>
      </c>
      <c r="AU532">
        <f t="shared" si="429"/>
        <v>6000</v>
      </c>
      <c r="AW532">
        <f>VLOOKUP(AT532,BSFC!A$64:A$82,1,FALSE)</f>
        <v>14</v>
      </c>
      <c r="AX532" t="e" cm="1">
        <f t="array" ref="AX532">_xlfn.XLOOKUP(AT532,BSFC!A$64:A$82,,-1,_xlfn.XLOOKUP(Data!AU532,BSFC!C$63:Q$63,BSFC!B$64:Q$82,,-1))</f>
        <v>#VALUE!</v>
      </c>
      <c r="AY532">
        <f>HLOOKUP(AU532,BSFC!F$63:Q$63,1)</f>
        <v>6000</v>
      </c>
      <c r="AZ532">
        <f>IF(AT532&gt;0,MATCH(AT532,BSFC!A$64:A$83,0),IF(AT532&lt;=0,0))</f>
        <v>9</v>
      </c>
      <c r="BA532">
        <f>MATCH(AU532,BSFC!C$63:Q$63,0)</f>
        <v>12</v>
      </c>
      <c r="BB532" cm="1">
        <f t="array" ref="BB532">IF(AZ532&gt;0,INDEX(BSFC!C$64:Q$83,Data!AZ532,Data!BA532))</f>
        <v>564.5</v>
      </c>
      <c r="BC532">
        <f>0.5*'Vehicle Data'!C$6*Data!Z532^2</f>
        <v>27502.05412971395</v>
      </c>
      <c r="BD532">
        <f t="shared" si="410"/>
        <v>8.8601844589240741</v>
      </c>
      <c r="BE532">
        <f t="shared" si="430"/>
        <v>5001.5741270626395</v>
      </c>
      <c r="BF532">
        <f t="shared" si="431"/>
        <v>0.22655831813482244</v>
      </c>
      <c r="BG532">
        <f t="shared" si="411"/>
        <v>246.35608585611223</v>
      </c>
      <c r="BH532">
        <f t="shared" si="374"/>
        <v>8785.5779464729112</v>
      </c>
      <c r="BI532" s="148">
        <f t="shared" si="412"/>
        <v>6871.6622130335309</v>
      </c>
      <c r="BO532">
        <f t="shared" si="413"/>
        <v>1393.6400057705225</v>
      </c>
      <c r="BP532">
        <f t="shared" si="414"/>
        <v>937350.73107702681</v>
      </c>
      <c r="BQ532">
        <f t="shared" si="415"/>
        <v>1330255.9852693952</v>
      </c>
      <c r="BR532" s="148">
        <f t="shared" si="416"/>
        <v>1263510.5944704562</v>
      </c>
      <c r="BS532" s="156">
        <f t="shared" si="417"/>
        <v>1393.6400057705225</v>
      </c>
      <c r="BT532" s="156">
        <f t="shared" si="418"/>
        <v>8785.5779464729112</v>
      </c>
      <c r="BU532">
        <f t="shared" si="419"/>
        <v>1090.0390873055535</v>
      </c>
      <c r="BV532">
        <f t="shared" si="420"/>
        <v>1090.0390873055535</v>
      </c>
      <c r="BW532" s="148">
        <f t="shared" si="421"/>
        <v>455.4</v>
      </c>
      <c r="BX532" s="148">
        <f t="shared" si="422"/>
        <v>3129354.9718154697</v>
      </c>
      <c r="BY532" s="148">
        <f t="shared" si="423"/>
        <v>0.13788994454415252</v>
      </c>
      <c r="BZ532">
        <f t="shared" si="406"/>
        <v>183.71400052067588</v>
      </c>
      <c r="CB532">
        <f t="shared" si="424"/>
        <v>-303.60091846496903</v>
      </c>
      <c r="CC532" s="162">
        <f t="shared" si="407"/>
        <v>-1861.7753590727434</v>
      </c>
      <c r="CD532">
        <f t="shared" si="432"/>
        <v>-67477.331277965306</v>
      </c>
    </row>
    <row r="533" spans="4:82" x14ac:dyDescent="0.2">
      <c r="D533" s="22">
        <f t="shared" si="398"/>
        <v>0</v>
      </c>
      <c r="E533" s="23">
        <v>9.0017015999999987</v>
      </c>
      <c r="F533" s="23">
        <f>IF(K533&lt;6,1,IF(Data!K533&lt;9,2,IF(K533&gt;9,3)))</f>
        <v>3</v>
      </c>
      <c r="G533" s="23">
        <v>1119.9874005063298</v>
      </c>
      <c r="H533" s="23">
        <v>221.16666499999999</v>
      </c>
      <c r="I533" s="64">
        <v>34.577102062229237</v>
      </c>
      <c r="J533" s="65">
        <f t="shared" si="399"/>
        <v>0.15633957342635355</v>
      </c>
      <c r="K533" s="65">
        <f t="shared" si="400"/>
        <v>13.830840824891695</v>
      </c>
      <c r="L533" s="65">
        <f t="shared" si="401"/>
        <v>6.2535829370541418E-2</v>
      </c>
      <c r="M533">
        <f t="shared" si="402"/>
        <v>18.003403199999997</v>
      </c>
      <c r="N533">
        <v>0</v>
      </c>
      <c r="O533">
        <f>'Vehicle Data'!C$20</f>
        <v>0.9</v>
      </c>
      <c r="P533">
        <f>('Vehicle Data'!C$6*9.81*'Vehicle Data'!C$5*SIN(D533))/'Vehicle Data'!C$9</f>
        <v>0</v>
      </c>
      <c r="Q533" s="107">
        <f>'Vehicle Data'!C$6*9.81*SIN(D533)</f>
        <v>0</v>
      </c>
      <c r="R533">
        <f t="shared" si="395"/>
        <v>1118.2375158513685</v>
      </c>
      <c r="S533">
        <f>IF(Data!O533=0.6,'Vehicle Data'!E$21,IF(Data!O533 = 0.9,'Vehicle Data'!E$20))+(P533*O533)</f>
        <v>2325.5585999999998</v>
      </c>
      <c r="T533">
        <f>IF(F533=3,'Vehicle Data'!H$16,IF(F533=2,'Vehicle Data'!H$15,IF(F533 = 1,'Vehicle Data'!G$14)))</f>
        <v>466.23005239380637</v>
      </c>
      <c r="U533" s="148">
        <f t="shared" si="404"/>
        <v>402.0990337280524</v>
      </c>
      <c r="V533" s="70" t="s">
        <v>77</v>
      </c>
      <c r="W533" s="99" t="s">
        <v>84</v>
      </c>
      <c r="X533">
        <f>IF(V533="S",'Vehicle Data'!C$14,IF(Data!V533 = "T1",'Vehicle Data'!P$2,IF(Data!V533="T2",'Vehicle Data'!P$3)))</f>
        <v>13.411199999999999</v>
      </c>
      <c r="Z533">
        <f t="shared" si="433"/>
        <v>11.267015043431313</v>
      </c>
      <c r="AB533" t="b">
        <f>IF(AA533=1,'Vehicle Data'!I$14,IF(AA533=2,'Vehicle Data'!I$15,IF(AA533=3,'Vehicle Data'!I$16)))</f>
        <v>0</v>
      </c>
      <c r="AC533">
        <f>IF(Z533&lt;'Vehicle Data'!C$16,'Vehicle Data'!I$15,IF(Z533&lt;'Vehicle Data'!C$15,'Vehicle Data'!I$15,IF(Z532&gt;'Vehicle Data'!C$15,'Vehicle Data'!I$16)))</f>
        <v>0.46202745420001456</v>
      </c>
      <c r="AD533">
        <f>IF(O533=0.6,'Vehicle Data'!F$21,IF(O533=0.9,'Vehicle Data'!F$20))</f>
        <v>5.2973999999999997</v>
      </c>
      <c r="AE533" s="100">
        <f t="shared" si="396"/>
        <v>0.46202745420001456</v>
      </c>
      <c r="AF533" s="158">
        <f t="shared" si="425"/>
        <v>0.15862815335102889</v>
      </c>
      <c r="AG533" s="148">
        <f t="shared" si="408"/>
        <v>0.46354002558269219</v>
      </c>
      <c r="AH533" s="148">
        <f t="shared" si="426"/>
        <v>183.87262867402691</v>
      </c>
      <c r="AJ533">
        <f>(Z533^2)*'Vehicle Data'!C$31</f>
        <v>46.65251828592352</v>
      </c>
      <c r="AK533">
        <f>IF(O533=0.6,'Vehicle Data'!C$6*'Vehicle Data'!D$21*9.81,IF(O533=0.9,'Vehicle Data'!C$6*9.81*'Vehicle Data'!D$20))</f>
        <v>55.985669999999999</v>
      </c>
      <c r="AL533">
        <f t="shared" si="405"/>
        <v>102.63818828592352</v>
      </c>
      <c r="AN533">
        <f>IF(AG533&gt;0,AG533*'Vehicle Data'!C$6)</f>
        <v>203.49407123080186</v>
      </c>
      <c r="AO533">
        <f t="shared" si="409"/>
        <v>306.13225951672541</v>
      </c>
      <c r="AP533">
        <f>AO533*'Vehicle Data'!F$3</f>
        <v>78.247405532475014</v>
      </c>
      <c r="AQ533">
        <f>IF(AE533='Vehicle Data'!I$15,AP533/'Vehicle Data'!G$15,IF(AE533='Vehicle Data'!I$16,AP533/'Vehicle Data'!G$16,IF(AE533='Vehicle Data'!I$14,Data!AP533/'Vehicle Data'!G544)))</f>
        <v>14.445464582963526</v>
      </c>
      <c r="AR533">
        <f>IF(Z533&lt;'Vehicle Data'!C$16, Z533*'Vehicle Data'!F$7*'Vehicle Data'!G$14,IF(Z533&lt;'Vehicle Data'!C$15,Z533*'Vehicle Data'!F$7*'Vehicle Data'!G$15,IF(Z533&gt;'Vehicle Data'!C$15,Z533*'Vehicle Data'!F$7*'Vehicle Data'!G$16)))</f>
        <v>98.013979986900495</v>
      </c>
      <c r="AS533">
        <f t="shared" si="427"/>
        <v>5880.8387992140297</v>
      </c>
      <c r="AT533">
        <f t="shared" si="428"/>
        <v>14</v>
      </c>
      <c r="AU533">
        <f t="shared" si="429"/>
        <v>6000</v>
      </c>
      <c r="AW533">
        <f>VLOOKUP(AT533,BSFC!A$64:A$82,1,FALSE)</f>
        <v>14</v>
      </c>
      <c r="AX533" t="e" cm="1">
        <f t="array" ref="AX533">_xlfn.XLOOKUP(AT533,BSFC!A$64:A$82,,-1,_xlfn.XLOOKUP(Data!AU533,BSFC!C$63:Q$63,BSFC!B$64:Q$82,,-1))</f>
        <v>#VALUE!</v>
      </c>
      <c r="AY533">
        <f>HLOOKUP(AU533,BSFC!F$63:Q$63,1)</f>
        <v>6000</v>
      </c>
      <c r="AZ533">
        <f>IF(AT533&gt;0,MATCH(AT533,BSFC!A$64:A$83,0),IF(AT533&lt;=0,0))</f>
        <v>9</v>
      </c>
      <c r="BA533">
        <f>MATCH(AU533,BSFC!C$63:Q$63,0)</f>
        <v>12</v>
      </c>
      <c r="BB533" cm="1">
        <f t="array" ref="BB533">IF(AZ533&gt;0,INDEX(BSFC!C$64:Q$83,Data!AZ533,Data!BA533))</f>
        <v>564.5</v>
      </c>
      <c r="BC533">
        <f>0.5*'Vehicle Data'!C$6*Data!Z533^2</f>
        <v>27864.565343565198</v>
      </c>
      <c r="BD533">
        <f t="shared" si="410"/>
        <v>0</v>
      </c>
      <c r="BE533">
        <f t="shared" si="430"/>
        <v>0</v>
      </c>
      <c r="BF533">
        <f t="shared" si="431"/>
        <v>0</v>
      </c>
      <c r="BG533">
        <f t="shared" si="411"/>
        <v>246.35608585611223</v>
      </c>
      <c r="BH533">
        <f t="shared" si="374"/>
        <v>8860.1844589240736</v>
      </c>
      <c r="BI533" s="148">
        <f t="shared" si="412"/>
        <v>6871.6622130335309</v>
      </c>
      <c r="BO533">
        <f t="shared" si="413"/>
        <v>0</v>
      </c>
      <c r="BP533">
        <f t="shared" si="414"/>
        <v>937350.73107702681</v>
      </c>
      <c r="BQ533">
        <f t="shared" si="415"/>
        <v>1330255.9852693952</v>
      </c>
      <c r="BR533" s="148">
        <f t="shared" si="416"/>
        <v>1263510.5944704562</v>
      </c>
      <c r="BS533" s="156" t="b">
        <f t="shared" si="417"/>
        <v>0</v>
      </c>
      <c r="BT533" s="156">
        <f t="shared" si="418"/>
        <v>8860.1844589240736</v>
      </c>
      <c r="BU533">
        <f t="shared" si="419"/>
        <v>0</v>
      </c>
      <c r="BV533">
        <f t="shared" si="420"/>
        <v>0</v>
      </c>
      <c r="BW533" s="148">
        <f t="shared" si="421"/>
        <v>455.4</v>
      </c>
      <c r="BX533" s="148">
        <f t="shared" si="422"/>
        <v>3129354.9718154697</v>
      </c>
      <c r="BY533" s="148">
        <f t="shared" si="423"/>
        <v>0</v>
      </c>
      <c r="BZ533">
        <f t="shared" si="406"/>
        <v>183.87262867402691</v>
      </c>
      <c r="CB533">
        <f t="shared" si="424"/>
        <v>0</v>
      </c>
      <c r="CC533" s="162">
        <f t="shared" si="407"/>
        <v>0</v>
      </c>
      <c r="CD533">
        <f t="shared" si="432"/>
        <v>-67477.331277965306</v>
      </c>
    </row>
    <row r="534" spans="4:82" x14ac:dyDescent="0.2">
      <c r="D534" s="22"/>
      <c r="E534" s="23"/>
      <c r="F534" s="23"/>
      <c r="G534" s="23"/>
      <c r="H534" s="23"/>
      <c r="I534" s="64"/>
      <c r="J534" s="65"/>
      <c r="K534" s="65"/>
      <c r="L534" s="65"/>
      <c r="Q534" s="100"/>
      <c r="V534" s="9"/>
      <c r="W534" s="10"/>
      <c r="AE534" s="100"/>
      <c r="AH534" s="148">
        <f>AH533+AF533</f>
        <v>184.03125682737794</v>
      </c>
      <c r="AN534" s="152"/>
      <c r="AO534" s="153"/>
      <c r="AP534" s="153"/>
      <c r="AQ534" s="153"/>
      <c r="AR534" s="153"/>
      <c r="AS534" s="154"/>
      <c r="AT534" s="155"/>
      <c r="AU534" s="155"/>
      <c r="AV534" s="155"/>
      <c r="AW534" s="107"/>
      <c r="AX534" s="107"/>
      <c r="AY534" s="107"/>
      <c r="AZ534" s="107"/>
      <c r="BA534" s="107"/>
      <c r="BB534" s="152"/>
      <c r="BC534" s="153"/>
      <c r="BD534" s="153"/>
      <c r="BE534" s="153"/>
      <c r="BF534" s="153"/>
      <c r="BG534" s="154"/>
      <c r="BZ534">
        <f t="shared" si="406"/>
        <v>184.03125682737794</v>
      </c>
      <c r="CB534">
        <f t="shared" si="424"/>
        <v>0</v>
      </c>
      <c r="CC534" s="162">
        <f t="shared" si="407"/>
        <v>0</v>
      </c>
      <c r="CD534">
        <f t="shared" si="432"/>
        <v>-67477.331277965306</v>
      </c>
    </row>
    <row r="535" spans="4:82" x14ac:dyDescent="0.2">
      <c r="D535" s="22"/>
      <c r="E535" s="23"/>
      <c r="F535" s="23"/>
      <c r="G535" s="23"/>
      <c r="H535" s="23"/>
      <c r="I535" s="64"/>
      <c r="J535" s="65"/>
      <c r="K535" s="65"/>
      <c r="L535" s="65"/>
      <c r="Q535" s="100"/>
      <c r="V535" s="9"/>
      <c r="W535" s="10"/>
      <c r="AE535" s="100"/>
      <c r="AN535" s="152"/>
      <c r="AO535" s="153"/>
      <c r="AP535" s="153"/>
      <c r="AQ535" s="153"/>
      <c r="AR535" s="153"/>
      <c r="AS535" s="154"/>
      <c r="AT535" s="155"/>
      <c r="AU535" s="155"/>
      <c r="AV535" s="155"/>
      <c r="AW535" s="107"/>
      <c r="AX535" s="107"/>
      <c r="AY535" s="107"/>
      <c r="AZ535" s="107"/>
      <c r="BA535" s="107"/>
      <c r="BB535" s="152"/>
      <c r="BC535" s="153"/>
      <c r="BD535" s="153"/>
      <c r="BE535" s="153"/>
      <c r="BF535" s="153"/>
      <c r="BG535" s="154"/>
    </row>
    <row r="536" spans="4:82" x14ac:dyDescent="0.2">
      <c r="D536" s="22"/>
      <c r="E536" s="23"/>
      <c r="F536" s="23"/>
      <c r="G536" s="23"/>
      <c r="H536" s="23"/>
      <c r="I536" s="64"/>
      <c r="J536" s="65"/>
      <c r="K536" s="65"/>
      <c r="L536" s="65"/>
      <c r="Q536" s="100"/>
      <c r="V536" s="9"/>
      <c r="W536" s="10"/>
      <c r="AE536" s="100"/>
      <c r="AF536">
        <f>SUM(AF2:AF533)</f>
        <v>184.02903966003487</v>
      </c>
      <c r="AN536" s="152"/>
      <c r="AO536" s="153"/>
      <c r="AP536" s="153"/>
      <c r="AQ536" s="153"/>
      <c r="AR536" s="153"/>
      <c r="AS536" s="154"/>
      <c r="AT536" s="155"/>
      <c r="AU536" s="155"/>
      <c r="AV536" s="155"/>
      <c r="AW536" s="107"/>
      <c r="AX536" s="107"/>
      <c r="AY536" s="107"/>
      <c r="AZ536" s="107"/>
      <c r="BA536" s="107"/>
      <c r="BB536" s="152"/>
      <c r="BC536" s="153"/>
      <c r="BD536" s="153"/>
      <c r="BE536" s="153"/>
      <c r="BF536" s="153"/>
      <c r="BG536" s="154"/>
    </row>
    <row r="537" spans="4:82" x14ac:dyDescent="0.2">
      <c r="D537" s="22"/>
      <c r="E537" s="23"/>
      <c r="F537" s="23"/>
      <c r="G537" s="23"/>
      <c r="H537" s="23"/>
      <c r="I537" s="64"/>
      <c r="J537" s="65"/>
      <c r="K537" s="65"/>
      <c r="L537" s="65"/>
      <c r="Q537" s="100"/>
      <c r="V537" s="9"/>
      <c r="W537" s="10"/>
      <c r="AE537" s="100"/>
      <c r="AN537" s="152"/>
      <c r="AO537" s="153"/>
      <c r="AP537" s="153"/>
      <c r="AQ537" s="153"/>
      <c r="AR537" s="153"/>
      <c r="AS537" s="154"/>
      <c r="AT537" s="155"/>
      <c r="AU537" s="155"/>
      <c r="AV537" s="155"/>
      <c r="AW537" s="107"/>
      <c r="AX537" s="107"/>
      <c r="AY537" s="107"/>
      <c r="AZ537" s="107"/>
      <c r="BA537" s="107"/>
      <c r="BB537" s="152"/>
      <c r="BC537" s="153"/>
      <c r="BD537" s="153"/>
      <c r="BE537" s="153"/>
      <c r="BF537" s="153"/>
      <c r="BG537" s="154"/>
    </row>
    <row r="538" spans="4:82" x14ac:dyDescent="0.2">
      <c r="D538" s="22"/>
      <c r="E538" s="23"/>
      <c r="F538" s="23"/>
      <c r="G538" s="23"/>
      <c r="H538" s="23"/>
      <c r="I538" s="64"/>
      <c r="J538" s="65"/>
      <c r="K538" s="65"/>
      <c r="L538" s="65"/>
      <c r="Q538" s="100"/>
      <c r="V538" s="9"/>
      <c r="W538" s="10"/>
      <c r="AE538" s="100"/>
      <c r="AN538" s="152"/>
      <c r="AO538" s="153"/>
      <c r="AP538" s="153"/>
      <c r="AQ538" s="153"/>
      <c r="AR538" s="153"/>
      <c r="AS538" s="154"/>
      <c r="AT538" s="155"/>
      <c r="AU538" s="155"/>
      <c r="AV538" s="155"/>
      <c r="AW538" s="107"/>
      <c r="AX538" s="107"/>
      <c r="AY538" s="107"/>
      <c r="AZ538" s="107"/>
      <c r="BA538" s="107"/>
      <c r="BB538" s="152"/>
      <c r="BC538" s="153"/>
      <c r="BD538" s="153"/>
      <c r="BE538" s="153"/>
      <c r="BF538" s="153"/>
      <c r="BG538" s="154"/>
    </row>
    <row r="539" spans="4:82" x14ac:dyDescent="0.2">
      <c r="D539" s="22"/>
      <c r="E539" s="23"/>
      <c r="F539" s="23"/>
      <c r="G539" s="23"/>
      <c r="H539" s="23"/>
      <c r="I539" s="64"/>
      <c r="J539" s="65"/>
      <c r="K539" s="65"/>
      <c r="L539" s="65"/>
      <c r="Q539" s="100"/>
      <c r="V539" s="9"/>
      <c r="W539" s="10"/>
      <c r="AE539" s="100"/>
      <c r="AN539" s="152"/>
      <c r="AO539" s="153"/>
      <c r="AP539" s="153"/>
      <c r="AQ539" s="153"/>
      <c r="AR539" s="153"/>
      <c r="AS539" s="154"/>
      <c r="AT539" s="155"/>
      <c r="AU539" s="155"/>
      <c r="AV539" s="155"/>
      <c r="AW539" s="107"/>
      <c r="AX539" s="107"/>
      <c r="AY539" s="107"/>
      <c r="AZ539" s="107"/>
      <c r="BA539" s="107"/>
      <c r="BB539" s="152"/>
      <c r="BC539" s="153"/>
      <c r="BD539" s="153"/>
      <c r="BE539" s="153"/>
      <c r="BF539" s="153"/>
      <c r="BG539" s="154"/>
    </row>
    <row r="540" spans="4:82" x14ac:dyDescent="0.2">
      <c r="D540" s="22"/>
      <c r="E540" s="23"/>
      <c r="F540" s="23"/>
      <c r="G540" s="23"/>
      <c r="H540" s="23"/>
      <c r="I540" s="64"/>
      <c r="J540" s="65"/>
      <c r="K540" s="65"/>
      <c r="L540" s="65"/>
      <c r="Q540" s="100"/>
      <c r="V540" s="9"/>
      <c r="W540" s="10"/>
      <c r="AE540" s="100"/>
      <c r="AN540" s="152"/>
      <c r="AO540" s="153"/>
      <c r="AP540" s="153"/>
      <c r="AQ540" s="153"/>
      <c r="AR540" s="153"/>
      <c r="AS540" s="154"/>
      <c r="AT540" s="155"/>
      <c r="AU540" s="155"/>
      <c r="AV540" s="155"/>
      <c r="AW540" s="107"/>
      <c r="AX540" s="107"/>
      <c r="AY540" s="107"/>
      <c r="AZ540" s="107"/>
      <c r="BA540" s="107"/>
      <c r="BB540" s="152"/>
      <c r="BC540" s="153"/>
      <c r="BD540" s="153"/>
      <c r="BE540" s="153"/>
      <c r="BF540" s="153"/>
      <c r="BG540" s="154"/>
    </row>
    <row r="541" spans="4:82" x14ac:dyDescent="0.2">
      <c r="D541" s="22"/>
      <c r="E541" s="23"/>
      <c r="F541" s="23"/>
      <c r="G541" s="23"/>
      <c r="H541" s="23"/>
      <c r="I541" s="64"/>
      <c r="J541" s="65"/>
      <c r="K541" s="65"/>
      <c r="L541" s="65"/>
      <c r="Q541" s="100"/>
      <c r="V541" s="9"/>
      <c r="W541" s="10"/>
      <c r="AE541" s="100"/>
      <c r="AN541" s="152"/>
      <c r="AO541" s="153"/>
      <c r="AP541" s="153"/>
      <c r="AQ541" s="153"/>
      <c r="AR541" s="153"/>
      <c r="AS541" s="154"/>
      <c r="AT541" s="155"/>
      <c r="AU541" s="155"/>
      <c r="AV541" s="155"/>
      <c r="AW541" s="107"/>
      <c r="AX541" s="107"/>
      <c r="AY541" s="107"/>
      <c r="AZ541" s="107"/>
      <c r="BA541" s="107"/>
      <c r="BB541" s="152"/>
      <c r="BC541" s="153"/>
      <c r="BD541" s="153"/>
      <c r="BE541" s="153"/>
      <c r="BF541" s="153"/>
      <c r="BG541" s="154"/>
    </row>
    <row r="542" spans="4:82" x14ac:dyDescent="0.2">
      <c r="D542" s="22"/>
      <c r="E542" s="23"/>
      <c r="F542" s="23"/>
      <c r="G542" s="23"/>
      <c r="H542" s="23"/>
      <c r="I542" s="64"/>
      <c r="J542" s="65"/>
      <c r="K542" s="65"/>
      <c r="L542" s="65"/>
      <c r="Q542" s="100"/>
      <c r="V542" s="9"/>
      <c r="W542" s="10"/>
      <c r="AE542" s="100"/>
      <c r="AN542" s="152"/>
      <c r="AO542" s="153"/>
      <c r="AP542" s="153"/>
      <c r="AQ542" s="153"/>
      <c r="AR542" s="153"/>
      <c r="AS542" s="154"/>
      <c r="AT542" s="155"/>
      <c r="AU542" s="155"/>
      <c r="AV542" s="155"/>
      <c r="AW542" s="107"/>
      <c r="AX542" s="107"/>
      <c r="AY542" s="107"/>
      <c r="AZ542" s="107"/>
      <c r="BA542" s="107"/>
      <c r="BB542" s="152"/>
      <c r="BC542" s="153"/>
      <c r="BD542" s="153"/>
      <c r="BE542" s="153"/>
      <c r="BF542" s="153"/>
      <c r="BG542" s="154"/>
    </row>
    <row r="543" spans="4:82" x14ac:dyDescent="0.2">
      <c r="D543" s="22"/>
      <c r="E543" s="23"/>
      <c r="F543" s="23"/>
      <c r="G543" s="23"/>
      <c r="H543" s="23"/>
      <c r="I543" s="64"/>
      <c r="J543" s="65"/>
      <c r="K543" s="65"/>
      <c r="L543" s="65"/>
      <c r="Q543" s="100"/>
      <c r="V543" s="9"/>
      <c r="W543" s="10"/>
      <c r="AE543" s="100"/>
      <c r="AN543" s="152"/>
      <c r="AO543" s="153"/>
      <c r="AP543" s="153"/>
      <c r="AQ543" s="153"/>
      <c r="AR543" s="153"/>
      <c r="AS543" s="154"/>
      <c r="AT543" s="155"/>
      <c r="AU543" s="155"/>
      <c r="AV543" s="155"/>
      <c r="AW543" s="107"/>
      <c r="AX543" s="107"/>
      <c r="AY543" s="107"/>
      <c r="AZ543" s="107"/>
      <c r="BA543" s="107"/>
      <c r="BB543" s="152"/>
      <c r="BC543" s="153"/>
      <c r="BD543" s="153"/>
      <c r="BE543" s="153"/>
      <c r="BF543" s="153"/>
      <c r="BG543" s="154"/>
    </row>
    <row r="544" spans="4:82" x14ac:dyDescent="0.2">
      <c r="D544" s="22"/>
      <c r="E544" s="23"/>
      <c r="F544" s="23"/>
      <c r="G544" s="23"/>
      <c r="H544" s="23"/>
      <c r="I544" s="64"/>
      <c r="J544" s="65"/>
      <c r="K544" s="65"/>
      <c r="L544" s="65"/>
      <c r="Q544" s="100"/>
      <c r="V544" s="9"/>
      <c r="W544" s="10"/>
      <c r="AE544" s="100"/>
      <c r="AN544" s="152"/>
      <c r="AO544" s="153"/>
      <c r="AP544" s="153"/>
      <c r="AQ544" s="153"/>
      <c r="AR544" s="153"/>
      <c r="AS544" s="154"/>
      <c r="AT544" s="155"/>
      <c r="AU544" s="155"/>
      <c r="AV544" s="155"/>
      <c r="AW544" s="107"/>
      <c r="AX544" s="107"/>
      <c r="AY544" s="107"/>
      <c r="AZ544" s="107"/>
      <c r="BA544" s="107"/>
      <c r="BB544" s="152"/>
      <c r="BC544" s="153"/>
      <c r="BD544" s="153"/>
      <c r="BE544" s="153"/>
      <c r="BF544" s="153"/>
      <c r="BG544" s="154"/>
    </row>
    <row r="545" spans="4:59" x14ac:dyDescent="0.2">
      <c r="D545" s="22"/>
      <c r="E545" s="23"/>
      <c r="F545" s="23"/>
      <c r="G545" s="23"/>
      <c r="H545" s="23"/>
      <c r="I545" s="64"/>
      <c r="J545" s="65"/>
      <c r="K545" s="65"/>
      <c r="L545" s="65"/>
      <c r="Q545" s="100"/>
      <c r="V545" s="9"/>
      <c r="W545" s="10"/>
      <c r="AE545" s="100"/>
      <c r="AN545" s="152"/>
      <c r="AO545" s="153"/>
      <c r="AP545" s="153"/>
      <c r="AQ545" s="153"/>
      <c r="AR545" s="153"/>
      <c r="AS545" s="154"/>
      <c r="AT545" s="155"/>
      <c r="AU545" s="155"/>
      <c r="AV545" s="155"/>
      <c r="AW545" s="107"/>
      <c r="AX545" s="107"/>
      <c r="AY545" s="107"/>
      <c r="AZ545" s="107"/>
      <c r="BA545" s="107"/>
      <c r="BB545" s="152"/>
      <c r="BC545" s="153"/>
      <c r="BD545" s="153"/>
      <c r="BE545" s="153"/>
      <c r="BF545" s="153"/>
      <c r="BG545" s="154"/>
    </row>
    <row r="546" spans="4:59" x14ac:dyDescent="0.2">
      <c r="D546" s="22"/>
      <c r="E546" s="23"/>
      <c r="F546" s="23"/>
      <c r="G546" s="23"/>
      <c r="H546" s="23"/>
      <c r="I546" s="64"/>
      <c r="J546" s="65"/>
      <c r="K546" s="65"/>
      <c r="L546" s="65"/>
      <c r="Q546" s="100"/>
      <c r="V546" s="9"/>
      <c r="W546" s="10"/>
      <c r="AE546" s="100"/>
      <c r="AN546" s="152"/>
      <c r="AO546" s="153"/>
      <c r="AP546" s="153"/>
      <c r="AQ546" s="153"/>
      <c r="AR546" s="153"/>
      <c r="AS546" s="154"/>
      <c r="AT546" s="155"/>
      <c r="AU546" s="155"/>
      <c r="AV546" s="155"/>
      <c r="AW546" s="107"/>
      <c r="AX546" s="107"/>
      <c r="AY546" s="107"/>
      <c r="AZ546" s="107"/>
      <c r="BA546" s="107"/>
      <c r="BB546" s="152"/>
      <c r="BC546" s="153"/>
      <c r="BD546" s="153"/>
      <c r="BE546" s="153"/>
      <c r="BF546" s="153"/>
      <c r="BG546" s="154"/>
    </row>
    <row r="547" spans="4:59" x14ac:dyDescent="0.2">
      <c r="D547" s="22"/>
      <c r="E547" s="23"/>
      <c r="F547" s="23"/>
      <c r="G547" s="23"/>
      <c r="H547" s="23"/>
      <c r="I547" s="64"/>
      <c r="J547" s="65"/>
      <c r="K547" s="65"/>
      <c r="L547" s="65"/>
      <c r="Q547" s="100"/>
      <c r="V547" s="9"/>
      <c r="W547" s="10"/>
      <c r="AE547" s="100"/>
      <c r="AN547" s="152"/>
      <c r="AO547" s="153"/>
      <c r="AP547" s="153"/>
      <c r="AQ547" s="153"/>
      <c r="AR547" s="153"/>
      <c r="AS547" s="154"/>
      <c r="AT547" s="155"/>
      <c r="AU547" s="155"/>
      <c r="AV547" s="155"/>
      <c r="AW547" s="107"/>
      <c r="AX547" s="107"/>
      <c r="AY547" s="107"/>
      <c r="AZ547" s="107"/>
      <c r="BA547" s="107"/>
      <c r="BB547" s="152"/>
      <c r="BC547" s="153"/>
      <c r="BD547" s="153"/>
      <c r="BE547" s="153"/>
      <c r="BF547" s="153"/>
      <c r="BG547" s="154"/>
    </row>
    <row r="548" spans="4:59" x14ac:dyDescent="0.2">
      <c r="D548" s="22"/>
      <c r="E548" s="23"/>
      <c r="F548" s="23"/>
      <c r="G548" s="23"/>
      <c r="H548" s="23"/>
      <c r="I548" s="64"/>
      <c r="J548" s="65"/>
      <c r="K548" s="65"/>
      <c r="L548" s="65"/>
      <c r="Q548" s="100"/>
      <c r="V548" s="9"/>
      <c r="W548" s="10"/>
      <c r="AE548" s="100"/>
      <c r="AN548" s="152"/>
      <c r="AO548" s="153"/>
      <c r="AP548" s="153"/>
      <c r="AQ548" s="153"/>
      <c r="AR548" s="153"/>
      <c r="AS548" s="154"/>
      <c r="AT548" s="155"/>
      <c r="AU548" s="155"/>
      <c r="AV548" s="155"/>
      <c r="AW548" s="107"/>
      <c r="AX548" s="107"/>
      <c r="AY548" s="107"/>
      <c r="AZ548" s="107"/>
      <c r="BA548" s="107"/>
      <c r="BB548" s="152"/>
      <c r="BC548" s="153"/>
      <c r="BD548" s="153"/>
      <c r="BE548" s="153"/>
      <c r="BF548" s="153"/>
      <c r="BG548" s="154"/>
    </row>
    <row r="549" spans="4:59" x14ac:dyDescent="0.2">
      <c r="D549" s="22"/>
      <c r="E549" s="23"/>
      <c r="F549" s="23"/>
      <c r="G549" s="23"/>
      <c r="H549" s="23"/>
      <c r="I549" s="64"/>
      <c r="J549" s="65"/>
      <c r="K549" s="65"/>
      <c r="L549" s="65"/>
      <c r="Q549" s="100"/>
      <c r="V549" s="9"/>
      <c r="W549" s="10"/>
      <c r="AE549" s="100"/>
      <c r="AN549" s="152"/>
      <c r="AO549" s="153"/>
      <c r="AP549" s="153"/>
      <c r="AQ549" s="153"/>
      <c r="AR549" s="153"/>
      <c r="AS549" s="154"/>
      <c r="AT549" s="155"/>
      <c r="AU549" s="155"/>
      <c r="AV549" s="155"/>
      <c r="AW549" s="107"/>
      <c r="AX549" s="107"/>
      <c r="AY549" s="107"/>
      <c r="AZ549" s="107"/>
      <c r="BA549" s="107"/>
      <c r="BB549" s="152"/>
      <c r="BC549" s="153"/>
      <c r="BD549" s="153"/>
      <c r="BE549" s="153"/>
      <c r="BF549" s="153"/>
      <c r="BG549" s="154"/>
    </row>
    <row r="550" spans="4:59" x14ac:dyDescent="0.2">
      <c r="D550" s="22"/>
      <c r="E550" s="23"/>
      <c r="F550" s="23"/>
      <c r="G550" s="23"/>
      <c r="H550" s="23"/>
      <c r="I550" s="64"/>
      <c r="J550" s="65"/>
      <c r="K550" s="65"/>
      <c r="L550" s="65"/>
      <c r="Q550" s="100"/>
      <c r="V550" s="9"/>
      <c r="W550" s="10"/>
      <c r="AE550" s="100"/>
      <c r="AN550" s="152"/>
      <c r="AO550" s="153"/>
      <c r="AP550" s="153"/>
      <c r="AQ550" s="153"/>
      <c r="AR550" s="153"/>
      <c r="AS550" s="154"/>
      <c r="AT550" s="155"/>
      <c r="AU550" s="155"/>
      <c r="AV550" s="155"/>
      <c r="AW550" s="107"/>
      <c r="AX550" s="107"/>
      <c r="AY550" s="107"/>
      <c r="AZ550" s="107"/>
      <c r="BA550" s="107"/>
      <c r="BB550" s="152"/>
      <c r="BC550" s="153"/>
      <c r="BD550" s="153"/>
      <c r="BE550" s="153"/>
      <c r="BF550" s="153"/>
      <c r="BG550" s="154"/>
    </row>
    <row r="551" spans="4:59" x14ac:dyDescent="0.2">
      <c r="D551" s="22"/>
      <c r="E551" s="23"/>
      <c r="F551" s="23"/>
      <c r="G551" s="23"/>
      <c r="H551" s="23"/>
      <c r="I551" s="64"/>
      <c r="J551" s="65"/>
      <c r="K551" s="65"/>
      <c r="L551" s="65"/>
      <c r="Q551" s="100"/>
      <c r="V551" s="9"/>
      <c r="W551" s="10"/>
      <c r="AE551" s="100"/>
      <c r="AN551" s="152"/>
      <c r="AO551" s="153"/>
      <c r="AP551" s="153"/>
      <c r="AQ551" s="153"/>
      <c r="AR551" s="153"/>
      <c r="AS551" s="154"/>
      <c r="AT551" s="155"/>
      <c r="AU551" s="155"/>
      <c r="AV551" s="155"/>
      <c r="AW551" s="107"/>
      <c r="AX551" s="107"/>
      <c r="AY551" s="107"/>
      <c r="AZ551" s="107"/>
      <c r="BA551" s="107"/>
      <c r="BB551" s="152"/>
      <c r="BC551" s="153"/>
      <c r="BD551" s="153"/>
      <c r="BE551" s="153"/>
      <c r="BF551" s="153"/>
      <c r="BG551" s="154"/>
    </row>
    <row r="552" spans="4:59" x14ac:dyDescent="0.2">
      <c r="D552" s="22"/>
      <c r="E552" s="23"/>
      <c r="F552" s="23"/>
      <c r="G552" s="23"/>
      <c r="H552" s="23"/>
      <c r="I552" s="64"/>
      <c r="J552" s="65"/>
      <c r="K552" s="65"/>
      <c r="L552" s="65"/>
      <c r="Q552" s="100"/>
      <c r="V552" s="9"/>
      <c r="W552" s="10"/>
      <c r="AE552" s="100"/>
      <c r="AN552" s="152"/>
      <c r="AO552" s="153"/>
      <c r="AP552" s="153"/>
      <c r="AQ552" s="153"/>
      <c r="AR552" s="153"/>
      <c r="AS552" s="154"/>
      <c r="AT552" s="155"/>
      <c r="AU552" s="155"/>
      <c r="AV552" s="155"/>
      <c r="AW552" s="107"/>
      <c r="AX552" s="107"/>
      <c r="AY552" s="107"/>
      <c r="AZ552" s="107"/>
      <c r="BA552" s="107"/>
      <c r="BB552" s="152"/>
      <c r="BC552" s="153"/>
      <c r="BD552" s="153"/>
      <c r="BE552" s="153"/>
      <c r="BF552" s="153"/>
      <c r="BG552" s="154"/>
    </row>
    <row r="553" spans="4:59" x14ac:dyDescent="0.2">
      <c r="D553" s="22"/>
      <c r="E553" s="23"/>
      <c r="F553" s="23"/>
      <c r="G553" s="23"/>
      <c r="H553" s="23"/>
      <c r="I553" s="64"/>
      <c r="J553" s="65"/>
      <c r="K553" s="65"/>
      <c r="L553" s="65"/>
      <c r="Q553" s="100"/>
      <c r="V553" s="9"/>
      <c r="W553" s="10"/>
      <c r="AE553" s="100"/>
      <c r="AN553" s="152"/>
      <c r="AO553" s="153"/>
      <c r="AP553" s="153"/>
      <c r="AQ553" s="153"/>
      <c r="AR553" s="153"/>
      <c r="AS553" s="154"/>
      <c r="AT553" s="155"/>
      <c r="AU553" s="155"/>
      <c r="AV553" s="155"/>
      <c r="AW553" s="107"/>
      <c r="AX553" s="107"/>
      <c r="AY553" s="107"/>
      <c r="AZ553" s="107"/>
      <c r="BA553" s="107"/>
      <c r="BB553" s="152"/>
      <c r="BC553" s="153"/>
      <c r="BD553" s="153"/>
      <c r="BE553" s="153"/>
      <c r="BF553" s="153"/>
      <c r="BG553" s="154"/>
    </row>
    <row r="554" spans="4:59" x14ac:dyDescent="0.2">
      <c r="D554" s="22"/>
      <c r="E554" s="23"/>
      <c r="F554" s="23"/>
      <c r="G554" s="23"/>
      <c r="H554" s="23"/>
      <c r="I554" s="64"/>
      <c r="J554" s="65"/>
      <c r="K554" s="65"/>
      <c r="L554" s="65"/>
      <c r="Q554" s="100"/>
      <c r="V554" s="9"/>
      <c r="W554" s="10"/>
      <c r="AE554" s="100"/>
      <c r="AN554" s="152"/>
      <c r="AO554" s="153"/>
      <c r="AP554" s="153"/>
      <c r="AQ554" s="153"/>
      <c r="AR554" s="153"/>
      <c r="AS554" s="154"/>
      <c r="AT554" s="155"/>
      <c r="AU554" s="155"/>
      <c r="AV554" s="155"/>
      <c r="AW554" s="107"/>
      <c r="AX554" s="107"/>
      <c r="AY554" s="107"/>
      <c r="AZ554" s="107"/>
      <c r="BA554" s="107"/>
      <c r="BB554" s="152"/>
      <c r="BC554" s="153"/>
      <c r="BD554" s="153"/>
      <c r="BE554" s="153"/>
      <c r="BF554" s="153"/>
      <c r="BG554" s="154"/>
    </row>
    <row r="555" spans="4:59" x14ac:dyDescent="0.2">
      <c r="D555" s="22"/>
      <c r="E555" s="23"/>
      <c r="F555" s="23"/>
      <c r="G555" s="23"/>
      <c r="H555" s="23"/>
      <c r="I555" s="64"/>
      <c r="J555" s="65"/>
      <c r="K555" s="65"/>
      <c r="L555" s="65"/>
      <c r="Q555" s="100"/>
      <c r="V555" s="9"/>
      <c r="W555" s="10"/>
      <c r="AE555" s="100"/>
      <c r="AN555" s="152"/>
      <c r="AO555" s="153"/>
      <c r="AP555" s="153"/>
      <c r="AQ555" s="153"/>
      <c r="AR555" s="153"/>
      <c r="AS555" s="154"/>
      <c r="AT555" s="155"/>
      <c r="AU555" s="155"/>
      <c r="AV555" s="155"/>
      <c r="AW555" s="107"/>
      <c r="AX555" s="107"/>
      <c r="AY555" s="107"/>
      <c r="AZ555" s="107"/>
      <c r="BA555" s="107"/>
      <c r="BB555" s="152"/>
      <c r="BC555" s="153"/>
      <c r="BD555" s="153"/>
      <c r="BE555" s="153"/>
      <c r="BF555" s="153"/>
      <c r="BG555" s="154"/>
    </row>
    <row r="556" spans="4:59" x14ac:dyDescent="0.2">
      <c r="D556" s="22"/>
      <c r="E556" s="23"/>
      <c r="F556" s="23"/>
      <c r="G556" s="23"/>
      <c r="H556" s="23"/>
      <c r="I556" s="64"/>
      <c r="J556" s="65"/>
      <c r="K556" s="65"/>
      <c r="L556" s="65"/>
      <c r="Q556" s="100"/>
      <c r="V556" s="9"/>
      <c r="W556" s="10"/>
      <c r="AE556" s="100"/>
      <c r="AN556" s="152"/>
      <c r="AO556" s="153"/>
      <c r="AP556" s="153"/>
      <c r="AQ556" s="153"/>
      <c r="AR556" s="153"/>
      <c r="AS556" s="154"/>
      <c r="AT556" s="155"/>
      <c r="AU556" s="155"/>
      <c r="AV556" s="155"/>
      <c r="AW556" s="107"/>
      <c r="AX556" s="107"/>
      <c r="AY556" s="107"/>
      <c r="AZ556" s="107"/>
      <c r="BA556" s="107"/>
      <c r="BB556" s="152"/>
      <c r="BC556" s="153"/>
      <c r="BD556" s="153"/>
      <c r="BE556" s="153"/>
      <c r="BF556" s="153"/>
      <c r="BG556" s="154"/>
    </row>
    <row r="557" spans="4:59" x14ac:dyDescent="0.2">
      <c r="D557" s="22"/>
      <c r="E557" s="23"/>
      <c r="F557" s="23"/>
      <c r="G557" s="23"/>
      <c r="H557" s="23"/>
      <c r="I557" s="64"/>
      <c r="J557" s="65"/>
      <c r="K557" s="65"/>
      <c r="L557" s="65"/>
      <c r="Q557" s="100"/>
      <c r="V557" s="9"/>
      <c r="W557" s="10"/>
      <c r="AE557" s="100"/>
      <c r="AN557" s="152"/>
      <c r="AO557" s="153"/>
      <c r="AP557" s="153"/>
      <c r="AQ557" s="153"/>
      <c r="AR557" s="153"/>
      <c r="AS557" s="154"/>
      <c r="AT557" s="155"/>
      <c r="AU557" s="155"/>
      <c r="AV557" s="155"/>
      <c r="AW557" s="107"/>
      <c r="AX557" s="107"/>
      <c r="AY557" s="107"/>
      <c r="AZ557" s="107"/>
      <c r="BA557" s="107"/>
      <c r="BB557" s="152"/>
      <c r="BC557" s="153"/>
      <c r="BD557" s="153"/>
      <c r="BE557" s="153"/>
      <c r="BF557" s="153"/>
      <c r="BG557" s="154"/>
    </row>
    <row r="558" spans="4:59" x14ac:dyDescent="0.2">
      <c r="D558" s="22"/>
      <c r="E558" s="23"/>
      <c r="F558" s="23"/>
      <c r="G558" s="23"/>
      <c r="H558" s="23"/>
      <c r="I558" s="64"/>
      <c r="J558" s="65"/>
      <c r="K558" s="65"/>
      <c r="L558" s="65"/>
      <c r="Q558" s="100"/>
      <c r="V558" s="9"/>
      <c r="W558" s="10"/>
      <c r="AE558" s="100"/>
      <c r="AN558" s="152"/>
      <c r="AO558" s="153"/>
      <c r="AP558" s="153"/>
      <c r="AQ558" s="153"/>
      <c r="AR558" s="153"/>
      <c r="AS558" s="154"/>
      <c r="AT558" s="155"/>
      <c r="AU558" s="155"/>
      <c r="AV558" s="155"/>
      <c r="AW558" s="107"/>
      <c r="AX558" s="107"/>
      <c r="AY558" s="107"/>
      <c r="AZ558" s="107"/>
      <c r="BA558" s="107"/>
      <c r="BB558" s="152"/>
      <c r="BC558" s="153"/>
      <c r="BD558" s="153"/>
      <c r="BE558" s="153"/>
      <c r="BF558" s="153"/>
      <c r="BG558" s="154"/>
    </row>
    <row r="559" spans="4:59" x14ac:dyDescent="0.2">
      <c r="D559" s="22"/>
      <c r="E559" s="23"/>
      <c r="F559" s="23"/>
      <c r="G559" s="23"/>
      <c r="H559" s="23"/>
      <c r="I559" s="64"/>
      <c r="J559" s="65"/>
      <c r="K559" s="65"/>
      <c r="L559" s="65"/>
      <c r="Q559" s="100"/>
      <c r="V559" s="9"/>
      <c r="W559" s="10"/>
      <c r="AE559" s="100"/>
      <c r="AN559" s="152"/>
      <c r="AO559" s="153"/>
      <c r="AP559" s="153"/>
      <c r="AQ559" s="153"/>
      <c r="AR559" s="153"/>
      <c r="AS559" s="154"/>
      <c r="AT559" s="155"/>
      <c r="AU559" s="155"/>
      <c r="AV559" s="155"/>
      <c r="AW559" s="107"/>
      <c r="AX559" s="107"/>
      <c r="AY559" s="107"/>
      <c r="AZ559" s="107"/>
      <c r="BA559" s="107"/>
      <c r="BB559" s="152"/>
      <c r="BC559" s="153"/>
      <c r="BD559" s="153"/>
      <c r="BE559" s="153"/>
      <c r="BF559" s="153"/>
      <c r="BG559" s="154"/>
    </row>
    <row r="560" spans="4:59" x14ac:dyDescent="0.2">
      <c r="D560" s="22"/>
      <c r="E560" s="23"/>
      <c r="F560" s="23"/>
      <c r="G560" s="23"/>
      <c r="H560" s="23"/>
      <c r="I560" s="64"/>
      <c r="J560" s="65"/>
      <c r="K560" s="65"/>
      <c r="L560" s="65"/>
      <c r="Q560" s="100"/>
      <c r="V560" s="9"/>
      <c r="W560" s="10"/>
      <c r="AE560" s="100"/>
      <c r="AN560" s="152"/>
      <c r="AO560" s="153"/>
      <c r="AP560" s="153"/>
      <c r="AQ560" s="153"/>
      <c r="AR560" s="153"/>
      <c r="AS560" s="154"/>
      <c r="AT560" s="155"/>
      <c r="AU560" s="155"/>
      <c r="AV560" s="155"/>
      <c r="AW560" s="107"/>
      <c r="AX560" s="107"/>
      <c r="AY560" s="107"/>
      <c r="AZ560" s="107"/>
      <c r="BA560" s="107"/>
      <c r="BB560" s="152"/>
      <c r="BC560" s="153"/>
      <c r="BD560" s="153"/>
      <c r="BE560" s="153"/>
      <c r="BF560" s="153"/>
      <c r="BG560" s="154"/>
    </row>
    <row r="561" spans="4:59" x14ac:dyDescent="0.2">
      <c r="D561" s="22"/>
      <c r="E561" s="23"/>
      <c r="F561" s="23"/>
      <c r="G561" s="23"/>
      <c r="H561" s="23"/>
      <c r="I561" s="64"/>
      <c r="J561" s="65"/>
      <c r="K561" s="65"/>
      <c r="L561" s="65"/>
      <c r="Q561" s="100"/>
      <c r="V561" s="9"/>
      <c r="W561" s="10"/>
      <c r="AE561" s="100"/>
      <c r="AN561" s="152"/>
      <c r="AO561" s="153"/>
      <c r="AP561" s="153"/>
      <c r="AQ561" s="153"/>
      <c r="AR561" s="153"/>
      <c r="AS561" s="154"/>
      <c r="AT561" s="155"/>
      <c r="AU561" s="155"/>
      <c r="AV561" s="155"/>
      <c r="AW561" s="107"/>
      <c r="AX561" s="107"/>
      <c r="AY561" s="107"/>
      <c r="AZ561" s="107"/>
      <c r="BA561" s="107"/>
      <c r="BB561" s="152"/>
      <c r="BC561" s="153"/>
      <c r="BD561" s="153"/>
      <c r="BE561" s="153"/>
      <c r="BF561" s="153"/>
      <c r="BG561" s="154"/>
    </row>
    <row r="562" spans="4:59" x14ac:dyDescent="0.2">
      <c r="D562" s="22"/>
      <c r="E562" s="23"/>
      <c r="F562" s="23"/>
      <c r="G562" s="23"/>
      <c r="H562" s="23"/>
      <c r="I562" s="64"/>
      <c r="J562" s="65"/>
      <c r="K562" s="65"/>
      <c r="L562" s="65"/>
      <c r="Q562" s="100"/>
      <c r="V562" s="9"/>
      <c r="W562" s="10"/>
      <c r="AE562" s="100"/>
      <c r="AN562" s="152"/>
      <c r="AO562" s="153"/>
      <c r="AP562" s="153"/>
      <c r="AQ562" s="153"/>
      <c r="AR562" s="153"/>
      <c r="AS562" s="154"/>
      <c r="AT562" s="155"/>
      <c r="AU562" s="155"/>
      <c r="AV562" s="155"/>
      <c r="AW562" s="107"/>
      <c r="AX562" s="107"/>
      <c r="AY562" s="107"/>
      <c r="AZ562" s="107"/>
      <c r="BA562" s="107"/>
      <c r="BB562" s="152"/>
      <c r="BC562" s="153"/>
      <c r="BD562" s="153"/>
      <c r="BE562" s="153"/>
      <c r="BF562" s="153"/>
      <c r="BG562" s="154"/>
    </row>
    <row r="563" spans="4:59" x14ac:dyDescent="0.2">
      <c r="D563" s="22"/>
      <c r="E563" s="23"/>
      <c r="F563" s="23"/>
      <c r="G563" s="23"/>
      <c r="H563" s="23"/>
      <c r="I563" s="64"/>
      <c r="J563" s="65"/>
      <c r="K563" s="65"/>
      <c r="L563" s="65"/>
      <c r="Q563" s="100"/>
      <c r="V563" s="9"/>
      <c r="W563" s="10"/>
      <c r="AE563" s="100"/>
      <c r="AN563" s="152"/>
      <c r="AO563" s="153"/>
      <c r="AP563" s="153"/>
      <c r="AQ563" s="153"/>
      <c r="AR563" s="153"/>
      <c r="AS563" s="154"/>
      <c r="AT563" s="155"/>
      <c r="AU563" s="155"/>
      <c r="AV563" s="155"/>
      <c r="AW563" s="107"/>
      <c r="AX563" s="107"/>
      <c r="AY563" s="107"/>
      <c r="AZ563" s="107"/>
      <c r="BA563" s="107"/>
      <c r="BB563" s="152"/>
      <c r="BC563" s="153"/>
      <c r="BD563" s="153"/>
      <c r="BE563" s="153"/>
      <c r="BF563" s="153"/>
      <c r="BG563" s="154"/>
    </row>
    <row r="564" spans="4:59" x14ac:dyDescent="0.2">
      <c r="D564" s="22"/>
      <c r="E564" s="23"/>
      <c r="F564" s="23"/>
      <c r="G564" s="23"/>
      <c r="H564" s="23"/>
      <c r="I564" s="64"/>
      <c r="J564" s="65"/>
      <c r="K564" s="65"/>
      <c r="L564" s="65"/>
      <c r="Q564" s="100"/>
      <c r="V564" s="9"/>
      <c r="W564" s="10"/>
      <c r="AE564" s="100"/>
      <c r="AN564" s="152"/>
      <c r="AO564" s="153"/>
      <c r="AP564" s="153"/>
      <c r="AQ564" s="153"/>
      <c r="AR564" s="153"/>
      <c r="AS564" s="154"/>
      <c r="AT564" s="155"/>
      <c r="AU564" s="155"/>
      <c r="AV564" s="155"/>
      <c r="AW564" s="107"/>
      <c r="AX564" s="107"/>
      <c r="AY564" s="107"/>
      <c r="AZ564" s="107"/>
      <c r="BA564" s="107"/>
      <c r="BB564" s="152"/>
      <c r="BC564" s="153"/>
      <c r="BD564" s="153"/>
      <c r="BE564" s="153"/>
      <c r="BF564" s="153"/>
      <c r="BG564" s="154"/>
    </row>
    <row r="565" spans="4:59" x14ac:dyDescent="0.2">
      <c r="D565" s="22"/>
      <c r="E565" s="23"/>
      <c r="F565" s="23"/>
      <c r="G565" s="23"/>
      <c r="H565" s="23"/>
      <c r="I565" s="64"/>
      <c r="J565" s="65"/>
      <c r="K565" s="65"/>
      <c r="L565" s="65"/>
      <c r="Q565" s="100"/>
      <c r="V565" s="9"/>
      <c r="W565" s="10"/>
      <c r="AE565" s="100"/>
      <c r="AN565" s="152"/>
      <c r="AO565" s="153"/>
      <c r="AP565" s="153"/>
      <c r="AQ565" s="153"/>
      <c r="AR565" s="153"/>
      <c r="AS565" s="154"/>
      <c r="AT565" s="155"/>
      <c r="AU565" s="155"/>
      <c r="AV565" s="155"/>
      <c r="AW565" s="107"/>
      <c r="AX565" s="107"/>
      <c r="AY565" s="107"/>
      <c r="AZ565" s="107"/>
      <c r="BA565" s="107"/>
      <c r="BB565" s="152"/>
      <c r="BC565" s="153"/>
      <c r="BD565" s="153"/>
      <c r="BE565" s="153"/>
      <c r="BF565" s="153"/>
      <c r="BG565" s="154"/>
    </row>
    <row r="566" spans="4:59" x14ac:dyDescent="0.2">
      <c r="D566" s="22"/>
      <c r="E566" s="23"/>
      <c r="F566" s="23"/>
      <c r="G566" s="23"/>
      <c r="H566" s="23"/>
      <c r="I566" s="64"/>
      <c r="J566" s="65"/>
      <c r="K566" s="65"/>
      <c r="L566" s="65"/>
      <c r="Q566" s="100"/>
      <c r="V566" s="9"/>
      <c r="W566" s="10"/>
      <c r="AE566" s="100"/>
      <c r="AN566" s="152"/>
      <c r="AO566" s="153"/>
      <c r="AP566" s="153"/>
      <c r="AQ566" s="153"/>
      <c r="AR566" s="153"/>
      <c r="AS566" s="154"/>
      <c r="AT566" s="155"/>
      <c r="AU566" s="155"/>
      <c r="AV566" s="155"/>
      <c r="AW566" s="107"/>
      <c r="AX566" s="107"/>
      <c r="AY566" s="107"/>
      <c r="AZ566" s="107"/>
      <c r="BA566" s="107"/>
      <c r="BB566" s="152"/>
      <c r="BC566" s="153"/>
      <c r="BD566" s="153"/>
      <c r="BE566" s="153"/>
      <c r="BF566" s="153"/>
      <c r="BG566" s="154"/>
    </row>
    <row r="567" spans="4:59" x14ac:dyDescent="0.2">
      <c r="D567" s="22"/>
      <c r="E567" s="23"/>
      <c r="F567" s="23"/>
      <c r="G567" s="23"/>
      <c r="H567" s="23"/>
      <c r="I567" s="64"/>
      <c r="J567" s="65"/>
      <c r="K567" s="65"/>
      <c r="L567" s="65"/>
      <c r="Q567" s="100"/>
      <c r="V567" s="9"/>
      <c r="W567" s="10"/>
      <c r="AE567" s="100"/>
      <c r="AN567" s="152"/>
      <c r="AO567" s="153"/>
      <c r="AP567" s="153"/>
      <c r="AQ567" s="153"/>
      <c r="AR567" s="153"/>
      <c r="AS567" s="154"/>
      <c r="AT567" s="155"/>
      <c r="AU567" s="155"/>
      <c r="AV567" s="155"/>
      <c r="AW567" s="107"/>
      <c r="AX567" s="107"/>
      <c r="AY567" s="107"/>
      <c r="AZ567" s="107"/>
      <c r="BA567" s="107"/>
      <c r="BB567" s="152"/>
      <c r="BC567" s="153"/>
      <c r="BD567" s="153"/>
      <c r="BE567" s="153"/>
      <c r="BF567" s="153"/>
      <c r="BG567" s="154"/>
    </row>
    <row r="568" spans="4:59" x14ac:dyDescent="0.2">
      <c r="D568" s="22"/>
      <c r="E568" s="23"/>
      <c r="F568" s="23"/>
      <c r="G568" s="23"/>
      <c r="H568" s="23"/>
      <c r="I568" s="64"/>
      <c r="J568" s="65"/>
      <c r="K568" s="65"/>
      <c r="L568" s="65"/>
      <c r="Q568" s="100"/>
      <c r="V568" s="9"/>
      <c r="W568" s="10"/>
      <c r="AE568" s="100"/>
      <c r="AN568" s="152"/>
      <c r="AO568" s="153"/>
      <c r="AP568" s="153"/>
      <c r="AQ568" s="153"/>
      <c r="AR568" s="153"/>
      <c r="AS568" s="154"/>
      <c r="AT568" s="155"/>
      <c r="AU568" s="155"/>
      <c r="AV568" s="155"/>
      <c r="AW568" s="107"/>
      <c r="AX568" s="107"/>
      <c r="AY568" s="107"/>
      <c r="AZ568" s="107"/>
      <c r="BA568" s="107"/>
      <c r="BB568" s="152"/>
      <c r="BC568" s="153"/>
      <c r="BD568" s="153"/>
      <c r="BE568" s="153"/>
      <c r="BF568" s="153"/>
      <c r="BG568" s="154"/>
    </row>
    <row r="569" spans="4:59" x14ac:dyDescent="0.2">
      <c r="D569" s="22"/>
      <c r="E569" s="23"/>
      <c r="F569" s="23"/>
      <c r="G569" s="23"/>
      <c r="H569" s="23"/>
      <c r="I569" s="64"/>
      <c r="J569" s="65"/>
      <c r="K569" s="65"/>
      <c r="L569" s="65"/>
      <c r="Q569" s="100"/>
      <c r="V569" s="9"/>
      <c r="W569" s="10"/>
      <c r="AE569" s="100"/>
      <c r="AN569" s="152"/>
      <c r="AO569" s="153"/>
      <c r="AP569" s="153"/>
      <c r="AQ569" s="153"/>
      <c r="AR569" s="153"/>
      <c r="AS569" s="154"/>
      <c r="AT569" s="155"/>
      <c r="AU569" s="155"/>
      <c r="AV569" s="155"/>
      <c r="AW569" s="107"/>
      <c r="AX569" s="107"/>
      <c r="AY569" s="107"/>
      <c r="AZ569" s="107"/>
      <c r="BA569" s="107"/>
      <c r="BB569" s="152"/>
      <c r="BC569" s="153"/>
      <c r="BD569" s="153"/>
      <c r="BE569" s="153"/>
      <c r="BF569" s="153"/>
      <c r="BG569" s="154"/>
    </row>
    <row r="570" spans="4:59" x14ac:dyDescent="0.2">
      <c r="D570" s="22"/>
      <c r="E570" s="23"/>
      <c r="F570" s="23"/>
      <c r="G570" s="23"/>
      <c r="H570" s="23"/>
      <c r="I570" s="64"/>
      <c r="J570" s="65"/>
      <c r="K570" s="65"/>
      <c r="L570" s="65"/>
      <c r="Q570" s="100"/>
      <c r="V570" s="9"/>
      <c r="W570" s="10"/>
      <c r="AE570" s="100"/>
      <c r="AN570" s="152"/>
      <c r="AO570" s="153"/>
      <c r="AP570" s="153"/>
      <c r="AQ570" s="153"/>
      <c r="AR570" s="153"/>
      <c r="AS570" s="154"/>
      <c r="AT570" s="155"/>
      <c r="AU570" s="155"/>
      <c r="AV570" s="155"/>
      <c r="AW570" s="107"/>
      <c r="AX570" s="107"/>
      <c r="AY570" s="107"/>
      <c r="AZ570" s="107"/>
      <c r="BA570" s="107"/>
      <c r="BB570" s="152"/>
      <c r="BC570" s="153"/>
      <c r="BD570" s="153"/>
      <c r="BE570" s="153"/>
      <c r="BF570" s="153"/>
      <c r="BG570" s="154"/>
    </row>
    <row r="571" spans="4:59" x14ac:dyDescent="0.2">
      <c r="D571" s="22"/>
      <c r="E571" s="23"/>
      <c r="F571" s="23"/>
      <c r="G571" s="23"/>
      <c r="H571" s="23"/>
      <c r="I571" s="64"/>
      <c r="J571" s="65"/>
      <c r="K571" s="65"/>
      <c r="L571" s="65"/>
      <c r="Q571" s="100"/>
      <c r="V571" s="9"/>
      <c r="W571" s="10"/>
      <c r="AE571" s="100"/>
      <c r="AN571" s="152"/>
      <c r="AO571" s="153"/>
      <c r="AP571" s="153"/>
      <c r="AQ571" s="153"/>
      <c r="AR571" s="153"/>
      <c r="AS571" s="154"/>
      <c r="AT571" s="155"/>
      <c r="AU571" s="155"/>
      <c r="AV571" s="155"/>
      <c r="AW571" s="107"/>
      <c r="AX571" s="107"/>
      <c r="AY571" s="107"/>
      <c r="AZ571" s="107"/>
      <c r="BA571" s="107"/>
      <c r="BB571" s="152"/>
      <c r="BC571" s="153"/>
      <c r="BD571" s="153"/>
      <c r="BE571" s="153"/>
      <c r="BF571" s="153"/>
      <c r="BG571" s="154"/>
    </row>
    <row r="572" spans="4:59" x14ac:dyDescent="0.2">
      <c r="D572" s="22"/>
      <c r="E572" s="23"/>
      <c r="F572" s="23"/>
      <c r="G572" s="23"/>
      <c r="H572" s="23"/>
      <c r="I572" s="64"/>
      <c r="J572" s="65"/>
      <c r="K572" s="65"/>
      <c r="L572" s="65"/>
      <c r="Q572" s="100"/>
      <c r="V572" s="9"/>
      <c r="W572" s="10"/>
      <c r="AE572" s="100"/>
      <c r="AN572" s="152"/>
      <c r="AO572" s="153"/>
      <c r="AP572" s="153"/>
      <c r="AQ572" s="153"/>
      <c r="AR572" s="153"/>
      <c r="AS572" s="154"/>
      <c r="AT572" s="155"/>
      <c r="AU572" s="155"/>
      <c r="AV572" s="155"/>
      <c r="AW572" s="107"/>
      <c r="AX572" s="107"/>
      <c r="AY572" s="107"/>
      <c r="AZ572" s="107"/>
      <c r="BA572" s="107"/>
      <c r="BB572" s="152"/>
      <c r="BC572" s="153"/>
      <c r="BD572" s="153"/>
      <c r="BE572" s="153"/>
      <c r="BF572" s="153"/>
      <c r="BG572" s="154"/>
    </row>
    <row r="573" spans="4:59" x14ac:dyDescent="0.2">
      <c r="D573" s="22"/>
      <c r="E573" s="23"/>
      <c r="F573" s="23"/>
      <c r="G573" s="23"/>
      <c r="H573" s="23"/>
      <c r="I573" s="64"/>
      <c r="J573" s="65"/>
      <c r="K573" s="65"/>
      <c r="L573" s="65"/>
      <c r="Q573" s="100"/>
      <c r="V573" s="9"/>
      <c r="W573" s="10"/>
      <c r="AE573" s="100"/>
      <c r="AN573" s="152"/>
      <c r="AO573" s="153"/>
      <c r="AP573" s="153"/>
      <c r="AQ573" s="153"/>
      <c r="AR573" s="153"/>
      <c r="AS573" s="154"/>
      <c r="AT573" s="155"/>
      <c r="AU573" s="155"/>
      <c r="AV573" s="155"/>
      <c r="AW573" s="107"/>
      <c r="AX573" s="107"/>
      <c r="AY573" s="107"/>
      <c r="AZ573" s="107"/>
      <c r="BA573" s="107"/>
      <c r="BB573" s="152"/>
      <c r="BC573" s="153"/>
      <c r="BD573" s="153"/>
      <c r="BE573" s="153"/>
      <c r="BF573" s="153"/>
      <c r="BG573" s="154"/>
    </row>
    <row r="574" spans="4:59" x14ac:dyDescent="0.2">
      <c r="D574" s="22"/>
      <c r="E574" s="23"/>
      <c r="F574" s="23"/>
      <c r="G574" s="23"/>
      <c r="H574" s="23"/>
      <c r="I574" s="64"/>
      <c r="J574" s="65"/>
      <c r="K574" s="65"/>
      <c r="L574" s="65"/>
      <c r="Q574" s="100"/>
      <c r="V574" s="9"/>
      <c r="W574" s="10"/>
      <c r="AE574" s="100"/>
      <c r="AN574" s="152"/>
      <c r="AO574" s="153"/>
      <c r="AP574" s="153"/>
      <c r="AQ574" s="153"/>
      <c r="AR574" s="153"/>
      <c r="AS574" s="154"/>
      <c r="AT574" s="155"/>
      <c r="AU574" s="155"/>
      <c r="AV574" s="155"/>
      <c r="AW574" s="107"/>
      <c r="AX574" s="107"/>
      <c r="AY574" s="107"/>
      <c r="AZ574" s="107"/>
      <c r="BA574" s="107"/>
      <c r="BB574" s="152"/>
      <c r="BC574" s="153"/>
      <c r="BD574" s="153"/>
      <c r="BE574" s="153"/>
      <c r="BF574" s="153"/>
      <c r="BG574" s="154"/>
    </row>
    <row r="575" spans="4:59" x14ac:dyDescent="0.2">
      <c r="D575" s="22"/>
      <c r="E575" s="23"/>
      <c r="F575" s="23"/>
      <c r="G575" s="23"/>
      <c r="H575" s="23"/>
      <c r="I575" s="64"/>
      <c r="J575" s="65"/>
      <c r="K575" s="65"/>
      <c r="L575" s="65"/>
      <c r="Q575" s="100"/>
      <c r="V575" s="9"/>
      <c r="W575" s="10"/>
      <c r="AE575" s="100"/>
      <c r="AN575" s="152"/>
      <c r="AO575" s="153"/>
      <c r="AP575" s="153"/>
      <c r="AQ575" s="153"/>
      <c r="AR575" s="153"/>
      <c r="AS575" s="154"/>
      <c r="AT575" s="155"/>
      <c r="AU575" s="155"/>
      <c r="AV575" s="155"/>
      <c r="AW575" s="107"/>
      <c r="AX575" s="107"/>
      <c r="AY575" s="107"/>
      <c r="AZ575" s="107"/>
      <c r="BA575" s="107"/>
      <c r="BB575" s="152"/>
      <c r="BC575" s="153"/>
      <c r="BD575" s="153"/>
      <c r="BE575" s="153"/>
      <c r="BF575" s="153"/>
      <c r="BG575" s="154"/>
    </row>
    <row r="576" spans="4:59" x14ac:dyDescent="0.2">
      <c r="D576" s="22"/>
      <c r="E576" s="23"/>
      <c r="F576" s="23"/>
      <c r="G576" s="23"/>
      <c r="H576" s="23"/>
      <c r="I576" s="64"/>
      <c r="J576" s="65"/>
      <c r="K576" s="65"/>
      <c r="L576" s="65"/>
      <c r="Q576" s="100"/>
      <c r="V576" s="9"/>
      <c r="W576" s="10"/>
      <c r="AE576" s="100"/>
      <c r="AN576" s="152"/>
      <c r="AO576" s="153"/>
      <c r="AP576" s="153"/>
      <c r="AQ576" s="153"/>
      <c r="AR576" s="153"/>
      <c r="AS576" s="154"/>
      <c r="AT576" s="155"/>
      <c r="AU576" s="155"/>
      <c r="AV576" s="155"/>
      <c r="AW576" s="107"/>
      <c r="AX576" s="107"/>
      <c r="AY576" s="107"/>
      <c r="AZ576" s="107"/>
      <c r="BA576" s="107"/>
      <c r="BB576" s="152"/>
      <c r="BC576" s="153"/>
      <c r="BD576" s="153"/>
      <c r="BE576" s="153"/>
      <c r="BF576" s="153"/>
      <c r="BG576" s="154"/>
    </row>
    <row r="577" spans="4:59" x14ac:dyDescent="0.2">
      <c r="D577" s="22"/>
      <c r="E577" s="23"/>
      <c r="F577" s="23"/>
      <c r="G577" s="23"/>
      <c r="H577" s="23"/>
      <c r="I577" s="64"/>
      <c r="J577" s="65"/>
      <c r="K577" s="65"/>
      <c r="L577" s="65"/>
      <c r="Q577" s="100"/>
      <c r="V577" s="9"/>
      <c r="W577" s="10"/>
      <c r="AE577" s="100"/>
      <c r="AN577" s="152"/>
      <c r="AO577" s="153"/>
      <c r="AP577" s="153"/>
      <c r="AQ577" s="153"/>
      <c r="AR577" s="153"/>
      <c r="AS577" s="154"/>
      <c r="AT577" s="155"/>
      <c r="AU577" s="155"/>
      <c r="AV577" s="155"/>
      <c r="AW577" s="107"/>
      <c r="AX577" s="107"/>
      <c r="AY577" s="107"/>
      <c r="AZ577" s="107"/>
      <c r="BA577" s="107"/>
      <c r="BB577" s="152"/>
      <c r="BC577" s="153"/>
      <c r="BD577" s="153"/>
      <c r="BE577" s="153"/>
      <c r="BF577" s="153"/>
      <c r="BG577" s="154"/>
    </row>
    <row r="578" spans="4:59" x14ac:dyDescent="0.2">
      <c r="D578" s="22"/>
      <c r="E578" s="23"/>
      <c r="F578" s="23"/>
      <c r="G578" s="23"/>
      <c r="H578" s="23"/>
      <c r="I578" s="64"/>
      <c r="J578" s="65"/>
      <c r="K578" s="65"/>
      <c r="L578" s="65"/>
      <c r="Q578" s="100"/>
      <c r="V578" s="9"/>
      <c r="W578" s="10"/>
      <c r="AE578" s="100"/>
      <c r="AN578" s="152"/>
      <c r="AO578" s="153"/>
      <c r="AP578" s="153"/>
      <c r="AQ578" s="153"/>
      <c r="AR578" s="153"/>
      <c r="AS578" s="154"/>
      <c r="AT578" s="155"/>
      <c r="AU578" s="155"/>
      <c r="AV578" s="155"/>
      <c r="AW578" s="107"/>
      <c r="AX578" s="107"/>
      <c r="AY578" s="107"/>
      <c r="AZ578" s="107"/>
      <c r="BA578" s="107"/>
      <c r="BB578" s="152"/>
      <c r="BC578" s="153"/>
      <c r="BD578" s="153"/>
      <c r="BE578" s="153"/>
      <c r="BF578" s="153"/>
      <c r="BG578" s="154"/>
    </row>
    <row r="579" spans="4:59" x14ac:dyDescent="0.2">
      <c r="D579" s="22"/>
      <c r="E579" s="23"/>
      <c r="F579" s="23"/>
      <c r="G579" s="23"/>
      <c r="H579" s="23"/>
      <c r="I579" s="64"/>
      <c r="J579" s="65"/>
      <c r="K579" s="65"/>
      <c r="L579" s="65"/>
      <c r="Q579" s="100"/>
      <c r="V579" s="9"/>
      <c r="W579" s="10"/>
      <c r="AE579" s="100"/>
      <c r="AN579" s="152"/>
      <c r="AO579" s="153"/>
      <c r="AP579" s="153"/>
      <c r="AQ579" s="153"/>
      <c r="AR579" s="153"/>
      <c r="AS579" s="154"/>
      <c r="AT579" s="155"/>
      <c r="AU579" s="155"/>
      <c r="AV579" s="155"/>
      <c r="AW579" s="107"/>
      <c r="AX579" s="107"/>
      <c r="AY579" s="107"/>
      <c r="AZ579" s="107"/>
      <c r="BA579" s="107"/>
      <c r="BB579" s="152"/>
      <c r="BC579" s="153"/>
      <c r="BD579" s="153"/>
      <c r="BE579" s="153"/>
      <c r="BF579" s="153"/>
      <c r="BG579" s="154"/>
    </row>
    <row r="580" spans="4:59" x14ac:dyDescent="0.2">
      <c r="D580" s="22"/>
      <c r="E580" s="23"/>
      <c r="F580" s="23"/>
      <c r="G580" s="23"/>
      <c r="H580" s="23"/>
      <c r="I580" s="64"/>
      <c r="J580" s="65"/>
      <c r="K580" s="65"/>
      <c r="L580" s="65"/>
      <c r="Q580" s="100"/>
      <c r="V580" s="9"/>
      <c r="W580" s="10"/>
      <c r="AE580" s="100"/>
      <c r="AN580" s="152"/>
      <c r="AO580" s="153"/>
      <c r="AP580" s="153"/>
      <c r="AQ580" s="153"/>
      <c r="AR580" s="153"/>
      <c r="AS580" s="154"/>
      <c r="AT580" s="155"/>
      <c r="AU580" s="155"/>
      <c r="AV580" s="155"/>
      <c r="AW580" s="107"/>
      <c r="AX580" s="107"/>
      <c r="AY580" s="107"/>
      <c r="AZ580" s="107"/>
      <c r="BA580" s="107"/>
      <c r="BB580" s="152"/>
      <c r="BC580" s="153"/>
      <c r="BD580" s="153"/>
      <c r="BE580" s="153"/>
      <c r="BF580" s="153"/>
      <c r="BG580" s="154"/>
    </row>
    <row r="581" spans="4:59" x14ac:dyDescent="0.2">
      <c r="D581" s="22"/>
      <c r="E581" s="23"/>
      <c r="F581" s="23"/>
      <c r="G581" s="23"/>
      <c r="H581" s="23"/>
      <c r="I581" s="64"/>
      <c r="J581" s="65"/>
      <c r="K581" s="65"/>
      <c r="L581" s="65"/>
      <c r="Q581" s="100"/>
      <c r="V581" s="9"/>
      <c r="W581" s="10"/>
      <c r="AE581" s="100"/>
      <c r="AN581" s="152"/>
      <c r="AO581" s="153"/>
      <c r="AP581" s="153"/>
      <c r="AQ581" s="153"/>
      <c r="AR581" s="153"/>
      <c r="AS581" s="154"/>
      <c r="AT581" s="155"/>
      <c r="AU581" s="155"/>
      <c r="AV581" s="155"/>
      <c r="AW581" s="107"/>
      <c r="AX581" s="107"/>
      <c r="AY581" s="107"/>
      <c r="AZ581" s="107"/>
      <c r="BA581" s="107"/>
      <c r="BB581" s="152"/>
      <c r="BC581" s="153"/>
      <c r="BD581" s="153"/>
      <c r="BE581" s="153"/>
      <c r="BF581" s="153"/>
      <c r="BG581" s="154"/>
    </row>
    <row r="582" spans="4:59" x14ac:dyDescent="0.2">
      <c r="D582" s="22"/>
      <c r="E582" s="23"/>
      <c r="F582" s="23"/>
      <c r="G582" s="23"/>
      <c r="H582" s="23"/>
      <c r="I582" s="64"/>
      <c r="J582" s="65"/>
      <c r="K582" s="65"/>
      <c r="L582" s="65"/>
      <c r="Q582" s="100"/>
      <c r="V582" s="9"/>
      <c r="W582" s="10"/>
      <c r="AE582" s="100"/>
      <c r="AN582" s="152"/>
      <c r="AO582" s="153"/>
      <c r="AP582" s="153"/>
      <c r="AQ582" s="153"/>
      <c r="AR582" s="153"/>
      <c r="AS582" s="154"/>
      <c r="AT582" s="155"/>
      <c r="AU582" s="155"/>
      <c r="AV582" s="155"/>
      <c r="AW582" s="107"/>
      <c r="AX582" s="107"/>
      <c r="AY582" s="107"/>
      <c r="AZ582" s="107"/>
      <c r="BA582" s="107"/>
      <c r="BB582" s="152"/>
      <c r="BC582" s="153"/>
      <c r="BD582" s="153"/>
      <c r="BE582" s="153"/>
      <c r="BF582" s="153"/>
      <c r="BG582" s="154"/>
    </row>
    <row r="583" spans="4:59" x14ac:dyDescent="0.2">
      <c r="D583" s="22"/>
      <c r="E583" s="23"/>
      <c r="F583" s="23"/>
      <c r="G583" s="23"/>
      <c r="H583" s="23"/>
      <c r="I583" s="64"/>
      <c r="J583" s="65"/>
      <c r="K583" s="65"/>
      <c r="L583" s="65"/>
      <c r="Q583" s="100"/>
      <c r="V583" s="9"/>
      <c r="W583" s="10"/>
      <c r="AE583" s="100"/>
      <c r="AN583" s="152"/>
      <c r="AO583" s="153"/>
      <c r="AP583" s="153"/>
      <c r="AQ583" s="153"/>
      <c r="AR583" s="153"/>
      <c r="AS583" s="154"/>
      <c r="AT583" s="155"/>
      <c r="AU583" s="155"/>
      <c r="AV583" s="155"/>
      <c r="AW583" s="107"/>
      <c r="AX583" s="107"/>
      <c r="AY583" s="107"/>
      <c r="AZ583" s="107"/>
      <c r="BA583" s="107"/>
      <c r="BB583" s="152"/>
      <c r="BC583" s="153"/>
      <c r="BD583" s="153"/>
      <c r="BE583" s="153"/>
      <c r="BF583" s="153"/>
      <c r="BG583" s="154"/>
    </row>
    <row r="584" spans="4:59" x14ac:dyDescent="0.2">
      <c r="D584" s="22"/>
      <c r="E584" s="23"/>
      <c r="F584" s="23"/>
      <c r="G584" s="23"/>
      <c r="H584" s="23"/>
      <c r="I584" s="64"/>
      <c r="J584" s="65"/>
      <c r="K584" s="65"/>
      <c r="L584" s="65"/>
      <c r="Q584" s="100"/>
      <c r="V584" s="9"/>
      <c r="W584" s="10"/>
      <c r="AE584" s="100"/>
      <c r="AN584" s="152"/>
      <c r="AO584" s="153"/>
      <c r="AP584" s="153"/>
      <c r="AQ584" s="153"/>
      <c r="AR584" s="153"/>
      <c r="AS584" s="154"/>
      <c r="AT584" s="155"/>
      <c r="AU584" s="155"/>
      <c r="AV584" s="155"/>
      <c r="AW584" s="107"/>
      <c r="AX584" s="107"/>
      <c r="AY584" s="107"/>
      <c r="AZ584" s="107"/>
      <c r="BA584" s="107"/>
      <c r="BB584" s="152"/>
      <c r="BC584" s="153"/>
      <c r="BD584" s="153"/>
      <c r="BE584" s="153"/>
      <c r="BF584" s="153"/>
      <c r="BG584" s="154"/>
    </row>
    <row r="585" spans="4:59" x14ac:dyDescent="0.2">
      <c r="D585" s="22"/>
      <c r="E585" s="23"/>
      <c r="F585" s="23"/>
      <c r="G585" s="23"/>
      <c r="H585" s="23"/>
      <c r="I585" s="64"/>
      <c r="J585" s="65"/>
      <c r="K585" s="65"/>
      <c r="L585" s="65"/>
      <c r="Q585" s="100"/>
      <c r="V585" s="9"/>
      <c r="W585" s="10"/>
      <c r="AE585" s="100"/>
      <c r="AN585" s="152"/>
      <c r="AO585" s="153"/>
      <c r="AP585" s="153"/>
      <c r="AQ585" s="153"/>
      <c r="AR585" s="153"/>
      <c r="AS585" s="154"/>
      <c r="AT585" s="155"/>
      <c r="AU585" s="155"/>
      <c r="AV585" s="155"/>
      <c r="AW585" s="107"/>
      <c r="AX585" s="107"/>
      <c r="AY585" s="107"/>
      <c r="AZ585" s="107"/>
      <c r="BA585" s="107"/>
      <c r="BB585" s="152"/>
      <c r="BC585" s="153"/>
      <c r="BD585" s="153"/>
      <c r="BE585" s="153"/>
      <c r="BF585" s="153"/>
      <c r="BG585" s="154"/>
    </row>
    <row r="586" spans="4:59" x14ac:dyDescent="0.2">
      <c r="D586" s="22"/>
      <c r="E586" s="23"/>
      <c r="F586" s="23"/>
      <c r="G586" s="23"/>
      <c r="H586" s="23"/>
      <c r="I586" s="64"/>
      <c r="J586" s="65"/>
      <c r="K586" s="65"/>
      <c r="L586" s="65"/>
      <c r="Q586" s="100"/>
      <c r="V586" s="9"/>
      <c r="W586" s="10"/>
      <c r="AE586" s="100"/>
      <c r="AN586" s="152"/>
      <c r="AO586" s="153"/>
      <c r="AP586" s="153"/>
      <c r="AQ586" s="153"/>
      <c r="AR586" s="153"/>
      <c r="AS586" s="154"/>
      <c r="AT586" s="155"/>
      <c r="AU586" s="155"/>
      <c r="AV586" s="155"/>
      <c r="AW586" s="107"/>
      <c r="AX586" s="107"/>
      <c r="AY586" s="107"/>
      <c r="AZ586" s="107"/>
      <c r="BA586" s="107"/>
      <c r="BB586" s="152"/>
      <c r="BC586" s="153"/>
      <c r="BD586" s="153"/>
      <c r="BE586" s="153"/>
      <c r="BF586" s="153"/>
      <c r="BG586" s="154"/>
    </row>
    <row r="587" spans="4:59" x14ac:dyDescent="0.2">
      <c r="D587" s="22"/>
      <c r="E587" s="23"/>
      <c r="F587" s="23"/>
      <c r="G587" s="23"/>
      <c r="H587" s="23"/>
      <c r="I587" s="64"/>
      <c r="J587" s="65"/>
      <c r="K587" s="65"/>
      <c r="L587" s="65"/>
      <c r="Q587" s="100"/>
      <c r="V587" s="9"/>
      <c r="W587" s="10"/>
      <c r="AE587" s="100"/>
      <c r="AN587" s="152"/>
      <c r="AO587" s="153"/>
      <c r="AP587" s="153"/>
      <c r="AQ587" s="153"/>
      <c r="AR587" s="153"/>
      <c r="AS587" s="154"/>
      <c r="AT587" s="155"/>
      <c r="AU587" s="155"/>
      <c r="AV587" s="155"/>
      <c r="AW587" s="107"/>
      <c r="AX587" s="107"/>
      <c r="AY587" s="107"/>
      <c r="AZ587" s="107"/>
      <c r="BA587" s="107"/>
      <c r="BB587" s="152"/>
      <c r="BC587" s="153"/>
      <c r="BD587" s="153"/>
      <c r="BE587" s="153"/>
      <c r="BF587" s="153"/>
      <c r="BG587" s="154"/>
    </row>
    <row r="588" spans="4:59" x14ac:dyDescent="0.2">
      <c r="D588" s="22"/>
      <c r="E588" s="23"/>
      <c r="F588" s="23"/>
      <c r="G588" s="23"/>
      <c r="H588" s="23"/>
      <c r="I588" s="64"/>
      <c r="J588" s="65"/>
      <c r="K588" s="65"/>
      <c r="L588" s="65"/>
      <c r="Q588" s="100"/>
      <c r="V588" s="9"/>
      <c r="W588" s="10"/>
      <c r="AE588" s="100"/>
      <c r="AN588" s="152"/>
      <c r="AO588" s="153"/>
      <c r="AP588" s="153"/>
      <c r="AQ588" s="153"/>
      <c r="AR588" s="153"/>
      <c r="AS588" s="154"/>
      <c r="AT588" s="155"/>
      <c r="AU588" s="155"/>
      <c r="AV588" s="155"/>
      <c r="AW588" s="107"/>
      <c r="AX588" s="107"/>
      <c r="AY588" s="107"/>
      <c r="AZ588" s="107"/>
      <c r="BA588" s="107"/>
      <c r="BB588" s="152"/>
      <c r="BC588" s="153"/>
      <c r="BD588" s="153"/>
      <c r="BE588" s="153"/>
      <c r="BF588" s="153"/>
      <c r="BG588" s="154"/>
    </row>
    <row r="589" spans="4:59" x14ac:dyDescent="0.2">
      <c r="D589" s="22"/>
      <c r="E589" s="23"/>
      <c r="F589" s="23"/>
      <c r="G589" s="23"/>
      <c r="H589" s="23"/>
      <c r="I589" s="64"/>
      <c r="J589" s="65"/>
      <c r="K589" s="65"/>
      <c r="L589" s="65"/>
      <c r="Q589" s="100"/>
      <c r="V589" s="9"/>
      <c r="W589" s="10"/>
      <c r="AE589" s="100"/>
      <c r="AN589" s="152"/>
      <c r="AO589" s="153"/>
      <c r="AP589" s="153"/>
      <c r="AQ589" s="153"/>
      <c r="AR589" s="153"/>
      <c r="AS589" s="154"/>
      <c r="AT589" s="155"/>
      <c r="AU589" s="155"/>
      <c r="AV589" s="155"/>
      <c r="AW589" s="107"/>
      <c r="AX589" s="107"/>
      <c r="AY589" s="107"/>
      <c r="AZ589" s="107"/>
      <c r="BA589" s="107"/>
      <c r="BB589" s="152"/>
      <c r="BC589" s="153"/>
      <c r="BD589" s="153"/>
      <c r="BE589" s="153"/>
      <c r="BF589" s="153"/>
      <c r="BG589" s="154"/>
    </row>
    <row r="590" spans="4:59" x14ac:dyDescent="0.2">
      <c r="D590" s="22"/>
      <c r="E590" s="23"/>
      <c r="F590" s="23"/>
      <c r="G590" s="23"/>
      <c r="H590" s="23"/>
      <c r="I590" s="64"/>
      <c r="J590" s="65"/>
      <c r="K590" s="65"/>
      <c r="L590" s="65"/>
      <c r="Q590" s="100"/>
      <c r="V590" s="9"/>
      <c r="W590" s="10"/>
      <c r="AE590" s="100"/>
      <c r="AN590" s="152"/>
      <c r="AO590" s="153"/>
      <c r="AP590" s="153"/>
      <c r="AQ590" s="153"/>
      <c r="AR590" s="153"/>
      <c r="AS590" s="154"/>
      <c r="AT590" s="155"/>
      <c r="AU590" s="155"/>
      <c r="AV590" s="155"/>
      <c r="AW590" s="107"/>
      <c r="AX590" s="107"/>
      <c r="AY590" s="107"/>
      <c r="AZ590" s="107"/>
      <c r="BA590" s="107"/>
      <c r="BB590" s="152"/>
      <c r="BC590" s="153"/>
      <c r="BD590" s="153"/>
      <c r="BE590" s="153"/>
      <c r="BF590" s="153"/>
      <c r="BG590" s="154"/>
    </row>
    <row r="591" spans="4:59" x14ac:dyDescent="0.2">
      <c r="D591" s="22"/>
      <c r="E591" s="23"/>
      <c r="F591" s="23"/>
      <c r="G591" s="23"/>
      <c r="H591" s="23"/>
      <c r="I591" s="64"/>
      <c r="J591" s="65"/>
      <c r="K591" s="65"/>
      <c r="L591" s="65"/>
      <c r="Q591" s="100"/>
      <c r="V591" s="9"/>
      <c r="W591" s="10"/>
      <c r="AE591" s="100"/>
      <c r="AN591" s="152"/>
      <c r="AO591" s="153"/>
      <c r="AP591" s="153"/>
      <c r="AQ591" s="153"/>
      <c r="AR591" s="153"/>
      <c r="AS591" s="154"/>
      <c r="AT591" s="155"/>
      <c r="AU591" s="155"/>
      <c r="AV591" s="155"/>
      <c r="AW591" s="107"/>
      <c r="AX591" s="107"/>
      <c r="AY591" s="107"/>
      <c r="AZ591" s="107"/>
      <c r="BA591" s="107"/>
      <c r="BB591" s="152"/>
      <c r="BC591" s="153"/>
      <c r="BD591" s="153"/>
      <c r="BE591" s="153"/>
      <c r="BF591" s="153"/>
      <c r="BG591" s="154"/>
    </row>
    <row r="592" spans="4:59" x14ac:dyDescent="0.2">
      <c r="D592" s="22"/>
      <c r="E592" s="23"/>
      <c r="F592" s="23"/>
      <c r="G592" s="23"/>
      <c r="H592" s="23"/>
      <c r="I592" s="64"/>
      <c r="J592" s="65"/>
      <c r="K592" s="65"/>
      <c r="L592" s="65"/>
      <c r="Q592" s="100"/>
      <c r="V592" s="9"/>
      <c r="W592" s="10"/>
      <c r="AE592" s="100"/>
      <c r="AN592" s="152"/>
      <c r="AO592" s="153"/>
      <c r="AP592" s="153"/>
      <c r="AQ592" s="153"/>
      <c r="AR592" s="153"/>
      <c r="AS592" s="154"/>
      <c r="AT592" s="155"/>
      <c r="AU592" s="155"/>
      <c r="AV592" s="155"/>
      <c r="AW592" s="107"/>
      <c r="AX592" s="107"/>
      <c r="AY592" s="107"/>
      <c r="AZ592" s="107"/>
      <c r="BA592" s="107"/>
      <c r="BB592" s="152"/>
      <c r="BC592" s="153"/>
      <c r="BD592" s="153"/>
      <c r="BE592" s="153"/>
      <c r="BF592" s="153"/>
      <c r="BG592" s="154"/>
    </row>
    <row r="593" spans="4:59" x14ac:dyDescent="0.2">
      <c r="D593" s="22"/>
      <c r="E593" s="23"/>
      <c r="F593" s="23"/>
      <c r="G593" s="23"/>
      <c r="H593" s="23"/>
      <c r="I593" s="64"/>
      <c r="J593" s="65"/>
      <c r="K593" s="65"/>
      <c r="L593" s="65"/>
      <c r="Q593" s="100"/>
      <c r="V593" s="9"/>
      <c r="W593" s="10"/>
      <c r="AE593" s="100"/>
      <c r="AN593" s="152"/>
      <c r="AO593" s="153"/>
      <c r="AP593" s="153"/>
      <c r="AQ593" s="153"/>
      <c r="AR593" s="153"/>
      <c r="AS593" s="154"/>
      <c r="AT593" s="155"/>
      <c r="AU593" s="155"/>
      <c r="AV593" s="155"/>
      <c r="AW593" s="107"/>
      <c r="AX593" s="107"/>
      <c r="AY593" s="107"/>
      <c r="AZ593" s="107"/>
      <c r="BA593" s="107"/>
      <c r="BB593" s="152"/>
      <c r="BC593" s="153"/>
      <c r="BD593" s="153"/>
      <c r="BE593" s="153"/>
      <c r="BF593" s="153"/>
      <c r="BG593" s="154"/>
    </row>
    <row r="594" spans="4:59" x14ac:dyDescent="0.2">
      <c r="D594" s="22"/>
      <c r="E594" s="23"/>
      <c r="F594" s="23"/>
      <c r="G594" s="23"/>
      <c r="H594" s="23"/>
      <c r="I594" s="64"/>
      <c r="J594" s="65"/>
      <c r="K594" s="65"/>
      <c r="L594" s="65"/>
      <c r="Q594" s="100"/>
      <c r="V594" s="9"/>
      <c r="W594" s="10"/>
      <c r="AE594" s="100"/>
      <c r="AN594" s="152"/>
      <c r="AO594" s="153"/>
      <c r="AP594" s="153"/>
      <c r="AQ594" s="153"/>
      <c r="AR594" s="153"/>
      <c r="AS594" s="154"/>
      <c r="AT594" s="155"/>
      <c r="AU594" s="155"/>
      <c r="AV594" s="155"/>
      <c r="AW594" s="107"/>
      <c r="AX594" s="107"/>
      <c r="AY594" s="107"/>
      <c r="AZ594" s="107"/>
      <c r="BA594" s="107"/>
      <c r="BB594" s="152"/>
      <c r="BC594" s="153"/>
      <c r="BD594" s="153"/>
      <c r="BE594" s="153"/>
      <c r="BF594" s="153"/>
      <c r="BG594" s="154"/>
    </row>
    <row r="595" spans="4:59" x14ac:dyDescent="0.2">
      <c r="D595" s="22"/>
      <c r="E595" s="23"/>
      <c r="F595" s="23"/>
      <c r="G595" s="23"/>
      <c r="H595" s="23"/>
      <c r="I595" s="64"/>
      <c r="J595" s="65"/>
      <c r="K595" s="65"/>
      <c r="L595" s="65"/>
      <c r="Q595" s="100"/>
      <c r="V595" s="9"/>
      <c r="W595" s="10"/>
      <c r="AE595" s="100"/>
      <c r="AN595" s="152"/>
      <c r="AO595" s="153"/>
      <c r="AP595" s="153"/>
      <c r="AQ595" s="153"/>
      <c r="AR595" s="153"/>
      <c r="AS595" s="154"/>
      <c r="AT595" s="155"/>
      <c r="AU595" s="155"/>
      <c r="AV595" s="155"/>
      <c r="AW595" s="107"/>
      <c r="AX595" s="107"/>
      <c r="AY595" s="107"/>
      <c r="AZ595" s="107"/>
      <c r="BA595" s="107"/>
      <c r="BB595" s="152"/>
      <c r="BC595" s="153"/>
      <c r="BD595" s="153"/>
      <c r="BE595" s="153"/>
      <c r="BF595" s="153"/>
      <c r="BG595" s="154"/>
    </row>
    <row r="596" spans="4:59" x14ac:dyDescent="0.2">
      <c r="D596" s="22"/>
      <c r="E596" s="23"/>
      <c r="F596" s="23"/>
      <c r="G596" s="23"/>
      <c r="H596" s="23"/>
      <c r="I596" s="64"/>
      <c r="J596" s="65"/>
      <c r="K596" s="65"/>
      <c r="L596" s="65"/>
      <c r="Q596" s="100"/>
      <c r="V596" s="9"/>
      <c r="W596" s="10"/>
      <c r="AE596" s="100"/>
      <c r="AN596" s="152"/>
      <c r="AO596" s="153"/>
      <c r="AP596" s="153"/>
      <c r="AQ596" s="153"/>
      <c r="AR596" s="153"/>
      <c r="AS596" s="154"/>
      <c r="AT596" s="155"/>
      <c r="AU596" s="155"/>
      <c r="AV596" s="155"/>
      <c r="AW596" s="107"/>
      <c r="AX596" s="107"/>
      <c r="AY596" s="107"/>
      <c r="AZ596" s="107"/>
      <c r="BA596" s="107"/>
      <c r="BB596" s="152"/>
      <c r="BC596" s="153"/>
      <c r="BD596" s="153"/>
      <c r="BE596" s="153"/>
      <c r="BF596" s="153"/>
      <c r="BG596" s="154"/>
    </row>
    <row r="597" spans="4:59" x14ac:dyDescent="0.2">
      <c r="D597" s="22"/>
      <c r="E597" s="23"/>
      <c r="F597" s="23"/>
      <c r="G597" s="23"/>
      <c r="H597" s="23"/>
      <c r="I597" s="64"/>
      <c r="J597" s="65"/>
      <c r="K597" s="65"/>
      <c r="L597" s="65"/>
      <c r="Q597" s="100"/>
      <c r="V597" s="9"/>
      <c r="W597" s="10"/>
      <c r="AE597" s="100"/>
      <c r="AN597" s="152"/>
      <c r="AO597" s="153"/>
      <c r="AP597" s="153"/>
      <c r="AQ597" s="153"/>
      <c r="AR597" s="153"/>
      <c r="AS597" s="154"/>
      <c r="AT597" s="155"/>
      <c r="AU597" s="155"/>
      <c r="AV597" s="155"/>
      <c r="AW597" s="107"/>
      <c r="AX597" s="107"/>
      <c r="AY597" s="107"/>
      <c r="AZ597" s="107"/>
      <c r="BA597" s="107"/>
      <c r="BB597" s="152"/>
      <c r="BC597" s="153"/>
      <c r="BD597" s="153"/>
      <c r="BE597" s="153"/>
      <c r="BF597" s="153"/>
      <c r="BG597" s="154"/>
    </row>
    <row r="598" spans="4:59" x14ac:dyDescent="0.2">
      <c r="D598" s="22"/>
      <c r="E598" s="23"/>
      <c r="F598" s="23"/>
      <c r="G598" s="23"/>
      <c r="H598" s="23"/>
      <c r="I598" s="64"/>
      <c r="J598" s="65"/>
      <c r="K598" s="65"/>
      <c r="L598" s="65"/>
      <c r="Q598" s="100"/>
      <c r="V598" s="9"/>
      <c r="W598" s="10"/>
      <c r="AE598" s="100"/>
      <c r="AN598" s="152"/>
      <c r="AO598" s="153"/>
      <c r="AP598" s="153"/>
      <c r="AQ598" s="153"/>
      <c r="AR598" s="153"/>
      <c r="AS598" s="154"/>
      <c r="AT598" s="155"/>
      <c r="AU598" s="155"/>
      <c r="AV598" s="155"/>
      <c r="AW598" s="107"/>
      <c r="AX598" s="107"/>
      <c r="AY598" s="107"/>
      <c r="AZ598" s="107"/>
      <c r="BA598" s="107"/>
      <c r="BB598" s="152"/>
      <c r="BC598" s="153"/>
      <c r="BD598" s="153"/>
      <c r="BE598" s="153"/>
      <c r="BF598" s="153"/>
      <c r="BG598" s="154"/>
    </row>
    <row r="599" spans="4:59" x14ac:dyDescent="0.2">
      <c r="D599" s="22"/>
      <c r="E599" s="23"/>
      <c r="F599" s="23"/>
      <c r="G599" s="23"/>
      <c r="H599" s="23"/>
      <c r="I599" s="64"/>
      <c r="J599" s="65"/>
      <c r="K599" s="65"/>
      <c r="L599" s="65"/>
      <c r="Q599" s="100"/>
      <c r="V599" s="9"/>
      <c r="W599" s="10"/>
      <c r="AE599" s="100"/>
      <c r="AN599" s="152"/>
      <c r="AO599" s="153"/>
      <c r="AP599" s="153"/>
      <c r="AQ599" s="153"/>
      <c r="AR599" s="153"/>
      <c r="AS599" s="154"/>
      <c r="AT599" s="155"/>
      <c r="AU599" s="155"/>
      <c r="AV599" s="155"/>
      <c r="AW599" s="107"/>
      <c r="AX599" s="107"/>
      <c r="AY599" s="107"/>
      <c r="AZ599" s="107"/>
      <c r="BA599" s="107"/>
      <c r="BB599" s="152"/>
      <c r="BC599" s="153"/>
      <c r="BD599" s="153"/>
      <c r="BE599" s="153"/>
      <c r="BF599" s="153"/>
      <c r="BG599" s="154"/>
    </row>
    <row r="600" spans="4:59" x14ac:dyDescent="0.2">
      <c r="D600" s="22"/>
      <c r="E600" s="23"/>
      <c r="F600" s="23"/>
      <c r="G600" s="23"/>
      <c r="H600" s="23"/>
      <c r="I600" s="64"/>
      <c r="J600" s="65"/>
      <c r="K600" s="65"/>
      <c r="L600" s="65"/>
      <c r="Q600" s="100"/>
      <c r="V600" s="9"/>
      <c r="W600" s="10"/>
      <c r="AE600" s="100"/>
      <c r="AN600" s="152"/>
      <c r="AO600" s="153"/>
      <c r="AP600" s="153"/>
      <c r="AQ600" s="153"/>
      <c r="AR600" s="153"/>
      <c r="AS600" s="154"/>
      <c r="AT600" s="155"/>
      <c r="AU600" s="155"/>
      <c r="AV600" s="155"/>
      <c r="AW600" s="107"/>
      <c r="AX600" s="107"/>
      <c r="AY600" s="107"/>
      <c r="AZ600" s="107"/>
      <c r="BA600" s="107"/>
      <c r="BB600" s="152"/>
      <c r="BC600" s="153"/>
      <c r="BD600" s="153"/>
      <c r="BE600" s="153"/>
      <c r="BF600" s="153"/>
      <c r="BG600" s="154"/>
    </row>
    <row r="601" spans="4:59" x14ac:dyDescent="0.2">
      <c r="D601" s="22"/>
      <c r="E601" s="23"/>
      <c r="F601" s="23"/>
      <c r="G601" s="23"/>
      <c r="H601" s="23"/>
      <c r="I601" s="64"/>
      <c r="J601" s="65"/>
      <c r="K601" s="65"/>
      <c r="L601" s="65"/>
      <c r="Q601" s="100"/>
      <c r="V601" s="9"/>
      <c r="W601" s="10"/>
      <c r="AE601" s="100"/>
      <c r="AN601" s="152"/>
      <c r="AO601" s="153"/>
      <c r="AP601" s="153"/>
      <c r="AQ601" s="153"/>
      <c r="AR601" s="153"/>
      <c r="AS601" s="154"/>
      <c r="AT601" s="155"/>
      <c r="AU601" s="155"/>
      <c r="AV601" s="155"/>
      <c r="AW601" s="107"/>
      <c r="AX601" s="107"/>
      <c r="AY601" s="107"/>
      <c r="AZ601" s="107"/>
      <c r="BA601" s="107"/>
      <c r="BB601" s="152"/>
      <c r="BC601" s="153"/>
      <c r="BD601" s="153"/>
      <c r="BE601" s="153"/>
      <c r="BF601" s="153"/>
      <c r="BG601" s="154"/>
    </row>
    <row r="602" spans="4:59" x14ac:dyDescent="0.2">
      <c r="D602" s="22"/>
      <c r="E602" s="23"/>
      <c r="F602" s="23"/>
      <c r="G602" s="23"/>
      <c r="H602" s="23"/>
      <c r="I602" s="64"/>
      <c r="J602" s="65"/>
      <c r="K602" s="65"/>
      <c r="L602" s="65"/>
      <c r="Q602" s="100"/>
      <c r="V602" s="9"/>
      <c r="W602" s="10"/>
      <c r="AE602" s="100"/>
      <c r="AN602" s="152"/>
      <c r="AO602" s="153"/>
      <c r="AP602" s="153"/>
      <c r="AQ602" s="153"/>
      <c r="AR602" s="153"/>
      <c r="AS602" s="154"/>
      <c r="AT602" s="155"/>
      <c r="AU602" s="155"/>
      <c r="AV602" s="155"/>
      <c r="AW602" s="107"/>
      <c r="AX602" s="107"/>
      <c r="AY602" s="107"/>
      <c r="AZ602" s="107"/>
      <c r="BA602" s="107"/>
      <c r="BB602" s="152"/>
      <c r="BC602" s="153"/>
      <c r="BD602" s="153"/>
      <c r="BE602" s="153"/>
      <c r="BF602" s="153"/>
      <c r="BG602" s="154"/>
    </row>
    <row r="603" spans="4:59" x14ac:dyDescent="0.2">
      <c r="D603" s="22"/>
      <c r="E603" s="23"/>
      <c r="F603" s="23"/>
      <c r="G603" s="23"/>
      <c r="H603" s="23"/>
      <c r="I603" s="64"/>
      <c r="J603" s="65"/>
      <c r="K603" s="65"/>
      <c r="L603" s="65"/>
      <c r="Q603" s="100"/>
      <c r="V603" s="9"/>
      <c r="W603" s="10"/>
      <c r="AE603" s="100"/>
      <c r="AN603" s="152"/>
      <c r="AO603" s="153"/>
      <c r="AP603" s="153"/>
      <c r="AQ603" s="153"/>
      <c r="AR603" s="153"/>
      <c r="AS603" s="154"/>
      <c r="AT603" s="155"/>
      <c r="AU603" s="155"/>
      <c r="AV603" s="155"/>
      <c r="AW603" s="107"/>
      <c r="AX603" s="107"/>
      <c r="AY603" s="107"/>
      <c r="AZ603" s="107"/>
      <c r="BA603" s="107"/>
      <c r="BB603" s="152"/>
      <c r="BC603" s="153"/>
      <c r="BD603" s="153"/>
      <c r="BE603" s="153"/>
      <c r="BF603" s="153"/>
      <c r="BG603" s="154"/>
    </row>
    <row r="604" spans="4:59" x14ac:dyDescent="0.2">
      <c r="D604" s="22"/>
      <c r="E604" s="23"/>
      <c r="F604" s="23"/>
      <c r="G604" s="23"/>
      <c r="H604" s="23"/>
      <c r="I604" s="64"/>
      <c r="J604" s="65"/>
      <c r="K604" s="65"/>
      <c r="L604" s="65"/>
      <c r="Q604" s="100"/>
      <c r="V604" s="9"/>
      <c r="W604" s="10"/>
      <c r="AE604" s="100"/>
      <c r="AN604" s="152"/>
      <c r="AO604" s="153"/>
      <c r="AP604" s="153"/>
      <c r="AQ604" s="153"/>
      <c r="AR604" s="153"/>
      <c r="AS604" s="154"/>
      <c r="AT604" s="155"/>
      <c r="AU604" s="155"/>
      <c r="AV604" s="155"/>
      <c r="AW604" s="107"/>
      <c r="AX604" s="107"/>
      <c r="AY604" s="107"/>
      <c r="AZ604" s="107"/>
      <c r="BA604" s="107"/>
      <c r="BB604" s="152"/>
      <c r="BC604" s="153"/>
      <c r="BD604" s="153"/>
      <c r="BE604" s="153"/>
      <c r="BF604" s="153"/>
      <c r="BG604" s="154"/>
    </row>
    <row r="605" spans="4:59" x14ac:dyDescent="0.2">
      <c r="D605" s="22"/>
      <c r="E605" s="23"/>
      <c r="F605" s="23"/>
      <c r="G605" s="23"/>
      <c r="H605" s="23"/>
      <c r="I605" s="64"/>
      <c r="J605" s="65"/>
      <c r="K605" s="65"/>
      <c r="L605" s="65"/>
      <c r="Q605" s="100"/>
      <c r="V605" s="9"/>
      <c r="W605" s="10"/>
      <c r="AE605" s="100"/>
      <c r="AN605" s="152"/>
      <c r="AO605" s="153"/>
      <c r="AP605" s="153"/>
      <c r="AQ605" s="153"/>
      <c r="AR605" s="153"/>
      <c r="AS605" s="154"/>
      <c r="AT605" s="155"/>
      <c r="AU605" s="155"/>
      <c r="AV605" s="155"/>
      <c r="AW605" s="107"/>
      <c r="AX605" s="107"/>
      <c r="AY605" s="107"/>
      <c r="AZ605" s="107"/>
      <c r="BA605" s="107"/>
      <c r="BB605" s="152"/>
      <c r="BC605" s="153"/>
      <c r="BD605" s="153"/>
      <c r="BE605" s="153"/>
      <c r="BF605" s="153"/>
      <c r="BG605" s="154"/>
    </row>
    <row r="606" spans="4:59" x14ac:dyDescent="0.2">
      <c r="D606" s="22"/>
      <c r="E606" s="23"/>
      <c r="F606" s="23"/>
      <c r="G606" s="23"/>
      <c r="H606" s="23"/>
      <c r="I606" s="64"/>
      <c r="J606" s="65"/>
      <c r="K606" s="65"/>
      <c r="L606" s="65"/>
      <c r="Q606" s="100"/>
      <c r="V606" s="9"/>
      <c r="W606" s="10"/>
      <c r="AE606" s="100"/>
      <c r="AN606" s="152"/>
      <c r="AO606" s="153"/>
      <c r="AP606" s="153"/>
      <c r="AQ606" s="153"/>
      <c r="AR606" s="153"/>
      <c r="AS606" s="154"/>
      <c r="AT606" s="155"/>
      <c r="AU606" s="155"/>
      <c r="AV606" s="155"/>
      <c r="AW606" s="107"/>
      <c r="AX606" s="107"/>
      <c r="AY606" s="107"/>
      <c r="AZ606" s="107"/>
      <c r="BA606" s="107"/>
      <c r="BB606" s="152"/>
      <c r="BC606" s="153"/>
      <c r="BD606" s="153"/>
      <c r="BE606" s="153"/>
      <c r="BF606" s="153"/>
      <c r="BG606" s="154"/>
    </row>
    <row r="607" spans="4:59" x14ac:dyDescent="0.2">
      <c r="D607" s="22"/>
      <c r="E607" s="23"/>
      <c r="F607" s="23"/>
      <c r="G607" s="23"/>
      <c r="H607" s="23"/>
      <c r="I607" s="64"/>
      <c r="J607" s="65"/>
      <c r="K607" s="65"/>
      <c r="L607" s="65"/>
      <c r="Q607" s="100"/>
      <c r="V607" s="9"/>
      <c r="W607" s="10"/>
      <c r="AE607" s="100"/>
      <c r="AN607" s="152"/>
      <c r="AO607" s="153"/>
      <c r="AP607" s="153"/>
      <c r="AQ607" s="153"/>
      <c r="AR607" s="153"/>
      <c r="AS607" s="154"/>
      <c r="AT607" s="155"/>
      <c r="AU607" s="155"/>
      <c r="AV607" s="155"/>
      <c r="AW607" s="107"/>
      <c r="AX607" s="107"/>
      <c r="AY607" s="107"/>
      <c r="AZ607" s="107"/>
      <c r="BA607" s="107"/>
      <c r="BB607" s="152"/>
      <c r="BC607" s="153"/>
      <c r="BD607" s="153"/>
      <c r="BE607" s="153"/>
      <c r="BF607" s="153"/>
      <c r="BG607" s="154"/>
    </row>
    <row r="608" spans="4:59" x14ac:dyDescent="0.2">
      <c r="D608" s="22"/>
      <c r="E608" s="23"/>
      <c r="F608" s="23"/>
      <c r="G608" s="23"/>
      <c r="H608" s="23"/>
      <c r="I608" s="64"/>
      <c r="J608" s="65"/>
      <c r="K608" s="65"/>
      <c r="L608" s="65"/>
      <c r="Q608" s="100"/>
      <c r="V608" s="9"/>
      <c r="W608" s="10"/>
      <c r="AE608" s="100"/>
      <c r="AN608" s="152"/>
      <c r="AO608" s="153"/>
      <c r="AP608" s="153"/>
      <c r="AQ608" s="153"/>
      <c r="AR608" s="153"/>
      <c r="AS608" s="154"/>
      <c r="AT608" s="155"/>
      <c r="AU608" s="155"/>
      <c r="AV608" s="155"/>
      <c r="AW608" s="107"/>
      <c r="AX608" s="107"/>
      <c r="AY608" s="107"/>
      <c r="AZ608" s="107"/>
      <c r="BA608" s="107"/>
      <c r="BB608" s="152"/>
      <c r="BC608" s="153"/>
      <c r="BD608" s="153"/>
      <c r="BE608" s="153"/>
      <c r="BF608" s="153"/>
      <c r="BG608" s="154"/>
    </row>
    <row r="609" spans="4:59" x14ac:dyDescent="0.2">
      <c r="D609" s="22"/>
      <c r="E609" s="23"/>
      <c r="F609" s="23"/>
      <c r="G609" s="23"/>
      <c r="H609" s="23"/>
      <c r="I609" s="64"/>
      <c r="J609" s="65"/>
      <c r="K609" s="65"/>
      <c r="L609" s="65"/>
      <c r="Q609" s="100"/>
      <c r="V609" s="9"/>
      <c r="W609" s="10"/>
      <c r="AE609" s="100"/>
      <c r="AN609" s="152"/>
      <c r="AO609" s="153"/>
      <c r="AP609" s="153"/>
      <c r="AQ609" s="153"/>
      <c r="AR609" s="153"/>
      <c r="AS609" s="154"/>
      <c r="AT609" s="155"/>
      <c r="AU609" s="155"/>
      <c r="AV609" s="155"/>
      <c r="AW609" s="107"/>
      <c r="AX609" s="107"/>
      <c r="AY609" s="107"/>
      <c r="AZ609" s="107"/>
      <c r="BA609" s="107"/>
      <c r="BB609" s="152"/>
      <c r="BC609" s="153"/>
      <c r="BD609" s="153"/>
      <c r="BE609" s="153"/>
      <c r="BF609" s="153"/>
      <c r="BG609" s="154"/>
    </row>
    <row r="610" spans="4:59" x14ac:dyDescent="0.2">
      <c r="D610" s="22"/>
      <c r="E610" s="23"/>
      <c r="F610" s="23"/>
      <c r="G610" s="23"/>
      <c r="H610" s="23"/>
      <c r="I610" s="64"/>
      <c r="J610" s="65"/>
      <c r="K610" s="65"/>
      <c r="L610" s="65"/>
      <c r="Q610" s="100"/>
      <c r="V610" s="9"/>
      <c r="W610" s="10"/>
      <c r="AE610" s="100"/>
      <c r="AN610" s="152"/>
      <c r="AO610" s="153"/>
      <c r="AP610" s="153"/>
      <c r="AQ610" s="153"/>
      <c r="AR610" s="153"/>
      <c r="AS610" s="154"/>
      <c r="AT610" s="155"/>
      <c r="AU610" s="155"/>
      <c r="AV610" s="155"/>
      <c r="AW610" s="107"/>
      <c r="AX610" s="107"/>
      <c r="AY610" s="107"/>
      <c r="AZ610" s="107"/>
      <c r="BA610" s="107"/>
      <c r="BB610" s="152"/>
      <c r="BC610" s="153"/>
      <c r="BD610" s="153"/>
      <c r="BE610" s="153"/>
      <c r="BF610" s="153"/>
      <c r="BG610" s="154"/>
    </row>
    <row r="611" spans="4:59" x14ac:dyDescent="0.2">
      <c r="D611" s="22"/>
      <c r="E611" s="23"/>
      <c r="F611" s="23"/>
      <c r="G611" s="23"/>
      <c r="H611" s="23"/>
      <c r="I611" s="64"/>
      <c r="J611" s="65"/>
      <c r="K611" s="65"/>
      <c r="L611" s="65"/>
      <c r="Q611" s="100"/>
      <c r="V611" s="9"/>
      <c r="W611" s="10"/>
      <c r="AE611" s="100"/>
      <c r="AN611" s="152"/>
      <c r="AO611" s="153"/>
      <c r="AP611" s="153"/>
      <c r="AQ611" s="153"/>
      <c r="AR611" s="153"/>
      <c r="AS611" s="154"/>
      <c r="AT611" s="155"/>
      <c r="AU611" s="155"/>
      <c r="AV611" s="155"/>
      <c r="AW611" s="107"/>
      <c r="AX611" s="107"/>
      <c r="AY611" s="107"/>
      <c r="AZ611" s="107"/>
      <c r="BA611" s="107"/>
      <c r="BB611" s="152"/>
      <c r="BC611" s="153"/>
      <c r="BD611" s="153"/>
      <c r="BE611" s="153"/>
      <c r="BF611" s="153"/>
      <c r="BG611" s="154"/>
    </row>
    <row r="612" spans="4:59" x14ac:dyDescent="0.2">
      <c r="D612" s="22"/>
      <c r="E612" s="23"/>
      <c r="F612" s="23"/>
      <c r="G612" s="23"/>
      <c r="H612" s="23"/>
      <c r="I612" s="64"/>
      <c r="J612" s="65"/>
      <c r="K612" s="65"/>
      <c r="L612" s="65"/>
      <c r="Q612" s="100"/>
      <c r="V612" s="9"/>
      <c r="W612" s="10"/>
      <c r="AE612" s="100"/>
      <c r="AN612" s="152"/>
      <c r="AO612" s="153"/>
      <c r="AP612" s="153"/>
      <c r="AQ612" s="153"/>
      <c r="AR612" s="153"/>
      <c r="AS612" s="154"/>
      <c r="AT612" s="155"/>
      <c r="AU612" s="155"/>
      <c r="AV612" s="155"/>
      <c r="AW612" s="107"/>
      <c r="AX612" s="107"/>
      <c r="AY612" s="107"/>
      <c r="AZ612" s="107"/>
      <c r="BA612" s="107"/>
      <c r="BB612" s="152"/>
      <c r="BC612" s="153"/>
      <c r="BD612" s="153"/>
      <c r="BE612" s="153"/>
      <c r="BF612" s="153"/>
      <c r="BG612" s="154"/>
    </row>
    <row r="613" spans="4:59" x14ac:dyDescent="0.2">
      <c r="D613" s="22"/>
      <c r="E613" s="23"/>
      <c r="F613" s="23"/>
      <c r="G613" s="23"/>
      <c r="H613" s="23"/>
      <c r="I613" s="64"/>
      <c r="J613" s="65"/>
      <c r="K613" s="65"/>
      <c r="L613" s="65"/>
      <c r="Q613" s="100"/>
      <c r="V613" s="9"/>
      <c r="W613" s="10"/>
      <c r="AE613" s="100"/>
      <c r="AN613" s="152"/>
      <c r="AO613" s="153"/>
      <c r="AP613" s="153"/>
      <c r="AQ613" s="153"/>
      <c r="AR613" s="153"/>
      <c r="AS613" s="154"/>
      <c r="AT613" s="155"/>
      <c r="AU613" s="155"/>
      <c r="AV613" s="155"/>
      <c r="AW613" s="107"/>
      <c r="AX613" s="107"/>
      <c r="AY613" s="107"/>
      <c r="AZ613" s="107"/>
      <c r="BA613" s="107"/>
      <c r="BB613" s="152"/>
      <c r="BC613" s="153"/>
      <c r="BD613" s="153"/>
      <c r="BE613" s="153"/>
      <c r="BF613" s="153"/>
      <c r="BG613" s="154"/>
    </row>
    <row r="614" spans="4:59" x14ac:dyDescent="0.2">
      <c r="D614" s="22"/>
      <c r="E614" s="23"/>
      <c r="F614" s="23"/>
      <c r="G614" s="23"/>
      <c r="H614" s="23"/>
      <c r="I614" s="64"/>
      <c r="J614" s="65"/>
      <c r="K614" s="65"/>
      <c r="L614" s="65"/>
      <c r="Q614" s="100"/>
      <c r="V614" s="9"/>
      <c r="W614" s="10"/>
      <c r="AE614" s="100"/>
      <c r="AN614" s="152"/>
      <c r="AO614" s="153"/>
      <c r="AP614" s="153"/>
      <c r="AQ614" s="153"/>
      <c r="AR614" s="153"/>
      <c r="AS614" s="154"/>
      <c r="AT614" s="155"/>
      <c r="AU614" s="155"/>
      <c r="AV614" s="155"/>
      <c r="AW614" s="107"/>
      <c r="AX614" s="107"/>
      <c r="AY614" s="107"/>
      <c r="AZ614" s="107"/>
      <c r="BA614" s="107"/>
      <c r="BB614" s="152"/>
      <c r="BC614" s="153"/>
      <c r="BD614" s="153"/>
      <c r="BE614" s="153"/>
      <c r="BF614" s="153"/>
      <c r="BG614" s="154"/>
    </row>
    <row r="615" spans="4:59" x14ac:dyDescent="0.2">
      <c r="D615" s="22"/>
      <c r="E615" s="23"/>
      <c r="F615" s="23"/>
      <c r="G615" s="23"/>
      <c r="H615" s="23"/>
      <c r="I615" s="64"/>
      <c r="J615" s="65"/>
      <c r="K615" s="65"/>
      <c r="L615" s="65"/>
      <c r="Q615" s="100"/>
      <c r="V615" s="9"/>
      <c r="W615" s="10"/>
      <c r="AE615" s="100"/>
      <c r="AN615" s="152"/>
      <c r="AO615" s="153"/>
      <c r="AP615" s="153"/>
      <c r="AQ615" s="153"/>
      <c r="AR615" s="153"/>
      <c r="AS615" s="154"/>
      <c r="AT615" s="155"/>
      <c r="AU615" s="155"/>
      <c r="AV615" s="155"/>
      <c r="AW615" s="107"/>
      <c r="AX615" s="107"/>
      <c r="AY615" s="107"/>
      <c r="AZ615" s="107"/>
      <c r="BA615" s="107"/>
      <c r="BB615" s="152"/>
      <c r="BC615" s="153"/>
      <c r="BD615" s="153"/>
      <c r="BE615" s="153"/>
      <c r="BF615" s="153"/>
      <c r="BG615" s="154"/>
    </row>
    <row r="616" spans="4:59" x14ac:dyDescent="0.2">
      <c r="D616" s="22"/>
      <c r="E616" s="23"/>
      <c r="F616" s="23"/>
      <c r="G616" s="23"/>
      <c r="H616" s="23"/>
      <c r="I616" s="64"/>
      <c r="J616" s="65"/>
      <c r="K616" s="65"/>
      <c r="L616" s="65"/>
      <c r="Q616" s="100"/>
      <c r="V616" s="9"/>
      <c r="W616" s="10"/>
      <c r="AE616" s="100"/>
      <c r="AN616" s="152"/>
      <c r="AO616" s="153"/>
      <c r="AP616" s="153"/>
      <c r="AQ616" s="153"/>
      <c r="AR616" s="153"/>
      <c r="AS616" s="154"/>
      <c r="AT616" s="155"/>
      <c r="AU616" s="155"/>
      <c r="AV616" s="155"/>
      <c r="AW616" s="107"/>
      <c r="AX616" s="107"/>
      <c r="AY616" s="107"/>
      <c r="AZ616" s="107"/>
      <c r="BA616" s="107"/>
      <c r="BB616" s="152"/>
      <c r="BC616" s="153"/>
      <c r="BD616" s="153"/>
      <c r="BE616" s="153"/>
      <c r="BF616" s="153"/>
      <c r="BG616" s="154"/>
    </row>
    <row r="617" spans="4:59" x14ac:dyDescent="0.2">
      <c r="D617" s="22"/>
      <c r="E617" s="23"/>
      <c r="F617" s="23"/>
      <c r="G617" s="23"/>
      <c r="H617" s="23"/>
      <c r="I617" s="64"/>
      <c r="J617" s="65"/>
      <c r="K617" s="65"/>
      <c r="L617" s="65"/>
      <c r="Q617" s="100"/>
      <c r="V617" s="9"/>
      <c r="W617" s="10"/>
      <c r="AE617" s="100"/>
      <c r="AN617" s="152"/>
      <c r="AO617" s="153"/>
      <c r="AP617" s="153"/>
      <c r="AQ617" s="153"/>
      <c r="AR617" s="153"/>
      <c r="AS617" s="154"/>
      <c r="AT617" s="155"/>
      <c r="AU617" s="155"/>
      <c r="AV617" s="155"/>
      <c r="AW617" s="107"/>
      <c r="AX617" s="107"/>
      <c r="AY617" s="107"/>
      <c r="AZ617" s="107"/>
      <c r="BA617" s="107"/>
      <c r="BB617" s="152"/>
      <c r="BC617" s="153"/>
      <c r="BD617" s="153"/>
      <c r="BE617" s="153"/>
      <c r="BF617" s="153"/>
      <c r="BG617" s="154"/>
    </row>
    <row r="618" spans="4:59" x14ac:dyDescent="0.2">
      <c r="D618" s="22"/>
      <c r="E618" s="23"/>
      <c r="F618" s="23"/>
      <c r="G618" s="23"/>
      <c r="H618" s="23"/>
      <c r="I618" s="64"/>
      <c r="J618" s="65"/>
      <c r="K618" s="65"/>
      <c r="L618" s="65"/>
      <c r="Q618" s="100"/>
      <c r="V618" s="9"/>
      <c r="W618" s="10"/>
      <c r="AE618" s="100"/>
      <c r="AN618" s="152"/>
      <c r="AO618" s="153"/>
      <c r="AP618" s="153"/>
      <c r="AQ618" s="153"/>
      <c r="AR618" s="153"/>
      <c r="AS618" s="154"/>
      <c r="AT618" s="155"/>
      <c r="AU618" s="155"/>
      <c r="AV618" s="155"/>
      <c r="AW618" s="107"/>
      <c r="AX618" s="107"/>
      <c r="AY618" s="107"/>
      <c r="AZ618" s="107"/>
      <c r="BA618" s="107"/>
      <c r="BB618" s="152"/>
      <c r="BC618" s="153"/>
      <c r="BD618" s="153"/>
      <c r="BE618" s="153"/>
      <c r="BF618" s="153"/>
      <c r="BG618" s="154"/>
    </row>
    <row r="619" spans="4:59" x14ac:dyDescent="0.2">
      <c r="D619" s="22"/>
      <c r="E619" s="23"/>
      <c r="F619" s="23"/>
      <c r="G619" s="23"/>
      <c r="H619" s="23"/>
      <c r="I619" s="64"/>
      <c r="J619" s="65"/>
      <c r="K619" s="65"/>
      <c r="L619" s="65"/>
      <c r="Q619" s="100"/>
      <c r="V619" s="9"/>
      <c r="W619" s="10"/>
      <c r="AE619" s="100"/>
      <c r="AN619" s="152"/>
      <c r="AO619" s="153"/>
      <c r="AP619" s="153"/>
      <c r="AQ619" s="153"/>
      <c r="AR619" s="153"/>
      <c r="AS619" s="154"/>
      <c r="AT619" s="155"/>
      <c r="AU619" s="155"/>
      <c r="AV619" s="155"/>
      <c r="AW619" s="107"/>
      <c r="AX619" s="107"/>
      <c r="AY619" s="107"/>
      <c r="AZ619" s="107"/>
      <c r="BA619" s="107"/>
      <c r="BB619" s="152"/>
      <c r="BC619" s="153"/>
      <c r="BD619" s="153"/>
      <c r="BE619" s="153"/>
      <c r="BF619" s="153"/>
      <c r="BG619" s="154"/>
    </row>
    <row r="620" spans="4:59" x14ac:dyDescent="0.2">
      <c r="D620" s="22"/>
      <c r="E620" s="23"/>
      <c r="F620" s="23"/>
      <c r="G620" s="23"/>
      <c r="H620" s="23"/>
      <c r="I620" s="64"/>
      <c r="J620" s="65"/>
      <c r="K620" s="65"/>
      <c r="L620" s="65"/>
      <c r="Q620" s="100"/>
      <c r="V620" s="9"/>
      <c r="W620" s="10"/>
      <c r="AE620" s="100"/>
      <c r="AN620" s="152"/>
      <c r="AO620" s="153"/>
      <c r="AP620" s="153"/>
      <c r="AQ620" s="153"/>
      <c r="AR620" s="153"/>
      <c r="AS620" s="154"/>
      <c r="AT620" s="155"/>
      <c r="AU620" s="155"/>
      <c r="AV620" s="155"/>
      <c r="AW620" s="107"/>
      <c r="AX620" s="107"/>
      <c r="AY620" s="107"/>
      <c r="AZ620" s="107"/>
      <c r="BA620" s="107"/>
      <c r="BB620" s="152"/>
      <c r="BC620" s="153"/>
      <c r="BD620" s="153"/>
      <c r="BE620" s="153"/>
      <c r="BF620" s="153"/>
      <c r="BG620" s="154"/>
    </row>
    <row r="621" spans="4:59" x14ac:dyDescent="0.2">
      <c r="D621" s="22"/>
      <c r="E621" s="23"/>
      <c r="F621" s="23"/>
      <c r="G621" s="23"/>
      <c r="H621" s="23"/>
      <c r="I621" s="64"/>
      <c r="J621" s="65"/>
      <c r="K621" s="65"/>
      <c r="L621" s="65"/>
      <c r="Q621" s="100"/>
      <c r="V621" s="9"/>
      <c r="W621" s="10"/>
      <c r="AE621" s="100"/>
      <c r="AN621" s="152"/>
      <c r="AO621" s="153"/>
      <c r="AP621" s="153"/>
      <c r="AQ621" s="153"/>
      <c r="AR621" s="153"/>
      <c r="AS621" s="154"/>
      <c r="AT621" s="155"/>
      <c r="AU621" s="155"/>
      <c r="AV621" s="155"/>
      <c r="AW621" s="107"/>
      <c r="AX621" s="107"/>
      <c r="AY621" s="107"/>
      <c r="AZ621" s="107"/>
      <c r="BA621" s="107"/>
      <c r="BB621" s="152"/>
      <c r="BC621" s="153"/>
      <c r="BD621" s="153"/>
      <c r="BE621" s="153"/>
      <c r="BF621" s="153"/>
      <c r="BG621" s="154"/>
    </row>
    <row r="622" spans="4:59" x14ac:dyDescent="0.2">
      <c r="D622" s="22"/>
      <c r="E622" s="23"/>
      <c r="F622" s="23"/>
      <c r="G622" s="23"/>
      <c r="H622" s="23"/>
      <c r="I622" s="64"/>
      <c r="J622" s="65"/>
      <c r="K622" s="65"/>
      <c r="L622" s="65"/>
      <c r="Q622" s="100"/>
      <c r="V622" s="9"/>
      <c r="W622" s="10"/>
      <c r="AE622" s="100"/>
      <c r="AN622" s="152"/>
      <c r="AO622" s="153"/>
      <c r="AP622" s="153"/>
      <c r="AQ622" s="153"/>
      <c r="AR622" s="153"/>
      <c r="AS622" s="154"/>
      <c r="AT622" s="155"/>
      <c r="AU622" s="155"/>
      <c r="AV622" s="155"/>
      <c r="AW622" s="107"/>
      <c r="AX622" s="107"/>
      <c r="AY622" s="107"/>
      <c r="AZ622" s="107"/>
      <c r="BA622" s="107"/>
      <c r="BB622" s="152"/>
      <c r="BC622" s="153"/>
      <c r="BD622" s="153"/>
      <c r="BE622" s="153"/>
      <c r="BF622" s="153"/>
      <c r="BG622" s="154"/>
    </row>
    <row r="623" spans="4:59" x14ac:dyDescent="0.2">
      <c r="D623" s="22"/>
      <c r="E623" s="23"/>
      <c r="F623" s="23"/>
      <c r="G623" s="23"/>
      <c r="H623" s="23"/>
      <c r="I623" s="64"/>
      <c r="J623" s="65"/>
      <c r="K623" s="65"/>
      <c r="L623" s="65"/>
      <c r="Q623" s="100"/>
      <c r="V623" s="9"/>
      <c r="W623" s="10"/>
      <c r="AE623" s="100"/>
      <c r="AN623" s="152"/>
      <c r="AO623" s="153"/>
      <c r="AP623" s="153"/>
      <c r="AQ623" s="153"/>
      <c r="AR623" s="153"/>
      <c r="AS623" s="154"/>
      <c r="AT623" s="155"/>
      <c r="AU623" s="155"/>
      <c r="AV623" s="155"/>
      <c r="AW623" s="107"/>
      <c r="AX623" s="107"/>
      <c r="AY623" s="107"/>
      <c r="AZ623" s="107"/>
      <c r="BA623" s="107"/>
      <c r="BB623" s="152"/>
      <c r="BC623" s="153"/>
      <c r="BD623" s="153"/>
      <c r="BE623" s="153"/>
      <c r="BF623" s="153"/>
      <c r="BG623" s="154"/>
    </row>
    <row r="624" spans="4:59" x14ac:dyDescent="0.2">
      <c r="D624" s="22"/>
      <c r="E624" s="23"/>
      <c r="F624" s="23"/>
      <c r="G624" s="23"/>
      <c r="H624" s="23"/>
      <c r="I624" s="64"/>
      <c r="J624" s="65"/>
      <c r="K624" s="65"/>
      <c r="L624" s="65"/>
      <c r="Q624" s="100"/>
      <c r="V624" s="9"/>
      <c r="W624" s="10"/>
      <c r="AE624" s="100"/>
      <c r="AN624" s="152"/>
      <c r="AO624" s="153"/>
      <c r="AP624" s="153"/>
      <c r="AQ624" s="153"/>
      <c r="AR624" s="153"/>
      <c r="AS624" s="154"/>
      <c r="AT624" s="155"/>
      <c r="AU624" s="155"/>
      <c r="AV624" s="155"/>
      <c r="AW624" s="107"/>
      <c r="AX624" s="107"/>
      <c r="AY624" s="107"/>
      <c r="AZ624" s="107"/>
      <c r="BA624" s="107"/>
      <c r="BB624" s="152"/>
      <c r="BC624" s="153"/>
      <c r="BD624" s="153"/>
      <c r="BE624" s="153"/>
      <c r="BF624" s="153"/>
      <c r="BG624" s="154"/>
    </row>
    <row r="625" spans="4:59" x14ac:dyDescent="0.2">
      <c r="D625" s="22"/>
      <c r="E625" s="23"/>
      <c r="F625" s="23"/>
      <c r="G625" s="23"/>
      <c r="H625" s="23"/>
      <c r="I625" s="64"/>
      <c r="J625" s="65"/>
      <c r="K625" s="65"/>
      <c r="L625" s="65"/>
      <c r="Q625" s="100"/>
      <c r="V625" s="9"/>
      <c r="W625" s="10"/>
      <c r="AE625" s="100"/>
      <c r="AN625" s="152"/>
      <c r="AO625" s="153"/>
      <c r="AP625" s="153"/>
      <c r="AQ625" s="153"/>
      <c r="AR625" s="153"/>
      <c r="AS625" s="154"/>
      <c r="AT625" s="155"/>
      <c r="AU625" s="155"/>
      <c r="AV625" s="155"/>
      <c r="AW625" s="107"/>
      <c r="AX625" s="107"/>
      <c r="AY625" s="107"/>
      <c r="AZ625" s="107"/>
      <c r="BA625" s="107"/>
      <c r="BB625" s="152"/>
      <c r="BC625" s="153"/>
      <c r="BD625" s="153"/>
      <c r="BE625" s="153"/>
      <c r="BF625" s="153"/>
      <c r="BG625" s="154"/>
    </row>
    <row r="626" spans="4:59" x14ac:dyDescent="0.2">
      <c r="D626" s="22"/>
      <c r="E626" s="23"/>
      <c r="F626" s="23"/>
      <c r="G626" s="23"/>
      <c r="H626" s="23"/>
      <c r="I626" s="64"/>
      <c r="J626" s="65"/>
      <c r="K626" s="65"/>
      <c r="L626" s="65"/>
      <c r="Q626" s="100"/>
      <c r="V626" s="9"/>
      <c r="W626" s="10"/>
      <c r="AE626" s="100"/>
      <c r="AN626" s="152"/>
      <c r="AO626" s="153"/>
      <c r="AP626" s="153"/>
      <c r="AQ626" s="153"/>
      <c r="AR626" s="153"/>
      <c r="AS626" s="154"/>
      <c r="AT626" s="155"/>
      <c r="AU626" s="155"/>
      <c r="AV626" s="155"/>
      <c r="AW626" s="107"/>
      <c r="AX626" s="107"/>
      <c r="AY626" s="107"/>
      <c r="AZ626" s="107"/>
      <c r="BA626" s="107"/>
      <c r="BB626" s="152"/>
      <c r="BC626" s="153"/>
      <c r="BD626" s="153"/>
      <c r="BE626" s="153"/>
      <c r="BF626" s="153"/>
      <c r="BG626" s="154"/>
    </row>
    <row r="627" spans="4:59" x14ac:dyDescent="0.2">
      <c r="D627" s="22"/>
      <c r="E627" s="23"/>
      <c r="F627" s="23"/>
      <c r="G627" s="23"/>
      <c r="H627" s="23"/>
      <c r="I627" s="64"/>
      <c r="J627" s="65"/>
      <c r="K627" s="65"/>
      <c r="L627" s="65"/>
      <c r="Q627" s="100"/>
      <c r="V627" s="9"/>
      <c r="W627" s="10"/>
      <c r="AE627" s="100"/>
      <c r="AN627" s="152"/>
      <c r="AO627" s="153"/>
      <c r="AP627" s="153"/>
      <c r="AQ627" s="153"/>
      <c r="AR627" s="153"/>
      <c r="AS627" s="154"/>
      <c r="AT627" s="155"/>
      <c r="AU627" s="155"/>
      <c r="AV627" s="155"/>
      <c r="AW627" s="107"/>
      <c r="AX627" s="107"/>
      <c r="AY627" s="107"/>
      <c r="AZ627" s="107"/>
      <c r="BA627" s="107"/>
      <c r="BB627" s="152"/>
      <c r="BC627" s="153"/>
      <c r="BD627" s="153"/>
      <c r="BE627" s="153"/>
      <c r="BF627" s="153"/>
      <c r="BG627" s="154"/>
    </row>
    <row r="628" spans="4:59" x14ac:dyDescent="0.2">
      <c r="D628" s="22"/>
      <c r="E628" s="23"/>
      <c r="F628" s="23"/>
      <c r="G628" s="23"/>
      <c r="H628" s="23"/>
      <c r="I628" s="64"/>
      <c r="J628" s="65"/>
      <c r="K628" s="65"/>
      <c r="L628" s="65"/>
      <c r="Q628" s="100"/>
      <c r="V628" s="9"/>
      <c r="W628" s="10"/>
      <c r="AE628" s="100"/>
      <c r="AN628" s="152"/>
      <c r="AO628" s="153"/>
      <c r="AP628" s="153"/>
      <c r="AQ628" s="153"/>
      <c r="AR628" s="153"/>
      <c r="AS628" s="154"/>
      <c r="AT628" s="155"/>
      <c r="AU628" s="155"/>
      <c r="AV628" s="155"/>
      <c r="AW628" s="107"/>
      <c r="AX628" s="107"/>
      <c r="AY628" s="107"/>
      <c r="AZ628" s="107"/>
      <c r="BA628" s="107"/>
      <c r="BB628" s="152"/>
      <c r="BC628" s="153"/>
      <c r="BD628" s="153"/>
      <c r="BE628" s="153"/>
      <c r="BF628" s="153"/>
      <c r="BG628" s="154"/>
    </row>
    <row r="629" spans="4:59" x14ac:dyDescent="0.2">
      <c r="D629" s="22"/>
      <c r="E629" s="23"/>
      <c r="F629" s="23"/>
      <c r="G629" s="23"/>
      <c r="H629" s="23"/>
      <c r="I629" s="64"/>
      <c r="J629" s="65"/>
      <c r="K629" s="65"/>
      <c r="L629" s="65"/>
      <c r="Q629" s="100"/>
      <c r="V629" s="9"/>
      <c r="W629" s="10"/>
      <c r="AE629" s="100"/>
      <c r="AN629" s="152"/>
      <c r="AO629" s="153"/>
      <c r="AP629" s="153"/>
      <c r="AQ629" s="153"/>
      <c r="AR629" s="153"/>
      <c r="AS629" s="154"/>
      <c r="AT629" s="155"/>
      <c r="AU629" s="155"/>
      <c r="AV629" s="155"/>
      <c r="AW629" s="107"/>
      <c r="AX629" s="107"/>
      <c r="AY629" s="107"/>
      <c r="AZ629" s="107"/>
      <c r="BA629" s="107"/>
      <c r="BB629" s="152"/>
      <c r="BC629" s="153"/>
      <c r="BD629" s="153"/>
      <c r="BE629" s="153"/>
      <c r="BF629" s="153"/>
      <c r="BG629" s="154"/>
    </row>
    <row r="630" spans="4:59" x14ac:dyDescent="0.2">
      <c r="D630" s="22"/>
      <c r="E630" s="23"/>
      <c r="F630" s="23"/>
      <c r="G630" s="23"/>
      <c r="H630" s="23"/>
      <c r="I630" s="64"/>
      <c r="J630" s="65"/>
      <c r="K630" s="65"/>
      <c r="L630" s="65"/>
      <c r="Q630" s="100"/>
      <c r="V630" s="9"/>
      <c r="W630" s="10"/>
      <c r="AE630" s="100"/>
      <c r="AN630" s="152"/>
      <c r="AO630" s="153"/>
      <c r="AP630" s="153"/>
      <c r="AQ630" s="153"/>
      <c r="AR630" s="153"/>
      <c r="AS630" s="154"/>
      <c r="AT630" s="155"/>
      <c r="AU630" s="155"/>
      <c r="AV630" s="155"/>
      <c r="AW630" s="107"/>
      <c r="AX630" s="107"/>
      <c r="AY630" s="107"/>
      <c r="AZ630" s="107"/>
      <c r="BA630" s="107"/>
      <c r="BB630" s="152"/>
      <c r="BC630" s="153"/>
      <c r="BD630" s="153"/>
      <c r="BE630" s="153"/>
      <c r="BF630" s="153"/>
      <c r="BG630" s="154"/>
    </row>
    <row r="631" spans="4:59" x14ac:dyDescent="0.2">
      <c r="D631" s="22"/>
      <c r="E631" s="23"/>
      <c r="F631" s="23"/>
      <c r="G631" s="23"/>
      <c r="H631" s="23"/>
      <c r="I631" s="64"/>
      <c r="J631" s="65"/>
      <c r="K631" s="65"/>
      <c r="L631" s="65"/>
      <c r="Q631" s="100"/>
      <c r="V631" s="9"/>
      <c r="W631" s="10"/>
      <c r="AE631" s="100"/>
      <c r="AN631" s="152"/>
      <c r="AO631" s="153"/>
      <c r="AP631" s="153"/>
      <c r="AQ631" s="153"/>
      <c r="AR631" s="153"/>
      <c r="AS631" s="154"/>
      <c r="AT631" s="155"/>
      <c r="AU631" s="155"/>
      <c r="AV631" s="155"/>
      <c r="AW631" s="107"/>
      <c r="AX631" s="107"/>
      <c r="AY631" s="107"/>
      <c r="AZ631" s="107"/>
      <c r="BA631" s="107"/>
      <c r="BB631" s="152"/>
      <c r="BC631" s="153"/>
      <c r="BD631" s="153"/>
      <c r="BE631" s="153"/>
      <c r="BF631" s="153"/>
      <c r="BG631" s="154"/>
    </row>
    <row r="632" spans="4:59" x14ac:dyDescent="0.2">
      <c r="D632" s="22"/>
      <c r="E632" s="23"/>
      <c r="F632" s="23"/>
      <c r="G632" s="23"/>
      <c r="H632" s="23"/>
      <c r="I632" s="64"/>
      <c r="J632" s="65"/>
      <c r="K632" s="65"/>
      <c r="L632" s="65"/>
      <c r="Q632" s="100"/>
      <c r="V632" s="9"/>
      <c r="W632" s="10"/>
      <c r="AE632" s="100"/>
      <c r="AN632" s="152"/>
      <c r="AO632" s="153"/>
      <c r="AP632" s="153"/>
      <c r="AQ632" s="153"/>
      <c r="AR632" s="153"/>
      <c r="AS632" s="154"/>
      <c r="AT632" s="155"/>
      <c r="AU632" s="155"/>
      <c r="AV632" s="155"/>
      <c r="AW632" s="107"/>
      <c r="AX632" s="107"/>
      <c r="AY632" s="107"/>
      <c r="AZ632" s="107"/>
      <c r="BA632" s="107"/>
      <c r="BB632" s="152"/>
      <c r="BC632" s="153"/>
      <c r="BD632" s="153"/>
      <c r="BE632" s="153"/>
      <c r="BF632" s="153"/>
      <c r="BG632" s="154"/>
    </row>
    <row r="633" spans="4:59" x14ac:dyDescent="0.2">
      <c r="D633" s="22"/>
      <c r="E633" s="23"/>
      <c r="F633" s="23"/>
      <c r="G633" s="23"/>
      <c r="H633" s="23"/>
      <c r="I633" s="64"/>
      <c r="J633" s="65"/>
      <c r="K633" s="65"/>
      <c r="L633" s="65"/>
      <c r="Q633" s="100"/>
      <c r="V633" s="9"/>
      <c r="W633" s="10"/>
      <c r="AE633" s="100"/>
      <c r="AN633" s="152"/>
      <c r="AO633" s="153"/>
      <c r="AP633" s="153"/>
      <c r="AQ633" s="153"/>
      <c r="AR633" s="153"/>
      <c r="AS633" s="154"/>
      <c r="AT633" s="155"/>
      <c r="AU633" s="155"/>
      <c r="AV633" s="155"/>
      <c r="AW633" s="107"/>
      <c r="AX633" s="107"/>
      <c r="AY633" s="107"/>
      <c r="AZ633" s="107"/>
      <c r="BA633" s="107"/>
      <c r="BB633" s="152"/>
      <c r="BC633" s="153"/>
      <c r="BD633" s="153"/>
      <c r="BE633" s="153"/>
      <c r="BF633" s="153"/>
      <c r="BG633" s="154"/>
    </row>
    <row r="634" spans="4:59" x14ac:dyDescent="0.2">
      <c r="D634" s="22"/>
      <c r="E634" s="23"/>
      <c r="F634" s="23"/>
      <c r="G634" s="23"/>
      <c r="H634" s="23"/>
      <c r="I634" s="64"/>
      <c r="J634" s="65"/>
      <c r="K634" s="65"/>
      <c r="L634" s="65"/>
      <c r="Q634" s="100"/>
      <c r="V634" s="9"/>
      <c r="W634" s="10"/>
      <c r="AE634" s="100"/>
      <c r="AN634" s="152"/>
      <c r="AO634" s="153"/>
      <c r="AP634" s="153"/>
      <c r="AQ634" s="153"/>
      <c r="AR634" s="153"/>
      <c r="AS634" s="154"/>
      <c r="AT634" s="155"/>
      <c r="AU634" s="155"/>
      <c r="AV634" s="155"/>
      <c r="AW634" s="107"/>
      <c r="AX634" s="107"/>
      <c r="AY634" s="107"/>
      <c r="AZ634" s="107"/>
      <c r="BA634" s="107"/>
      <c r="BB634" s="152"/>
      <c r="BC634" s="153"/>
      <c r="BD634" s="153"/>
      <c r="BE634" s="153"/>
      <c r="BF634" s="153"/>
      <c r="BG634" s="154"/>
    </row>
    <row r="635" spans="4:59" x14ac:dyDescent="0.2">
      <c r="D635" s="22"/>
      <c r="E635" s="23"/>
      <c r="F635" s="23"/>
      <c r="G635" s="23"/>
      <c r="H635" s="23"/>
      <c r="I635" s="64"/>
      <c r="J635" s="65"/>
      <c r="K635" s="65"/>
      <c r="L635" s="65"/>
      <c r="Q635" s="100"/>
      <c r="V635" s="9"/>
      <c r="W635" s="10"/>
      <c r="AE635" s="100"/>
      <c r="AN635" s="152"/>
      <c r="AO635" s="153"/>
      <c r="AP635" s="153"/>
      <c r="AQ635" s="153"/>
      <c r="AR635" s="153"/>
      <c r="AS635" s="154"/>
      <c r="AT635" s="155"/>
      <c r="AU635" s="155"/>
      <c r="AV635" s="155"/>
      <c r="AW635" s="107"/>
      <c r="AX635" s="107"/>
      <c r="AY635" s="107"/>
      <c r="AZ635" s="107"/>
      <c r="BA635" s="107"/>
      <c r="BB635" s="152"/>
      <c r="BC635" s="153"/>
      <c r="BD635" s="153"/>
      <c r="BE635" s="153"/>
      <c r="BF635" s="153"/>
      <c r="BG635" s="154"/>
    </row>
    <row r="636" spans="4:59" x14ac:dyDescent="0.2">
      <c r="D636" s="22"/>
      <c r="E636" s="23"/>
      <c r="F636" s="23"/>
      <c r="G636" s="23"/>
      <c r="H636" s="23"/>
      <c r="I636" s="64"/>
      <c r="J636" s="65"/>
      <c r="K636" s="65"/>
      <c r="L636" s="65"/>
      <c r="Q636" s="100"/>
      <c r="V636" s="9"/>
      <c r="W636" s="10"/>
      <c r="AE636" s="100"/>
      <c r="AN636" s="152"/>
      <c r="AO636" s="153"/>
      <c r="AP636" s="153"/>
      <c r="AQ636" s="153"/>
      <c r="AR636" s="153"/>
      <c r="AS636" s="154"/>
      <c r="AT636" s="155"/>
      <c r="AU636" s="155"/>
      <c r="AV636" s="155"/>
      <c r="AW636" s="107"/>
      <c r="AX636" s="107"/>
      <c r="AY636" s="107"/>
      <c r="AZ636" s="107"/>
      <c r="BA636" s="107"/>
      <c r="BB636" s="152"/>
      <c r="BC636" s="153"/>
      <c r="BD636" s="153"/>
      <c r="BE636" s="153"/>
      <c r="BF636" s="153"/>
      <c r="BG636" s="154"/>
    </row>
    <row r="637" spans="4:59" x14ac:dyDescent="0.2">
      <c r="D637" s="22"/>
      <c r="E637" s="23"/>
      <c r="F637" s="23"/>
      <c r="G637" s="23"/>
      <c r="H637" s="23"/>
      <c r="I637" s="64"/>
      <c r="J637" s="65"/>
      <c r="K637" s="65"/>
      <c r="L637" s="65"/>
      <c r="Q637" s="100"/>
      <c r="V637" s="9"/>
      <c r="W637" s="10"/>
      <c r="AE637" s="100"/>
      <c r="AN637" s="152"/>
      <c r="AO637" s="153"/>
      <c r="AP637" s="153"/>
      <c r="AQ637" s="153"/>
      <c r="AR637" s="153"/>
      <c r="AS637" s="154"/>
      <c r="AT637" s="155"/>
      <c r="AU637" s="155"/>
      <c r="AV637" s="155"/>
      <c r="AW637" s="107"/>
      <c r="AX637" s="107"/>
      <c r="AY637" s="107"/>
      <c r="AZ637" s="107"/>
      <c r="BA637" s="107"/>
      <c r="BB637" s="152"/>
      <c r="BC637" s="153"/>
      <c r="BD637" s="153"/>
      <c r="BE637" s="153"/>
      <c r="BF637" s="153"/>
      <c r="BG637" s="154"/>
    </row>
    <row r="638" spans="4:59" x14ac:dyDescent="0.2">
      <c r="D638" s="22"/>
      <c r="E638" s="23"/>
      <c r="F638" s="23"/>
      <c r="G638" s="23"/>
      <c r="H638" s="23"/>
      <c r="I638" s="64"/>
      <c r="J638" s="65"/>
      <c r="K638" s="65"/>
      <c r="L638" s="65"/>
      <c r="Q638" s="100"/>
      <c r="V638" s="9"/>
      <c r="W638" s="10"/>
      <c r="AE638" s="100"/>
      <c r="AN638" s="152"/>
      <c r="AO638" s="153"/>
      <c r="AP638" s="153"/>
      <c r="AQ638" s="153"/>
      <c r="AR638" s="153"/>
      <c r="AS638" s="154"/>
      <c r="AT638" s="155"/>
      <c r="AU638" s="155"/>
      <c r="AV638" s="155"/>
      <c r="AW638" s="107"/>
      <c r="AX638" s="107"/>
      <c r="AY638" s="107"/>
      <c r="AZ638" s="107"/>
      <c r="BA638" s="107"/>
      <c r="BB638" s="152"/>
      <c r="BC638" s="153"/>
      <c r="BD638" s="153"/>
      <c r="BE638" s="153"/>
      <c r="BF638" s="153"/>
      <c r="BG638" s="154"/>
    </row>
    <row r="639" spans="4:59" x14ac:dyDescent="0.2">
      <c r="D639" s="22"/>
      <c r="E639" s="23"/>
      <c r="F639" s="23"/>
      <c r="G639" s="23"/>
      <c r="H639" s="23"/>
      <c r="I639" s="64"/>
      <c r="J639" s="65"/>
      <c r="K639" s="65"/>
      <c r="L639" s="65"/>
      <c r="Q639" s="100"/>
      <c r="V639" s="9"/>
      <c r="W639" s="10"/>
      <c r="AE639" s="100"/>
      <c r="AN639" s="152"/>
      <c r="AO639" s="153"/>
      <c r="AP639" s="153"/>
      <c r="AQ639" s="153"/>
      <c r="AR639" s="153"/>
      <c r="AS639" s="154"/>
      <c r="AT639" s="155"/>
      <c r="AU639" s="155"/>
      <c r="AV639" s="155"/>
      <c r="AW639" s="107"/>
      <c r="AX639" s="107"/>
      <c r="AY639" s="107"/>
      <c r="AZ639" s="107"/>
      <c r="BA639" s="107"/>
      <c r="BB639" s="152"/>
      <c r="BC639" s="153"/>
      <c r="BD639" s="153"/>
      <c r="BE639" s="153"/>
      <c r="BF639" s="153"/>
      <c r="BG639" s="154"/>
    </row>
    <row r="640" spans="4:59" x14ac:dyDescent="0.2">
      <c r="D640" s="22"/>
      <c r="E640" s="23"/>
      <c r="F640" s="23"/>
      <c r="G640" s="23"/>
      <c r="H640" s="23"/>
      <c r="I640" s="64"/>
      <c r="J640" s="65"/>
      <c r="K640" s="65"/>
      <c r="L640" s="65"/>
      <c r="Q640" s="100"/>
      <c r="V640" s="9"/>
      <c r="W640" s="10"/>
      <c r="AE640" s="100"/>
      <c r="AN640" s="152"/>
      <c r="AO640" s="153"/>
      <c r="AP640" s="153"/>
      <c r="AQ640" s="153"/>
      <c r="AR640" s="153"/>
      <c r="AS640" s="154"/>
      <c r="AT640" s="155"/>
      <c r="AU640" s="155"/>
      <c r="AV640" s="155"/>
      <c r="AW640" s="107"/>
      <c r="AX640" s="107"/>
      <c r="AY640" s="107"/>
      <c r="AZ640" s="107"/>
      <c r="BA640" s="107"/>
      <c r="BB640" s="152"/>
      <c r="BC640" s="153"/>
      <c r="BD640" s="153"/>
      <c r="BE640" s="153"/>
      <c r="BF640" s="153"/>
      <c r="BG640" s="154"/>
    </row>
    <row r="641" spans="4:59" x14ac:dyDescent="0.2">
      <c r="D641" s="22"/>
      <c r="E641" s="23"/>
      <c r="F641" s="23"/>
      <c r="G641" s="23"/>
      <c r="H641" s="23"/>
      <c r="I641" s="64"/>
      <c r="J641" s="65"/>
      <c r="K641" s="65"/>
      <c r="L641" s="65"/>
      <c r="Q641" s="100"/>
      <c r="V641" s="9"/>
      <c r="W641" s="10"/>
      <c r="AE641" s="100"/>
      <c r="AN641" s="152"/>
      <c r="AO641" s="153"/>
      <c r="AP641" s="153"/>
      <c r="AQ641" s="153"/>
      <c r="AR641" s="153"/>
      <c r="AS641" s="154"/>
      <c r="AT641" s="155"/>
      <c r="AU641" s="155"/>
      <c r="AV641" s="155"/>
      <c r="AW641" s="107"/>
      <c r="AX641" s="107"/>
      <c r="AY641" s="107"/>
      <c r="AZ641" s="107"/>
      <c r="BA641" s="107"/>
      <c r="BB641" s="152"/>
      <c r="BC641" s="153"/>
      <c r="BD641" s="153"/>
      <c r="BE641" s="153"/>
      <c r="BF641" s="153"/>
      <c r="BG641" s="154"/>
    </row>
    <row r="642" spans="4:59" x14ac:dyDescent="0.2">
      <c r="D642" s="22"/>
      <c r="E642" s="23"/>
      <c r="F642" s="23"/>
      <c r="G642" s="23"/>
      <c r="H642" s="23"/>
      <c r="I642" s="64"/>
      <c r="J642" s="65"/>
      <c r="K642" s="65"/>
      <c r="L642" s="65"/>
      <c r="Q642" s="100"/>
      <c r="V642" s="9"/>
      <c r="W642" s="10"/>
      <c r="AE642" s="100"/>
      <c r="AN642" s="152"/>
      <c r="AO642" s="153"/>
      <c r="AP642" s="153"/>
      <c r="AQ642" s="153"/>
      <c r="AR642" s="153"/>
      <c r="AS642" s="154"/>
      <c r="AT642" s="155"/>
      <c r="AU642" s="155"/>
      <c r="AV642" s="155"/>
      <c r="AW642" s="107"/>
      <c r="AX642" s="107"/>
      <c r="AY642" s="107"/>
      <c r="AZ642" s="107"/>
      <c r="BA642" s="107"/>
      <c r="BB642" s="152"/>
      <c r="BC642" s="153"/>
      <c r="BD642" s="153"/>
      <c r="BE642" s="153"/>
      <c r="BF642" s="153"/>
      <c r="BG642" s="154"/>
    </row>
    <row r="643" spans="4:59" x14ac:dyDescent="0.2">
      <c r="D643" s="22"/>
      <c r="E643" s="23"/>
      <c r="F643" s="23"/>
      <c r="G643" s="23"/>
      <c r="H643" s="23"/>
      <c r="I643" s="64"/>
      <c r="J643" s="65"/>
      <c r="K643" s="65"/>
      <c r="L643" s="65"/>
      <c r="Q643" s="100"/>
      <c r="V643" s="9"/>
      <c r="W643" s="10"/>
      <c r="AE643" s="100"/>
      <c r="AN643" s="152"/>
      <c r="AO643" s="153"/>
      <c r="AP643" s="153"/>
      <c r="AQ643" s="153"/>
      <c r="AR643" s="153"/>
      <c r="AS643" s="154"/>
      <c r="AT643" s="155"/>
      <c r="AU643" s="155"/>
      <c r="AV643" s="155"/>
      <c r="AW643" s="107"/>
      <c r="AX643" s="107"/>
      <c r="AY643" s="107"/>
      <c r="AZ643" s="107"/>
      <c r="BA643" s="107"/>
      <c r="BB643" s="152"/>
      <c r="BC643" s="153"/>
      <c r="BD643" s="153"/>
      <c r="BE643" s="153"/>
      <c r="BF643" s="153"/>
      <c r="BG643" s="154"/>
    </row>
    <row r="644" spans="4:59" x14ac:dyDescent="0.2">
      <c r="D644" s="22"/>
      <c r="E644" s="23"/>
      <c r="F644" s="23"/>
      <c r="G644" s="23"/>
      <c r="H644" s="23"/>
      <c r="I644" s="64"/>
      <c r="J644" s="65"/>
      <c r="K644" s="65"/>
      <c r="L644" s="65"/>
      <c r="Q644" s="100"/>
      <c r="V644" s="9"/>
      <c r="W644" s="10"/>
      <c r="AE644" s="100"/>
      <c r="AN644" s="152"/>
      <c r="AO644" s="153"/>
      <c r="AP644" s="153"/>
      <c r="AQ644" s="153"/>
      <c r="AR644" s="153"/>
      <c r="AS644" s="154"/>
      <c r="AT644" s="155"/>
      <c r="AU644" s="155"/>
      <c r="AV644" s="155"/>
      <c r="AW644" s="107"/>
      <c r="AX644" s="107"/>
      <c r="AY644" s="107"/>
      <c r="AZ644" s="107"/>
      <c r="BA644" s="107"/>
      <c r="BB644" s="152"/>
      <c r="BC644" s="153"/>
      <c r="BD644" s="153"/>
      <c r="BE644" s="153"/>
      <c r="BF644" s="153"/>
      <c r="BG644" s="154"/>
    </row>
    <row r="645" spans="4:59" x14ac:dyDescent="0.2">
      <c r="D645" s="22"/>
      <c r="E645" s="23"/>
      <c r="F645" s="23"/>
      <c r="G645" s="23"/>
      <c r="H645" s="23"/>
      <c r="I645" s="64"/>
      <c r="J645" s="65"/>
      <c r="K645" s="65"/>
      <c r="L645" s="65"/>
      <c r="Q645" s="100"/>
      <c r="V645" s="9"/>
      <c r="W645" s="10"/>
      <c r="AE645" s="100"/>
      <c r="AN645" s="152"/>
      <c r="AO645" s="153"/>
      <c r="AP645" s="153"/>
      <c r="AQ645" s="153"/>
      <c r="AR645" s="153"/>
      <c r="AS645" s="154"/>
      <c r="AT645" s="155"/>
      <c r="AU645" s="155"/>
      <c r="AV645" s="155"/>
      <c r="AW645" s="107"/>
      <c r="AX645" s="107"/>
      <c r="AY645" s="107"/>
      <c r="AZ645" s="107"/>
      <c r="BA645" s="107"/>
      <c r="BB645" s="152"/>
      <c r="BC645" s="153"/>
      <c r="BD645" s="153"/>
      <c r="BE645" s="153"/>
      <c r="BF645" s="153"/>
      <c r="BG645" s="154"/>
    </row>
    <row r="646" spans="4:59" x14ac:dyDescent="0.2">
      <c r="D646" s="22"/>
      <c r="E646" s="23"/>
      <c r="F646" s="23"/>
      <c r="G646" s="23"/>
      <c r="H646" s="23"/>
      <c r="I646" s="64"/>
      <c r="J646" s="65"/>
      <c r="K646" s="65"/>
      <c r="L646" s="65"/>
      <c r="Q646" s="100"/>
      <c r="V646" s="9"/>
      <c r="W646" s="10"/>
      <c r="AE646" s="100"/>
      <c r="AN646" s="152"/>
      <c r="AO646" s="153"/>
      <c r="AP646" s="153"/>
      <c r="AQ646" s="153"/>
      <c r="AR646" s="153"/>
      <c r="AS646" s="154"/>
      <c r="AT646" s="155"/>
      <c r="AU646" s="155"/>
      <c r="AV646" s="155"/>
      <c r="AW646" s="107"/>
      <c r="AX646" s="107"/>
      <c r="AY646" s="107"/>
      <c r="AZ646" s="107"/>
      <c r="BA646" s="107"/>
      <c r="BB646" s="152"/>
      <c r="BC646" s="153"/>
      <c r="BD646" s="153"/>
      <c r="BE646" s="153"/>
      <c r="BF646" s="153"/>
      <c r="BG646" s="154"/>
    </row>
    <row r="647" spans="4:59" x14ac:dyDescent="0.2">
      <c r="D647" s="22"/>
      <c r="E647" s="23"/>
      <c r="F647" s="23"/>
      <c r="G647" s="23"/>
      <c r="H647" s="23"/>
      <c r="I647" s="64"/>
      <c r="J647" s="65"/>
      <c r="K647" s="65"/>
      <c r="L647" s="65"/>
      <c r="Q647" s="100"/>
      <c r="V647" s="9"/>
      <c r="W647" s="10"/>
      <c r="AE647" s="100"/>
      <c r="AN647" s="152"/>
      <c r="AO647" s="153"/>
      <c r="AP647" s="153"/>
      <c r="AQ647" s="153"/>
      <c r="AR647" s="153"/>
      <c r="AS647" s="154"/>
      <c r="AT647" s="155"/>
      <c r="AU647" s="155"/>
      <c r="AV647" s="155"/>
      <c r="AW647" s="107"/>
      <c r="AX647" s="107"/>
      <c r="AY647" s="107"/>
      <c r="AZ647" s="107"/>
      <c r="BA647" s="107"/>
      <c r="BB647" s="152"/>
      <c r="BC647" s="153"/>
      <c r="BD647" s="153"/>
      <c r="BE647" s="153"/>
      <c r="BF647" s="153"/>
      <c r="BG647" s="154"/>
    </row>
    <row r="648" spans="4:59" x14ac:dyDescent="0.2">
      <c r="D648" s="22"/>
      <c r="E648" s="23"/>
      <c r="F648" s="23"/>
      <c r="G648" s="23"/>
      <c r="H648" s="23"/>
      <c r="I648" s="64"/>
      <c r="J648" s="65"/>
      <c r="K648" s="65"/>
      <c r="L648" s="65"/>
      <c r="Q648" s="100"/>
      <c r="V648" s="9"/>
      <c r="W648" s="10"/>
      <c r="AE648" s="100"/>
      <c r="AN648" s="152"/>
      <c r="AO648" s="153"/>
      <c r="AP648" s="153"/>
      <c r="AQ648" s="153"/>
      <c r="AR648" s="153"/>
      <c r="AS648" s="154"/>
      <c r="AT648" s="155"/>
      <c r="AU648" s="155"/>
      <c r="AV648" s="155"/>
      <c r="AW648" s="107"/>
      <c r="AX648" s="107"/>
      <c r="AY648" s="107"/>
      <c r="AZ648" s="107"/>
      <c r="BA648" s="107"/>
      <c r="BB648" s="152"/>
      <c r="BC648" s="153"/>
      <c r="BD648" s="153"/>
      <c r="BE648" s="153"/>
      <c r="BF648" s="153"/>
      <c r="BG648" s="154"/>
    </row>
    <row r="649" spans="4:59" x14ac:dyDescent="0.2">
      <c r="D649" s="22"/>
      <c r="E649" s="23"/>
      <c r="F649" s="23"/>
      <c r="G649" s="23"/>
      <c r="H649" s="23"/>
      <c r="I649" s="64"/>
      <c r="J649" s="65"/>
      <c r="K649" s="65"/>
      <c r="L649" s="65"/>
      <c r="Q649" s="100"/>
      <c r="V649" s="9"/>
      <c r="W649" s="10"/>
      <c r="AE649" s="100"/>
      <c r="AN649" s="152"/>
      <c r="AO649" s="153"/>
      <c r="AP649" s="153"/>
      <c r="AQ649" s="153"/>
      <c r="AR649" s="153"/>
      <c r="AS649" s="154"/>
      <c r="AT649" s="155"/>
      <c r="AU649" s="155"/>
      <c r="AV649" s="155"/>
      <c r="AW649" s="107"/>
      <c r="AX649" s="107"/>
      <c r="AY649" s="107"/>
      <c r="AZ649" s="107"/>
      <c r="BA649" s="107"/>
      <c r="BB649" s="152"/>
      <c r="BC649" s="153"/>
      <c r="BD649" s="153"/>
      <c r="BE649" s="153"/>
      <c r="BF649" s="153"/>
      <c r="BG649" s="154"/>
    </row>
    <row r="650" spans="4:59" x14ac:dyDescent="0.2">
      <c r="D650" s="22"/>
      <c r="E650" s="23"/>
      <c r="F650" s="23"/>
      <c r="G650" s="23"/>
      <c r="H650" s="23"/>
      <c r="I650" s="64"/>
      <c r="J650" s="65"/>
      <c r="K650" s="65"/>
      <c r="L650" s="65"/>
      <c r="Q650" s="100"/>
      <c r="V650" s="9"/>
      <c r="W650" s="10"/>
      <c r="AE650" s="100"/>
      <c r="AN650" s="152"/>
      <c r="AO650" s="153"/>
      <c r="AP650" s="153"/>
      <c r="AQ650" s="153"/>
      <c r="AR650" s="153"/>
      <c r="AS650" s="154"/>
      <c r="AT650" s="155"/>
      <c r="AU650" s="155"/>
      <c r="AV650" s="155"/>
      <c r="AW650" s="107"/>
      <c r="AX650" s="107"/>
      <c r="AY650" s="107"/>
      <c r="AZ650" s="107"/>
      <c r="BA650" s="107"/>
      <c r="BB650" s="152"/>
      <c r="BC650" s="153"/>
      <c r="BD650" s="153"/>
      <c r="BE650" s="153"/>
      <c r="BF650" s="153"/>
      <c r="BG650" s="154"/>
    </row>
    <row r="651" spans="4:59" x14ac:dyDescent="0.2">
      <c r="D651" s="22"/>
      <c r="E651" s="23"/>
      <c r="F651" s="23"/>
      <c r="G651" s="23"/>
      <c r="H651" s="23"/>
      <c r="I651" s="64"/>
      <c r="J651" s="65"/>
      <c r="K651" s="65"/>
      <c r="L651" s="65"/>
      <c r="Q651" s="100"/>
      <c r="V651" s="9"/>
      <c r="W651" s="10"/>
      <c r="AE651" s="100"/>
      <c r="AN651" s="152"/>
      <c r="AO651" s="153"/>
      <c r="AP651" s="153"/>
      <c r="AQ651" s="153"/>
      <c r="AR651" s="153"/>
      <c r="AS651" s="154"/>
      <c r="AT651" s="155"/>
      <c r="AU651" s="155"/>
      <c r="AV651" s="155"/>
      <c r="AW651" s="107"/>
      <c r="AX651" s="107"/>
      <c r="AY651" s="107"/>
      <c r="AZ651" s="107"/>
      <c r="BA651" s="107"/>
      <c r="BB651" s="152"/>
      <c r="BC651" s="153"/>
      <c r="BD651" s="153"/>
      <c r="BE651" s="153"/>
      <c r="BF651" s="153"/>
      <c r="BG651" s="154"/>
    </row>
    <row r="652" spans="4:59" x14ac:dyDescent="0.2">
      <c r="D652" s="22"/>
      <c r="E652" s="23"/>
      <c r="F652" s="23"/>
      <c r="G652" s="23"/>
      <c r="H652" s="23"/>
      <c r="I652" s="64"/>
      <c r="J652" s="65"/>
      <c r="K652" s="65"/>
      <c r="L652" s="65"/>
      <c r="Q652" s="100"/>
      <c r="V652" s="9"/>
      <c r="W652" s="10"/>
      <c r="AE652" s="100"/>
      <c r="AN652" s="152"/>
      <c r="AO652" s="153"/>
      <c r="AP652" s="153"/>
      <c r="AQ652" s="153"/>
      <c r="AR652" s="153"/>
      <c r="AS652" s="154"/>
      <c r="AT652" s="155"/>
      <c r="AU652" s="155"/>
      <c r="AV652" s="155"/>
      <c r="AW652" s="107"/>
      <c r="AX652" s="107"/>
      <c r="AY652" s="107"/>
      <c r="AZ652" s="107"/>
      <c r="BA652" s="107"/>
      <c r="BB652" s="152"/>
      <c r="BC652" s="153"/>
      <c r="BD652" s="153"/>
      <c r="BE652" s="153"/>
      <c r="BF652" s="153"/>
      <c r="BG652" s="154"/>
    </row>
    <row r="653" spans="4:59" x14ac:dyDescent="0.2">
      <c r="D653" s="22"/>
      <c r="E653" s="23"/>
      <c r="F653" s="23"/>
      <c r="G653" s="23"/>
      <c r="H653" s="23"/>
      <c r="I653" s="64"/>
      <c r="J653" s="65"/>
      <c r="K653" s="65"/>
      <c r="L653" s="65"/>
      <c r="Q653" s="100"/>
      <c r="V653" s="9"/>
      <c r="W653" s="10"/>
      <c r="AE653" s="100"/>
      <c r="AN653" s="152"/>
      <c r="AO653" s="153"/>
      <c r="AP653" s="153"/>
      <c r="AQ653" s="153"/>
      <c r="AR653" s="153"/>
      <c r="AS653" s="154"/>
      <c r="AT653" s="155"/>
      <c r="AU653" s="155"/>
      <c r="AV653" s="155"/>
      <c r="AW653" s="107"/>
      <c r="AX653" s="107"/>
      <c r="AY653" s="107"/>
      <c r="AZ653" s="107"/>
      <c r="BA653" s="107"/>
      <c r="BB653" s="152"/>
      <c r="BC653" s="153"/>
      <c r="BD653" s="153"/>
      <c r="BE653" s="153"/>
      <c r="BF653" s="153"/>
      <c r="BG653" s="154"/>
    </row>
    <row r="654" spans="4:59" x14ac:dyDescent="0.2">
      <c r="D654" s="22"/>
      <c r="E654" s="23"/>
      <c r="F654" s="23"/>
      <c r="G654" s="23"/>
      <c r="H654" s="23"/>
      <c r="I654" s="64"/>
      <c r="J654" s="65"/>
      <c r="K654" s="65"/>
      <c r="L654" s="65"/>
      <c r="Q654" s="100"/>
      <c r="V654" s="9"/>
      <c r="W654" s="10"/>
      <c r="AE654" s="100"/>
      <c r="AN654" s="152"/>
      <c r="AO654" s="153"/>
      <c r="AP654" s="153"/>
      <c r="AQ654" s="153"/>
      <c r="AR654" s="153"/>
      <c r="AS654" s="154"/>
      <c r="AT654" s="155"/>
      <c r="AU654" s="155"/>
      <c r="AV654" s="155"/>
      <c r="AW654" s="107"/>
      <c r="AX654" s="107"/>
      <c r="AY654" s="107"/>
      <c r="AZ654" s="107"/>
      <c r="BA654" s="107"/>
      <c r="BB654" s="152"/>
      <c r="BC654" s="153"/>
      <c r="BD654" s="153"/>
      <c r="BE654" s="153"/>
      <c r="BF654" s="153"/>
      <c r="BG654" s="154"/>
    </row>
    <row r="655" spans="4:59" x14ac:dyDescent="0.2">
      <c r="D655" s="22"/>
      <c r="E655" s="23"/>
      <c r="F655" s="23"/>
      <c r="G655" s="23"/>
      <c r="H655" s="23"/>
      <c r="I655" s="64"/>
      <c r="J655" s="65"/>
      <c r="K655" s="65"/>
      <c r="L655" s="65"/>
      <c r="Q655" s="100"/>
      <c r="V655" s="9"/>
      <c r="W655" s="10"/>
      <c r="AE655" s="100"/>
      <c r="AN655" s="152"/>
      <c r="AO655" s="153"/>
      <c r="AP655" s="153"/>
      <c r="AQ655" s="153"/>
      <c r="AR655" s="153"/>
      <c r="AS655" s="154"/>
      <c r="AT655" s="155"/>
      <c r="AU655" s="155"/>
      <c r="AV655" s="155"/>
      <c r="AW655" s="107"/>
      <c r="AX655" s="107"/>
      <c r="AY655" s="107"/>
      <c r="AZ655" s="107"/>
      <c r="BA655" s="107"/>
      <c r="BB655" s="152"/>
      <c r="BC655" s="153"/>
      <c r="BD655" s="153"/>
      <c r="BE655" s="153"/>
      <c r="BF655" s="153"/>
      <c r="BG655" s="154"/>
    </row>
    <row r="656" spans="4:59" x14ac:dyDescent="0.2">
      <c r="D656" s="22"/>
      <c r="E656" s="23"/>
      <c r="F656" s="23"/>
      <c r="G656" s="23"/>
      <c r="H656" s="23"/>
      <c r="I656" s="64"/>
      <c r="J656" s="65"/>
      <c r="K656" s="65"/>
      <c r="L656" s="65"/>
      <c r="Q656" s="100"/>
      <c r="V656" s="9"/>
      <c r="W656" s="10"/>
      <c r="AE656" s="100"/>
      <c r="AN656" s="152"/>
      <c r="AO656" s="153"/>
      <c r="AP656" s="153"/>
      <c r="AQ656" s="153"/>
      <c r="AR656" s="153"/>
      <c r="AS656" s="154"/>
      <c r="AT656" s="155"/>
      <c r="AU656" s="155"/>
      <c r="AV656" s="155"/>
      <c r="AW656" s="107"/>
      <c r="AX656" s="107"/>
      <c r="AY656" s="107"/>
      <c r="AZ656" s="107"/>
      <c r="BA656" s="107"/>
      <c r="BB656" s="152"/>
      <c r="BC656" s="153"/>
      <c r="BD656" s="153"/>
      <c r="BE656" s="153"/>
      <c r="BF656" s="153"/>
      <c r="BG656" s="154"/>
    </row>
    <row r="657" spans="4:59" x14ac:dyDescent="0.2">
      <c r="D657" s="22"/>
      <c r="E657" s="23"/>
      <c r="F657" s="23"/>
      <c r="G657" s="23"/>
      <c r="H657" s="23"/>
      <c r="I657" s="64"/>
      <c r="J657" s="65"/>
      <c r="K657" s="65"/>
      <c r="L657" s="65"/>
      <c r="Q657" s="100"/>
      <c r="V657" s="9"/>
      <c r="W657" s="10"/>
      <c r="AE657" s="100"/>
      <c r="AN657" s="152"/>
      <c r="AO657" s="153"/>
      <c r="AP657" s="153"/>
      <c r="AQ657" s="153"/>
      <c r="AR657" s="153"/>
      <c r="AS657" s="154"/>
      <c r="AT657" s="155"/>
      <c r="AU657" s="155"/>
      <c r="AV657" s="155"/>
      <c r="AW657" s="107"/>
      <c r="AX657" s="107"/>
      <c r="AY657" s="107"/>
      <c r="AZ657" s="107"/>
      <c r="BA657" s="107"/>
      <c r="BB657" s="152"/>
      <c r="BC657" s="153"/>
      <c r="BD657" s="153"/>
      <c r="BE657" s="153"/>
      <c r="BF657" s="153"/>
      <c r="BG657" s="154"/>
    </row>
    <row r="658" spans="4:59" x14ac:dyDescent="0.2">
      <c r="D658" s="22"/>
      <c r="E658" s="23"/>
      <c r="F658" s="23"/>
      <c r="G658" s="23"/>
      <c r="H658" s="23"/>
      <c r="I658" s="64"/>
      <c r="J658" s="65"/>
      <c r="K658" s="65"/>
      <c r="L658" s="65"/>
      <c r="Q658" s="100"/>
      <c r="V658" s="9"/>
      <c r="W658" s="10"/>
      <c r="AE658" s="100"/>
      <c r="AN658" s="152"/>
      <c r="AO658" s="153"/>
      <c r="AP658" s="153"/>
      <c r="AQ658" s="153"/>
      <c r="AR658" s="153"/>
      <c r="AS658" s="154"/>
      <c r="AT658" s="155"/>
      <c r="AU658" s="155"/>
      <c r="AV658" s="155"/>
      <c r="AW658" s="107"/>
      <c r="AX658" s="107"/>
      <c r="AY658" s="107"/>
      <c r="AZ658" s="107"/>
      <c r="BA658" s="107"/>
      <c r="BB658" s="152"/>
      <c r="BC658" s="153"/>
      <c r="BD658" s="153"/>
      <c r="BE658" s="153"/>
      <c r="BF658" s="153"/>
      <c r="BG658" s="154"/>
    </row>
    <row r="659" spans="4:59" x14ac:dyDescent="0.2">
      <c r="D659" s="22"/>
      <c r="E659" s="23"/>
      <c r="F659" s="23"/>
      <c r="G659" s="23"/>
      <c r="H659" s="23"/>
      <c r="I659" s="64"/>
      <c r="J659" s="65"/>
      <c r="K659" s="65"/>
      <c r="L659" s="65"/>
      <c r="Q659" s="100"/>
      <c r="V659" s="9"/>
      <c r="W659" s="10"/>
      <c r="AE659" s="100"/>
      <c r="AN659" s="152"/>
      <c r="AO659" s="153"/>
      <c r="AP659" s="153"/>
      <c r="AQ659" s="153"/>
      <c r="AR659" s="153"/>
      <c r="AS659" s="154"/>
      <c r="AT659" s="155"/>
      <c r="AU659" s="155"/>
      <c r="AV659" s="155"/>
      <c r="AW659" s="107"/>
      <c r="AX659" s="107"/>
      <c r="AY659" s="107"/>
      <c r="AZ659" s="107"/>
      <c r="BA659" s="107"/>
      <c r="BB659" s="152"/>
      <c r="BC659" s="153"/>
      <c r="BD659" s="153"/>
      <c r="BE659" s="153"/>
      <c r="BF659" s="153"/>
      <c r="BG659" s="154"/>
    </row>
    <row r="660" spans="4:59" x14ac:dyDescent="0.2">
      <c r="D660" s="22"/>
      <c r="E660" s="23"/>
      <c r="F660" s="23"/>
      <c r="G660" s="23"/>
      <c r="H660" s="23"/>
      <c r="I660" s="64"/>
      <c r="J660" s="65"/>
      <c r="K660" s="65"/>
      <c r="L660" s="65"/>
      <c r="Q660" s="100"/>
      <c r="V660" s="9"/>
      <c r="W660" s="10"/>
      <c r="AE660" s="100"/>
      <c r="AN660" s="152"/>
      <c r="AO660" s="153"/>
      <c r="AP660" s="153"/>
      <c r="AQ660" s="153"/>
      <c r="AR660" s="153"/>
      <c r="AS660" s="154"/>
      <c r="AT660" s="155"/>
      <c r="AU660" s="155"/>
      <c r="AV660" s="155"/>
      <c r="AW660" s="107"/>
      <c r="AX660" s="107"/>
      <c r="AY660" s="107"/>
      <c r="AZ660" s="107"/>
      <c r="BA660" s="107"/>
      <c r="BB660" s="152"/>
      <c r="BC660" s="153"/>
      <c r="BD660" s="153"/>
      <c r="BE660" s="153"/>
      <c r="BF660" s="153"/>
      <c r="BG660" s="154"/>
    </row>
    <row r="661" spans="4:59" x14ac:dyDescent="0.2">
      <c r="D661" s="22"/>
      <c r="E661" s="23"/>
      <c r="F661" s="23"/>
      <c r="G661" s="23"/>
      <c r="H661" s="23"/>
      <c r="I661" s="64"/>
      <c r="J661" s="65"/>
      <c r="K661" s="65"/>
      <c r="L661" s="65"/>
      <c r="Q661" s="100"/>
      <c r="V661" s="9"/>
      <c r="W661" s="10"/>
      <c r="AE661" s="100"/>
      <c r="AN661" s="152"/>
      <c r="AO661" s="153"/>
      <c r="AP661" s="153"/>
      <c r="AQ661" s="153"/>
      <c r="AR661" s="153"/>
      <c r="AS661" s="154"/>
      <c r="AT661" s="155"/>
      <c r="AU661" s="155"/>
      <c r="AV661" s="155"/>
      <c r="AW661" s="107"/>
      <c r="AX661" s="107"/>
      <c r="AY661" s="107"/>
      <c r="AZ661" s="107"/>
      <c r="BA661" s="107"/>
      <c r="BB661" s="152"/>
      <c r="BC661" s="153"/>
      <c r="BD661" s="153"/>
      <c r="BE661" s="153"/>
      <c r="BF661" s="153"/>
      <c r="BG661" s="154"/>
    </row>
    <row r="662" spans="4:59" x14ac:dyDescent="0.2">
      <c r="D662" s="22"/>
      <c r="E662" s="23"/>
      <c r="F662" s="23"/>
      <c r="G662" s="23"/>
      <c r="H662" s="23"/>
      <c r="I662" s="64"/>
      <c r="J662" s="65"/>
      <c r="K662" s="65"/>
      <c r="L662" s="65"/>
      <c r="Q662" s="100"/>
      <c r="V662" s="9"/>
      <c r="W662" s="10"/>
      <c r="AE662" s="100"/>
      <c r="AN662" s="152"/>
      <c r="AO662" s="153"/>
      <c r="AP662" s="153"/>
      <c r="AQ662" s="153"/>
      <c r="AR662" s="153"/>
      <c r="AS662" s="154"/>
      <c r="AT662" s="155"/>
      <c r="AU662" s="155"/>
      <c r="AV662" s="155"/>
      <c r="AW662" s="107"/>
      <c r="AX662" s="107"/>
      <c r="AY662" s="107"/>
      <c r="AZ662" s="107"/>
      <c r="BA662" s="107"/>
      <c r="BB662" s="152"/>
      <c r="BC662" s="153"/>
      <c r="BD662" s="153"/>
      <c r="BE662" s="153"/>
      <c r="BF662" s="153"/>
      <c r="BG662" s="154"/>
    </row>
    <row r="663" spans="4:59" x14ac:dyDescent="0.2">
      <c r="D663" s="22"/>
      <c r="E663" s="23"/>
      <c r="F663" s="23"/>
      <c r="G663" s="23"/>
      <c r="H663" s="23"/>
      <c r="I663" s="64"/>
      <c r="J663" s="65"/>
      <c r="K663" s="65"/>
      <c r="L663" s="65"/>
      <c r="Q663" s="100"/>
      <c r="V663" s="9"/>
      <c r="W663" s="10"/>
      <c r="AE663" s="100"/>
      <c r="AN663" s="152"/>
      <c r="AO663" s="153"/>
      <c r="AP663" s="153"/>
      <c r="AQ663" s="153"/>
      <c r="AR663" s="153"/>
      <c r="AS663" s="154"/>
      <c r="AT663" s="155"/>
      <c r="AU663" s="155"/>
      <c r="AV663" s="155"/>
      <c r="AW663" s="107"/>
      <c r="AX663" s="107"/>
      <c r="AY663" s="107"/>
      <c r="AZ663" s="107"/>
      <c r="BA663" s="107"/>
      <c r="BB663" s="152"/>
      <c r="BC663" s="153"/>
      <c r="BD663" s="153"/>
      <c r="BE663" s="153"/>
      <c r="BF663" s="153"/>
      <c r="BG663" s="154"/>
    </row>
    <row r="664" spans="4:59" x14ac:dyDescent="0.2">
      <c r="D664" s="22"/>
      <c r="E664" s="23"/>
      <c r="F664" s="23"/>
      <c r="G664" s="23"/>
      <c r="H664" s="23"/>
      <c r="I664" s="64"/>
      <c r="J664" s="65"/>
      <c r="K664" s="65"/>
      <c r="L664" s="65"/>
      <c r="Q664" s="100"/>
      <c r="V664" s="9"/>
      <c r="W664" s="10"/>
      <c r="AE664" s="100"/>
      <c r="AN664" s="152"/>
      <c r="AO664" s="153"/>
      <c r="AP664" s="153"/>
      <c r="AQ664" s="153"/>
      <c r="AR664" s="153"/>
      <c r="AS664" s="154"/>
      <c r="AT664" s="155"/>
      <c r="AU664" s="155"/>
      <c r="AV664" s="155"/>
      <c r="AW664" s="107"/>
      <c r="AX664" s="107"/>
      <c r="AY664" s="107"/>
      <c r="AZ664" s="107"/>
      <c r="BA664" s="107"/>
      <c r="BB664" s="152"/>
      <c r="BC664" s="153"/>
      <c r="BD664" s="153"/>
      <c r="BE664" s="153"/>
      <c r="BF664" s="153"/>
      <c r="BG664" s="154"/>
    </row>
    <row r="665" spans="4:59" x14ac:dyDescent="0.2">
      <c r="D665" s="22"/>
      <c r="E665" s="23"/>
      <c r="F665" s="23"/>
      <c r="G665" s="23"/>
      <c r="H665" s="23"/>
      <c r="I665" s="64"/>
      <c r="J665" s="65"/>
      <c r="K665" s="65"/>
      <c r="L665" s="65"/>
      <c r="Q665" s="100"/>
      <c r="V665" s="9"/>
      <c r="W665" s="10"/>
      <c r="AE665" s="100"/>
      <c r="AN665" s="152"/>
      <c r="AO665" s="153"/>
      <c r="AP665" s="153"/>
      <c r="AQ665" s="153"/>
      <c r="AR665" s="153"/>
      <c r="AS665" s="154"/>
      <c r="AT665" s="155"/>
      <c r="AU665" s="155"/>
      <c r="AV665" s="155"/>
      <c r="AW665" s="107"/>
      <c r="AX665" s="107"/>
      <c r="AY665" s="107"/>
      <c r="AZ665" s="107"/>
      <c r="BA665" s="107"/>
      <c r="BB665" s="152"/>
      <c r="BC665" s="153"/>
      <c r="BD665" s="153"/>
      <c r="BE665" s="153"/>
      <c r="BF665" s="153"/>
      <c r="BG665" s="154"/>
    </row>
    <row r="666" spans="4:59" x14ac:dyDescent="0.2">
      <c r="D666" s="22"/>
      <c r="E666" s="23"/>
      <c r="F666" s="23"/>
      <c r="G666" s="23"/>
      <c r="H666" s="23"/>
      <c r="I666" s="64"/>
      <c r="J666" s="65"/>
      <c r="K666" s="65"/>
      <c r="L666" s="65"/>
      <c r="Q666" s="100"/>
      <c r="V666" s="9"/>
      <c r="W666" s="10"/>
      <c r="AE666" s="100"/>
      <c r="AN666" s="152"/>
      <c r="AO666" s="153"/>
      <c r="AP666" s="153"/>
      <c r="AQ666" s="153"/>
      <c r="AR666" s="153"/>
      <c r="AS666" s="154"/>
      <c r="AT666" s="155"/>
      <c r="AU666" s="155"/>
      <c r="AV666" s="155"/>
      <c r="AW666" s="107"/>
      <c r="AX666" s="107"/>
      <c r="AY666" s="107"/>
      <c r="AZ666" s="107"/>
      <c r="BA666" s="107"/>
      <c r="BB666" s="152"/>
      <c r="BC666" s="153"/>
      <c r="BD666" s="153"/>
      <c r="BE666" s="153"/>
      <c r="BF666" s="153"/>
      <c r="BG666" s="154"/>
    </row>
    <row r="667" spans="4:59" x14ac:dyDescent="0.2">
      <c r="D667" s="22"/>
      <c r="E667" s="23"/>
      <c r="F667" s="23"/>
      <c r="G667" s="23"/>
      <c r="H667" s="23"/>
      <c r="I667" s="64"/>
      <c r="J667" s="65"/>
      <c r="K667" s="65"/>
      <c r="L667" s="65"/>
      <c r="Q667" s="100"/>
      <c r="V667" s="9"/>
      <c r="W667" s="10"/>
      <c r="AE667" s="100"/>
      <c r="AN667" s="152"/>
      <c r="AO667" s="153"/>
      <c r="AP667" s="153"/>
      <c r="AQ667" s="153"/>
      <c r="AR667" s="153"/>
      <c r="AS667" s="154"/>
      <c r="AT667" s="155"/>
      <c r="AU667" s="155"/>
      <c r="AV667" s="155"/>
      <c r="AW667" s="107"/>
      <c r="AX667" s="107"/>
      <c r="AY667" s="107"/>
      <c r="AZ667" s="107"/>
      <c r="BA667" s="107"/>
      <c r="BB667" s="152"/>
      <c r="BC667" s="153"/>
      <c r="BD667" s="153"/>
      <c r="BE667" s="153"/>
      <c r="BF667" s="153"/>
      <c r="BG667" s="154"/>
    </row>
    <row r="668" spans="4:59" x14ac:dyDescent="0.2">
      <c r="D668" s="22"/>
      <c r="E668" s="23"/>
      <c r="F668" s="23"/>
      <c r="G668" s="23"/>
      <c r="H668" s="23"/>
      <c r="I668" s="64"/>
      <c r="J668" s="65"/>
      <c r="K668" s="65"/>
      <c r="L668" s="65"/>
      <c r="Q668" s="100"/>
      <c r="V668" s="9"/>
      <c r="W668" s="10"/>
      <c r="AE668" s="100"/>
      <c r="AN668" s="152"/>
      <c r="AO668" s="153"/>
      <c r="AP668" s="153"/>
      <c r="AQ668" s="153"/>
      <c r="AR668" s="153"/>
      <c r="AS668" s="154"/>
      <c r="AT668" s="155"/>
      <c r="AU668" s="155"/>
      <c r="AV668" s="155"/>
      <c r="AW668" s="107"/>
      <c r="AX668" s="107"/>
      <c r="AY668" s="107"/>
      <c r="AZ668" s="107"/>
      <c r="BA668" s="107"/>
      <c r="BB668" s="152"/>
      <c r="BC668" s="153"/>
      <c r="BD668" s="153"/>
      <c r="BE668" s="153"/>
      <c r="BF668" s="153"/>
      <c r="BG668" s="154"/>
    </row>
    <row r="669" spans="4:59" x14ac:dyDescent="0.2">
      <c r="D669" s="22"/>
      <c r="E669" s="23"/>
      <c r="F669" s="23"/>
      <c r="G669" s="23"/>
      <c r="H669" s="23"/>
      <c r="I669" s="64"/>
      <c r="J669" s="65"/>
      <c r="K669" s="65"/>
      <c r="L669" s="65"/>
      <c r="Q669" s="100"/>
      <c r="V669" s="9"/>
      <c r="W669" s="10"/>
      <c r="AE669" s="100"/>
      <c r="AN669" s="152"/>
      <c r="AO669" s="153"/>
      <c r="AP669" s="153"/>
      <c r="AQ669" s="153"/>
      <c r="AR669" s="153"/>
      <c r="AS669" s="154"/>
      <c r="AT669" s="155"/>
      <c r="AU669" s="155"/>
      <c r="AV669" s="155"/>
      <c r="AW669" s="107"/>
      <c r="AX669" s="107"/>
      <c r="AY669" s="107"/>
      <c r="AZ669" s="107"/>
      <c r="BA669" s="107"/>
      <c r="BB669" s="152"/>
      <c r="BC669" s="153"/>
      <c r="BD669" s="153"/>
      <c r="BE669" s="153"/>
      <c r="BF669" s="153"/>
      <c r="BG669" s="154"/>
    </row>
    <row r="670" spans="4:59" x14ac:dyDescent="0.2">
      <c r="D670" s="22"/>
      <c r="E670" s="23"/>
      <c r="F670" s="23"/>
      <c r="G670" s="23"/>
      <c r="H670" s="23"/>
      <c r="I670" s="64"/>
      <c r="J670" s="65"/>
      <c r="K670" s="65"/>
      <c r="L670" s="65"/>
      <c r="Q670" s="100"/>
      <c r="V670" s="9"/>
      <c r="W670" s="10"/>
      <c r="AE670" s="100"/>
      <c r="AN670" s="152"/>
      <c r="AO670" s="153"/>
      <c r="AP670" s="153"/>
      <c r="AQ670" s="153"/>
      <c r="AR670" s="153"/>
      <c r="AS670" s="154"/>
      <c r="AT670" s="155"/>
      <c r="AU670" s="155"/>
      <c r="AV670" s="155"/>
      <c r="AW670" s="107"/>
      <c r="AX670" s="107"/>
      <c r="AY670" s="107"/>
      <c r="AZ670" s="107"/>
      <c r="BA670" s="107"/>
      <c r="BB670" s="152"/>
      <c r="BC670" s="153"/>
      <c r="BD670" s="153"/>
      <c r="BE670" s="153"/>
      <c r="BF670" s="153"/>
      <c r="BG670" s="154"/>
    </row>
    <row r="671" spans="4:59" x14ac:dyDescent="0.2">
      <c r="D671" s="22"/>
      <c r="E671" s="23"/>
      <c r="F671" s="23"/>
      <c r="G671" s="23"/>
      <c r="H671" s="23"/>
      <c r="I671" s="64"/>
      <c r="J671" s="65"/>
      <c r="K671" s="65"/>
      <c r="L671" s="65"/>
      <c r="Q671" s="100"/>
      <c r="V671" s="9"/>
      <c r="W671" s="10"/>
      <c r="AE671" s="100"/>
      <c r="AN671" s="152"/>
      <c r="AO671" s="153"/>
      <c r="AP671" s="153"/>
      <c r="AQ671" s="153"/>
      <c r="AR671" s="153"/>
      <c r="AS671" s="154"/>
      <c r="AT671" s="155"/>
      <c r="AU671" s="155"/>
      <c r="AV671" s="155"/>
      <c r="AW671" s="107"/>
      <c r="AX671" s="107"/>
      <c r="AY671" s="107"/>
      <c r="AZ671" s="107"/>
      <c r="BA671" s="107"/>
      <c r="BB671" s="152"/>
      <c r="BC671" s="153"/>
      <c r="BD671" s="153"/>
      <c r="BE671" s="153"/>
      <c r="BF671" s="153"/>
      <c r="BG671" s="154"/>
    </row>
    <row r="672" spans="4:59" x14ac:dyDescent="0.2">
      <c r="D672" s="22"/>
      <c r="E672" s="23"/>
      <c r="F672" s="23"/>
      <c r="G672" s="23"/>
      <c r="H672" s="23"/>
      <c r="I672" s="64"/>
      <c r="J672" s="65"/>
      <c r="K672" s="65"/>
      <c r="L672" s="65"/>
      <c r="Q672" s="100"/>
      <c r="V672" s="9"/>
      <c r="W672" s="10"/>
      <c r="AE672" s="100"/>
      <c r="AN672" s="152"/>
      <c r="AO672" s="153"/>
      <c r="AP672" s="153"/>
      <c r="AQ672" s="153"/>
      <c r="AR672" s="153"/>
      <c r="AS672" s="154"/>
      <c r="AT672" s="155"/>
      <c r="AU672" s="155"/>
      <c r="AV672" s="155"/>
      <c r="AW672" s="107"/>
      <c r="AX672" s="107"/>
      <c r="AY672" s="107"/>
      <c r="AZ672" s="107"/>
      <c r="BA672" s="107"/>
      <c r="BB672" s="152"/>
      <c r="BC672" s="153"/>
      <c r="BD672" s="153"/>
      <c r="BE672" s="153"/>
      <c r="BF672" s="153"/>
      <c r="BG672" s="154"/>
    </row>
    <row r="673" spans="4:59" x14ac:dyDescent="0.2">
      <c r="D673" s="22"/>
      <c r="E673" s="23"/>
      <c r="F673" s="23"/>
      <c r="G673" s="23"/>
      <c r="H673" s="23"/>
      <c r="I673" s="64"/>
      <c r="J673" s="65"/>
      <c r="K673" s="65"/>
      <c r="L673" s="65"/>
      <c r="Q673" s="100"/>
      <c r="V673" s="9"/>
      <c r="W673" s="10"/>
      <c r="AE673" s="100"/>
      <c r="AN673" s="152"/>
      <c r="AO673" s="153"/>
      <c r="AP673" s="153"/>
      <c r="AQ673" s="153"/>
      <c r="AR673" s="153"/>
      <c r="AS673" s="154"/>
      <c r="AT673" s="155"/>
      <c r="AU673" s="155"/>
      <c r="AV673" s="155"/>
      <c r="AW673" s="107"/>
      <c r="AX673" s="107"/>
      <c r="AY673" s="107"/>
      <c r="AZ673" s="107"/>
      <c r="BA673" s="107"/>
      <c r="BB673" s="152"/>
      <c r="BC673" s="153"/>
      <c r="BD673" s="153"/>
      <c r="BE673" s="153"/>
      <c r="BF673" s="153"/>
      <c r="BG673" s="154"/>
    </row>
    <row r="674" spans="4:59" x14ac:dyDescent="0.2">
      <c r="D674" s="22"/>
      <c r="E674" s="23"/>
      <c r="F674" s="23"/>
      <c r="G674" s="23"/>
      <c r="H674" s="23"/>
      <c r="I674" s="64"/>
      <c r="J674" s="65"/>
      <c r="K674" s="65"/>
      <c r="L674" s="65"/>
      <c r="Q674" s="100"/>
      <c r="V674" s="9"/>
      <c r="W674" s="10"/>
      <c r="AE674" s="100"/>
      <c r="AN674" s="152"/>
      <c r="AO674" s="153"/>
      <c r="AP674" s="153"/>
      <c r="AQ674" s="153"/>
      <c r="AR674" s="153"/>
      <c r="AS674" s="154"/>
      <c r="AT674" s="155"/>
      <c r="AU674" s="155"/>
      <c r="AV674" s="155"/>
      <c r="AW674" s="107"/>
      <c r="AX674" s="107"/>
      <c r="AY674" s="107"/>
      <c r="AZ674" s="107"/>
      <c r="BA674" s="107"/>
      <c r="BB674" s="152"/>
      <c r="BC674" s="153"/>
      <c r="BD674" s="153"/>
      <c r="BE674" s="153"/>
      <c r="BF674" s="153"/>
      <c r="BG674" s="154"/>
    </row>
    <row r="675" spans="4:59" x14ac:dyDescent="0.2">
      <c r="D675" s="22"/>
      <c r="E675" s="23"/>
      <c r="F675" s="23"/>
      <c r="G675" s="23"/>
      <c r="H675" s="23"/>
      <c r="I675" s="64"/>
      <c r="J675" s="65"/>
      <c r="K675" s="65"/>
      <c r="L675" s="65"/>
      <c r="Q675" s="100"/>
      <c r="V675" s="9"/>
      <c r="W675" s="10"/>
      <c r="AE675" s="100"/>
      <c r="AN675" s="152"/>
      <c r="AO675" s="153"/>
      <c r="AP675" s="153"/>
      <c r="AQ675" s="153"/>
      <c r="AR675" s="153"/>
      <c r="AS675" s="154"/>
      <c r="AT675" s="155"/>
      <c r="AU675" s="155"/>
      <c r="AV675" s="155"/>
      <c r="AW675" s="107"/>
      <c r="AX675" s="107"/>
      <c r="AY675" s="107"/>
      <c r="AZ675" s="107"/>
      <c r="BA675" s="107"/>
      <c r="BB675" s="152"/>
      <c r="BC675" s="153"/>
      <c r="BD675" s="153"/>
      <c r="BE675" s="153"/>
      <c r="BF675" s="153"/>
      <c r="BG675" s="154"/>
    </row>
    <row r="676" spans="4:59" x14ac:dyDescent="0.2">
      <c r="D676" s="22"/>
      <c r="E676" s="23"/>
      <c r="F676" s="23"/>
      <c r="G676" s="23"/>
      <c r="H676" s="23"/>
      <c r="I676" s="64"/>
      <c r="J676" s="65"/>
      <c r="K676" s="65"/>
      <c r="L676" s="65"/>
      <c r="Q676" s="100"/>
      <c r="V676" s="9"/>
      <c r="W676" s="10"/>
      <c r="AE676" s="100"/>
      <c r="AN676" s="152"/>
      <c r="AO676" s="153"/>
      <c r="AP676" s="153"/>
      <c r="AQ676" s="153"/>
      <c r="AR676" s="153"/>
      <c r="AS676" s="154"/>
      <c r="AT676" s="155"/>
      <c r="AU676" s="155"/>
      <c r="AV676" s="155"/>
      <c r="AW676" s="107"/>
      <c r="AX676" s="107"/>
      <c r="AY676" s="107"/>
      <c r="AZ676" s="107"/>
      <c r="BA676" s="107"/>
      <c r="BB676" s="152"/>
      <c r="BC676" s="153"/>
      <c r="BD676" s="153"/>
      <c r="BE676" s="153"/>
      <c r="BF676" s="153"/>
      <c r="BG676" s="154"/>
    </row>
    <row r="677" spans="4:59" x14ac:dyDescent="0.2">
      <c r="D677" s="22"/>
      <c r="E677" s="23"/>
      <c r="F677" s="23"/>
      <c r="G677" s="23"/>
      <c r="H677" s="23"/>
      <c r="I677" s="64"/>
      <c r="J677" s="65"/>
      <c r="K677" s="65"/>
      <c r="L677" s="65"/>
      <c r="Q677" s="100"/>
      <c r="V677" s="9"/>
      <c r="W677" s="10"/>
      <c r="AE677" s="100"/>
      <c r="AN677" s="152"/>
      <c r="AO677" s="153"/>
      <c r="AP677" s="153"/>
      <c r="AQ677" s="153"/>
      <c r="AR677" s="153"/>
      <c r="AS677" s="154"/>
      <c r="AT677" s="155"/>
      <c r="AU677" s="155"/>
      <c r="AV677" s="155"/>
      <c r="AW677" s="107"/>
      <c r="AX677" s="107"/>
      <c r="AY677" s="107"/>
      <c r="AZ677" s="107"/>
      <c r="BA677" s="107"/>
      <c r="BB677" s="152"/>
      <c r="BC677" s="153"/>
      <c r="BD677" s="153"/>
      <c r="BE677" s="153"/>
      <c r="BF677" s="153"/>
      <c r="BG677" s="154"/>
    </row>
    <row r="678" spans="4:59" x14ac:dyDescent="0.2">
      <c r="D678" s="22"/>
      <c r="E678" s="23"/>
      <c r="F678" s="23"/>
      <c r="G678" s="23"/>
      <c r="H678" s="23"/>
      <c r="I678" s="64"/>
      <c r="J678" s="65"/>
      <c r="K678" s="65"/>
      <c r="L678" s="65"/>
      <c r="Q678" s="100"/>
      <c r="V678" s="9"/>
      <c r="W678" s="10"/>
      <c r="AE678" s="100"/>
      <c r="AN678" s="152"/>
      <c r="AO678" s="153"/>
      <c r="AP678" s="153"/>
      <c r="AQ678" s="153"/>
      <c r="AR678" s="153"/>
      <c r="AS678" s="154"/>
      <c r="AT678" s="155"/>
      <c r="AU678" s="155"/>
      <c r="AV678" s="155"/>
      <c r="AW678" s="107"/>
      <c r="AX678" s="107"/>
      <c r="AY678" s="107"/>
      <c r="AZ678" s="107"/>
      <c r="BA678" s="107"/>
      <c r="BB678" s="152"/>
      <c r="BC678" s="153"/>
      <c r="BD678" s="153"/>
      <c r="BE678" s="153"/>
      <c r="BF678" s="153"/>
      <c r="BG678" s="154"/>
    </row>
    <row r="679" spans="4:59" x14ac:dyDescent="0.2">
      <c r="D679" s="22"/>
      <c r="E679" s="23"/>
      <c r="F679" s="23"/>
      <c r="G679" s="23"/>
      <c r="H679" s="23"/>
      <c r="I679" s="64"/>
      <c r="J679" s="65"/>
      <c r="K679" s="65"/>
      <c r="L679" s="65"/>
      <c r="Q679" s="100"/>
      <c r="V679" s="9"/>
      <c r="W679" s="10"/>
      <c r="AE679" s="100"/>
      <c r="AN679" s="152"/>
      <c r="AO679" s="153"/>
      <c r="AP679" s="153"/>
      <c r="AQ679" s="153"/>
      <c r="AR679" s="153"/>
      <c r="AS679" s="154"/>
      <c r="AT679" s="155"/>
      <c r="AU679" s="155"/>
      <c r="AV679" s="155"/>
      <c r="AW679" s="107"/>
      <c r="AX679" s="107"/>
      <c r="AY679" s="107"/>
      <c r="AZ679" s="107"/>
      <c r="BA679" s="107"/>
      <c r="BB679" s="152"/>
      <c r="BC679" s="153"/>
      <c r="BD679" s="153"/>
      <c r="BE679" s="153"/>
      <c r="BF679" s="153"/>
      <c r="BG679" s="154"/>
    </row>
    <row r="680" spans="4:59" x14ac:dyDescent="0.2">
      <c r="D680" s="22"/>
      <c r="E680" s="23"/>
      <c r="F680" s="23"/>
      <c r="G680" s="23"/>
      <c r="H680" s="23"/>
      <c r="I680" s="64"/>
      <c r="J680" s="65"/>
      <c r="K680" s="65"/>
      <c r="L680" s="65"/>
      <c r="Q680" s="100"/>
      <c r="V680" s="9"/>
      <c r="W680" s="10"/>
      <c r="AE680" s="100"/>
      <c r="AN680" s="152"/>
      <c r="AO680" s="153"/>
      <c r="AP680" s="153"/>
      <c r="AQ680" s="153"/>
      <c r="AR680" s="153"/>
      <c r="AS680" s="154"/>
      <c r="AT680" s="155"/>
      <c r="AU680" s="155"/>
      <c r="AV680" s="155"/>
      <c r="AW680" s="107"/>
      <c r="AX680" s="107"/>
      <c r="AY680" s="107"/>
      <c r="AZ680" s="107"/>
      <c r="BA680" s="107"/>
      <c r="BB680" s="152"/>
      <c r="BC680" s="153"/>
      <c r="BD680" s="153"/>
      <c r="BE680" s="153"/>
      <c r="BF680" s="153"/>
      <c r="BG680" s="154"/>
    </row>
    <row r="681" spans="4:59" x14ac:dyDescent="0.2">
      <c r="D681" s="22"/>
      <c r="E681" s="23"/>
      <c r="F681" s="23"/>
      <c r="G681" s="23"/>
      <c r="H681" s="23"/>
      <c r="I681" s="64"/>
      <c r="J681" s="65"/>
      <c r="K681" s="65"/>
      <c r="L681" s="65"/>
      <c r="Q681" s="100"/>
      <c r="V681" s="9"/>
      <c r="W681" s="10"/>
      <c r="AE681" s="100"/>
      <c r="AN681" s="152"/>
      <c r="AO681" s="153"/>
      <c r="AP681" s="153"/>
      <c r="AQ681" s="153"/>
      <c r="AR681" s="153"/>
      <c r="AS681" s="154"/>
      <c r="AT681" s="155"/>
      <c r="AU681" s="155"/>
      <c r="AV681" s="155"/>
      <c r="AW681" s="107"/>
      <c r="AX681" s="107"/>
      <c r="AY681" s="107"/>
      <c r="AZ681" s="107"/>
      <c r="BA681" s="107"/>
      <c r="BB681" s="152"/>
      <c r="BC681" s="153"/>
      <c r="BD681" s="153"/>
      <c r="BE681" s="153"/>
      <c r="BF681" s="153"/>
      <c r="BG681" s="154"/>
    </row>
    <row r="682" spans="4:59" x14ac:dyDescent="0.2">
      <c r="D682" s="22"/>
      <c r="E682" s="23"/>
      <c r="F682" s="23"/>
      <c r="G682" s="23"/>
      <c r="H682" s="23"/>
      <c r="I682" s="64"/>
      <c r="J682" s="65"/>
      <c r="K682" s="65"/>
      <c r="L682" s="65"/>
      <c r="Q682" s="100"/>
      <c r="V682" s="9"/>
      <c r="W682" s="10"/>
      <c r="AE682" s="100"/>
      <c r="AN682" s="152"/>
      <c r="AO682" s="153"/>
      <c r="AP682" s="153"/>
      <c r="AQ682" s="153"/>
      <c r="AR682" s="153"/>
      <c r="AS682" s="154"/>
      <c r="AT682" s="155"/>
      <c r="AU682" s="155"/>
      <c r="AV682" s="155"/>
      <c r="AW682" s="107"/>
      <c r="AX682" s="107"/>
      <c r="AY682" s="107"/>
      <c r="AZ682" s="107"/>
      <c r="BA682" s="107"/>
      <c r="BB682" s="152"/>
      <c r="BC682" s="153"/>
      <c r="BD682" s="153"/>
      <c r="BE682" s="153"/>
      <c r="BF682" s="153"/>
      <c r="BG682" s="154"/>
    </row>
    <row r="683" spans="4:59" x14ac:dyDescent="0.2">
      <c r="D683" s="22"/>
      <c r="E683" s="23"/>
      <c r="F683" s="23"/>
      <c r="G683" s="23"/>
      <c r="H683" s="23"/>
      <c r="I683" s="64"/>
      <c r="J683" s="65"/>
      <c r="K683" s="65"/>
      <c r="L683" s="65"/>
      <c r="Q683" s="100"/>
      <c r="V683" s="9"/>
      <c r="W683" s="10"/>
      <c r="AE683" s="100"/>
      <c r="AN683" s="152"/>
      <c r="AO683" s="153"/>
      <c r="AP683" s="153"/>
      <c r="AQ683" s="153"/>
      <c r="AR683" s="153"/>
      <c r="AS683" s="154"/>
      <c r="AT683" s="155"/>
      <c r="AU683" s="155"/>
      <c r="AV683" s="155"/>
      <c r="AW683" s="107"/>
      <c r="AX683" s="107"/>
      <c r="AY683" s="107"/>
      <c r="AZ683" s="107"/>
      <c r="BA683" s="107"/>
      <c r="BB683" s="152"/>
      <c r="BC683" s="153"/>
      <c r="BD683" s="153"/>
      <c r="BE683" s="153"/>
      <c r="BF683" s="153"/>
      <c r="BG683" s="154"/>
    </row>
    <row r="684" spans="4:59" x14ac:dyDescent="0.2">
      <c r="D684" s="22"/>
      <c r="E684" s="23"/>
      <c r="F684" s="23"/>
      <c r="G684" s="23"/>
      <c r="H684" s="23"/>
      <c r="I684" s="64"/>
      <c r="J684" s="65"/>
      <c r="K684" s="65"/>
      <c r="L684" s="65"/>
      <c r="Q684" s="100"/>
      <c r="V684" s="9"/>
      <c r="W684" s="10"/>
      <c r="AE684" s="100"/>
      <c r="AN684" s="152"/>
      <c r="AO684" s="153"/>
      <c r="AP684" s="153"/>
      <c r="AQ684" s="153"/>
      <c r="AR684" s="153"/>
      <c r="AS684" s="154"/>
      <c r="AT684" s="155"/>
      <c r="AU684" s="155"/>
      <c r="AV684" s="155"/>
      <c r="AW684" s="107"/>
      <c r="AX684" s="107"/>
      <c r="AY684" s="107"/>
      <c r="AZ684" s="107"/>
      <c r="BA684" s="107"/>
      <c r="BB684" s="152"/>
      <c r="BC684" s="153"/>
      <c r="BD684" s="153"/>
      <c r="BE684" s="153"/>
      <c r="BF684" s="153"/>
      <c r="BG684" s="154"/>
    </row>
    <row r="685" spans="4:59" x14ac:dyDescent="0.2">
      <c r="D685" s="22"/>
      <c r="E685" s="23"/>
      <c r="F685" s="23"/>
      <c r="G685" s="23"/>
      <c r="H685" s="23"/>
      <c r="I685" s="64"/>
      <c r="J685" s="65"/>
      <c r="K685" s="65"/>
      <c r="L685" s="65"/>
      <c r="Q685" s="100"/>
      <c r="V685" s="9"/>
      <c r="W685" s="10"/>
      <c r="AE685" s="100"/>
      <c r="AN685" s="152"/>
      <c r="AO685" s="153"/>
      <c r="AP685" s="153"/>
      <c r="AQ685" s="153"/>
      <c r="AR685" s="153"/>
      <c r="AS685" s="154"/>
      <c r="AT685" s="155"/>
      <c r="AU685" s="155"/>
      <c r="AV685" s="155"/>
      <c r="AW685" s="107"/>
      <c r="AX685" s="107"/>
      <c r="AY685" s="107"/>
      <c r="AZ685" s="107"/>
      <c r="BA685" s="107"/>
      <c r="BB685" s="152"/>
      <c r="BC685" s="153"/>
      <c r="BD685" s="153"/>
      <c r="BE685" s="153"/>
      <c r="BF685" s="153"/>
      <c r="BG685" s="154"/>
    </row>
    <row r="686" spans="4:59" x14ac:dyDescent="0.2">
      <c r="D686" s="22"/>
      <c r="E686" s="23"/>
      <c r="F686" s="23"/>
      <c r="G686" s="23"/>
      <c r="H686" s="23"/>
      <c r="I686" s="64"/>
      <c r="J686" s="65"/>
      <c r="K686" s="65"/>
      <c r="L686" s="65"/>
      <c r="Q686" s="100"/>
      <c r="V686" s="9"/>
      <c r="W686" s="10"/>
      <c r="AE686" s="100"/>
      <c r="AN686" s="152"/>
      <c r="AO686" s="153"/>
      <c r="AP686" s="153"/>
      <c r="AQ686" s="153"/>
      <c r="AR686" s="153"/>
      <c r="AS686" s="154"/>
      <c r="AT686" s="155"/>
      <c r="AU686" s="155"/>
      <c r="AV686" s="155"/>
      <c r="AW686" s="107"/>
      <c r="AX686" s="107"/>
      <c r="AY686" s="107"/>
      <c r="AZ686" s="107"/>
      <c r="BA686" s="107"/>
      <c r="BB686" s="152"/>
      <c r="BC686" s="153"/>
      <c r="BD686" s="153"/>
      <c r="BE686" s="153"/>
      <c r="BF686" s="153"/>
      <c r="BG686" s="154"/>
    </row>
    <row r="687" spans="4:59" x14ac:dyDescent="0.2">
      <c r="D687" s="22"/>
      <c r="E687" s="23"/>
      <c r="F687" s="23"/>
      <c r="G687" s="23"/>
      <c r="H687" s="23"/>
      <c r="I687" s="64"/>
      <c r="J687" s="65"/>
      <c r="K687" s="65"/>
      <c r="L687" s="65"/>
      <c r="Q687" s="100"/>
      <c r="V687" s="9"/>
      <c r="W687" s="10"/>
      <c r="AE687" s="100"/>
      <c r="AN687" s="152"/>
      <c r="AO687" s="153"/>
      <c r="AP687" s="153"/>
      <c r="AQ687" s="153"/>
      <c r="AR687" s="153"/>
      <c r="AS687" s="154"/>
      <c r="AT687" s="155"/>
      <c r="AU687" s="155"/>
      <c r="AV687" s="155"/>
      <c r="AW687" s="107"/>
      <c r="AX687" s="107"/>
      <c r="AY687" s="107"/>
      <c r="AZ687" s="107"/>
      <c r="BA687" s="107"/>
      <c r="BB687" s="152"/>
      <c r="BC687" s="153"/>
      <c r="BD687" s="153"/>
      <c r="BE687" s="153"/>
      <c r="BF687" s="153"/>
      <c r="BG687" s="154"/>
    </row>
    <row r="688" spans="4:59" x14ac:dyDescent="0.2">
      <c r="D688" s="22"/>
      <c r="E688" s="23"/>
      <c r="F688" s="23"/>
      <c r="G688" s="23"/>
      <c r="H688" s="23"/>
      <c r="I688" s="64"/>
      <c r="J688" s="65"/>
      <c r="K688" s="65"/>
      <c r="L688" s="65"/>
      <c r="Q688" s="100"/>
      <c r="V688" s="9"/>
      <c r="W688" s="10"/>
      <c r="AE688" s="100"/>
      <c r="AN688" s="152"/>
      <c r="AO688" s="153"/>
      <c r="AP688" s="153"/>
      <c r="AQ688" s="153"/>
      <c r="AR688" s="153"/>
      <c r="AS688" s="154"/>
      <c r="AT688" s="155"/>
      <c r="AU688" s="155"/>
      <c r="AV688" s="155"/>
      <c r="AW688" s="107"/>
      <c r="AX688" s="107"/>
      <c r="AY688" s="107"/>
      <c r="AZ688" s="107"/>
      <c r="BA688" s="107"/>
      <c r="BB688" s="152"/>
      <c r="BC688" s="153"/>
      <c r="BD688" s="153"/>
      <c r="BE688" s="153"/>
      <c r="BF688" s="153"/>
      <c r="BG688" s="154"/>
    </row>
    <row r="689" spans="4:59" x14ac:dyDescent="0.2">
      <c r="D689" s="22"/>
      <c r="E689" s="23"/>
      <c r="F689" s="23"/>
      <c r="G689" s="23"/>
      <c r="H689" s="23"/>
      <c r="I689" s="64"/>
      <c r="J689" s="65"/>
      <c r="K689" s="65"/>
      <c r="L689" s="65"/>
      <c r="Q689" s="100"/>
      <c r="V689" s="9"/>
      <c r="W689" s="10"/>
      <c r="AE689" s="100"/>
      <c r="AN689" s="152"/>
      <c r="AO689" s="153"/>
      <c r="AP689" s="153"/>
      <c r="AQ689" s="153"/>
      <c r="AR689" s="153"/>
      <c r="AS689" s="154"/>
      <c r="AT689" s="155"/>
      <c r="AU689" s="155"/>
      <c r="AV689" s="155"/>
      <c r="AW689" s="107"/>
      <c r="AX689" s="107"/>
      <c r="AY689" s="107"/>
      <c r="AZ689" s="107"/>
      <c r="BA689" s="107"/>
      <c r="BB689" s="152"/>
      <c r="BC689" s="153"/>
      <c r="BD689" s="153"/>
      <c r="BE689" s="153"/>
      <c r="BF689" s="153"/>
      <c r="BG689" s="154"/>
    </row>
    <row r="690" spans="4:59" x14ac:dyDescent="0.2">
      <c r="D690" s="22"/>
      <c r="E690" s="23"/>
      <c r="F690" s="23"/>
      <c r="G690" s="23"/>
      <c r="H690" s="23"/>
      <c r="I690" s="64"/>
      <c r="J690" s="65"/>
      <c r="K690" s="65"/>
      <c r="L690" s="65"/>
      <c r="Q690" s="100"/>
      <c r="V690" s="9"/>
      <c r="W690" s="10"/>
      <c r="AE690" s="100"/>
      <c r="AN690" s="152"/>
      <c r="AO690" s="153"/>
      <c r="AP690" s="153"/>
      <c r="AQ690" s="153"/>
      <c r="AR690" s="153"/>
      <c r="AS690" s="154"/>
      <c r="AT690" s="155"/>
      <c r="AU690" s="155"/>
      <c r="AV690" s="155"/>
      <c r="AW690" s="107"/>
      <c r="AX690" s="107"/>
      <c r="AY690" s="107"/>
      <c r="AZ690" s="107"/>
      <c r="BA690" s="107"/>
      <c r="BB690" s="152"/>
      <c r="BC690" s="153"/>
      <c r="BD690" s="153"/>
      <c r="BE690" s="153"/>
      <c r="BF690" s="153"/>
      <c r="BG690" s="154"/>
    </row>
    <row r="691" spans="4:59" x14ac:dyDescent="0.2">
      <c r="D691" s="22"/>
      <c r="E691" s="23"/>
      <c r="F691" s="23"/>
      <c r="G691" s="23"/>
      <c r="H691" s="23"/>
      <c r="I691" s="64"/>
      <c r="J691" s="65"/>
      <c r="K691" s="65"/>
      <c r="L691" s="65"/>
      <c r="Q691" s="100"/>
      <c r="V691" s="9"/>
      <c r="W691" s="10"/>
      <c r="AE691" s="100"/>
      <c r="AN691" s="152"/>
      <c r="AO691" s="153"/>
      <c r="AP691" s="153"/>
      <c r="AQ691" s="153"/>
      <c r="AR691" s="153"/>
      <c r="AS691" s="154"/>
      <c r="AT691" s="155"/>
      <c r="AU691" s="155"/>
      <c r="AV691" s="155"/>
      <c r="AW691" s="107"/>
      <c r="AX691" s="107"/>
      <c r="AY691" s="107"/>
      <c r="AZ691" s="107"/>
      <c r="BA691" s="107"/>
      <c r="BB691" s="152"/>
      <c r="BC691" s="153"/>
      <c r="BD691" s="153"/>
      <c r="BE691" s="153"/>
      <c r="BF691" s="153"/>
      <c r="BG691" s="154"/>
    </row>
    <row r="692" spans="4:59" x14ac:dyDescent="0.2">
      <c r="D692" s="22"/>
      <c r="E692" s="23"/>
      <c r="F692" s="23"/>
      <c r="G692" s="23"/>
      <c r="H692" s="23"/>
      <c r="I692" s="64"/>
      <c r="J692" s="65"/>
      <c r="K692" s="65"/>
      <c r="L692" s="65"/>
      <c r="Q692" s="100"/>
      <c r="V692" s="9"/>
      <c r="W692" s="10"/>
      <c r="AE692" s="100"/>
      <c r="AN692" s="152"/>
      <c r="AO692" s="153"/>
      <c r="AP692" s="153"/>
      <c r="AQ692" s="153"/>
      <c r="AR692" s="153"/>
      <c r="AS692" s="154"/>
      <c r="AT692" s="155"/>
      <c r="AU692" s="155"/>
      <c r="AV692" s="155"/>
      <c r="AW692" s="107"/>
      <c r="AX692" s="107"/>
      <c r="AY692" s="107"/>
      <c r="AZ692" s="107"/>
      <c r="BA692" s="107"/>
      <c r="BB692" s="152"/>
      <c r="BC692" s="153"/>
      <c r="BD692" s="153"/>
      <c r="BE692" s="153"/>
      <c r="BF692" s="153"/>
      <c r="BG692" s="154"/>
    </row>
    <row r="693" spans="4:59" x14ac:dyDescent="0.2">
      <c r="D693" s="22"/>
      <c r="E693" s="23"/>
      <c r="F693" s="23"/>
      <c r="G693" s="23"/>
      <c r="H693" s="23"/>
      <c r="I693" s="64"/>
      <c r="J693" s="65"/>
      <c r="K693" s="65"/>
      <c r="L693" s="65"/>
      <c r="Q693" s="100"/>
      <c r="V693" s="9"/>
      <c r="W693" s="10"/>
      <c r="AE693" s="100"/>
      <c r="AN693" s="152"/>
      <c r="AO693" s="153"/>
      <c r="AP693" s="153"/>
      <c r="AQ693" s="153"/>
      <c r="AR693" s="153"/>
      <c r="AS693" s="154"/>
      <c r="AT693" s="155"/>
      <c r="AU693" s="155"/>
      <c r="AV693" s="155"/>
      <c r="AW693" s="107"/>
      <c r="AX693" s="107"/>
      <c r="AY693" s="107"/>
      <c r="AZ693" s="107"/>
      <c r="BA693" s="107"/>
      <c r="BB693" s="152"/>
      <c r="BC693" s="153"/>
      <c r="BD693" s="153"/>
      <c r="BE693" s="153"/>
      <c r="BF693" s="153"/>
      <c r="BG693" s="154"/>
    </row>
    <row r="694" spans="4:59" x14ac:dyDescent="0.2">
      <c r="D694" s="22"/>
      <c r="E694" s="23"/>
      <c r="F694" s="23"/>
      <c r="G694" s="23"/>
      <c r="H694" s="23"/>
      <c r="I694" s="64"/>
      <c r="J694" s="65"/>
      <c r="K694" s="65"/>
      <c r="L694" s="65"/>
      <c r="Q694" s="100"/>
      <c r="V694" s="9"/>
      <c r="W694" s="10"/>
      <c r="AE694" s="100"/>
      <c r="AN694" s="152"/>
      <c r="AO694" s="153"/>
      <c r="AP694" s="153"/>
      <c r="AQ694" s="153"/>
      <c r="AR694" s="153"/>
      <c r="AS694" s="154"/>
      <c r="AT694" s="155"/>
      <c r="AU694" s="155"/>
      <c r="AV694" s="155"/>
      <c r="AW694" s="107"/>
      <c r="AX694" s="107"/>
      <c r="AY694" s="107"/>
      <c r="AZ694" s="107"/>
      <c r="BA694" s="107"/>
      <c r="BB694" s="152"/>
      <c r="BC694" s="153"/>
      <c r="BD694" s="153"/>
      <c r="BE694" s="153"/>
      <c r="BF694" s="153"/>
      <c r="BG694" s="154"/>
    </row>
    <row r="695" spans="4:59" x14ac:dyDescent="0.2">
      <c r="D695" s="22"/>
      <c r="E695" s="23"/>
      <c r="F695" s="23"/>
      <c r="G695" s="23"/>
      <c r="H695" s="23"/>
      <c r="I695" s="64"/>
      <c r="J695" s="65"/>
      <c r="K695" s="65"/>
      <c r="L695" s="65"/>
      <c r="Q695" s="100"/>
      <c r="V695" s="9"/>
      <c r="W695" s="10"/>
      <c r="AE695" s="100"/>
      <c r="AN695" s="152"/>
      <c r="AO695" s="153"/>
      <c r="AP695" s="153"/>
      <c r="AQ695" s="153"/>
      <c r="AR695" s="153"/>
      <c r="AS695" s="154"/>
      <c r="AT695" s="155"/>
      <c r="AU695" s="155"/>
      <c r="AV695" s="155"/>
      <c r="AW695" s="107"/>
      <c r="AX695" s="107"/>
      <c r="AY695" s="107"/>
      <c r="AZ695" s="107"/>
      <c r="BA695" s="107"/>
      <c r="BB695" s="152"/>
      <c r="BC695" s="153"/>
      <c r="BD695" s="153"/>
      <c r="BE695" s="153"/>
      <c r="BF695" s="153"/>
      <c r="BG695" s="154"/>
    </row>
    <row r="696" spans="4:59" x14ac:dyDescent="0.2">
      <c r="D696" s="22"/>
      <c r="E696" s="23"/>
      <c r="F696" s="23"/>
      <c r="G696" s="23"/>
      <c r="H696" s="23"/>
      <c r="I696" s="64"/>
      <c r="J696" s="65"/>
      <c r="K696" s="65"/>
      <c r="L696" s="65"/>
      <c r="Q696" s="100"/>
      <c r="V696" s="9"/>
      <c r="W696" s="10"/>
      <c r="AE696" s="100"/>
      <c r="AN696" s="152"/>
      <c r="AO696" s="153"/>
      <c r="AP696" s="153"/>
      <c r="AQ696" s="153"/>
      <c r="AR696" s="153"/>
      <c r="AS696" s="154"/>
      <c r="AT696" s="155"/>
      <c r="AU696" s="155"/>
      <c r="AV696" s="155"/>
      <c r="AW696" s="107"/>
      <c r="AX696" s="107"/>
      <c r="AY696" s="107"/>
      <c r="AZ696" s="107"/>
      <c r="BA696" s="107"/>
      <c r="BB696" s="152"/>
      <c r="BC696" s="153"/>
      <c r="BD696" s="153"/>
      <c r="BE696" s="153"/>
      <c r="BF696" s="153"/>
      <c r="BG696" s="154"/>
    </row>
    <row r="697" spans="4:59" x14ac:dyDescent="0.2">
      <c r="D697" s="22"/>
      <c r="E697" s="23"/>
      <c r="F697" s="23"/>
      <c r="G697" s="23"/>
      <c r="H697" s="23"/>
      <c r="I697" s="64"/>
      <c r="J697" s="65"/>
      <c r="K697" s="65"/>
      <c r="L697" s="65"/>
      <c r="Q697" s="100"/>
      <c r="V697" s="9"/>
      <c r="W697" s="10"/>
      <c r="AE697" s="100"/>
      <c r="AN697" s="152"/>
      <c r="AO697" s="153"/>
      <c r="AP697" s="153"/>
      <c r="AQ697" s="153"/>
      <c r="AR697" s="153"/>
      <c r="AS697" s="154"/>
      <c r="AT697" s="155"/>
      <c r="AU697" s="155"/>
      <c r="AV697" s="155"/>
      <c r="AW697" s="107"/>
      <c r="AX697" s="107"/>
      <c r="AY697" s="107"/>
      <c r="AZ697" s="107"/>
      <c r="BA697" s="107"/>
      <c r="BB697" s="152"/>
      <c r="BC697" s="153"/>
      <c r="BD697" s="153"/>
      <c r="BE697" s="153"/>
      <c r="BF697" s="153"/>
      <c r="BG697" s="154"/>
    </row>
    <row r="698" spans="4:59" x14ac:dyDescent="0.2">
      <c r="D698" s="22"/>
      <c r="E698" s="23"/>
      <c r="F698" s="23"/>
      <c r="G698" s="23"/>
      <c r="H698" s="23"/>
      <c r="I698" s="64"/>
      <c r="J698" s="65"/>
      <c r="K698" s="65"/>
      <c r="L698" s="65"/>
      <c r="Q698" s="100"/>
      <c r="V698" s="9"/>
      <c r="W698" s="10"/>
      <c r="AE698" s="100"/>
      <c r="AN698" s="152"/>
      <c r="AO698" s="153"/>
      <c r="AP698" s="153"/>
      <c r="AQ698" s="153"/>
      <c r="AR698" s="153"/>
      <c r="AS698" s="154"/>
      <c r="AT698" s="155"/>
      <c r="AU698" s="155"/>
      <c r="AV698" s="155"/>
      <c r="AW698" s="107"/>
      <c r="AX698" s="107"/>
      <c r="AY698" s="107"/>
      <c r="AZ698" s="107"/>
      <c r="BA698" s="107"/>
      <c r="BB698" s="152"/>
      <c r="BC698" s="153"/>
      <c r="BD698" s="153"/>
      <c r="BE698" s="153"/>
      <c r="BF698" s="153"/>
      <c r="BG698" s="154"/>
    </row>
    <row r="699" spans="4:59" x14ac:dyDescent="0.2">
      <c r="D699" s="22"/>
      <c r="E699" s="23"/>
      <c r="F699" s="23"/>
      <c r="G699" s="23"/>
      <c r="H699" s="23"/>
      <c r="I699" s="64"/>
      <c r="J699" s="65"/>
      <c r="K699" s="65"/>
      <c r="L699" s="65"/>
      <c r="Q699" s="100"/>
      <c r="V699" s="9"/>
      <c r="W699" s="10"/>
      <c r="AE699" s="100"/>
      <c r="AN699" s="152"/>
      <c r="AO699" s="153"/>
      <c r="AP699" s="153"/>
      <c r="AQ699" s="153"/>
      <c r="AR699" s="153"/>
      <c r="AS699" s="154"/>
      <c r="AT699" s="155"/>
      <c r="AU699" s="155"/>
      <c r="AV699" s="155"/>
      <c r="AW699" s="107"/>
      <c r="AX699" s="107"/>
      <c r="AY699" s="107"/>
      <c r="AZ699" s="107"/>
      <c r="BA699" s="107"/>
      <c r="BB699" s="152"/>
      <c r="BC699" s="153"/>
      <c r="BD699" s="153"/>
      <c r="BE699" s="153"/>
      <c r="BF699" s="153"/>
      <c r="BG699" s="154"/>
    </row>
    <row r="700" spans="4:59" x14ac:dyDescent="0.2">
      <c r="D700" s="22"/>
      <c r="E700" s="23"/>
      <c r="F700" s="23"/>
      <c r="G700" s="23"/>
      <c r="H700" s="23"/>
      <c r="I700" s="64"/>
      <c r="J700" s="65"/>
      <c r="K700" s="65"/>
      <c r="L700" s="65"/>
      <c r="Q700" s="100"/>
      <c r="V700" s="9"/>
      <c r="W700" s="10"/>
      <c r="AE700" s="100"/>
      <c r="AN700" s="152"/>
      <c r="AO700" s="153"/>
      <c r="AP700" s="153"/>
      <c r="AQ700" s="153"/>
      <c r="AR700" s="153"/>
      <c r="AS700" s="154"/>
      <c r="AT700" s="155"/>
      <c r="AU700" s="155"/>
      <c r="AV700" s="155"/>
      <c r="AW700" s="107"/>
      <c r="AX700" s="107"/>
      <c r="AY700" s="107"/>
      <c r="AZ700" s="107"/>
      <c r="BA700" s="107"/>
      <c r="BB700" s="152"/>
      <c r="BC700" s="153"/>
      <c r="BD700" s="153"/>
      <c r="BE700" s="153"/>
      <c r="BF700" s="153"/>
      <c r="BG700" s="154"/>
    </row>
    <row r="701" spans="4:59" x14ac:dyDescent="0.2">
      <c r="D701" s="22"/>
      <c r="E701" s="23"/>
      <c r="F701" s="23"/>
      <c r="G701" s="23"/>
      <c r="H701" s="23"/>
      <c r="I701" s="64"/>
      <c r="J701" s="65"/>
      <c r="K701" s="65"/>
      <c r="L701" s="65"/>
      <c r="Q701" s="100"/>
      <c r="V701" s="9"/>
      <c r="W701" s="10"/>
      <c r="AE701" s="100"/>
      <c r="AN701" s="152"/>
      <c r="AO701" s="153"/>
      <c r="AP701" s="153"/>
      <c r="AQ701" s="153"/>
      <c r="AR701" s="153"/>
      <c r="AS701" s="154"/>
      <c r="AT701" s="155"/>
      <c r="AU701" s="155"/>
      <c r="AV701" s="155"/>
      <c r="AW701" s="107"/>
      <c r="AX701" s="107"/>
      <c r="AY701" s="107"/>
      <c r="AZ701" s="107"/>
      <c r="BA701" s="107"/>
      <c r="BB701" s="152"/>
      <c r="BC701" s="153"/>
      <c r="BD701" s="153"/>
      <c r="BE701" s="153"/>
      <c r="BF701" s="153"/>
      <c r="BG701" s="154"/>
    </row>
    <row r="702" spans="4:59" x14ac:dyDescent="0.2">
      <c r="D702" s="22"/>
      <c r="E702" s="23"/>
      <c r="F702" s="23"/>
      <c r="G702" s="23"/>
      <c r="H702" s="23"/>
      <c r="I702" s="64"/>
      <c r="J702" s="65"/>
      <c r="K702" s="65"/>
      <c r="L702" s="65"/>
      <c r="Q702" s="100"/>
      <c r="V702" s="9"/>
      <c r="W702" s="10"/>
      <c r="AE702" s="100"/>
      <c r="AN702" s="152"/>
      <c r="AO702" s="153"/>
      <c r="AP702" s="153"/>
      <c r="AQ702" s="153"/>
      <c r="AR702" s="153"/>
      <c r="AS702" s="154"/>
      <c r="AT702" s="155"/>
      <c r="AU702" s="155"/>
      <c r="AV702" s="155"/>
      <c r="AW702" s="107"/>
      <c r="AX702" s="107"/>
      <c r="AY702" s="107"/>
      <c r="AZ702" s="107"/>
      <c r="BA702" s="107"/>
      <c r="BB702" s="152"/>
      <c r="BC702" s="153"/>
      <c r="BD702" s="153"/>
      <c r="BE702" s="153"/>
      <c r="BF702" s="153"/>
      <c r="BG702" s="154"/>
    </row>
    <row r="703" spans="4:59" x14ac:dyDescent="0.2">
      <c r="D703" s="22"/>
      <c r="E703" s="23"/>
      <c r="F703" s="23"/>
      <c r="G703" s="23"/>
      <c r="H703" s="23"/>
      <c r="I703" s="64"/>
      <c r="J703" s="65"/>
      <c r="K703" s="65"/>
      <c r="L703" s="65"/>
      <c r="Q703" s="100"/>
      <c r="V703" s="9"/>
      <c r="W703" s="10"/>
      <c r="AE703" s="100"/>
      <c r="AN703" s="152"/>
      <c r="AO703" s="153"/>
      <c r="AP703" s="153"/>
      <c r="AQ703" s="153"/>
      <c r="AR703" s="153"/>
      <c r="AS703" s="154"/>
      <c r="AT703" s="155"/>
      <c r="AU703" s="155"/>
      <c r="AV703" s="155"/>
      <c r="AW703" s="107"/>
      <c r="AX703" s="107"/>
      <c r="AY703" s="107"/>
      <c r="AZ703" s="107"/>
      <c r="BA703" s="107"/>
      <c r="BB703" s="152"/>
      <c r="BC703" s="153"/>
      <c r="BD703" s="153"/>
      <c r="BE703" s="153"/>
      <c r="BF703" s="153"/>
      <c r="BG703" s="154"/>
    </row>
    <row r="704" spans="4:59" x14ac:dyDescent="0.2">
      <c r="D704" s="22"/>
      <c r="E704" s="23"/>
      <c r="F704" s="23"/>
      <c r="G704" s="23"/>
      <c r="H704" s="23"/>
      <c r="I704" s="64"/>
      <c r="J704" s="65"/>
      <c r="K704" s="65"/>
      <c r="L704" s="65"/>
      <c r="Q704" s="100"/>
      <c r="V704" s="9"/>
      <c r="W704" s="10"/>
      <c r="AE704" s="100"/>
      <c r="AN704" s="152"/>
      <c r="AO704" s="153"/>
      <c r="AP704" s="153"/>
      <c r="AQ704" s="153"/>
      <c r="AR704" s="153"/>
      <c r="AS704" s="154"/>
      <c r="AT704" s="155"/>
      <c r="AU704" s="155"/>
      <c r="AV704" s="155"/>
      <c r="AW704" s="107"/>
      <c r="AX704" s="107"/>
      <c r="AY704" s="107"/>
      <c r="AZ704" s="107"/>
      <c r="BA704" s="107"/>
      <c r="BB704" s="152"/>
      <c r="BC704" s="153"/>
      <c r="BD704" s="153"/>
      <c r="BE704" s="153"/>
      <c r="BF704" s="153"/>
      <c r="BG704" s="154"/>
    </row>
    <row r="705" spans="4:59" x14ac:dyDescent="0.2">
      <c r="D705" s="22"/>
      <c r="E705" s="23"/>
      <c r="F705" s="23"/>
      <c r="G705" s="23"/>
      <c r="H705" s="23"/>
      <c r="I705" s="64"/>
      <c r="J705" s="65"/>
      <c r="K705" s="65"/>
      <c r="L705" s="65"/>
      <c r="Q705" s="100"/>
      <c r="V705" s="9"/>
      <c r="W705" s="10"/>
      <c r="AE705" s="100"/>
      <c r="AN705" s="152"/>
      <c r="AO705" s="153"/>
      <c r="AP705" s="153"/>
      <c r="AQ705" s="153"/>
      <c r="AR705" s="153"/>
      <c r="AS705" s="154"/>
      <c r="AT705" s="155"/>
      <c r="AU705" s="155"/>
      <c r="AV705" s="155"/>
      <c r="AW705" s="107"/>
      <c r="AX705" s="107"/>
      <c r="AY705" s="107"/>
      <c r="AZ705" s="107"/>
      <c r="BA705" s="107"/>
      <c r="BB705" s="152"/>
      <c r="BC705" s="153"/>
      <c r="BD705" s="153"/>
      <c r="BE705" s="153"/>
      <c r="BF705" s="153"/>
      <c r="BG705" s="154"/>
    </row>
    <row r="706" spans="4:59" x14ac:dyDescent="0.2">
      <c r="D706" s="22"/>
      <c r="E706" s="23"/>
      <c r="F706" s="23"/>
      <c r="G706" s="23"/>
      <c r="H706" s="23"/>
      <c r="I706" s="64"/>
      <c r="J706" s="65"/>
      <c r="K706" s="65"/>
      <c r="L706" s="65"/>
      <c r="Q706" s="100"/>
      <c r="V706" s="9"/>
      <c r="W706" s="10"/>
      <c r="AE706" s="100"/>
      <c r="AN706" s="152"/>
      <c r="AO706" s="153"/>
      <c r="AP706" s="153"/>
      <c r="AQ706" s="153"/>
      <c r="AR706" s="153"/>
      <c r="AS706" s="154"/>
      <c r="AT706" s="155"/>
      <c r="AU706" s="155"/>
      <c r="AV706" s="155"/>
      <c r="AW706" s="107"/>
      <c r="AX706" s="107"/>
      <c r="AY706" s="107"/>
      <c r="AZ706" s="107"/>
      <c r="BA706" s="107"/>
      <c r="BB706" s="152"/>
      <c r="BC706" s="153"/>
      <c r="BD706" s="153"/>
      <c r="BE706" s="153"/>
      <c r="BF706" s="153"/>
      <c r="BG706" s="154"/>
    </row>
    <row r="707" spans="4:59" x14ac:dyDescent="0.2">
      <c r="D707" s="22"/>
      <c r="E707" s="23"/>
      <c r="F707" s="23"/>
      <c r="G707" s="23"/>
      <c r="H707" s="23"/>
      <c r="I707" s="64"/>
      <c r="J707" s="65"/>
      <c r="K707" s="65"/>
      <c r="L707" s="65"/>
      <c r="Q707" s="100"/>
      <c r="V707" s="9"/>
      <c r="W707" s="10"/>
      <c r="AE707" s="100"/>
      <c r="AN707" s="152"/>
      <c r="AO707" s="153"/>
      <c r="AP707" s="153"/>
      <c r="AQ707" s="153"/>
      <c r="AR707" s="153"/>
      <c r="AS707" s="154"/>
      <c r="AT707" s="155"/>
      <c r="AU707" s="155"/>
      <c r="AV707" s="155"/>
      <c r="AW707" s="107"/>
      <c r="AX707" s="107"/>
      <c r="AY707" s="107"/>
      <c r="AZ707" s="107"/>
      <c r="BA707" s="107"/>
      <c r="BB707" s="152"/>
      <c r="BC707" s="153"/>
      <c r="BD707" s="153"/>
      <c r="BE707" s="153"/>
      <c r="BF707" s="153"/>
      <c r="BG707" s="154"/>
    </row>
    <row r="708" spans="4:59" x14ac:dyDescent="0.2">
      <c r="D708" s="22"/>
      <c r="E708" s="23"/>
      <c r="F708" s="23"/>
      <c r="G708" s="23"/>
      <c r="H708" s="23"/>
      <c r="I708" s="64"/>
      <c r="J708" s="65"/>
      <c r="K708" s="65"/>
      <c r="L708" s="65"/>
      <c r="Q708" s="100"/>
      <c r="V708" s="9"/>
      <c r="W708" s="10"/>
      <c r="AE708" s="100"/>
      <c r="AN708" s="152"/>
      <c r="AO708" s="153"/>
      <c r="AP708" s="153"/>
      <c r="AQ708" s="153"/>
      <c r="AR708" s="153"/>
      <c r="AS708" s="154"/>
      <c r="AT708" s="155"/>
      <c r="AU708" s="155"/>
      <c r="AV708" s="155"/>
      <c r="AW708" s="107"/>
      <c r="AX708" s="107"/>
      <c r="AY708" s="107"/>
      <c r="AZ708" s="107"/>
      <c r="BA708" s="107"/>
      <c r="BB708" s="152"/>
      <c r="BC708" s="153"/>
      <c r="BD708" s="153"/>
      <c r="BE708" s="153"/>
      <c r="BF708" s="153"/>
      <c r="BG708" s="154"/>
    </row>
    <row r="709" spans="4:59" x14ac:dyDescent="0.2">
      <c r="D709" s="22"/>
      <c r="E709" s="23"/>
      <c r="F709" s="23"/>
      <c r="G709" s="23"/>
      <c r="H709" s="23"/>
      <c r="I709" s="64"/>
      <c r="J709" s="65"/>
      <c r="K709" s="65"/>
      <c r="L709" s="65"/>
      <c r="Q709" s="100"/>
      <c r="V709" s="9"/>
      <c r="W709" s="10"/>
      <c r="AE709" s="100"/>
      <c r="AN709" s="152"/>
      <c r="AO709" s="153"/>
      <c r="AP709" s="153"/>
      <c r="AQ709" s="153"/>
      <c r="AR709" s="153"/>
      <c r="AS709" s="154"/>
      <c r="AT709" s="155"/>
      <c r="AU709" s="155"/>
      <c r="AV709" s="155"/>
      <c r="AW709" s="107"/>
      <c r="AX709" s="107"/>
      <c r="AY709" s="107"/>
      <c r="AZ709" s="107"/>
      <c r="BA709" s="107"/>
      <c r="BB709" s="152"/>
      <c r="BC709" s="153"/>
      <c r="BD709" s="153"/>
      <c r="BE709" s="153"/>
      <c r="BF709" s="153"/>
      <c r="BG709" s="154"/>
    </row>
    <row r="710" spans="4:59" x14ac:dyDescent="0.2">
      <c r="D710" s="22"/>
      <c r="E710" s="23"/>
      <c r="F710" s="23"/>
      <c r="G710" s="23"/>
      <c r="H710" s="23"/>
      <c r="I710" s="64"/>
      <c r="J710" s="65"/>
      <c r="K710" s="65"/>
      <c r="L710" s="65"/>
      <c r="Q710" s="100"/>
      <c r="V710" s="9"/>
      <c r="W710" s="10"/>
      <c r="AE710" s="100"/>
      <c r="AN710" s="152"/>
      <c r="AO710" s="153"/>
      <c r="AP710" s="153"/>
      <c r="AQ710" s="153"/>
      <c r="AR710" s="153"/>
      <c r="AS710" s="154"/>
      <c r="AT710" s="155"/>
      <c r="AU710" s="155"/>
      <c r="AV710" s="155"/>
      <c r="AW710" s="107"/>
      <c r="AX710" s="107"/>
      <c r="AY710" s="107"/>
      <c r="AZ710" s="107"/>
      <c r="BA710" s="107"/>
      <c r="BB710" s="152"/>
      <c r="BC710" s="153"/>
      <c r="BD710" s="153"/>
      <c r="BE710" s="153"/>
      <c r="BF710" s="153"/>
      <c r="BG710" s="154"/>
    </row>
    <row r="711" spans="4:59" x14ac:dyDescent="0.2">
      <c r="D711" s="22"/>
      <c r="E711" s="23"/>
      <c r="F711" s="23"/>
      <c r="G711" s="23"/>
      <c r="H711" s="23"/>
      <c r="I711" s="64"/>
      <c r="J711" s="65"/>
      <c r="K711" s="65"/>
      <c r="L711" s="65"/>
      <c r="Q711" s="100"/>
      <c r="V711" s="9"/>
      <c r="W711" s="10"/>
      <c r="AE711" s="100"/>
      <c r="AN711" s="152"/>
      <c r="AO711" s="153"/>
      <c r="AP711" s="153"/>
      <c r="AQ711" s="153"/>
      <c r="AR711" s="153"/>
      <c r="AS711" s="154"/>
      <c r="AT711" s="155"/>
      <c r="AU711" s="155"/>
      <c r="AV711" s="155"/>
      <c r="AW711" s="107"/>
      <c r="AX711" s="107"/>
      <c r="AY711" s="107"/>
      <c r="AZ711" s="107"/>
      <c r="BA711" s="107"/>
      <c r="BB711" s="152"/>
      <c r="BC711" s="153"/>
      <c r="BD711" s="153"/>
      <c r="BE711" s="153"/>
      <c r="BF711" s="153"/>
      <c r="BG711" s="154"/>
    </row>
    <row r="712" spans="4:59" x14ac:dyDescent="0.2">
      <c r="D712" s="22"/>
      <c r="E712" s="23"/>
      <c r="F712" s="23"/>
      <c r="G712" s="23"/>
      <c r="H712" s="23"/>
      <c r="I712" s="64"/>
      <c r="J712" s="65"/>
      <c r="K712" s="65"/>
      <c r="L712" s="65"/>
      <c r="Q712" s="100"/>
      <c r="V712" s="9"/>
      <c r="W712" s="10"/>
      <c r="AE712" s="100"/>
      <c r="AN712" s="152"/>
      <c r="AO712" s="153"/>
      <c r="AP712" s="153"/>
      <c r="AQ712" s="153"/>
      <c r="AR712" s="153"/>
      <c r="AS712" s="154"/>
      <c r="AT712" s="155"/>
      <c r="AU712" s="155"/>
      <c r="AV712" s="155"/>
      <c r="AW712" s="107"/>
      <c r="AX712" s="107"/>
      <c r="AY712" s="107"/>
      <c r="AZ712" s="107"/>
      <c r="BA712" s="107"/>
      <c r="BB712" s="152"/>
      <c r="BC712" s="153"/>
      <c r="BD712" s="153"/>
      <c r="BE712" s="153"/>
      <c r="BF712" s="153"/>
      <c r="BG712" s="154"/>
    </row>
    <row r="713" spans="4:59" x14ac:dyDescent="0.2">
      <c r="D713" s="22"/>
      <c r="E713" s="23"/>
      <c r="F713" s="23"/>
      <c r="G713" s="23"/>
      <c r="H713" s="23"/>
      <c r="I713" s="64"/>
      <c r="J713" s="65"/>
      <c r="K713" s="65"/>
      <c r="L713" s="65"/>
      <c r="Q713" s="100"/>
      <c r="V713" s="9"/>
      <c r="W713" s="10"/>
      <c r="AE713" s="100"/>
      <c r="AN713" s="152"/>
      <c r="AO713" s="153"/>
      <c r="AP713" s="153"/>
      <c r="AQ713" s="153"/>
      <c r="AR713" s="153"/>
      <c r="AS713" s="154"/>
      <c r="AT713" s="155"/>
      <c r="AU713" s="155"/>
      <c r="AV713" s="155"/>
      <c r="AW713" s="107"/>
      <c r="AX713" s="107"/>
      <c r="AY713" s="107"/>
      <c r="AZ713" s="107"/>
      <c r="BA713" s="107"/>
      <c r="BB713" s="152"/>
      <c r="BC713" s="153"/>
      <c r="BD713" s="153"/>
      <c r="BE713" s="153"/>
      <c r="BF713" s="153"/>
      <c r="BG713" s="154"/>
    </row>
    <row r="714" spans="4:59" x14ac:dyDescent="0.2">
      <c r="D714" s="22"/>
      <c r="E714" s="23"/>
      <c r="F714" s="23"/>
      <c r="G714" s="23"/>
      <c r="H714" s="23"/>
      <c r="I714" s="64"/>
      <c r="J714" s="65"/>
      <c r="K714" s="65"/>
      <c r="L714" s="65"/>
      <c r="Q714" s="100"/>
      <c r="V714" s="9"/>
      <c r="W714" s="10"/>
      <c r="AE714" s="100"/>
      <c r="AN714" s="152"/>
      <c r="AO714" s="153"/>
      <c r="AP714" s="153"/>
      <c r="AQ714" s="153"/>
      <c r="AR714" s="153"/>
      <c r="AS714" s="154"/>
      <c r="AT714" s="155"/>
      <c r="AU714" s="155"/>
      <c r="AV714" s="155"/>
      <c r="AW714" s="107"/>
      <c r="AX714" s="107"/>
      <c r="AY714" s="107"/>
      <c r="AZ714" s="107"/>
      <c r="BA714" s="107"/>
      <c r="BB714" s="152"/>
      <c r="BC714" s="153"/>
      <c r="BD714" s="153"/>
      <c r="BE714" s="153"/>
      <c r="BF714" s="153"/>
      <c r="BG714" s="154"/>
    </row>
    <row r="715" spans="4:59" x14ac:dyDescent="0.2">
      <c r="D715" s="22"/>
      <c r="E715" s="23"/>
      <c r="F715" s="23"/>
      <c r="G715" s="23"/>
      <c r="H715" s="23"/>
      <c r="I715" s="64"/>
      <c r="J715" s="65"/>
      <c r="K715" s="65"/>
      <c r="L715" s="65"/>
      <c r="Q715" s="100"/>
      <c r="V715" s="9"/>
      <c r="W715" s="10"/>
      <c r="AE715" s="100"/>
      <c r="AN715" s="152"/>
      <c r="AO715" s="153"/>
      <c r="AP715" s="153"/>
      <c r="AQ715" s="153"/>
      <c r="AR715" s="153"/>
      <c r="AS715" s="154"/>
      <c r="AT715" s="155"/>
      <c r="AU715" s="155"/>
      <c r="AV715" s="155"/>
      <c r="AW715" s="107"/>
      <c r="AX715" s="107"/>
      <c r="AY715" s="107"/>
      <c r="AZ715" s="107"/>
      <c r="BA715" s="107"/>
      <c r="BB715" s="152"/>
      <c r="BC715" s="153"/>
      <c r="BD715" s="153"/>
      <c r="BE715" s="153"/>
      <c r="BF715" s="153"/>
      <c r="BG715" s="154"/>
    </row>
    <row r="716" spans="4:59" x14ac:dyDescent="0.2">
      <c r="D716" s="22"/>
      <c r="E716" s="23"/>
      <c r="F716" s="23"/>
      <c r="G716" s="23"/>
      <c r="H716" s="23"/>
      <c r="I716" s="64"/>
      <c r="J716" s="65"/>
      <c r="K716" s="65"/>
      <c r="L716" s="65"/>
      <c r="Q716" s="100"/>
      <c r="V716" s="9"/>
      <c r="W716" s="10"/>
      <c r="AE716" s="100"/>
      <c r="AN716" s="152"/>
      <c r="AO716" s="153"/>
      <c r="AP716" s="153"/>
      <c r="AQ716" s="153"/>
      <c r="AR716" s="153"/>
      <c r="AS716" s="154"/>
      <c r="AT716" s="155"/>
      <c r="AU716" s="155"/>
      <c r="AV716" s="155"/>
      <c r="AW716" s="107"/>
      <c r="AX716" s="107"/>
      <c r="AY716" s="107"/>
      <c r="AZ716" s="107"/>
      <c r="BA716" s="107"/>
      <c r="BB716" s="152"/>
      <c r="BC716" s="153"/>
      <c r="BD716" s="153"/>
      <c r="BE716" s="153"/>
      <c r="BF716" s="153"/>
      <c r="BG716" s="154"/>
    </row>
    <row r="717" spans="4:59" x14ac:dyDescent="0.2">
      <c r="D717" s="22"/>
      <c r="E717" s="23"/>
      <c r="F717" s="23"/>
      <c r="G717" s="23"/>
      <c r="H717" s="23"/>
      <c r="I717" s="64"/>
      <c r="J717" s="65"/>
      <c r="K717" s="65"/>
      <c r="L717" s="65"/>
      <c r="Q717" s="100"/>
      <c r="V717" s="9"/>
      <c r="W717" s="10"/>
      <c r="AE717" s="100"/>
      <c r="AN717" s="152"/>
      <c r="AO717" s="153"/>
      <c r="AP717" s="153"/>
      <c r="AQ717" s="153"/>
      <c r="AR717" s="153"/>
      <c r="AS717" s="154"/>
      <c r="AT717" s="155"/>
      <c r="AU717" s="155"/>
      <c r="AV717" s="155"/>
      <c r="AW717" s="107"/>
      <c r="AX717" s="107"/>
      <c r="AY717" s="107"/>
      <c r="AZ717" s="107"/>
      <c r="BA717" s="107"/>
      <c r="BB717" s="152"/>
      <c r="BC717" s="153"/>
      <c r="BD717" s="153"/>
      <c r="BE717" s="153"/>
      <c r="BF717" s="153"/>
      <c r="BG717" s="154"/>
    </row>
    <row r="718" spans="4:59" x14ac:dyDescent="0.2">
      <c r="D718" s="22"/>
      <c r="E718" s="23"/>
      <c r="F718" s="23"/>
      <c r="G718" s="23"/>
      <c r="H718" s="23"/>
      <c r="I718" s="64"/>
      <c r="J718" s="65"/>
      <c r="K718" s="65"/>
      <c r="L718" s="65"/>
      <c r="Q718" s="100"/>
      <c r="V718" s="9"/>
      <c r="W718" s="10"/>
      <c r="AE718" s="100"/>
      <c r="AN718" s="152"/>
      <c r="AO718" s="153"/>
      <c r="AP718" s="153"/>
      <c r="AQ718" s="153"/>
      <c r="AR718" s="153"/>
      <c r="AS718" s="154"/>
      <c r="AT718" s="155"/>
      <c r="AU718" s="155"/>
      <c r="AV718" s="155"/>
      <c r="AW718" s="107"/>
      <c r="AX718" s="107"/>
      <c r="AY718" s="107"/>
      <c r="AZ718" s="107"/>
      <c r="BA718" s="107"/>
      <c r="BB718" s="152"/>
      <c r="BC718" s="153"/>
      <c r="BD718" s="153"/>
      <c r="BE718" s="153"/>
      <c r="BF718" s="153"/>
      <c r="BG718" s="154"/>
    </row>
    <row r="719" spans="4:59" x14ac:dyDescent="0.2">
      <c r="D719" s="22"/>
      <c r="E719" s="23"/>
      <c r="F719" s="23"/>
      <c r="G719" s="23"/>
      <c r="H719" s="23"/>
      <c r="I719" s="64"/>
      <c r="J719" s="65"/>
      <c r="K719" s="65"/>
      <c r="L719" s="65"/>
      <c r="Q719" s="100"/>
      <c r="V719" s="9"/>
      <c r="W719" s="10"/>
      <c r="AE719" s="100"/>
      <c r="AN719" s="152"/>
      <c r="AO719" s="153"/>
      <c r="AP719" s="153"/>
      <c r="AQ719" s="153"/>
      <c r="AR719" s="153"/>
      <c r="AS719" s="154"/>
      <c r="AT719" s="155"/>
      <c r="AU719" s="155"/>
      <c r="AV719" s="155"/>
      <c r="AW719" s="107"/>
      <c r="AX719" s="107"/>
      <c r="AY719" s="107"/>
      <c r="AZ719" s="107"/>
      <c r="BA719" s="107"/>
      <c r="BB719" s="152"/>
      <c r="BC719" s="153"/>
      <c r="BD719" s="153"/>
      <c r="BE719" s="153"/>
      <c r="BF719" s="153"/>
      <c r="BG719" s="154"/>
    </row>
    <row r="720" spans="4:59" x14ac:dyDescent="0.2">
      <c r="D720" s="22"/>
      <c r="E720" s="23"/>
      <c r="F720" s="23"/>
      <c r="G720" s="23"/>
      <c r="H720" s="23"/>
      <c r="I720" s="64"/>
      <c r="J720" s="65"/>
      <c r="K720" s="65"/>
      <c r="L720" s="65"/>
      <c r="Q720" s="100"/>
      <c r="V720" s="9"/>
      <c r="W720" s="10"/>
      <c r="AE720" s="100"/>
      <c r="AN720" s="152"/>
      <c r="AO720" s="153"/>
      <c r="AP720" s="153"/>
      <c r="AQ720" s="153"/>
      <c r="AR720" s="153"/>
      <c r="AS720" s="154"/>
      <c r="AT720" s="155"/>
      <c r="AU720" s="155"/>
      <c r="AV720" s="155"/>
      <c r="AW720" s="107"/>
      <c r="AX720" s="107"/>
      <c r="AY720" s="107"/>
      <c r="AZ720" s="107"/>
      <c r="BA720" s="107"/>
      <c r="BB720" s="152"/>
      <c r="BC720" s="153"/>
      <c r="BD720" s="153"/>
      <c r="BE720" s="153"/>
      <c r="BF720" s="153"/>
      <c r="BG720" s="154"/>
    </row>
    <row r="721" spans="4:59" x14ac:dyDescent="0.2">
      <c r="D721" s="22"/>
      <c r="E721" s="23"/>
      <c r="F721" s="23"/>
      <c r="G721" s="23"/>
      <c r="H721" s="23"/>
      <c r="I721" s="64"/>
      <c r="J721" s="65"/>
      <c r="K721" s="65"/>
      <c r="L721" s="65"/>
      <c r="Q721" s="100"/>
      <c r="V721" s="9"/>
      <c r="W721" s="10"/>
      <c r="AE721" s="100"/>
      <c r="AN721" s="152"/>
      <c r="AO721" s="153"/>
      <c r="AP721" s="153"/>
      <c r="AQ721" s="153"/>
      <c r="AR721" s="153"/>
      <c r="AS721" s="154"/>
      <c r="AT721" s="155"/>
      <c r="AU721" s="155"/>
      <c r="AV721" s="155"/>
      <c r="AW721" s="107"/>
      <c r="AX721" s="107"/>
      <c r="AY721" s="107"/>
      <c r="AZ721" s="107"/>
      <c r="BA721" s="107"/>
      <c r="BB721" s="152"/>
      <c r="BC721" s="153"/>
      <c r="BD721" s="153"/>
      <c r="BE721" s="153"/>
      <c r="BF721" s="153"/>
      <c r="BG721" s="154"/>
    </row>
    <row r="722" spans="4:59" x14ac:dyDescent="0.2">
      <c r="D722" s="22"/>
      <c r="E722" s="23"/>
      <c r="F722" s="23"/>
      <c r="G722" s="23"/>
      <c r="H722" s="23"/>
      <c r="I722" s="64"/>
      <c r="J722" s="65"/>
      <c r="K722" s="65"/>
      <c r="L722" s="65"/>
      <c r="Q722" s="100"/>
      <c r="V722" s="9"/>
      <c r="W722" s="10"/>
      <c r="AE722" s="100"/>
      <c r="AN722" s="152"/>
      <c r="AO722" s="153"/>
      <c r="AP722" s="153"/>
      <c r="AQ722" s="153"/>
      <c r="AR722" s="153"/>
      <c r="AS722" s="154"/>
      <c r="AT722" s="155"/>
      <c r="AU722" s="155"/>
      <c r="AV722" s="155"/>
      <c r="AW722" s="107"/>
      <c r="AX722" s="107"/>
      <c r="AY722" s="107"/>
      <c r="AZ722" s="107"/>
      <c r="BA722" s="107"/>
      <c r="BB722" s="152"/>
      <c r="BC722" s="153"/>
      <c r="BD722" s="153"/>
      <c r="BE722" s="153"/>
      <c r="BF722" s="153"/>
      <c r="BG722" s="154"/>
    </row>
    <row r="723" spans="4:59" x14ac:dyDescent="0.2">
      <c r="D723" s="22"/>
      <c r="E723" s="23"/>
      <c r="F723" s="23"/>
      <c r="G723" s="23"/>
      <c r="H723" s="23"/>
      <c r="I723" s="64"/>
      <c r="J723" s="65"/>
      <c r="K723" s="65"/>
      <c r="L723" s="65"/>
      <c r="Q723" s="100"/>
      <c r="V723" s="9"/>
      <c r="W723" s="10"/>
      <c r="AE723" s="100"/>
      <c r="AN723" s="152"/>
      <c r="AO723" s="153"/>
      <c r="AP723" s="153"/>
      <c r="AQ723" s="153"/>
      <c r="AR723" s="153"/>
      <c r="AS723" s="154"/>
      <c r="AT723" s="155"/>
      <c r="AU723" s="155"/>
      <c r="AV723" s="155"/>
      <c r="AW723" s="107"/>
      <c r="AX723" s="107"/>
      <c r="AY723" s="107"/>
      <c r="AZ723" s="107"/>
      <c r="BA723" s="107"/>
      <c r="BB723" s="152"/>
      <c r="BC723" s="153"/>
      <c r="BD723" s="153"/>
      <c r="BE723" s="153"/>
      <c r="BF723" s="153"/>
      <c r="BG723" s="154"/>
    </row>
    <row r="724" spans="4:59" x14ac:dyDescent="0.2">
      <c r="D724" s="22"/>
      <c r="E724" s="23"/>
      <c r="F724" s="23"/>
      <c r="G724" s="23"/>
      <c r="H724" s="23"/>
      <c r="I724" s="64"/>
      <c r="J724" s="65"/>
      <c r="K724" s="65"/>
      <c r="L724" s="65"/>
      <c r="Q724" s="100"/>
      <c r="V724" s="9"/>
      <c r="W724" s="10"/>
      <c r="AE724" s="100"/>
      <c r="AN724" s="152"/>
      <c r="AO724" s="153"/>
      <c r="AP724" s="153"/>
      <c r="AQ724" s="153"/>
      <c r="AR724" s="153"/>
      <c r="AS724" s="154"/>
      <c r="AT724" s="155"/>
      <c r="AU724" s="155"/>
      <c r="AV724" s="155"/>
      <c r="AW724" s="107"/>
      <c r="AX724" s="107"/>
      <c r="AY724" s="107"/>
      <c r="AZ724" s="107"/>
      <c r="BA724" s="107"/>
      <c r="BB724" s="152"/>
      <c r="BC724" s="153"/>
      <c r="BD724" s="153"/>
      <c r="BE724" s="153"/>
      <c r="BF724" s="153"/>
      <c r="BG724" s="154"/>
    </row>
    <row r="725" spans="4:59" x14ac:dyDescent="0.2">
      <c r="D725" s="22"/>
      <c r="E725" s="23"/>
      <c r="F725" s="23"/>
      <c r="G725" s="23"/>
      <c r="H725" s="23"/>
      <c r="I725" s="64"/>
      <c r="J725" s="65"/>
      <c r="K725" s="65"/>
      <c r="L725" s="65"/>
      <c r="Q725" s="100"/>
      <c r="V725" s="9"/>
      <c r="W725" s="10"/>
      <c r="AE725" s="100"/>
      <c r="AN725" s="152"/>
      <c r="AO725" s="153"/>
      <c r="AP725" s="153"/>
      <c r="AQ725" s="153"/>
      <c r="AR725" s="153"/>
      <c r="AS725" s="154"/>
      <c r="AT725" s="155"/>
      <c r="AU725" s="155"/>
      <c r="AV725" s="155"/>
      <c r="AW725" s="107"/>
      <c r="AX725" s="107"/>
      <c r="AY725" s="107"/>
      <c r="AZ725" s="107"/>
      <c r="BA725" s="107"/>
      <c r="BB725" s="152"/>
      <c r="BC725" s="153"/>
      <c r="BD725" s="153"/>
      <c r="BE725" s="153"/>
      <c r="BF725" s="153"/>
      <c r="BG725" s="154"/>
    </row>
    <row r="726" spans="4:59" x14ac:dyDescent="0.2">
      <c r="D726" s="22"/>
      <c r="E726" s="23"/>
      <c r="F726" s="23"/>
      <c r="G726" s="23"/>
      <c r="H726" s="23"/>
      <c r="I726" s="64"/>
      <c r="J726" s="65"/>
      <c r="K726" s="65"/>
      <c r="L726" s="65"/>
      <c r="Q726" s="100"/>
      <c r="V726" s="9"/>
      <c r="W726" s="10"/>
      <c r="AE726" s="100"/>
      <c r="AN726" s="152"/>
      <c r="AO726" s="153"/>
      <c r="AP726" s="153"/>
      <c r="AQ726" s="153"/>
      <c r="AR726" s="153"/>
      <c r="AS726" s="154"/>
      <c r="AT726" s="155"/>
      <c r="AU726" s="155"/>
      <c r="AV726" s="155"/>
      <c r="AW726" s="107"/>
      <c r="AX726" s="107"/>
      <c r="AY726" s="107"/>
      <c r="AZ726" s="107"/>
      <c r="BA726" s="107"/>
      <c r="BB726" s="152"/>
      <c r="BC726" s="153"/>
      <c r="BD726" s="153"/>
      <c r="BE726" s="153"/>
      <c r="BF726" s="153"/>
      <c r="BG726" s="154"/>
    </row>
    <row r="727" spans="4:59" x14ac:dyDescent="0.2">
      <c r="D727" s="22"/>
      <c r="E727" s="23"/>
      <c r="F727" s="23"/>
      <c r="G727" s="23"/>
      <c r="H727" s="23"/>
      <c r="I727" s="64"/>
      <c r="J727" s="65"/>
      <c r="K727" s="65"/>
      <c r="L727" s="65"/>
      <c r="Q727" s="100"/>
      <c r="V727" s="9"/>
      <c r="W727" s="10"/>
      <c r="AE727" s="100"/>
      <c r="AN727" s="152"/>
      <c r="AO727" s="153"/>
      <c r="AP727" s="153"/>
      <c r="AQ727" s="153"/>
      <c r="AR727" s="153"/>
      <c r="AS727" s="154"/>
      <c r="AT727" s="155"/>
      <c r="AU727" s="155"/>
      <c r="AV727" s="155"/>
      <c r="AW727" s="107"/>
      <c r="AX727" s="107"/>
      <c r="AY727" s="107"/>
      <c r="AZ727" s="107"/>
      <c r="BA727" s="107"/>
      <c r="BB727" s="152"/>
      <c r="BC727" s="153"/>
      <c r="BD727" s="153"/>
      <c r="BE727" s="153"/>
      <c r="BF727" s="153"/>
      <c r="BG727" s="154"/>
    </row>
    <row r="728" spans="4:59" x14ac:dyDescent="0.2">
      <c r="D728" s="22"/>
      <c r="E728" s="23"/>
      <c r="F728" s="23"/>
      <c r="G728" s="23"/>
      <c r="H728" s="23"/>
      <c r="I728" s="64"/>
      <c r="J728" s="65"/>
      <c r="K728" s="65"/>
      <c r="L728" s="65"/>
      <c r="Q728" s="100"/>
      <c r="V728" s="9"/>
      <c r="W728" s="10"/>
      <c r="AE728" s="100"/>
      <c r="AN728" s="152"/>
      <c r="AO728" s="153"/>
      <c r="AP728" s="153"/>
      <c r="AQ728" s="153"/>
      <c r="AR728" s="153"/>
      <c r="AS728" s="154"/>
      <c r="AT728" s="155"/>
      <c r="AU728" s="155"/>
      <c r="AV728" s="155"/>
      <c r="AW728" s="107"/>
      <c r="AX728" s="107"/>
      <c r="AY728" s="107"/>
      <c r="AZ728" s="107"/>
      <c r="BA728" s="107"/>
      <c r="BB728" s="152"/>
      <c r="BC728" s="153"/>
      <c r="BD728" s="153"/>
      <c r="BE728" s="153"/>
      <c r="BF728" s="153"/>
      <c r="BG728" s="154"/>
    </row>
    <row r="729" spans="4:59" x14ac:dyDescent="0.2">
      <c r="D729" s="22"/>
      <c r="E729" s="23"/>
      <c r="F729" s="23"/>
      <c r="G729" s="23"/>
      <c r="H729" s="23"/>
      <c r="I729" s="64"/>
      <c r="J729" s="65"/>
      <c r="K729" s="65"/>
      <c r="L729" s="65"/>
      <c r="Q729" s="100"/>
      <c r="V729" s="9"/>
      <c r="W729" s="10"/>
      <c r="AE729" s="100"/>
      <c r="AN729" s="152"/>
      <c r="AO729" s="153"/>
      <c r="AP729" s="153"/>
      <c r="AQ729" s="153"/>
      <c r="AR729" s="153"/>
      <c r="AS729" s="154"/>
      <c r="AT729" s="155"/>
      <c r="AU729" s="155"/>
      <c r="AV729" s="155"/>
      <c r="AW729" s="107"/>
      <c r="AX729" s="107"/>
      <c r="AY729" s="107"/>
      <c r="AZ729" s="107"/>
      <c r="BA729" s="107"/>
      <c r="BB729" s="152"/>
      <c r="BC729" s="153"/>
      <c r="BD729" s="153"/>
      <c r="BE729" s="153"/>
      <c r="BF729" s="153"/>
      <c r="BG729" s="154"/>
    </row>
    <row r="730" spans="4:59" x14ac:dyDescent="0.2">
      <c r="D730" s="22"/>
      <c r="E730" s="23"/>
      <c r="F730" s="23"/>
      <c r="G730" s="23"/>
      <c r="H730" s="23"/>
      <c r="I730" s="64"/>
      <c r="J730" s="65"/>
      <c r="K730" s="65"/>
      <c r="L730" s="65"/>
      <c r="Q730" s="100"/>
      <c r="V730" s="9"/>
      <c r="W730" s="10"/>
      <c r="AE730" s="100"/>
      <c r="AN730" s="152"/>
      <c r="AO730" s="153"/>
      <c r="AP730" s="153"/>
      <c r="AQ730" s="153"/>
      <c r="AR730" s="153"/>
      <c r="AS730" s="154"/>
      <c r="AT730" s="155"/>
      <c r="AU730" s="155"/>
      <c r="AV730" s="155"/>
      <c r="AW730" s="107"/>
      <c r="AX730" s="107"/>
      <c r="AY730" s="107"/>
      <c r="AZ730" s="107"/>
      <c r="BA730" s="107"/>
      <c r="BB730" s="152"/>
      <c r="BC730" s="153"/>
      <c r="BD730" s="153"/>
      <c r="BE730" s="153"/>
      <c r="BF730" s="153"/>
      <c r="BG730" s="154"/>
    </row>
    <row r="731" spans="4:59" x14ac:dyDescent="0.2">
      <c r="D731" s="22"/>
      <c r="E731" s="23"/>
      <c r="F731" s="23"/>
      <c r="G731" s="23"/>
      <c r="H731" s="23"/>
      <c r="I731" s="64"/>
      <c r="J731" s="65"/>
      <c r="K731" s="65"/>
      <c r="L731" s="65"/>
      <c r="Q731" s="100"/>
      <c r="V731" s="9"/>
      <c r="W731" s="10"/>
      <c r="AE731" s="100"/>
      <c r="AN731" s="152"/>
      <c r="AO731" s="153"/>
      <c r="AP731" s="153"/>
      <c r="AQ731" s="153"/>
      <c r="AR731" s="153"/>
      <c r="AS731" s="154"/>
      <c r="AT731" s="155"/>
      <c r="AU731" s="155"/>
      <c r="AV731" s="155"/>
      <c r="AW731" s="107"/>
      <c r="AX731" s="107"/>
      <c r="AY731" s="107"/>
      <c r="AZ731" s="107"/>
      <c r="BA731" s="107"/>
      <c r="BB731" s="152"/>
      <c r="BC731" s="153"/>
      <c r="BD731" s="153"/>
      <c r="BE731" s="153"/>
      <c r="BF731" s="153"/>
      <c r="BG731" s="154"/>
    </row>
    <row r="732" spans="4:59" x14ac:dyDescent="0.2">
      <c r="D732" s="22"/>
      <c r="E732" s="23"/>
      <c r="F732" s="23"/>
      <c r="G732" s="23"/>
      <c r="H732" s="23"/>
      <c r="I732" s="64"/>
      <c r="J732" s="65"/>
      <c r="K732" s="65"/>
      <c r="L732" s="65"/>
      <c r="Q732" s="100"/>
      <c r="V732" s="9"/>
      <c r="W732" s="10"/>
      <c r="AE732" s="100"/>
      <c r="AN732" s="152"/>
      <c r="AO732" s="153"/>
      <c r="AP732" s="153"/>
      <c r="AQ732" s="153"/>
      <c r="AR732" s="153"/>
      <c r="AS732" s="154"/>
      <c r="AT732" s="155"/>
      <c r="AU732" s="155"/>
      <c r="AV732" s="155"/>
      <c r="AW732" s="107"/>
      <c r="AX732" s="107"/>
      <c r="AY732" s="107"/>
      <c r="AZ732" s="107"/>
      <c r="BA732" s="107"/>
      <c r="BB732" s="152"/>
      <c r="BC732" s="153"/>
      <c r="BD732" s="153"/>
      <c r="BE732" s="153"/>
      <c r="BF732" s="153"/>
      <c r="BG732" s="154"/>
    </row>
    <row r="733" spans="4:59" x14ac:dyDescent="0.2">
      <c r="D733" s="22"/>
      <c r="E733" s="23"/>
      <c r="F733" s="23"/>
      <c r="G733" s="23"/>
      <c r="H733" s="23"/>
      <c r="I733" s="64"/>
      <c r="J733" s="65"/>
      <c r="K733" s="65"/>
      <c r="L733" s="65"/>
      <c r="Q733" s="100"/>
      <c r="V733" s="9"/>
      <c r="W733" s="10"/>
      <c r="AE733" s="100"/>
      <c r="AN733" s="152"/>
      <c r="AO733" s="153"/>
      <c r="AP733" s="153"/>
      <c r="AQ733" s="153"/>
      <c r="AR733" s="153"/>
      <c r="AS733" s="154"/>
      <c r="AT733" s="155"/>
      <c r="AU733" s="155"/>
      <c r="AV733" s="155"/>
      <c r="AW733" s="107"/>
      <c r="AX733" s="107"/>
      <c r="AY733" s="107"/>
      <c r="AZ733" s="107"/>
      <c r="BA733" s="107"/>
      <c r="BB733" s="152"/>
      <c r="BC733" s="153"/>
      <c r="BD733" s="153"/>
      <c r="BE733" s="153"/>
      <c r="BF733" s="153"/>
      <c r="BG733" s="154"/>
    </row>
    <row r="734" spans="4:59" x14ac:dyDescent="0.2">
      <c r="D734" s="22"/>
      <c r="E734" s="23"/>
      <c r="F734" s="23"/>
      <c r="G734" s="23"/>
      <c r="H734" s="23"/>
      <c r="I734" s="64"/>
      <c r="J734" s="65"/>
      <c r="K734" s="65"/>
      <c r="L734" s="65"/>
      <c r="Q734" s="100"/>
      <c r="V734" s="9"/>
      <c r="W734" s="10"/>
      <c r="AE734" s="100"/>
      <c r="AN734" s="152"/>
      <c r="AO734" s="153"/>
      <c r="AP734" s="153"/>
      <c r="AQ734" s="153"/>
      <c r="AR734" s="153"/>
      <c r="AS734" s="154"/>
      <c r="AT734" s="155"/>
      <c r="AU734" s="155"/>
      <c r="AV734" s="155"/>
      <c r="AW734" s="107"/>
      <c r="AX734" s="107"/>
      <c r="AY734" s="107"/>
      <c r="AZ734" s="107"/>
      <c r="BA734" s="107"/>
      <c r="BB734" s="152"/>
      <c r="BC734" s="153"/>
      <c r="BD734" s="153"/>
      <c r="BE734" s="153"/>
      <c r="BF734" s="153"/>
      <c r="BG734" s="154"/>
    </row>
    <row r="735" spans="4:59" x14ac:dyDescent="0.2">
      <c r="D735" s="22"/>
      <c r="E735" s="23"/>
      <c r="F735" s="23"/>
      <c r="G735" s="23"/>
      <c r="H735" s="23"/>
      <c r="I735" s="64"/>
      <c r="J735" s="65"/>
      <c r="K735" s="65"/>
      <c r="L735" s="65"/>
      <c r="Q735" s="100"/>
      <c r="V735" s="9"/>
      <c r="W735" s="10"/>
      <c r="AE735" s="100"/>
      <c r="AN735" s="152"/>
      <c r="AO735" s="153"/>
      <c r="AP735" s="153"/>
      <c r="AQ735" s="153"/>
      <c r="AR735" s="153"/>
      <c r="AS735" s="154"/>
      <c r="AT735" s="155"/>
      <c r="AU735" s="155"/>
      <c r="AV735" s="155"/>
      <c r="AW735" s="107"/>
      <c r="AX735" s="107"/>
      <c r="AY735" s="107"/>
      <c r="AZ735" s="107"/>
      <c r="BA735" s="107"/>
      <c r="BB735" s="152"/>
      <c r="BC735" s="153"/>
      <c r="BD735" s="153"/>
      <c r="BE735" s="153"/>
      <c r="BF735" s="153"/>
      <c r="BG735" s="154"/>
    </row>
    <row r="736" spans="4:59" x14ac:dyDescent="0.2">
      <c r="D736" s="22"/>
      <c r="E736" s="23"/>
      <c r="F736" s="23"/>
      <c r="G736" s="23"/>
      <c r="H736" s="23"/>
      <c r="I736" s="64"/>
      <c r="J736" s="65"/>
      <c r="K736" s="65"/>
      <c r="L736" s="65"/>
      <c r="Q736" s="100"/>
      <c r="V736" s="9"/>
      <c r="W736" s="10"/>
      <c r="AE736" s="100"/>
      <c r="AN736" s="152"/>
      <c r="AO736" s="153"/>
      <c r="AP736" s="153"/>
      <c r="AQ736" s="153"/>
      <c r="AR736" s="153"/>
      <c r="AS736" s="154"/>
      <c r="AT736" s="155"/>
      <c r="AU736" s="155"/>
      <c r="AV736" s="155"/>
      <c r="AW736" s="107"/>
      <c r="AX736" s="107"/>
      <c r="AY736" s="107"/>
      <c r="AZ736" s="107"/>
      <c r="BA736" s="107"/>
      <c r="BB736" s="152"/>
      <c r="BC736" s="153"/>
      <c r="BD736" s="153"/>
      <c r="BE736" s="153"/>
      <c r="BF736" s="153"/>
      <c r="BG736" s="154"/>
    </row>
    <row r="737" spans="4:59" x14ac:dyDescent="0.2">
      <c r="D737" s="22"/>
      <c r="E737" s="23"/>
      <c r="F737" s="23"/>
      <c r="G737" s="23"/>
      <c r="H737" s="23"/>
      <c r="I737" s="64"/>
      <c r="J737" s="65"/>
      <c r="K737" s="65"/>
      <c r="L737" s="65"/>
      <c r="Q737" s="100"/>
      <c r="V737" s="9"/>
      <c r="W737" s="10"/>
      <c r="AE737" s="100"/>
      <c r="AN737" s="152"/>
      <c r="AO737" s="153"/>
      <c r="AP737" s="153"/>
      <c r="AQ737" s="153"/>
      <c r="AR737" s="153"/>
      <c r="AS737" s="154"/>
      <c r="AT737" s="155"/>
      <c r="AU737" s="155"/>
      <c r="AV737" s="155"/>
      <c r="AW737" s="107"/>
      <c r="AX737" s="107"/>
      <c r="AY737" s="107"/>
      <c r="AZ737" s="107"/>
      <c r="BA737" s="107"/>
      <c r="BB737" s="152"/>
      <c r="BC737" s="153"/>
      <c r="BD737" s="153"/>
      <c r="BE737" s="153"/>
      <c r="BF737" s="153"/>
      <c r="BG737" s="154"/>
    </row>
    <row r="738" spans="4:59" x14ac:dyDescent="0.2">
      <c r="D738" s="22"/>
      <c r="E738" s="23"/>
      <c r="F738" s="23"/>
      <c r="G738" s="23"/>
      <c r="H738" s="23"/>
      <c r="I738" s="64"/>
      <c r="J738" s="65"/>
      <c r="K738" s="65"/>
      <c r="L738" s="65"/>
      <c r="Q738" s="100"/>
      <c r="V738" s="9"/>
      <c r="W738" s="10"/>
      <c r="AE738" s="100"/>
      <c r="AN738" s="152"/>
      <c r="AO738" s="153"/>
      <c r="AP738" s="153"/>
      <c r="AQ738" s="153"/>
      <c r="AR738" s="153"/>
      <c r="AS738" s="154"/>
      <c r="AT738" s="155"/>
      <c r="AU738" s="155"/>
      <c r="AV738" s="155"/>
      <c r="AW738" s="107"/>
      <c r="AX738" s="107"/>
      <c r="AY738" s="107"/>
      <c r="AZ738" s="107"/>
      <c r="BA738" s="107"/>
      <c r="BB738" s="152"/>
      <c r="BC738" s="153"/>
      <c r="BD738" s="153"/>
      <c r="BE738" s="153"/>
      <c r="BF738" s="153"/>
      <c r="BG738" s="154"/>
    </row>
    <row r="739" spans="4:59" x14ac:dyDescent="0.2">
      <c r="D739" s="22"/>
      <c r="E739" s="23"/>
      <c r="F739" s="23"/>
      <c r="G739" s="23"/>
      <c r="H739" s="23"/>
      <c r="I739" s="64"/>
      <c r="J739" s="65"/>
      <c r="K739" s="65"/>
      <c r="L739" s="65"/>
      <c r="Q739" s="100"/>
      <c r="V739" s="9"/>
      <c r="W739" s="10"/>
      <c r="AE739" s="100"/>
      <c r="AN739" s="152"/>
      <c r="AO739" s="153"/>
      <c r="AP739" s="153"/>
      <c r="AQ739" s="153"/>
      <c r="AR739" s="153"/>
      <c r="AS739" s="154"/>
      <c r="AT739" s="155"/>
      <c r="AU739" s="155"/>
      <c r="AV739" s="155"/>
      <c r="AW739" s="107"/>
      <c r="AX739" s="107"/>
      <c r="AY739" s="107"/>
      <c r="AZ739" s="107"/>
      <c r="BA739" s="107"/>
      <c r="BB739" s="152"/>
      <c r="BC739" s="153"/>
      <c r="BD739" s="153"/>
      <c r="BE739" s="153"/>
      <c r="BF739" s="153"/>
      <c r="BG739" s="154"/>
    </row>
    <row r="740" spans="4:59" x14ac:dyDescent="0.2">
      <c r="D740" s="22"/>
      <c r="E740" s="23"/>
      <c r="F740" s="23"/>
      <c r="G740" s="23"/>
      <c r="H740" s="23"/>
      <c r="I740" s="64"/>
      <c r="J740" s="65"/>
      <c r="K740" s="65"/>
      <c r="L740" s="65"/>
      <c r="Q740" s="100"/>
      <c r="V740" s="9"/>
      <c r="W740" s="10"/>
      <c r="AE740" s="100"/>
      <c r="AN740" s="152"/>
      <c r="AO740" s="153"/>
      <c r="AP740" s="153"/>
      <c r="AQ740" s="153"/>
      <c r="AR740" s="153"/>
      <c r="AS740" s="154"/>
      <c r="AT740" s="155"/>
      <c r="AU740" s="155"/>
      <c r="AV740" s="155"/>
      <c r="AW740" s="107"/>
      <c r="AX740" s="107"/>
      <c r="AY740" s="107"/>
      <c r="AZ740" s="107"/>
      <c r="BA740" s="107"/>
      <c r="BB740" s="152"/>
      <c r="BC740" s="153"/>
      <c r="BD740" s="153"/>
      <c r="BE740" s="153"/>
      <c r="BF740" s="153"/>
      <c r="BG740" s="154"/>
    </row>
    <row r="741" spans="4:59" x14ac:dyDescent="0.2">
      <c r="D741" s="22"/>
      <c r="E741" s="23"/>
      <c r="F741" s="23"/>
      <c r="G741" s="23"/>
      <c r="H741" s="23"/>
      <c r="I741" s="64"/>
      <c r="J741" s="65"/>
      <c r="K741" s="65"/>
      <c r="L741" s="65"/>
      <c r="Q741" s="100"/>
      <c r="V741" s="9"/>
      <c r="W741" s="10"/>
      <c r="AE741" s="100"/>
      <c r="AN741" s="152"/>
      <c r="AO741" s="153"/>
      <c r="AP741" s="153"/>
      <c r="AQ741" s="153"/>
      <c r="AR741" s="153"/>
      <c r="AS741" s="154"/>
      <c r="AT741" s="155"/>
      <c r="AU741" s="155"/>
      <c r="AV741" s="155"/>
      <c r="AW741" s="107"/>
      <c r="AX741" s="107"/>
      <c r="AY741" s="107"/>
      <c r="AZ741" s="107"/>
      <c r="BA741" s="107"/>
      <c r="BB741" s="152"/>
      <c r="BC741" s="153"/>
      <c r="BD741" s="153"/>
      <c r="BE741" s="153"/>
      <c r="BF741" s="153"/>
      <c r="BG741" s="154"/>
    </row>
    <row r="742" spans="4:59" x14ac:dyDescent="0.2">
      <c r="D742" s="22"/>
      <c r="E742" s="23"/>
      <c r="F742" s="23"/>
      <c r="G742" s="23"/>
      <c r="H742" s="23"/>
      <c r="I742" s="64"/>
      <c r="J742" s="65"/>
      <c r="K742" s="65"/>
      <c r="L742" s="65"/>
      <c r="Q742" s="100"/>
      <c r="V742" s="9"/>
      <c r="W742" s="10"/>
      <c r="AE742" s="100"/>
      <c r="AN742" s="152"/>
      <c r="AO742" s="153"/>
      <c r="AP742" s="153"/>
      <c r="AQ742" s="153"/>
      <c r="AR742" s="153"/>
      <c r="AS742" s="154"/>
      <c r="AT742" s="155"/>
      <c r="AU742" s="155"/>
      <c r="AV742" s="155"/>
      <c r="AW742" s="107"/>
      <c r="AX742" s="107"/>
      <c r="AY742" s="107"/>
      <c r="AZ742" s="107"/>
      <c r="BA742" s="107"/>
      <c r="BB742" s="152"/>
      <c r="BC742" s="153"/>
      <c r="BD742" s="153"/>
      <c r="BE742" s="153"/>
      <c r="BF742" s="153"/>
      <c r="BG742" s="154"/>
    </row>
    <row r="743" spans="4:59" x14ac:dyDescent="0.2">
      <c r="D743" s="22"/>
      <c r="E743" s="23"/>
      <c r="F743" s="23"/>
      <c r="G743" s="23"/>
      <c r="H743" s="23"/>
      <c r="I743" s="64"/>
      <c r="J743" s="65"/>
      <c r="K743" s="65"/>
      <c r="L743" s="65"/>
      <c r="Q743" s="100"/>
      <c r="V743" s="9"/>
      <c r="W743" s="10"/>
      <c r="AE743" s="100"/>
      <c r="AN743" s="152"/>
      <c r="AO743" s="153"/>
      <c r="AP743" s="153"/>
      <c r="AQ743" s="153"/>
      <c r="AR743" s="153"/>
      <c r="AS743" s="154"/>
      <c r="AT743" s="155"/>
      <c r="AU743" s="155"/>
      <c r="AV743" s="155"/>
      <c r="AW743" s="107"/>
      <c r="AX743" s="107"/>
      <c r="AY743" s="107"/>
      <c r="AZ743" s="107"/>
      <c r="BA743" s="107"/>
      <c r="BB743" s="152"/>
      <c r="BC743" s="153"/>
      <c r="BD743" s="153"/>
      <c r="BE743" s="153"/>
      <c r="BF743" s="153"/>
      <c r="BG743" s="154"/>
    </row>
    <row r="744" spans="4:59" x14ac:dyDescent="0.2">
      <c r="D744" s="22"/>
      <c r="E744" s="23"/>
      <c r="F744" s="23"/>
      <c r="G744" s="23"/>
      <c r="H744" s="23"/>
      <c r="I744" s="64"/>
      <c r="J744" s="65"/>
      <c r="K744" s="65"/>
      <c r="L744" s="65"/>
      <c r="Q744" s="100"/>
      <c r="V744" s="9"/>
      <c r="W744" s="10"/>
      <c r="AE744" s="100"/>
      <c r="AN744" s="152"/>
      <c r="AO744" s="153"/>
      <c r="AP744" s="153"/>
      <c r="AQ744" s="153"/>
      <c r="AR744" s="153"/>
      <c r="AS744" s="154"/>
      <c r="AT744" s="155"/>
      <c r="AU744" s="155"/>
      <c r="AV744" s="155"/>
      <c r="AW744" s="107"/>
      <c r="AX744" s="107"/>
      <c r="AY744" s="107"/>
      <c r="AZ744" s="107"/>
      <c r="BA744" s="107"/>
      <c r="BB744" s="152"/>
      <c r="BC744" s="153"/>
      <c r="BD744" s="153"/>
      <c r="BE744" s="153"/>
      <c r="BF744" s="153"/>
      <c r="BG744" s="154"/>
    </row>
    <row r="745" spans="4:59" x14ac:dyDescent="0.2">
      <c r="D745" s="22"/>
      <c r="E745" s="23"/>
      <c r="F745" s="23"/>
      <c r="G745" s="23"/>
      <c r="H745" s="23"/>
      <c r="I745" s="64"/>
      <c r="J745" s="65"/>
      <c r="K745" s="65"/>
      <c r="L745" s="65"/>
      <c r="Q745" s="100"/>
      <c r="V745" s="9"/>
      <c r="W745" s="10"/>
      <c r="AE745" s="100"/>
      <c r="AN745" s="152"/>
      <c r="AO745" s="153"/>
      <c r="AP745" s="153"/>
      <c r="AQ745" s="153"/>
      <c r="AR745" s="153"/>
      <c r="AS745" s="154"/>
      <c r="AT745" s="155"/>
      <c r="AU745" s="155"/>
      <c r="AV745" s="155"/>
      <c r="AW745" s="107"/>
      <c r="AX745" s="107"/>
      <c r="AY745" s="107"/>
      <c r="AZ745" s="107"/>
      <c r="BA745" s="107"/>
      <c r="BB745" s="152"/>
      <c r="BC745" s="153"/>
      <c r="BD745" s="153"/>
      <c r="BE745" s="153"/>
      <c r="BF745" s="153"/>
      <c r="BG745" s="154"/>
    </row>
    <row r="746" spans="4:59" x14ac:dyDescent="0.2">
      <c r="D746" s="22"/>
      <c r="E746" s="23"/>
      <c r="F746" s="23"/>
      <c r="G746" s="23"/>
      <c r="H746" s="23"/>
      <c r="I746" s="64"/>
      <c r="J746" s="65"/>
      <c r="K746" s="65"/>
      <c r="L746" s="65"/>
      <c r="Q746" s="100"/>
      <c r="V746" s="9"/>
      <c r="W746" s="10"/>
      <c r="AE746" s="100"/>
      <c r="AN746" s="152"/>
      <c r="AO746" s="153"/>
      <c r="AP746" s="153"/>
      <c r="AQ746" s="153"/>
      <c r="AR746" s="153"/>
      <c r="AS746" s="154"/>
      <c r="AT746" s="155"/>
      <c r="AU746" s="155"/>
      <c r="AV746" s="155"/>
      <c r="AW746" s="107"/>
      <c r="AX746" s="107"/>
      <c r="AY746" s="107"/>
      <c r="AZ746" s="107"/>
      <c r="BA746" s="107"/>
      <c r="BB746" s="152"/>
      <c r="BC746" s="153"/>
      <c r="BD746" s="153"/>
      <c r="BE746" s="153"/>
      <c r="BF746" s="153"/>
      <c r="BG746" s="154"/>
    </row>
    <row r="747" spans="4:59" x14ac:dyDescent="0.2">
      <c r="D747" s="22"/>
      <c r="E747" s="23"/>
      <c r="F747" s="23"/>
      <c r="G747" s="23"/>
      <c r="H747" s="23"/>
      <c r="I747" s="64"/>
      <c r="J747" s="65"/>
      <c r="K747" s="65"/>
      <c r="L747" s="65"/>
      <c r="Q747" s="100"/>
      <c r="V747" s="9"/>
      <c r="W747" s="10"/>
      <c r="AE747" s="100"/>
      <c r="AN747" s="152"/>
      <c r="AO747" s="153"/>
      <c r="AP747" s="153"/>
      <c r="AQ747" s="153"/>
      <c r="AR747" s="153"/>
      <c r="AS747" s="154"/>
      <c r="AT747" s="155"/>
      <c r="AU747" s="155"/>
      <c r="AV747" s="155"/>
      <c r="AW747" s="107"/>
      <c r="AX747" s="107"/>
      <c r="AY747" s="107"/>
      <c r="AZ747" s="107"/>
      <c r="BA747" s="107"/>
      <c r="BB747" s="152"/>
      <c r="BC747" s="153"/>
      <c r="BD747" s="153"/>
      <c r="BE747" s="153"/>
      <c r="BF747" s="153"/>
      <c r="BG747" s="154"/>
    </row>
    <row r="748" spans="4:59" x14ac:dyDescent="0.2">
      <c r="D748" s="22"/>
      <c r="E748" s="23"/>
      <c r="F748" s="23"/>
      <c r="G748" s="23"/>
      <c r="H748" s="23"/>
      <c r="I748" s="64"/>
      <c r="J748" s="65"/>
      <c r="K748" s="65"/>
      <c r="L748" s="65"/>
      <c r="Q748" s="100"/>
      <c r="V748" s="9"/>
      <c r="W748" s="10"/>
      <c r="AE748" s="100"/>
      <c r="AN748" s="152"/>
      <c r="AO748" s="153"/>
      <c r="AP748" s="153"/>
      <c r="AQ748" s="153"/>
      <c r="AR748" s="153"/>
      <c r="AS748" s="154"/>
      <c r="AT748" s="155"/>
      <c r="AU748" s="155"/>
      <c r="AV748" s="155"/>
      <c r="AW748" s="107"/>
      <c r="AX748" s="107"/>
      <c r="AY748" s="107"/>
      <c r="AZ748" s="107"/>
      <c r="BA748" s="107"/>
      <c r="BB748" s="152"/>
      <c r="BC748" s="153"/>
      <c r="BD748" s="153"/>
      <c r="BE748" s="153"/>
      <c r="BF748" s="153"/>
      <c r="BG748" s="154"/>
    </row>
    <row r="749" spans="4:59" x14ac:dyDescent="0.2">
      <c r="D749" s="22"/>
      <c r="E749" s="23"/>
      <c r="F749" s="23"/>
      <c r="G749" s="23"/>
      <c r="H749" s="23"/>
      <c r="I749" s="64"/>
      <c r="J749" s="65"/>
      <c r="K749" s="65"/>
      <c r="L749" s="65"/>
      <c r="Q749" s="100"/>
      <c r="V749" s="9"/>
      <c r="W749" s="10"/>
      <c r="AE749" s="100"/>
      <c r="AN749" s="152"/>
      <c r="AO749" s="153"/>
      <c r="AP749" s="153"/>
      <c r="AQ749" s="153"/>
      <c r="AR749" s="153"/>
      <c r="AS749" s="154"/>
      <c r="AT749" s="155"/>
      <c r="AU749" s="155"/>
      <c r="AV749" s="155"/>
      <c r="AW749" s="107"/>
      <c r="AX749" s="107"/>
      <c r="AY749" s="107"/>
      <c r="AZ749" s="107"/>
      <c r="BA749" s="107"/>
      <c r="BB749" s="152"/>
      <c r="BC749" s="153"/>
      <c r="BD749" s="153"/>
      <c r="BE749" s="153"/>
      <c r="BF749" s="153"/>
      <c r="BG749" s="154"/>
    </row>
    <row r="750" spans="4:59" x14ac:dyDescent="0.2">
      <c r="D750" s="22"/>
      <c r="E750" s="23"/>
      <c r="F750" s="23"/>
      <c r="G750" s="23"/>
      <c r="H750" s="23"/>
      <c r="I750" s="64"/>
      <c r="J750" s="65"/>
      <c r="K750" s="65"/>
      <c r="L750" s="65"/>
      <c r="Q750" s="100"/>
      <c r="V750" s="9"/>
      <c r="W750" s="10"/>
      <c r="AE750" s="100"/>
      <c r="AN750" s="152"/>
      <c r="AO750" s="153"/>
      <c r="AP750" s="153"/>
      <c r="AQ750" s="153"/>
      <c r="AR750" s="153"/>
      <c r="AS750" s="154"/>
      <c r="AT750" s="155"/>
      <c r="AU750" s="155"/>
      <c r="AV750" s="155"/>
      <c r="AW750" s="107"/>
      <c r="AX750" s="107"/>
      <c r="AY750" s="107"/>
      <c r="AZ750" s="107"/>
      <c r="BA750" s="107"/>
      <c r="BB750" s="152"/>
      <c r="BC750" s="153"/>
      <c r="BD750" s="153"/>
      <c r="BE750" s="153"/>
      <c r="BF750" s="153"/>
      <c r="BG750" s="154"/>
    </row>
    <row r="751" spans="4:59" x14ac:dyDescent="0.2">
      <c r="D751" s="22"/>
      <c r="E751" s="23"/>
      <c r="F751" s="23"/>
      <c r="G751" s="23"/>
      <c r="H751" s="23"/>
      <c r="I751" s="64"/>
      <c r="J751" s="65"/>
      <c r="K751" s="65"/>
      <c r="L751" s="65"/>
      <c r="Q751" s="100"/>
      <c r="V751" s="9"/>
      <c r="W751" s="10"/>
      <c r="AE751" s="100"/>
      <c r="AN751" s="152"/>
      <c r="AO751" s="153"/>
      <c r="AP751" s="153"/>
      <c r="AQ751" s="153"/>
      <c r="AR751" s="153"/>
      <c r="AS751" s="154"/>
      <c r="AT751" s="155"/>
      <c r="AU751" s="155"/>
      <c r="AV751" s="155"/>
      <c r="AW751" s="107"/>
      <c r="AX751" s="107"/>
      <c r="AY751" s="107"/>
      <c r="AZ751" s="107"/>
      <c r="BA751" s="107"/>
      <c r="BB751" s="152"/>
      <c r="BC751" s="153"/>
      <c r="BD751" s="153"/>
      <c r="BE751" s="153"/>
      <c r="BF751" s="153"/>
      <c r="BG751" s="154"/>
    </row>
    <row r="752" spans="4:59" x14ac:dyDescent="0.2">
      <c r="D752" s="22"/>
      <c r="E752" s="23"/>
      <c r="F752" s="23"/>
      <c r="G752" s="23"/>
      <c r="H752" s="23"/>
      <c r="I752" s="64"/>
      <c r="J752" s="65"/>
      <c r="K752" s="65"/>
      <c r="L752" s="65"/>
      <c r="Q752" s="100"/>
      <c r="V752" s="9"/>
      <c r="W752" s="10"/>
      <c r="AE752" s="100"/>
      <c r="AN752" s="152"/>
      <c r="AO752" s="153"/>
      <c r="AP752" s="153"/>
      <c r="AQ752" s="153"/>
      <c r="AR752" s="153"/>
      <c r="AS752" s="154"/>
      <c r="AT752" s="155"/>
      <c r="AU752" s="155"/>
      <c r="AV752" s="155"/>
      <c r="AW752" s="107"/>
      <c r="AX752" s="107"/>
      <c r="AY752" s="107"/>
      <c r="AZ752" s="107"/>
      <c r="BA752" s="107"/>
      <c r="BB752" s="152"/>
      <c r="BC752" s="153"/>
      <c r="BD752" s="153"/>
      <c r="BE752" s="153"/>
      <c r="BF752" s="153"/>
      <c r="BG752" s="154"/>
    </row>
    <row r="753" spans="4:59" x14ac:dyDescent="0.2">
      <c r="D753" s="22"/>
      <c r="E753" s="23"/>
      <c r="F753" s="23"/>
      <c r="G753" s="23"/>
      <c r="H753" s="23"/>
      <c r="I753" s="64"/>
      <c r="J753" s="65"/>
      <c r="K753" s="65"/>
      <c r="L753" s="65"/>
      <c r="Q753" s="100"/>
      <c r="V753" s="9"/>
      <c r="W753" s="10"/>
      <c r="AE753" s="100"/>
      <c r="AN753" s="152"/>
      <c r="AO753" s="153"/>
      <c r="AP753" s="153"/>
      <c r="AQ753" s="153"/>
      <c r="AR753" s="153"/>
      <c r="AS753" s="154"/>
      <c r="AT753" s="155"/>
      <c r="AU753" s="155"/>
      <c r="AV753" s="155"/>
      <c r="AW753" s="107"/>
      <c r="AX753" s="107"/>
      <c r="AY753" s="107"/>
      <c r="AZ753" s="107"/>
      <c r="BA753" s="107"/>
      <c r="BB753" s="152"/>
      <c r="BC753" s="153"/>
      <c r="BD753" s="153"/>
      <c r="BE753" s="153"/>
      <c r="BF753" s="153"/>
      <c r="BG753" s="154"/>
    </row>
    <row r="754" spans="4:59" x14ac:dyDescent="0.2">
      <c r="D754" s="22"/>
      <c r="E754" s="23"/>
      <c r="F754" s="23"/>
      <c r="G754" s="23"/>
      <c r="H754" s="23"/>
      <c r="I754" s="64"/>
      <c r="J754" s="65"/>
      <c r="K754" s="65"/>
      <c r="L754" s="65"/>
      <c r="Q754" s="100"/>
      <c r="V754" s="9"/>
      <c r="W754" s="10"/>
      <c r="AE754" s="100"/>
      <c r="AN754" s="152"/>
      <c r="AO754" s="153"/>
      <c r="AP754" s="153"/>
      <c r="AQ754" s="153"/>
      <c r="AR754" s="153"/>
      <c r="AS754" s="154"/>
      <c r="AT754" s="155"/>
      <c r="AU754" s="155"/>
      <c r="AV754" s="155"/>
      <c r="AW754" s="107"/>
      <c r="AX754" s="107"/>
      <c r="AY754" s="107"/>
      <c r="AZ754" s="107"/>
      <c r="BA754" s="107"/>
      <c r="BB754" s="152"/>
      <c r="BC754" s="153"/>
      <c r="BD754" s="153"/>
      <c r="BE754" s="153"/>
      <c r="BF754" s="153"/>
      <c r="BG754" s="154"/>
    </row>
    <row r="755" spans="4:59" x14ac:dyDescent="0.2">
      <c r="D755" s="22"/>
      <c r="E755" s="23"/>
      <c r="F755" s="23"/>
      <c r="G755" s="23"/>
      <c r="H755" s="23"/>
      <c r="I755" s="64"/>
      <c r="J755" s="65"/>
      <c r="K755" s="65"/>
      <c r="L755" s="65"/>
      <c r="Q755" s="100"/>
      <c r="V755" s="9"/>
      <c r="W755" s="10"/>
      <c r="AE755" s="100"/>
      <c r="AN755" s="152"/>
      <c r="AO755" s="153"/>
      <c r="AP755" s="153"/>
      <c r="AQ755" s="153"/>
      <c r="AR755" s="153"/>
      <c r="AS755" s="154"/>
      <c r="AT755" s="155"/>
      <c r="AU755" s="155"/>
      <c r="AV755" s="155"/>
      <c r="AW755" s="107"/>
      <c r="AX755" s="107"/>
      <c r="AY755" s="107"/>
      <c r="AZ755" s="107"/>
      <c r="BA755" s="107"/>
      <c r="BB755" s="152"/>
      <c r="BC755" s="153"/>
      <c r="BD755" s="153"/>
      <c r="BE755" s="153"/>
      <c r="BF755" s="153"/>
      <c r="BG755" s="154"/>
    </row>
    <row r="756" spans="4:59" x14ac:dyDescent="0.2">
      <c r="D756" s="22"/>
      <c r="E756" s="23"/>
      <c r="F756" s="23"/>
      <c r="G756" s="23"/>
      <c r="H756" s="23"/>
      <c r="I756" s="64"/>
      <c r="J756" s="65"/>
      <c r="K756" s="65"/>
      <c r="L756" s="65"/>
      <c r="Q756" s="100"/>
      <c r="V756" s="9"/>
      <c r="W756" s="10"/>
      <c r="AE756" s="100"/>
      <c r="AN756" s="152"/>
      <c r="AO756" s="153"/>
      <c r="AP756" s="153"/>
      <c r="AQ756" s="153"/>
      <c r="AR756" s="153"/>
      <c r="AS756" s="154"/>
      <c r="AT756" s="155"/>
      <c r="AU756" s="155"/>
      <c r="AV756" s="155"/>
      <c r="AW756" s="107"/>
      <c r="AX756" s="107"/>
      <c r="AY756" s="107"/>
      <c r="AZ756" s="107"/>
      <c r="BA756" s="107"/>
      <c r="BB756" s="152"/>
      <c r="BC756" s="153"/>
      <c r="BD756" s="153"/>
      <c r="BE756" s="153"/>
      <c r="BF756" s="153"/>
      <c r="BG756" s="154"/>
    </row>
    <row r="757" spans="4:59" x14ac:dyDescent="0.2">
      <c r="D757" s="22"/>
      <c r="E757" s="23"/>
      <c r="F757" s="23"/>
      <c r="G757" s="23"/>
      <c r="H757" s="23"/>
      <c r="I757" s="64"/>
      <c r="J757" s="65"/>
      <c r="K757" s="65"/>
      <c r="L757" s="65"/>
      <c r="Q757" s="100"/>
      <c r="V757" s="9"/>
      <c r="W757" s="10"/>
      <c r="AE757" s="100"/>
      <c r="AN757" s="152"/>
      <c r="AO757" s="153"/>
      <c r="AP757" s="153"/>
      <c r="AQ757" s="153"/>
      <c r="AR757" s="153"/>
      <c r="AS757" s="154"/>
      <c r="AT757" s="155"/>
      <c r="AU757" s="155"/>
      <c r="AV757" s="155"/>
      <c r="AW757" s="107"/>
      <c r="AX757" s="107"/>
      <c r="AY757" s="107"/>
      <c r="AZ757" s="107"/>
      <c r="BA757" s="107"/>
      <c r="BB757" s="152"/>
      <c r="BC757" s="153"/>
      <c r="BD757" s="153"/>
      <c r="BE757" s="153"/>
      <c r="BF757" s="153"/>
      <c r="BG757" s="154"/>
    </row>
    <row r="758" spans="4:59" x14ac:dyDescent="0.2">
      <c r="D758" s="22"/>
      <c r="E758" s="23"/>
      <c r="F758" s="23"/>
      <c r="G758" s="23"/>
      <c r="H758" s="23"/>
      <c r="I758" s="64"/>
      <c r="J758" s="65"/>
      <c r="K758" s="65"/>
      <c r="L758" s="65"/>
      <c r="Q758" s="100"/>
      <c r="V758" s="9"/>
      <c r="W758" s="10"/>
      <c r="AE758" s="100"/>
      <c r="AN758" s="152"/>
      <c r="AO758" s="153"/>
      <c r="AP758" s="153"/>
      <c r="AQ758" s="153"/>
      <c r="AR758" s="153"/>
      <c r="AS758" s="154"/>
      <c r="AT758" s="155"/>
      <c r="AU758" s="155"/>
      <c r="AV758" s="155"/>
      <c r="AW758" s="107"/>
      <c r="AX758" s="107"/>
      <c r="AY758" s="107"/>
      <c r="AZ758" s="107"/>
      <c r="BA758" s="107"/>
      <c r="BB758" s="152"/>
      <c r="BC758" s="153"/>
      <c r="BD758" s="153"/>
      <c r="BE758" s="153"/>
      <c r="BF758" s="153"/>
      <c r="BG758" s="154"/>
    </row>
    <row r="759" spans="4:59" x14ac:dyDescent="0.2">
      <c r="D759" s="22"/>
      <c r="E759" s="23"/>
      <c r="F759" s="23"/>
      <c r="G759" s="23"/>
      <c r="H759" s="23"/>
      <c r="I759" s="64"/>
      <c r="J759" s="65"/>
      <c r="K759" s="65"/>
      <c r="L759" s="65"/>
      <c r="Q759" s="100"/>
      <c r="V759" s="9"/>
      <c r="W759" s="10"/>
      <c r="AE759" s="100"/>
      <c r="AN759" s="152"/>
      <c r="AO759" s="153"/>
      <c r="AP759" s="153"/>
      <c r="AQ759" s="153"/>
      <c r="AR759" s="153"/>
      <c r="AS759" s="154"/>
      <c r="AT759" s="155"/>
      <c r="AU759" s="155"/>
      <c r="AV759" s="155"/>
      <c r="AW759" s="107"/>
      <c r="AX759" s="107"/>
      <c r="AY759" s="107"/>
      <c r="AZ759" s="107"/>
      <c r="BA759" s="107"/>
      <c r="BB759" s="152"/>
      <c r="BC759" s="153"/>
      <c r="BD759" s="153"/>
      <c r="BE759" s="153"/>
      <c r="BF759" s="153"/>
      <c r="BG759" s="154"/>
    </row>
    <row r="760" spans="4:59" x14ac:dyDescent="0.2">
      <c r="D760" s="22"/>
      <c r="E760" s="23"/>
      <c r="F760" s="23"/>
      <c r="G760" s="23"/>
      <c r="H760" s="23"/>
      <c r="I760" s="64"/>
      <c r="J760" s="65"/>
      <c r="K760" s="65"/>
      <c r="L760" s="65"/>
      <c r="Q760" s="100"/>
      <c r="V760" s="9"/>
      <c r="W760" s="10"/>
      <c r="AE760" s="100"/>
      <c r="AN760" s="152"/>
      <c r="AO760" s="153"/>
      <c r="AP760" s="153"/>
      <c r="AQ760" s="153"/>
      <c r="AR760" s="153"/>
      <c r="AS760" s="154"/>
      <c r="AT760" s="155"/>
      <c r="AU760" s="155"/>
      <c r="AV760" s="155"/>
      <c r="AW760" s="107"/>
      <c r="AX760" s="107"/>
      <c r="AY760" s="107"/>
      <c r="AZ760" s="107"/>
      <c r="BA760" s="107"/>
      <c r="BB760" s="152"/>
      <c r="BC760" s="153"/>
      <c r="BD760" s="153"/>
      <c r="BE760" s="153"/>
      <c r="BF760" s="153"/>
      <c r="BG760" s="154"/>
    </row>
    <row r="761" spans="4:59" x14ac:dyDescent="0.2">
      <c r="D761" s="22"/>
      <c r="E761" s="23"/>
      <c r="F761" s="23"/>
      <c r="G761" s="23"/>
      <c r="H761" s="23"/>
      <c r="I761" s="64"/>
      <c r="J761" s="65"/>
      <c r="K761" s="65"/>
      <c r="L761" s="65"/>
      <c r="Q761" s="100"/>
      <c r="V761" s="9"/>
      <c r="W761" s="10"/>
      <c r="AE761" s="100"/>
      <c r="AN761" s="152"/>
      <c r="AO761" s="153"/>
      <c r="AP761" s="153"/>
      <c r="AQ761" s="153"/>
      <c r="AR761" s="153"/>
      <c r="AS761" s="154"/>
      <c r="AT761" s="155"/>
      <c r="AU761" s="155"/>
      <c r="AV761" s="155"/>
      <c r="AW761" s="107"/>
      <c r="AX761" s="107"/>
      <c r="AY761" s="107"/>
      <c r="AZ761" s="107"/>
      <c r="BA761" s="107"/>
      <c r="BB761" s="152"/>
      <c r="BC761" s="153"/>
      <c r="BD761" s="153"/>
      <c r="BE761" s="153"/>
      <c r="BF761" s="153"/>
      <c r="BG761" s="154"/>
    </row>
    <row r="762" spans="4:59" x14ac:dyDescent="0.2">
      <c r="D762" s="22"/>
      <c r="E762" s="23"/>
      <c r="F762" s="23"/>
      <c r="G762" s="23"/>
      <c r="H762" s="23"/>
      <c r="I762" s="64"/>
      <c r="J762" s="65"/>
      <c r="K762" s="65"/>
      <c r="L762" s="65"/>
      <c r="Q762" s="100"/>
      <c r="V762" s="9"/>
      <c r="W762" s="10"/>
      <c r="AE762" s="100"/>
      <c r="AN762" s="152"/>
      <c r="AO762" s="153"/>
      <c r="AP762" s="153"/>
      <c r="AQ762" s="153"/>
      <c r="AR762" s="153"/>
      <c r="AS762" s="154"/>
      <c r="AT762" s="155"/>
      <c r="AU762" s="155"/>
      <c r="AV762" s="155"/>
      <c r="AW762" s="107"/>
      <c r="AX762" s="107"/>
      <c r="AY762" s="107"/>
      <c r="AZ762" s="107"/>
      <c r="BA762" s="107"/>
      <c r="BB762" s="152"/>
      <c r="BC762" s="153"/>
      <c r="BD762" s="153"/>
      <c r="BE762" s="153"/>
      <c r="BF762" s="153"/>
      <c r="BG762" s="154"/>
    </row>
    <row r="763" spans="4:59" x14ac:dyDescent="0.2">
      <c r="D763" s="22"/>
      <c r="E763" s="23"/>
      <c r="F763" s="23"/>
      <c r="G763" s="23"/>
      <c r="H763" s="23"/>
      <c r="I763" s="64"/>
      <c r="J763" s="65"/>
      <c r="K763" s="65"/>
      <c r="L763" s="65"/>
      <c r="Q763" s="100"/>
      <c r="V763" s="9"/>
      <c r="W763" s="10"/>
      <c r="AE763" s="100"/>
      <c r="AN763" s="152"/>
      <c r="AO763" s="153"/>
      <c r="AP763" s="153"/>
      <c r="AQ763" s="153"/>
      <c r="AR763" s="153"/>
      <c r="AS763" s="154"/>
      <c r="AT763" s="155"/>
      <c r="AU763" s="155"/>
      <c r="AV763" s="155"/>
      <c r="AW763" s="107"/>
      <c r="AX763" s="107"/>
      <c r="AY763" s="107"/>
      <c r="AZ763" s="107"/>
      <c r="BA763" s="107"/>
      <c r="BB763" s="152"/>
      <c r="BC763" s="153"/>
      <c r="BD763" s="153"/>
      <c r="BE763" s="153"/>
      <c r="BF763" s="153"/>
      <c r="BG763" s="154"/>
    </row>
    <row r="764" spans="4:59" x14ac:dyDescent="0.2">
      <c r="D764" s="22"/>
      <c r="E764" s="23"/>
      <c r="F764" s="23"/>
      <c r="G764" s="23"/>
      <c r="H764" s="23"/>
      <c r="I764" s="64"/>
      <c r="J764" s="65"/>
      <c r="K764" s="65"/>
      <c r="L764" s="65"/>
      <c r="Q764" s="100"/>
      <c r="V764" s="9"/>
      <c r="W764" s="10"/>
      <c r="AE764" s="100"/>
      <c r="AN764" s="152"/>
      <c r="AO764" s="153"/>
      <c r="AP764" s="153"/>
      <c r="AQ764" s="153"/>
      <c r="AR764" s="153"/>
      <c r="AS764" s="154"/>
      <c r="AT764" s="155"/>
      <c r="AU764" s="155"/>
      <c r="AV764" s="155"/>
      <c r="AW764" s="107"/>
      <c r="AX764" s="107"/>
      <c r="AY764" s="107"/>
      <c r="AZ764" s="107"/>
      <c r="BA764" s="107"/>
      <c r="BB764" s="152"/>
      <c r="BC764" s="153"/>
      <c r="BD764" s="153"/>
      <c r="BE764" s="153"/>
      <c r="BF764" s="153"/>
      <c r="BG764" s="154"/>
    </row>
    <row r="765" spans="4:59" x14ac:dyDescent="0.2">
      <c r="D765" s="22"/>
      <c r="E765" s="23"/>
      <c r="F765" s="23"/>
      <c r="G765" s="23"/>
      <c r="H765" s="23"/>
      <c r="I765" s="64"/>
      <c r="J765" s="65"/>
      <c r="K765" s="65"/>
      <c r="L765" s="65"/>
      <c r="Q765" s="100"/>
      <c r="V765" s="9"/>
      <c r="W765" s="10"/>
      <c r="AE765" s="100"/>
      <c r="AN765" s="152"/>
      <c r="AO765" s="153"/>
      <c r="AP765" s="153"/>
      <c r="AQ765" s="153"/>
      <c r="AR765" s="153"/>
      <c r="AS765" s="154"/>
      <c r="AT765" s="155"/>
      <c r="AU765" s="155"/>
      <c r="AV765" s="155"/>
      <c r="AW765" s="107"/>
      <c r="AX765" s="107"/>
      <c r="AY765" s="107"/>
      <c r="AZ765" s="107"/>
      <c r="BA765" s="107"/>
      <c r="BB765" s="152"/>
      <c r="BC765" s="153"/>
      <c r="BD765" s="153"/>
      <c r="BE765" s="153"/>
      <c r="BF765" s="153"/>
      <c r="BG765" s="154"/>
    </row>
    <row r="766" spans="4:59" x14ac:dyDescent="0.2">
      <c r="D766" s="22"/>
      <c r="E766" s="23"/>
      <c r="F766" s="23"/>
      <c r="G766" s="23"/>
      <c r="H766" s="23"/>
      <c r="I766" s="64"/>
      <c r="J766" s="65"/>
      <c r="K766" s="65"/>
      <c r="L766" s="65"/>
      <c r="Q766" s="100"/>
      <c r="V766" s="9"/>
      <c r="W766" s="10"/>
      <c r="AE766" s="100"/>
      <c r="AN766" s="152"/>
      <c r="AO766" s="153"/>
      <c r="AP766" s="153"/>
      <c r="AQ766" s="153"/>
      <c r="AR766" s="153"/>
      <c r="AS766" s="154"/>
      <c r="AT766" s="155"/>
      <c r="AU766" s="155"/>
      <c r="AV766" s="155"/>
      <c r="AW766" s="107"/>
      <c r="AX766" s="107"/>
      <c r="AY766" s="107"/>
      <c r="AZ766" s="107"/>
      <c r="BA766" s="107"/>
      <c r="BB766" s="152"/>
      <c r="BC766" s="153"/>
      <c r="BD766" s="153"/>
      <c r="BE766" s="153"/>
      <c r="BF766" s="153"/>
      <c r="BG766" s="154"/>
    </row>
    <row r="767" spans="4:59" x14ac:dyDescent="0.2">
      <c r="D767" s="22"/>
      <c r="E767" s="23"/>
      <c r="F767" s="23"/>
      <c r="G767" s="23"/>
      <c r="H767" s="23"/>
      <c r="I767" s="64"/>
      <c r="J767" s="65"/>
      <c r="K767" s="65"/>
      <c r="L767" s="65"/>
      <c r="Q767" s="100"/>
      <c r="V767" s="9"/>
      <c r="W767" s="10"/>
      <c r="AE767" s="100"/>
      <c r="AN767" s="152"/>
      <c r="AO767" s="153"/>
      <c r="AP767" s="153"/>
      <c r="AQ767" s="153"/>
      <c r="AR767" s="153"/>
      <c r="AS767" s="154"/>
      <c r="AT767" s="155"/>
      <c r="AU767" s="155"/>
      <c r="AV767" s="155"/>
      <c r="AW767" s="107"/>
      <c r="AX767" s="107"/>
      <c r="AY767" s="107"/>
      <c r="AZ767" s="107"/>
      <c r="BA767" s="107"/>
      <c r="BB767" s="152"/>
      <c r="BC767" s="153"/>
      <c r="BD767" s="153"/>
      <c r="BE767" s="153"/>
      <c r="BF767" s="153"/>
      <c r="BG767" s="154"/>
    </row>
    <row r="768" spans="4:59" x14ac:dyDescent="0.2">
      <c r="D768" s="22"/>
      <c r="E768" s="23"/>
      <c r="F768" s="23"/>
      <c r="G768" s="23"/>
      <c r="H768" s="23"/>
      <c r="I768" s="64"/>
      <c r="J768" s="65"/>
      <c r="K768" s="65"/>
      <c r="L768" s="65"/>
      <c r="Q768" s="100"/>
      <c r="V768" s="9"/>
      <c r="W768" s="10"/>
      <c r="AE768" s="100"/>
      <c r="AN768" s="152"/>
      <c r="AO768" s="153"/>
      <c r="AP768" s="153"/>
      <c r="AQ768" s="153"/>
      <c r="AR768" s="153"/>
      <c r="AS768" s="154"/>
      <c r="AT768" s="155"/>
      <c r="AU768" s="155"/>
      <c r="AV768" s="155"/>
      <c r="AW768" s="107"/>
      <c r="AX768" s="107"/>
      <c r="AY768" s="107"/>
      <c r="AZ768" s="107"/>
      <c r="BA768" s="107"/>
      <c r="BB768" s="152"/>
      <c r="BC768" s="153"/>
      <c r="BD768" s="153"/>
      <c r="BE768" s="153"/>
      <c r="BF768" s="153"/>
      <c r="BG768" s="154"/>
    </row>
    <row r="769" spans="4:59" x14ac:dyDescent="0.2">
      <c r="D769" s="22"/>
      <c r="E769" s="23"/>
      <c r="F769" s="23"/>
      <c r="G769" s="23"/>
      <c r="H769" s="23"/>
      <c r="I769" s="64"/>
      <c r="J769" s="65"/>
      <c r="K769" s="65"/>
      <c r="L769" s="65"/>
      <c r="Q769" s="100"/>
      <c r="V769" s="9"/>
      <c r="W769" s="10"/>
      <c r="AE769" s="100"/>
      <c r="AN769" s="152"/>
      <c r="AO769" s="153"/>
      <c r="AP769" s="153"/>
      <c r="AQ769" s="153"/>
      <c r="AR769" s="153"/>
      <c r="AS769" s="154"/>
      <c r="AT769" s="155"/>
      <c r="AU769" s="155"/>
      <c r="AV769" s="155"/>
      <c r="AW769" s="107"/>
      <c r="AX769" s="107"/>
      <c r="AY769" s="107"/>
      <c r="AZ769" s="107"/>
      <c r="BA769" s="107"/>
      <c r="BB769" s="152"/>
      <c r="BC769" s="153"/>
      <c r="BD769" s="153"/>
      <c r="BE769" s="153"/>
      <c r="BF769" s="153"/>
      <c r="BG769" s="154"/>
    </row>
    <row r="770" spans="4:59" x14ac:dyDescent="0.2">
      <c r="D770" s="22"/>
      <c r="E770" s="23"/>
      <c r="F770" s="23"/>
      <c r="G770" s="23"/>
      <c r="H770" s="23"/>
      <c r="I770" s="64"/>
      <c r="J770" s="65"/>
      <c r="K770" s="65"/>
      <c r="L770" s="65"/>
      <c r="Q770" s="100"/>
      <c r="V770" s="9"/>
      <c r="W770" s="10"/>
      <c r="AE770" s="100"/>
      <c r="AN770" s="152"/>
      <c r="AO770" s="153"/>
      <c r="AP770" s="153"/>
      <c r="AQ770" s="153"/>
      <c r="AR770" s="153"/>
      <c r="AS770" s="154"/>
      <c r="AT770" s="155"/>
      <c r="AU770" s="155"/>
      <c r="AV770" s="155"/>
      <c r="AW770" s="107"/>
      <c r="AX770" s="107"/>
      <c r="AY770" s="107"/>
      <c r="AZ770" s="107"/>
      <c r="BA770" s="107"/>
      <c r="BB770" s="152"/>
      <c r="BC770" s="153"/>
      <c r="BD770" s="153"/>
      <c r="BE770" s="153"/>
      <c r="BF770" s="153"/>
      <c r="BG770" s="154"/>
    </row>
    <row r="771" spans="4:59" x14ac:dyDescent="0.2">
      <c r="D771" s="22"/>
      <c r="E771" s="23"/>
      <c r="F771" s="23"/>
      <c r="G771" s="23"/>
      <c r="H771" s="23"/>
      <c r="I771" s="64"/>
      <c r="J771" s="65"/>
      <c r="K771" s="65"/>
      <c r="L771" s="65"/>
      <c r="Q771" s="100"/>
      <c r="V771" s="9"/>
      <c r="W771" s="10"/>
      <c r="AE771" s="100"/>
      <c r="AN771" s="152"/>
      <c r="AO771" s="153"/>
      <c r="AP771" s="153"/>
      <c r="AQ771" s="153"/>
      <c r="AR771" s="153"/>
      <c r="AS771" s="154"/>
      <c r="AT771" s="155"/>
      <c r="AU771" s="155"/>
      <c r="AV771" s="155"/>
      <c r="AW771" s="107"/>
      <c r="AX771" s="107"/>
      <c r="AY771" s="107"/>
      <c r="AZ771" s="107"/>
      <c r="BA771" s="107"/>
      <c r="BB771" s="152"/>
      <c r="BC771" s="153"/>
      <c r="BD771" s="153"/>
      <c r="BE771" s="153"/>
      <c r="BF771" s="153"/>
      <c r="BG771" s="154"/>
    </row>
    <row r="772" spans="4:59" x14ac:dyDescent="0.2">
      <c r="D772" s="22"/>
      <c r="E772" s="23"/>
      <c r="F772" s="23"/>
      <c r="G772" s="23"/>
      <c r="H772" s="23"/>
      <c r="I772" s="64"/>
      <c r="J772" s="65"/>
      <c r="K772" s="65"/>
      <c r="L772" s="65"/>
      <c r="Q772" s="100"/>
      <c r="V772" s="9"/>
      <c r="W772" s="10"/>
      <c r="AE772" s="100"/>
      <c r="AN772" s="152"/>
      <c r="AO772" s="153"/>
      <c r="AP772" s="153"/>
      <c r="AQ772" s="153"/>
      <c r="AR772" s="153"/>
      <c r="AS772" s="154"/>
      <c r="AT772" s="155"/>
      <c r="AU772" s="155"/>
      <c r="AV772" s="155"/>
      <c r="AW772" s="107"/>
      <c r="AX772" s="107"/>
      <c r="AY772" s="107"/>
      <c r="AZ772" s="107"/>
      <c r="BA772" s="107"/>
      <c r="BB772" s="152"/>
      <c r="BC772" s="153"/>
      <c r="BD772" s="153"/>
      <c r="BE772" s="153"/>
      <c r="BF772" s="153"/>
      <c r="BG772" s="154"/>
    </row>
    <row r="773" spans="4:59" x14ac:dyDescent="0.2">
      <c r="D773" s="22"/>
      <c r="E773" s="23"/>
      <c r="F773" s="23"/>
      <c r="G773" s="23"/>
      <c r="H773" s="23"/>
      <c r="I773" s="64"/>
      <c r="J773" s="65"/>
      <c r="K773" s="65"/>
      <c r="L773" s="65"/>
      <c r="Q773" s="100"/>
      <c r="V773" s="9"/>
      <c r="W773" s="10"/>
      <c r="AE773" s="100"/>
      <c r="AN773" s="152"/>
      <c r="AO773" s="153"/>
      <c r="AP773" s="153"/>
      <c r="AQ773" s="153"/>
      <c r="AR773" s="153"/>
      <c r="AS773" s="154"/>
      <c r="AT773" s="155"/>
      <c r="AU773" s="155"/>
      <c r="AV773" s="155"/>
      <c r="AW773" s="107"/>
      <c r="AX773" s="107"/>
      <c r="AY773" s="107"/>
      <c r="AZ773" s="107"/>
      <c r="BA773" s="107"/>
      <c r="BB773" s="152"/>
      <c r="BC773" s="153"/>
      <c r="BD773" s="153"/>
      <c r="BE773" s="153"/>
      <c r="BF773" s="153"/>
      <c r="BG773" s="154"/>
    </row>
    <row r="774" spans="4:59" x14ac:dyDescent="0.2">
      <c r="D774" s="22"/>
      <c r="E774" s="23"/>
      <c r="F774" s="23"/>
      <c r="G774" s="23"/>
      <c r="H774" s="23"/>
      <c r="I774" s="64"/>
      <c r="J774" s="65"/>
      <c r="K774" s="65"/>
      <c r="L774" s="65"/>
      <c r="Q774" s="100"/>
      <c r="V774" s="9"/>
      <c r="W774" s="10"/>
      <c r="AE774" s="100"/>
      <c r="AN774" s="152"/>
      <c r="AO774" s="153"/>
      <c r="AP774" s="153"/>
      <c r="AQ774" s="153"/>
      <c r="AR774" s="153"/>
      <c r="AS774" s="154"/>
      <c r="AT774" s="155"/>
      <c r="AU774" s="155"/>
      <c r="AV774" s="155"/>
      <c r="AW774" s="107"/>
      <c r="AX774" s="107"/>
      <c r="AY774" s="107"/>
      <c r="AZ774" s="107"/>
      <c r="BA774" s="107"/>
      <c r="BB774" s="152"/>
      <c r="BC774" s="153"/>
      <c r="BD774" s="153"/>
      <c r="BE774" s="153"/>
      <c r="BF774" s="153"/>
      <c r="BG774" s="154"/>
    </row>
    <row r="775" spans="4:59" x14ac:dyDescent="0.2">
      <c r="D775" s="22"/>
      <c r="E775" s="23"/>
      <c r="F775" s="23"/>
      <c r="G775" s="23"/>
      <c r="H775" s="23"/>
      <c r="I775" s="64"/>
      <c r="J775" s="65"/>
      <c r="K775" s="65"/>
      <c r="L775" s="65"/>
      <c r="Q775" s="100"/>
      <c r="V775" s="9"/>
      <c r="W775" s="10"/>
      <c r="AE775" s="100"/>
      <c r="AN775" s="152"/>
      <c r="AO775" s="153"/>
      <c r="AP775" s="153"/>
      <c r="AQ775" s="153"/>
      <c r="AR775" s="153"/>
      <c r="AS775" s="154"/>
      <c r="AT775" s="155"/>
      <c r="AU775" s="155"/>
      <c r="AV775" s="155"/>
      <c r="AW775" s="107"/>
      <c r="AX775" s="107"/>
      <c r="AY775" s="107"/>
      <c r="AZ775" s="107"/>
      <c r="BA775" s="107"/>
      <c r="BB775" s="152"/>
      <c r="BC775" s="153"/>
      <c r="BD775" s="153"/>
      <c r="BE775" s="153"/>
      <c r="BF775" s="153"/>
      <c r="BG775" s="154"/>
    </row>
    <row r="776" spans="4:59" x14ac:dyDescent="0.2">
      <c r="D776" s="22"/>
      <c r="E776" s="23"/>
      <c r="F776" s="23"/>
      <c r="G776" s="23"/>
      <c r="H776" s="23"/>
      <c r="I776" s="64"/>
      <c r="J776" s="65"/>
      <c r="K776" s="65"/>
      <c r="L776" s="65"/>
      <c r="Q776" s="100"/>
      <c r="V776" s="9"/>
      <c r="W776" s="10"/>
      <c r="AE776" s="100"/>
      <c r="AN776" s="152"/>
      <c r="AO776" s="153"/>
      <c r="AP776" s="153"/>
      <c r="AQ776" s="153"/>
      <c r="AR776" s="153"/>
      <c r="AS776" s="154"/>
      <c r="AT776" s="155"/>
      <c r="AU776" s="155"/>
      <c r="AV776" s="155"/>
      <c r="AW776" s="107"/>
      <c r="AX776" s="107"/>
      <c r="AY776" s="107"/>
      <c r="AZ776" s="107"/>
      <c r="BA776" s="107"/>
      <c r="BB776" s="152"/>
      <c r="BC776" s="153"/>
      <c r="BD776" s="153"/>
      <c r="BE776" s="153"/>
      <c r="BF776" s="153"/>
      <c r="BG776" s="154"/>
    </row>
    <row r="777" spans="4:59" x14ac:dyDescent="0.2">
      <c r="D777" s="22"/>
      <c r="E777" s="23"/>
      <c r="F777" s="23"/>
      <c r="G777" s="23"/>
      <c r="H777" s="23"/>
      <c r="I777" s="64"/>
      <c r="J777" s="65"/>
      <c r="K777" s="65"/>
      <c r="L777" s="65"/>
      <c r="Q777" s="100"/>
      <c r="V777" s="9"/>
      <c r="W777" s="10"/>
      <c r="AE777" s="100"/>
      <c r="AN777" s="152"/>
      <c r="AO777" s="153"/>
      <c r="AP777" s="153"/>
      <c r="AQ777" s="153"/>
      <c r="AR777" s="153"/>
      <c r="AS777" s="154"/>
      <c r="AT777" s="155"/>
      <c r="AU777" s="155"/>
      <c r="AV777" s="155"/>
      <c r="AW777" s="107"/>
      <c r="AX777" s="107"/>
      <c r="AY777" s="107"/>
      <c r="AZ777" s="107"/>
      <c r="BA777" s="107"/>
      <c r="BB777" s="152"/>
      <c r="BC777" s="153"/>
      <c r="BD777" s="153"/>
      <c r="BE777" s="153"/>
      <c r="BF777" s="153"/>
      <c r="BG777" s="154"/>
    </row>
    <row r="778" spans="4:59" x14ac:dyDescent="0.2">
      <c r="D778" s="22"/>
      <c r="E778" s="23"/>
      <c r="F778" s="23"/>
      <c r="G778" s="23"/>
      <c r="H778" s="23"/>
      <c r="I778" s="64"/>
      <c r="J778" s="65"/>
      <c r="K778" s="65"/>
      <c r="L778" s="65"/>
      <c r="Q778" s="100"/>
      <c r="V778" s="9"/>
      <c r="W778" s="10"/>
      <c r="AE778" s="100"/>
      <c r="AN778" s="152"/>
      <c r="AO778" s="153"/>
      <c r="AP778" s="153"/>
      <c r="AQ778" s="153"/>
      <c r="AR778" s="153"/>
      <c r="AS778" s="154"/>
      <c r="AT778" s="155"/>
      <c r="AU778" s="155"/>
      <c r="AV778" s="155"/>
      <c r="AW778" s="107"/>
      <c r="AX778" s="107"/>
      <c r="AY778" s="107"/>
      <c r="AZ778" s="107"/>
      <c r="BA778" s="107"/>
      <c r="BB778" s="152"/>
      <c r="BC778" s="153"/>
      <c r="BD778" s="153"/>
      <c r="BE778" s="153"/>
      <c r="BF778" s="153"/>
      <c r="BG778" s="154"/>
    </row>
    <row r="779" spans="4:59" x14ac:dyDescent="0.2">
      <c r="D779" s="22"/>
      <c r="E779" s="23"/>
      <c r="F779" s="23"/>
      <c r="G779" s="23"/>
      <c r="H779" s="23"/>
      <c r="I779" s="64"/>
      <c r="J779" s="65"/>
      <c r="K779" s="65"/>
      <c r="L779" s="65"/>
      <c r="Q779" s="100"/>
      <c r="V779" s="9"/>
      <c r="W779" s="10"/>
      <c r="AE779" s="100"/>
      <c r="AN779" s="152"/>
      <c r="AO779" s="153"/>
      <c r="AP779" s="153"/>
      <c r="AQ779" s="153"/>
      <c r="AR779" s="153"/>
      <c r="AS779" s="154"/>
      <c r="AT779" s="155"/>
      <c r="AU779" s="155"/>
      <c r="AV779" s="155"/>
      <c r="AW779" s="107"/>
      <c r="AX779" s="107"/>
      <c r="AY779" s="107"/>
      <c r="AZ779" s="107"/>
      <c r="BA779" s="107"/>
      <c r="BB779" s="152"/>
      <c r="BC779" s="153"/>
      <c r="BD779" s="153"/>
      <c r="BE779" s="153"/>
      <c r="BF779" s="153"/>
      <c r="BG779" s="154"/>
    </row>
    <row r="780" spans="4:59" x14ac:dyDescent="0.2">
      <c r="D780" s="22"/>
      <c r="E780" s="23"/>
      <c r="F780" s="23"/>
      <c r="G780" s="23"/>
      <c r="H780" s="23"/>
      <c r="I780" s="64"/>
      <c r="J780" s="65"/>
      <c r="K780" s="65"/>
      <c r="L780" s="65"/>
      <c r="Q780" s="100"/>
      <c r="V780" s="9"/>
      <c r="W780" s="10"/>
      <c r="AE780" s="100"/>
      <c r="AN780" s="152"/>
      <c r="AO780" s="153"/>
      <c r="AP780" s="153"/>
      <c r="AQ780" s="153"/>
      <c r="AR780" s="153"/>
      <c r="AS780" s="154"/>
      <c r="AT780" s="155"/>
      <c r="AU780" s="155"/>
      <c r="AV780" s="155"/>
      <c r="AW780" s="107"/>
      <c r="AX780" s="107"/>
      <c r="AY780" s="107"/>
      <c r="AZ780" s="107"/>
      <c r="BA780" s="107"/>
      <c r="BB780" s="152"/>
      <c r="BC780" s="153"/>
      <c r="BD780" s="153"/>
      <c r="BE780" s="153"/>
      <c r="BF780" s="153"/>
      <c r="BG780" s="154"/>
    </row>
    <row r="781" spans="4:59" x14ac:dyDescent="0.2">
      <c r="D781" s="22"/>
      <c r="E781" s="23"/>
      <c r="F781" s="23"/>
      <c r="G781" s="23"/>
      <c r="H781" s="23"/>
      <c r="I781" s="64"/>
      <c r="J781" s="65"/>
      <c r="K781" s="65"/>
      <c r="L781" s="65"/>
      <c r="Q781" s="100"/>
      <c r="V781" s="9"/>
      <c r="W781" s="10"/>
      <c r="AE781" s="100"/>
      <c r="AN781" s="152"/>
      <c r="AO781" s="153"/>
      <c r="AP781" s="153"/>
      <c r="AQ781" s="153"/>
      <c r="AR781" s="153"/>
      <c r="AS781" s="154"/>
      <c r="AT781" s="155"/>
      <c r="AU781" s="155"/>
      <c r="AV781" s="155"/>
      <c r="AW781" s="107"/>
      <c r="AX781" s="107"/>
      <c r="AY781" s="107"/>
      <c r="AZ781" s="107"/>
      <c r="BA781" s="107"/>
      <c r="BB781" s="152"/>
      <c r="BC781" s="153"/>
      <c r="BD781" s="153"/>
      <c r="BE781" s="153"/>
      <c r="BF781" s="153"/>
      <c r="BG781" s="154"/>
    </row>
    <row r="782" spans="4:59" x14ac:dyDescent="0.2">
      <c r="D782" s="22"/>
      <c r="E782" s="23"/>
      <c r="F782" s="23"/>
      <c r="G782" s="23"/>
      <c r="H782" s="23"/>
      <c r="I782" s="64"/>
      <c r="J782" s="65"/>
      <c r="K782" s="65"/>
      <c r="L782" s="65"/>
      <c r="Q782" s="100"/>
      <c r="V782" s="9"/>
      <c r="W782" s="10"/>
      <c r="AE782" s="100"/>
      <c r="AN782" s="152"/>
      <c r="AO782" s="153"/>
      <c r="AP782" s="153"/>
      <c r="AQ782" s="153"/>
      <c r="AR782" s="153"/>
      <c r="AS782" s="154"/>
      <c r="AT782" s="155"/>
      <c r="AU782" s="155"/>
      <c r="AV782" s="155"/>
      <c r="AW782" s="107"/>
      <c r="AX782" s="107"/>
      <c r="AY782" s="107"/>
      <c r="AZ782" s="107"/>
      <c r="BA782" s="107"/>
      <c r="BB782" s="152"/>
      <c r="BC782" s="153"/>
      <c r="BD782" s="153"/>
      <c r="BE782" s="153"/>
      <c r="BF782" s="153"/>
      <c r="BG782" s="154"/>
    </row>
    <row r="783" spans="4:59" x14ac:dyDescent="0.2">
      <c r="D783" s="22"/>
      <c r="E783" s="23"/>
      <c r="F783" s="23"/>
      <c r="G783" s="23"/>
      <c r="H783" s="23"/>
      <c r="I783" s="64"/>
      <c r="J783" s="65"/>
      <c r="K783" s="65"/>
      <c r="L783" s="65"/>
      <c r="Q783" s="100"/>
      <c r="V783" s="9"/>
      <c r="W783" s="10"/>
      <c r="AE783" s="100"/>
      <c r="AN783" s="152"/>
      <c r="AO783" s="153"/>
      <c r="AP783" s="153"/>
      <c r="AQ783" s="153"/>
      <c r="AR783" s="153"/>
      <c r="AS783" s="154"/>
      <c r="AT783" s="155"/>
      <c r="AU783" s="155"/>
      <c r="AV783" s="155"/>
      <c r="AW783" s="107"/>
      <c r="AX783" s="107"/>
      <c r="AY783" s="107"/>
      <c r="AZ783" s="107"/>
      <c r="BA783" s="107"/>
      <c r="BB783" s="152"/>
      <c r="BC783" s="153"/>
      <c r="BD783" s="153"/>
      <c r="BE783" s="153"/>
      <c r="BF783" s="153"/>
      <c r="BG783" s="154"/>
    </row>
    <row r="784" spans="4:59" x14ac:dyDescent="0.2">
      <c r="D784" s="22"/>
      <c r="E784" s="23"/>
      <c r="F784" s="23"/>
      <c r="G784" s="23"/>
      <c r="H784" s="23"/>
      <c r="I784" s="64"/>
      <c r="J784" s="65"/>
      <c r="K784" s="65"/>
      <c r="L784" s="65"/>
      <c r="Q784" s="100"/>
      <c r="V784" s="9"/>
      <c r="W784" s="10"/>
      <c r="AE784" s="100"/>
      <c r="AN784" s="152"/>
      <c r="AO784" s="153"/>
      <c r="AP784" s="153"/>
      <c r="AQ784" s="153"/>
      <c r="AR784" s="153"/>
      <c r="AS784" s="154"/>
      <c r="AT784" s="155"/>
      <c r="AU784" s="155"/>
      <c r="AV784" s="155"/>
      <c r="AW784" s="107"/>
      <c r="AX784" s="107"/>
      <c r="AY784" s="107"/>
      <c r="AZ784" s="107"/>
      <c r="BA784" s="107"/>
      <c r="BB784" s="152"/>
      <c r="BC784" s="153"/>
      <c r="BD784" s="153"/>
      <c r="BE784" s="153"/>
      <c r="BF784" s="153"/>
      <c r="BG784" s="154"/>
    </row>
    <row r="785" spans="4:59" x14ac:dyDescent="0.2">
      <c r="D785" s="22"/>
      <c r="E785" s="23"/>
      <c r="F785" s="23"/>
      <c r="G785" s="23"/>
      <c r="H785" s="23"/>
      <c r="I785" s="64"/>
      <c r="J785" s="65"/>
      <c r="K785" s="65"/>
      <c r="L785" s="65"/>
      <c r="Q785" s="100"/>
      <c r="V785" s="9"/>
      <c r="W785" s="10"/>
      <c r="AE785" s="100"/>
      <c r="AN785" s="152"/>
      <c r="AO785" s="153"/>
      <c r="AP785" s="153"/>
      <c r="AQ785" s="153"/>
      <c r="AR785" s="153"/>
      <c r="AS785" s="154"/>
      <c r="AT785" s="155"/>
      <c r="AU785" s="155"/>
      <c r="AV785" s="155"/>
      <c r="AW785" s="107"/>
      <c r="AX785" s="107"/>
      <c r="AY785" s="107"/>
      <c r="AZ785" s="107"/>
      <c r="BA785" s="107"/>
      <c r="BB785" s="152"/>
      <c r="BC785" s="153"/>
      <c r="BD785" s="153"/>
      <c r="BE785" s="153"/>
      <c r="BF785" s="153"/>
      <c r="BG785" s="154"/>
    </row>
    <row r="786" spans="4:59" x14ac:dyDescent="0.2">
      <c r="D786" s="22"/>
      <c r="E786" s="23"/>
      <c r="F786" s="23"/>
      <c r="G786" s="23"/>
      <c r="H786" s="23"/>
      <c r="I786" s="64"/>
      <c r="J786" s="65"/>
      <c r="K786" s="65"/>
      <c r="L786" s="65"/>
      <c r="Q786" s="100"/>
      <c r="V786" s="9"/>
      <c r="W786" s="10"/>
      <c r="AE786" s="100"/>
      <c r="AN786" s="152"/>
      <c r="AO786" s="153"/>
      <c r="AP786" s="153"/>
      <c r="AQ786" s="153"/>
      <c r="AR786" s="153"/>
      <c r="AS786" s="154"/>
      <c r="AT786" s="155"/>
      <c r="AU786" s="155"/>
      <c r="AV786" s="155"/>
      <c r="AW786" s="107"/>
      <c r="AX786" s="107"/>
      <c r="AY786" s="107"/>
      <c r="AZ786" s="107"/>
      <c r="BA786" s="107"/>
      <c r="BB786" s="152"/>
      <c r="BC786" s="153"/>
      <c r="BD786" s="153"/>
      <c r="BE786" s="153"/>
      <c r="BF786" s="153"/>
      <c r="BG786" s="154"/>
    </row>
    <row r="787" spans="4:59" x14ac:dyDescent="0.2">
      <c r="D787" s="22"/>
      <c r="E787" s="23"/>
      <c r="F787" s="23"/>
      <c r="G787" s="23"/>
      <c r="H787" s="23"/>
      <c r="I787" s="64"/>
      <c r="J787" s="65"/>
      <c r="K787" s="65"/>
      <c r="L787" s="65"/>
      <c r="Q787" s="100"/>
      <c r="V787" s="9"/>
      <c r="W787" s="10"/>
      <c r="AE787" s="100"/>
      <c r="AN787" s="152"/>
      <c r="AO787" s="153"/>
      <c r="AP787" s="153"/>
      <c r="AQ787" s="153"/>
      <c r="AR787" s="153"/>
      <c r="AS787" s="154"/>
      <c r="AT787" s="155"/>
      <c r="AU787" s="155"/>
      <c r="AV787" s="155"/>
      <c r="AW787" s="107"/>
      <c r="AX787" s="107"/>
      <c r="AY787" s="107"/>
      <c r="AZ787" s="107"/>
      <c r="BA787" s="107"/>
      <c r="BB787" s="152"/>
      <c r="BC787" s="153"/>
      <c r="BD787" s="153"/>
      <c r="BE787" s="153"/>
      <c r="BF787" s="153"/>
      <c r="BG787" s="154"/>
    </row>
    <row r="788" spans="4:59" x14ac:dyDescent="0.2">
      <c r="D788" s="22"/>
      <c r="E788" s="23"/>
      <c r="F788" s="23"/>
      <c r="G788" s="23"/>
      <c r="H788" s="23"/>
      <c r="I788" s="64"/>
      <c r="J788" s="65"/>
      <c r="K788" s="65"/>
      <c r="L788" s="65"/>
      <c r="Q788" s="100"/>
      <c r="V788" s="9"/>
      <c r="W788" s="10"/>
      <c r="AE788" s="100"/>
      <c r="AN788" s="152"/>
      <c r="AO788" s="153"/>
      <c r="AP788" s="153"/>
      <c r="AQ788" s="153"/>
      <c r="AR788" s="153"/>
      <c r="AS788" s="154"/>
      <c r="AT788" s="155"/>
      <c r="AU788" s="155"/>
      <c r="AV788" s="155"/>
      <c r="AW788" s="107"/>
      <c r="AX788" s="107"/>
      <c r="AY788" s="107"/>
      <c r="AZ788" s="107"/>
      <c r="BA788" s="107"/>
      <c r="BB788" s="152"/>
      <c r="BC788" s="153"/>
      <c r="BD788" s="153"/>
      <c r="BE788" s="153"/>
      <c r="BF788" s="153"/>
      <c r="BG788" s="154"/>
    </row>
    <row r="789" spans="4:59" x14ac:dyDescent="0.2">
      <c r="D789" s="22"/>
      <c r="E789" s="23"/>
      <c r="F789" s="23"/>
      <c r="G789" s="23"/>
      <c r="H789" s="23"/>
      <c r="I789" s="64"/>
      <c r="J789" s="65"/>
      <c r="K789" s="65"/>
      <c r="L789" s="65"/>
      <c r="Q789" s="100"/>
      <c r="V789" s="9"/>
      <c r="W789" s="10"/>
      <c r="AE789" s="100"/>
      <c r="AN789" s="152"/>
      <c r="AO789" s="153"/>
      <c r="AP789" s="153"/>
      <c r="AQ789" s="153"/>
      <c r="AR789" s="153"/>
      <c r="AS789" s="154"/>
      <c r="AT789" s="155"/>
      <c r="AU789" s="155"/>
      <c r="AV789" s="155"/>
      <c r="AW789" s="107"/>
      <c r="AX789" s="107"/>
      <c r="AY789" s="107"/>
      <c r="AZ789" s="107"/>
      <c r="BA789" s="107"/>
      <c r="BB789" s="152"/>
      <c r="BC789" s="153"/>
      <c r="BD789" s="153"/>
      <c r="BE789" s="153"/>
      <c r="BF789" s="153"/>
      <c r="BG789" s="154"/>
    </row>
    <row r="790" spans="4:59" x14ac:dyDescent="0.2">
      <c r="D790" s="22"/>
      <c r="E790" s="23"/>
      <c r="F790" s="23"/>
      <c r="G790" s="23"/>
      <c r="H790" s="23"/>
      <c r="I790" s="64"/>
      <c r="J790" s="65"/>
      <c r="K790" s="65"/>
      <c r="L790" s="65"/>
      <c r="Q790" s="100"/>
      <c r="V790" s="9"/>
      <c r="W790" s="10"/>
      <c r="AE790" s="100"/>
      <c r="AN790" s="152"/>
      <c r="AO790" s="153"/>
      <c r="AP790" s="153"/>
      <c r="AQ790" s="153"/>
      <c r="AR790" s="153"/>
      <c r="AS790" s="154"/>
      <c r="AT790" s="155"/>
      <c r="AU790" s="155"/>
      <c r="AV790" s="155"/>
      <c r="AW790" s="107"/>
      <c r="AX790" s="107"/>
      <c r="AY790" s="107"/>
      <c r="AZ790" s="107"/>
      <c r="BA790" s="107"/>
      <c r="BB790" s="152"/>
      <c r="BC790" s="153"/>
      <c r="BD790" s="153"/>
      <c r="BE790" s="153"/>
      <c r="BF790" s="153"/>
      <c r="BG790" s="154"/>
    </row>
    <row r="791" spans="4:59" x14ac:dyDescent="0.2">
      <c r="D791" s="22"/>
      <c r="E791" s="23"/>
      <c r="F791" s="23"/>
      <c r="G791" s="23"/>
      <c r="H791" s="23"/>
      <c r="I791" s="64"/>
      <c r="J791" s="65"/>
      <c r="K791" s="65"/>
      <c r="L791" s="65"/>
      <c r="Q791" s="100"/>
      <c r="V791" s="9"/>
      <c r="W791" s="10"/>
      <c r="AE791" s="100"/>
      <c r="AN791" s="152"/>
      <c r="AO791" s="153"/>
      <c r="AP791" s="153"/>
      <c r="AQ791" s="153"/>
      <c r="AR791" s="153"/>
      <c r="AS791" s="154"/>
      <c r="AT791" s="155"/>
      <c r="AU791" s="155"/>
      <c r="AV791" s="155"/>
      <c r="AW791" s="107"/>
      <c r="AX791" s="107"/>
      <c r="AY791" s="107"/>
      <c r="AZ791" s="107"/>
      <c r="BA791" s="107"/>
      <c r="BB791" s="152"/>
      <c r="BC791" s="153"/>
      <c r="BD791" s="153"/>
      <c r="BE791" s="153"/>
      <c r="BF791" s="153"/>
      <c r="BG791" s="154"/>
    </row>
    <row r="792" spans="4:59" x14ac:dyDescent="0.2">
      <c r="D792" s="22"/>
      <c r="E792" s="23"/>
      <c r="F792" s="23"/>
      <c r="G792" s="23"/>
      <c r="H792" s="23"/>
      <c r="I792" s="64"/>
      <c r="J792" s="65"/>
      <c r="K792" s="65"/>
      <c r="L792" s="65"/>
      <c r="Q792" s="100"/>
      <c r="V792" s="9"/>
      <c r="W792" s="10"/>
      <c r="AE792" s="100"/>
      <c r="AN792" s="152"/>
      <c r="AO792" s="153"/>
      <c r="AP792" s="153"/>
      <c r="AQ792" s="153"/>
      <c r="AR792" s="153"/>
      <c r="AS792" s="154"/>
      <c r="AT792" s="155"/>
      <c r="AU792" s="155"/>
      <c r="AV792" s="155"/>
      <c r="AW792" s="107"/>
      <c r="AX792" s="107"/>
      <c r="AY792" s="107"/>
      <c r="AZ792" s="107"/>
      <c r="BA792" s="107"/>
      <c r="BB792" s="152"/>
      <c r="BC792" s="153"/>
      <c r="BD792" s="153"/>
      <c r="BE792" s="153"/>
      <c r="BF792" s="153"/>
      <c r="BG792" s="154"/>
    </row>
    <row r="793" spans="4:59" x14ac:dyDescent="0.2">
      <c r="D793" s="22"/>
      <c r="E793" s="23"/>
      <c r="F793" s="23"/>
      <c r="G793" s="23"/>
      <c r="H793" s="23"/>
      <c r="I793" s="64"/>
      <c r="J793" s="65"/>
      <c r="K793" s="65"/>
      <c r="L793" s="65"/>
      <c r="Q793" s="100"/>
      <c r="V793" s="9"/>
      <c r="W793" s="10"/>
      <c r="AE793" s="100"/>
      <c r="AN793" s="152"/>
      <c r="AO793" s="153"/>
      <c r="AP793" s="153"/>
      <c r="AQ793" s="153"/>
      <c r="AR793" s="153"/>
      <c r="AS793" s="154"/>
      <c r="AT793" s="155"/>
      <c r="AU793" s="155"/>
      <c r="AV793" s="155"/>
      <c r="AW793" s="107"/>
      <c r="AX793" s="107"/>
      <c r="AY793" s="107"/>
      <c r="AZ793" s="107"/>
      <c r="BA793" s="107"/>
      <c r="BB793" s="152"/>
      <c r="BC793" s="153"/>
      <c r="BD793" s="153"/>
      <c r="BE793" s="153"/>
      <c r="BF793" s="153"/>
      <c r="BG793" s="154"/>
    </row>
    <row r="794" spans="4:59" x14ac:dyDescent="0.2">
      <c r="D794" s="22"/>
      <c r="E794" s="23"/>
      <c r="F794" s="23"/>
      <c r="G794" s="23"/>
      <c r="H794" s="23"/>
      <c r="I794" s="64"/>
      <c r="J794" s="65"/>
      <c r="K794" s="65"/>
      <c r="L794" s="65"/>
      <c r="Q794" s="100"/>
      <c r="V794" s="9"/>
      <c r="W794" s="10"/>
      <c r="AE794" s="100"/>
      <c r="AN794" s="152"/>
      <c r="AO794" s="153"/>
      <c r="AP794" s="153"/>
      <c r="AQ794" s="153"/>
      <c r="AR794" s="153"/>
      <c r="AS794" s="154"/>
      <c r="AT794" s="155"/>
      <c r="AU794" s="155"/>
      <c r="AV794" s="155"/>
      <c r="AW794" s="107"/>
      <c r="AX794" s="107"/>
      <c r="AY794" s="107"/>
      <c r="AZ794" s="107"/>
      <c r="BA794" s="107"/>
      <c r="BB794" s="152"/>
      <c r="BC794" s="153"/>
      <c r="BD794" s="153"/>
      <c r="BE794" s="153"/>
      <c r="BF794" s="153"/>
      <c r="BG794" s="154"/>
    </row>
    <row r="795" spans="4:59" x14ac:dyDescent="0.2">
      <c r="D795" s="22"/>
      <c r="E795" s="23"/>
      <c r="F795" s="23"/>
      <c r="G795" s="23"/>
      <c r="H795" s="23"/>
      <c r="I795" s="64"/>
      <c r="J795" s="65"/>
      <c r="K795" s="65"/>
      <c r="L795" s="65"/>
      <c r="Q795" s="100"/>
      <c r="V795" s="9"/>
      <c r="W795" s="10"/>
      <c r="AE795" s="100"/>
      <c r="AN795" s="152"/>
      <c r="AO795" s="153"/>
      <c r="AP795" s="153"/>
      <c r="AQ795" s="153"/>
      <c r="AR795" s="153"/>
      <c r="AS795" s="154"/>
      <c r="AT795" s="155"/>
      <c r="AU795" s="155"/>
      <c r="AV795" s="155"/>
      <c r="AW795" s="107"/>
      <c r="AX795" s="107"/>
      <c r="AY795" s="107"/>
      <c r="AZ795" s="107"/>
      <c r="BA795" s="107"/>
      <c r="BB795" s="152"/>
      <c r="BC795" s="153"/>
      <c r="BD795" s="153"/>
      <c r="BE795" s="153"/>
      <c r="BF795" s="153"/>
      <c r="BG795" s="154"/>
    </row>
    <row r="796" spans="4:59" x14ac:dyDescent="0.2">
      <c r="D796" s="22"/>
      <c r="E796" s="23"/>
      <c r="F796" s="23"/>
      <c r="G796" s="23"/>
      <c r="H796" s="23"/>
      <c r="I796" s="64"/>
      <c r="J796" s="65"/>
      <c r="K796" s="65"/>
      <c r="L796" s="65"/>
      <c r="Q796" s="100"/>
      <c r="V796" s="9"/>
      <c r="W796" s="10"/>
      <c r="AE796" s="100"/>
      <c r="AN796" s="152"/>
      <c r="AO796" s="153"/>
      <c r="AP796" s="153"/>
      <c r="AQ796" s="153"/>
      <c r="AR796" s="153"/>
      <c r="AS796" s="154"/>
      <c r="AT796" s="155"/>
      <c r="AU796" s="155"/>
      <c r="AV796" s="155"/>
      <c r="AW796" s="107"/>
      <c r="AX796" s="107"/>
      <c r="AY796" s="107"/>
      <c r="AZ796" s="107"/>
      <c r="BA796" s="107"/>
      <c r="BB796" s="152"/>
      <c r="BC796" s="153"/>
      <c r="BD796" s="153"/>
      <c r="BE796" s="153"/>
      <c r="BF796" s="153"/>
      <c r="BG796" s="154"/>
    </row>
    <row r="797" spans="4:59" x14ac:dyDescent="0.2">
      <c r="D797" s="22"/>
      <c r="E797" s="23"/>
      <c r="F797" s="23"/>
      <c r="G797" s="23"/>
      <c r="H797" s="23"/>
      <c r="I797" s="64"/>
      <c r="J797" s="65"/>
      <c r="K797" s="65"/>
      <c r="L797" s="65"/>
      <c r="Q797" s="100"/>
      <c r="V797" s="9"/>
      <c r="W797" s="10"/>
      <c r="AE797" s="100"/>
      <c r="AN797" s="152"/>
      <c r="AO797" s="153"/>
      <c r="AP797" s="153"/>
      <c r="AQ797" s="153"/>
      <c r="AR797" s="153"/>
      <c r="AS797" s="154"/>
      <c r="AT797" s="155"/>
      <c r="AU797" s="155"/>
      <c r="AV797" s="155"/>
      <c r="AW797" s="107"/>
      <c r="AX797" s="107"/>
      <c r="AY797" s="107"/>
      <c r="AZ797" s="107"/>
      <c r="BA797" s="107"/>
      <c r="BB797" s="152"/>
      <c r="BC797" s="153"/>
      <c r="BD797" s="153"/>
      <c r="BE797" s="153"/>
      <c r="BF797" s="153"/>
      <c r="BG797" s="154"/>
    </row>
    <row r="798" spans="4:59" x14ac:dyDescent="0.2">
      <c r="D798" s="22"/>
      <c r="E798" s="23"/>
      <c r="F798" s="23"/>
      <c r="G798" s="23"/>
      <c r="H798" s="23"/>
      <c r="I798" s="64"/>
      <c r="J798" s="65"/>
      <c r="K798" s="65"/>
      <c r="L798" s="65"/>
      <c r="Q798" s="100"/>
      <c r="V798" s="9"/>
      <c r="W798" s="10"/>
      <c r="AE798" s="100"/>
      <c r="AN798" s="152"/>
      <c r="AO798" s="153"/>
      <c r="AP798" s="153"/>
      <c r="AQ798" s="153"/>
      <c r="AR798" s="153"/>
      <c r="AS798" s="154"/>
      <c r="AT798" s="155"/>
      <c r="AU798" s="155"/>
      <c r="AV798" s="155"/>
      <c r="AW798" s="107"/>
      <c r="AX798" s="107"/>
      <c r="AY798" s="107"/>
      <c r="AZ798" s="107"/>
      <c r="BA798" s="107"/>
      <c r="BB798" s="152"/>
      <c r="BC798" s="153"/>
      <c r="BD798" s="153"/>
      <c r="BE798" s="153"/>
      <c r="BF798" s="153"/>
      <c r="BG798" s="154"/>
    </row>
    <row r="799" spans="4:59" x14ac:dyDescent="0.2">
      <c r="D799" s="22"/>
      <c r="E799" s="23"/>
      <c r="F799" s="23"/>
      <c r="G799" s="23"/>
      <c r="H799" s="23"/>
      <c r="I799" s="64"/>
      <c r="J799" s="65"/>
      <c r="K799" s="65"/>
      <c r="L799" s="65"/>
      <c r="Q799" s="100"/>
      <c r="V799" s="9"/>
      <c r="W799" s="10"/>
      <c r="AE799" s="100"/>
      <c r="AN799" s="152"/>
      <c r="AO799" s="153"/>
      <c r="AP799" s="153"/>
      <c r="AQ799" s="153"/>
      <c r="AR799" s="153"/>
      <c r="AS799" s="154"/>
      <c r="AT799" s="155"/>
      <c r="AU799" s="155"/>
      <c r="AV799" s="155"/>
      <c r="AW799" s="107"/>
      <c r="AX799" s="107"/>
      <c r="AY799" s="107"/>
      <c r="AZ799" s="107"/>
      <c r="BA799" s="107"/>
      <c r="BB799" s="152"/>
      <c r="BC799" s="153"/>
      <c r="BD799" s="153"/>
      <c r="BE799" s="153"/>
      <c r="BF799" s="153"/>
      <c r="BG799" s="154"/>
    </row>
    <row r="800" spans="4:59" x14ac:dyDescent="0.2">
      <c r="D800" s="22"/>
      <c r="E800" s="23"/>
      <c r="F800" s="23"/>
      <c r="G800" s="23"/>
      <c r="H800" s="23"/>
      <c r="I800" s="64"/>
      <c r="J800" s="65"/>
      <c r="K800" s="65"/>
      <c r="L800" s="65"/>
      <c r="Q800" s="100"/>
      <c r="V800" s="9"/>
      <c r="W800" s="10"/>
      <c r="AE800" s="100"/>
      <c r="AN800" s="152"/>
      <c r="AO800" s="153"/>
      <c r="AP800" s="153"/>
      <c r="AQ800" s="153"/>
      <c r="AR800" s="153"/>
      <c r="AS800" s="154"/>
      <c r="AT800" s="155"/>
      <c r="AU800" s="155"/>
      <c r="AV800" s="155"/>
      <c r="AW800" s="107"/>
      <c r="AX800" s="107"/>
      <c r="AY800" s="107"/>
      <c r="AZ800" s="107"/>
      <c r="BA800" s="107"/>
      <c r="BB800" s="152"/>
      <c r="BC800" s="153"/>
      <c r="BD800" s="153"/>
      <c r="BE800" s="153"/>
      <c r="BF800" s="153"/>
      <c r="BG800" s="154"/>
    </row>
    <row r="801" spans="4:59" x14ac:dyDescent="0.2">
      <c r="D801" s="22"/>
      <c r="E801" s="23"/>
      <c r="F801" s="23"/>
      <c r="G801" s="23"/>
      <c r="H801" s="23"/>
      <c r="I801" s="64"/>
      <c r="J801" s="65"/>
      <c r="K801" s="65"/>
      <c r="L801" s="65"/>
      <c r="Q801" s="100"/>
      <c r="V801" s="9"/>
      <c r="W801" s="10"/>
      <c r="AE801" s="100"/>
      <c r="AN801" s="152"/>
      <c r="AO801" s="153"/>
      <c r="AP801" s="153"/>
      <c r="AQ801" s="153"/>
      <c r="AR801" s="153"/>
      <c r="AS801" s="154"/>
      <c r="AT801" s="155"/>
      <c r="AU801" s="155"/>
      <c r="AV801" s="155"/>
      <c r="AW801" s="107"/>
      <c r="AX801" s="107"/>
      <c r="AY801" s="107"/>
      <c r="AZ801" s="107"/>
      <c r="BA801" s="107"/>
      <c r="BB801" s="152"/>
      <c r="BC801" s="153"/>
      <c r="BD801" s="153"/>
      <c r="BE801" s="153"/>
      <c r="BF801" s="153"/>
      <c r="BG801" s="154"/>
    </row>
    <row r="802" spans="4:59" x14ac:dyDescent="0.2">
      <c r="D802" s="22"/>
      <c r="E802" s="23"/>
      <c r="F802" s="23"/>
      <c r="G802" s="23"/>
      <c r="H802" s="23"/>
      <c r="I802" s="64"/>
      <c r="J802" s="65"/>
      <c r="K802" s="65"/>
      <c r="L802" s="65"/>
      <c r="Q802" s="100"/>
      <c r="V802" s="9"/>
      <c r="W802" s="10"/>
      <c r="AE802" s="100"/>
      <c r="AN802" s="152"/>
      <c r="AO802" s="153"/>
      <c r="AP802" s="153"/>
      <c r="AQ802" s="153"/>
      <c r="AR802" s="153"/>
      <c r="AS802" s="154"/>
      <c r="AT802" s="155"/>
      <c r="AU802" s="155"/>
      <c r="AV802" s="155"/>
      <c r="AW802" s="107"/>
      <c r="AX802" s="107"/>
      <c r="AY802" s="107"/>
      <c r="AZ802" s="107"/>
      <c r="BA802" s="107"/>
      <c r="BB802" s="152"/>
      <c r="BC802" s="153"/>
      <c r="BD802" s="153"/>
      <c r="BE802" s="153"/>
      <c r="BF802" s="153"/>
      <c r="BG802" s="154"/>
    </row>
    <row r="803" spans="4:59" x14ac:dyDescent="0.2">
      <c r="D803" s="22"/>
      <c r="E803" s="23"/>
      <c r="F803" s="23"/>
      <c r="G803" s="23"/>
      <c r="H803" s="23"/>
      <c r="I803" s="64"/>
      <c r="J803" s="65"/>
      <c r="K803" s="65"/>
      <c r="L803" s="65"/>
      <c r="Q803" s="100"/>
      <c r="V803" s="9"/>
      <c r="W803" s="10"/>
      <c r="AE803" s="100"/>
      <c r="AN803" s="152"/>
      <c r="AO803" s="153"/>
      <c r="AP803" s="153"/>
      <c r="AQ803" s="153"/>
      <c r="AR803" s="153"/>
      <c r="AS803" s="154"/>
      <c r="AT803" s="155"/>
      <c r="AU803" s="155"/>
      <c r="AV803" s="155"/>
      <c r="AW803" s="107"/>
      <c r="AX803" s="107"/>
      <c r="AY803" s="107"/>
      <c r="AZ803" s="107"/>
      <c r="BA803" s="107"/>
      <c r="BB803" s="152"/>
      <c r="BC803" s="153"/>
      <c r="BD803" s="153"/>
      <c r="BE803" s="153"/>
      <c r="BF803" s="153"/>
      <c r="BG803" s="154"/>
    </row>
    <row r="804" spans="4:59" x14ac:dyDescent="0.2">
      <c r="D804" s="22"/>
      <c r="E804" s="23"/>
      <c r="F804" s="23"/>
      <c r="G804" s="23"/>
      <c r="H804" s="23"/>
      <c r="I804" s="64"/>
      <c r="J804" s="65"/>
      <c r="K804" s="65"/>
      <c r="L804" s="65"/>
      <c r="Q804" s="100"/>
      <c r="V804" s="9"/>
      <c r="W804" s="10"/>
      <c r="AE804" s="100"/>
      <c r="AN804" s="152"/>
      <c r="AO804" s="153"/>
      <c r="AP804" s="153"/>
      <c r="AQ804" s="153"/>
      <c r="AR804" s="153"/>
      <c r="AS804" s="154"/>
      <c r="AT804" s="155"/>
      <c r="AU804" s="155"/>
      <c r="AV804" s="155"/>
      <c r="AW804" s="107"/>
      <c r="AX804" s="107"/>
      <c r="AY804" s="107"/>
      <c r="AZ804" s="107"/>
      <c r="BA804" s="107"/>
      <c r="BB804" s="152"/>
      <c r="BC804" s="153"/>
      <c r="BD804" s="153"/>
      <c r="BE804" s="153"/>
      <c r="BF804" s="153"/>
      <c r="BG804" s="154"/>
    </row>
    <row r="805" spans="4:59" x14ac:dyDescent="0.2">
      <c r="D805" s="22"/>
      <c r="E805" s="23"/>
      <c r="F805" s="23"/>
      <c r="G805" s="23"/>
      <c r="H805" s="23"/>
      <c r="I805" s="64"/>
      <c r="J805" s="65"/>
      <c r="K805" s="65"/>
      <c r="L805" s="65"/>
      <c r="Q805" s="100"/>
      <c r="V805" s="9"/>
      <c r="W805" s="10"/>
      <c r="AE805" s="100"/>
      <c r="AN805" s="152"/>
      <c r="AO805" s="153"/>
      <c r="AP805" s="153"/>
      <c r="AQ805" s="153"/>
      <c r="AR805" s="153"/>
      <c r="AS805" s="154"/>
      <c r="AT805" s="155"/>
      <c r="AU805" s="155"/>
      <c r="AV805" s="155"/>
      <c r="AW805" s="107"/>
      <c r="AX805" s="107"/>
      <c r="AY805" s="107"/>
      <c r="AZ805" s="107"/>
      <c r="BA805" s="107"/>
      <c r="BB805" s="152"/>
      <c r="BC805" s="153"/>
      <c r="BD805" s="153"/>
      <c r="BE805" s="153"/>
      <c r="BF805" s="153"/>
      <c r="BG805" s="154"/>
    </row>
    <row r="806" spans="4:59" x14ac:dyDescent="0.2">
      <c r="D806" s="22"/>
      <c r="E806" s="23"/>
      <c r="F806" s="23"/>
      <c r="G806" s="23"/>
      <c r="H806" s="23"/>
      <c r="I806" s="64"/>
      <c r="J806" s="65"/>
      <c r="K806" s="65"/>
      <c r="L806" s="65"/>
      <c r="Q806" s="100"/>
      <c r="V806" s="9"/>
      <c r="W806" s="10"/>
      <c r="AE806" s="100"/>
      <c r="AN806" s="152"/>
      <c r="AO806" s="153"/>
      <c r="AP806" s="153"/>
      <c r="AQ806" s="153"/>
      <c r="AR806" s="153"/>
      <c r="AS806" s="154"/>
      <c r="AT806" s="155"/>
      <c r="AU806" s="155"/>
      <c r="AV806" s="155"/>
      <c r="AW806" s="107"/>
      <c r="AX806" s="107"/>
      <c r="AY806" s="107"/>
      <c r="AZ806" s="107"/>
      <c r="BA806" s="107"/>
      <c r="BB806" s="152"/>
      <c r="BC806" s="153"/>
      <c r="BD806" s="153"/>
      <c r="BE806" s="153"/>
      <c r="BF806" s="153"/>
      <c r="BG806" s="154"/>
    </row>
    <row r="807" spans="4:59" x14ac:dyDescent="0.2">
      <c r="D807" s="22"/>
      <c r="E807" s="23"/>
      <c r="F807" s="23"/>
      <c r="G807" s="23"/>
      <c r="H807" s="23"/>
      <c r="I807" s="64"/>
      <c r="J807" s="65"/>
      <c r="K807" s="65"/>
      <c r="L807" s="65"/>
      <c r="Q807" s="100"/>
      <c r="V807" s="9"/>
      <c r="W807" s="10"/>
      <c r="AE807" s="100"/>
      <c r="AN807" s="152"/>
      <c r="AO807" s="153"/>
      <c r="AP807" s="153"/>
      <c r="AQ807" s="153"/>
      <c r="AR807" s="153"/>
      <c r="AS807" s="154"/>
      <c r="AT807" s="155"/>
      <c r="AU807" s="155"/>
      <c r="AV807" s="155"/>
      <c r="AW807" s="107"/>
      <c r="AX807" s="107"/>
      <c r="AY807" s="107"/>
      <c r="AZ807" s="107"/>
      <c r="BA807" s="107"/>
      <c r="BB807" s="152"/>
      <c r="BC807" s="153"/>
      <c r="BD807" s="153"/>
      <c r="BE807" s="153"/>
      <c r="BF807" s="153"/>
      <c r="BG807" s="154"/>
    </row>
    <row r="808" spans="4:59" x14ac:dyDescent="0.2">
      <c r="D808" s="22"/>
      <c r="E808" s="23"/>
      <c r="F808" s="23"/>
      <c r="G808" s="23"/>
      <c r="H808" s="23"/>
      <c r="I808" s="64"/>
      <c r="J808" s="65"/>
      <c r="K808" s="65"/>
      <c r="L808" s="65"/>
      <c r="Q808" s="100"/>
      <c r="V808" s="9"/>
      <c r="W808" s="10"/>
      <c r="AE808" s="100"/>
      <c r="AN808" s="152"/>
      <c r="AO808" s="153"/>
      <c r="AP808" s="153"/>
      <c r="AQ808" s="153"/>
      <c r="AR808" s="153"/>
      <c r="AS808" s="154"/>
      <c r="AT808" s="155"/>
      <c r="AU808" s="155"/>
      <c r="AV808" s="155"/>
      <c r="AW808" s="107"/>
      <c r="AX808" s="107"/>
      <c r="AY808" s="107"/>
      <c r="AZ808" s="107"/>
      <c r="BA808" s="107"/>
      <c r="BB808" s="152"/>
      <c r="BC808" s="153"/>
      <c r="BD808" s="153"/>
      <c r="BE808" s="153"/>
      <c r="BF808" s="153"/>
      <c r="BG808" s="154"/>
    </row>
    <row r="809" spans="4:59" x14ac:dyDescent="0.2">
      <c r="D809" s="22"/>
      <c r="E809" s="23"/>
      <c r="F809" s="23"/>
      <c r="G809" s="23"/>
      <c r="H809" s="23"/>
      <c r="I809" s="64"/>
      <c r="J809" s="65"/>
      <c r="K809" s="65"/>
      <c r="L809" s="65"/>
      <c r="Q809" s="100"/>
      <c r="V809" s="9"/>
      <c r="W809" s="10"/>
      <c r="AE809" s="100"/>
      <c r="AN809" s="152"/>
      <c r="AO809" s="153"/>
      <c r="AP809" s="153"/>
      <c r="AQ809" s="153"/>
      <c r="AR809" s="153"/>
      <c r="AS809" s="154"/>
      <c r="AT809" s="155"/>
      <c r="AU809" s="155"/>
      <c r="AV809" s="155"/>
      <c r="AW809" s="107"/>
      <c r="AX809" s="107"/>
      <c r="AY809" s="107"/>
      <c r="AZ809" s="107"/>
      <c r="BA809" s="107"/>
      <c r="BB809" s="152"/>
      <c r="BC809" s="153"/>
      <c r="BD809" s="153"/>
      <c r="BE809" s="153"/>
      <c r="BF809" s="153"/>
      <c r="BG809" s="154"/>
    </row>
    <row r="810" spans="4:59" x14ac:dyDescent="0.2">
      <c r="D810" s="22"/>
      <c r="E810" s="23"/>
      <c r="F810" s="23"/>
      <c r="G810" s="23"/>
      <c r="H810" s="23"/>
      <c r="I810" s="64"/>
      <c r="J810" s="65"/>
      <c r="K810" s="65"/>
      <c r="L810" s="65"/>
      <c r="Q810" s="100"/>
      <c r="V810" s="9"/>
      <c r="W810" s="10"/>
      <c r="AE810" s="100"/>
      <c r="AN810" s="152"/>
      <c r="AO810" s="153"/>
      <c r="AP810" s="153"/>
      <c r="AQ810" s="153"/>
      <c r="AR810" s="153"/>
      <c r="AS810" s="154"/>
      <c r="AT810" s="155"/>
      <c r="AU810" s="155"/>
      <c r="AV810" s="155"/>
      <c r="AW810" s="107"/>
      <c r="AX810" s="107"/>
      <c r="AY810" s="107"/>
      <c r="AZ810" s="107"/>
      <c r="BA810" s="107"/>
      <c r="BB810" s="152"/>
      <c r="BC810" s="153"/>
      <c r="BD810" s="153"/>
      <c r="BE810" s="153"/>
      <c r="BF810" s="153"/>
      <c r="BG810" s="154"/>
    </row>
    <row r="811" spans="4:59" x14ac:dyDescent="0.2">
      <c r="D811" s="22"/>
      <c r="E811" s="23"/>
      <c r="F811" s="23"/>
      <c r="G811" s="23"/>
      <c r="H811" s="23"/>
      <c r="I811" s="64"/>
      <c r="J811" s="65"/>
      <c r="K811" s="65"/>
      <c r="L811" s="65"/>
      <c r="Q811" s="100"/>
      <c r="V811" s="9"/>
      <c r="W811" s="10"/>
      <c r="AE811" s="100"/>
      <c r="AN811" s="152"/>
      <c r="AO811" s="153"/>
      <c r="AP811" s="153"/>
      <c r="AQ811" s="153"/>
      <c r="AR811" s="153"/>
      <c r="AS811" s="154"/>
      <c r="AT811" s="155"/>
      <c r="AU811" s="155"/>
      <c r="AV811" s="155"/>
      <c r="AW811" s="107"/>
      <c r="AX811" s="107"/>
      <c r="AY811" s="107"/>
      <c r="AZ811" s="107"/>
      <c r="BA811" s="107"/>
      <c r="BB811" s="152"/>
      <c r="BC811" s="153"/>
      <c r="BD811" s="153"/>
      <c r="BE811" s="153"/>
      <c r="BF811" s="153"/>
      <c r="BG811" s="154"/>
    </row>
    <row r="812" spans="4:59" x14ac:dyDescent="0.2">
      <c r="D812" s="22"/>
      <c r="E812" s="23"/>
      <c r="F812" s="23"/>
      <c r="G812" s="23"/>
      <c r="H812" s="23"/>
      <c r="I812" s="64"/>
      <c r="J812" s="65"/>
      <c r="K812" s="65"/>
      <c r="L812" s="65"/>
      <c r="Q812" s="100"/>
      <c r="V812" s="9"/>
      <c r="W812" s="10"/>
      <c r="AE812" s="100"/>
      <c r="AN812" s="152"/>
      <c r="AO812" s="153"/>
      <c r="AP812" s="153"/>
      <c r="AQ812" s="153"/>
      <c r="AR812" s="153"/>
      <c r="AS812" s="154"/>
      <c r="AT812" s="155"/>
      <c r="AU812" s="155"/>
      <c r="AV812" s="155"/>
      <c r="AW812" s="107"/>
      <c r="AX812" s="107"/>
      <c r="AY812" s="107"/>
      <c r="AZ812" s="107"/>
      <c r="BA812" s="107"/>
      <c r="BB812" s="152"/>
      <c r="BC812" s="153"/>
      <c r="BD812" s="153"/>
      <c r="BE812" s="153"/>
      <c r="BF812" s="153"/>
      <c r="BG812" s="154"/>
    </row>
    <row r="813" spans="4:59" x14ac:dyDescent="0.2">
      <c r="D813" s="22"/>
      <c r="E813" s="23"/>
      <c r="F813" s="23"/>
      <c r="G813" s="23"/>
      <c r="H813" s="23"/>
      <c r="I813" s="64"/>
      <c r="J813" s="65"/>
      <c r="K813" s="65"/>
      <c r="L813" s="65"/>
      <c r="Q813" s="100"/>
      <c r="V813" s="9"/>
      <c r="W813" s="10"/>
      <c r="AE813" s="100"/>
      <c r="AN813" s="152"/>
      <c r="AO813" s="153"/>
      <c r="AP813" s="153"/>
      <c r="AQ813" s="153"/>
      <c r="AR813" s="153"/>
      <c r="AS813" s="154"/>
      <c r="AT813" s="155"/>
      <c r="AU813" s="155"/>
      <c r="AV813" s="155"/>
      <c r="AW813" s="107"/>
      <c r="AX813" s="107"/>
      <c r="AY813" s="107"/>
      <c r="AZ813" s="107"/>
      <c r="BA813" s="107"/>
      <c r="BB813" s="152"/>
      <c r="BC813" s="153"/>
      <c r="BD813" s="153"/>
      <c r="BE813" s="153"/>
      <c r="BF813" s="153"/>
      <c r="BG813" s="154"/>
    </row>
    <row r="814" spans="4:59" x14ac:dyDescent="0.2">
      <c r="D814" s="22"/>
      <c r="E814" s="23"/>
      <c r="F814" s="23"/>
      <c r="G814" s="23"/>
      <c r="H814" s="23"/>
      <c r="I814" s="64"/>
      <c r="J814" s="65"/>
      <c r="K814" s="65"/>
      <c r="L814" s="65"/>
      <c r="Q814" s="100"/>
      <c r="V814" s="9"/>
      <c r="W814" s="10"/>
      <c r="AE814" s="100"/>
      <c r="AN814" s="152"/>
      <c r="AO814" s="153"/>
      <c r="AP814" s="153"/>
      <c r="AQ814" s="153"/>
      <c r="AR814" s="153"/>
      <c r="AS814" s="154"/>
      <c r="AT814" s="155"/>
      <c r="AU814" s="155"/>
      <c r="AV814" s="155"/>
      <c r="AW814" s="107"/>
      <c r="AX814" s="107"/>
      <c r="AY814" s="107"/>
      <c r="AZ814" s="107"/>
      <c r="BA814" s="107"/>
      <c r="BB814" s="152"/>
      <c r="BC814" s="153"/>
      <c r="BD814" s="153"/>
      <c r="BE814" s="153"/>
      <c r="BF814" s="153"/>
      <c r="BG814" s="154"/>
    </row>
    <row r="815" spans="4:59" x14ac:dyDescent="0.2">
      <c r="D815" s="22"/>
      <c r="E815" s="23"/>
      <c r="F815" s="23"/>
      <c r="G815" s="23"/>
      <c r="H815" s="23"/>
      <c r="I815" s="64"/>
      <c r="J815" s="65"/>
      <c r="K815" s="65"/>
      <c r="L815" s="65"/>
      <c r="Q815" s="100"/>
      <c r="V815" s="9"/>
      <c r="W815" s="10"/>
      <c r="AE815" s="100"/>
      <c r="AN815" s="152"/>
      <c r="AO815" s="153"/>
      <c r="AP815" s="153"/>
      <c r="AQ815" s="153"/>
      <c r="AR815" s="153"/>
      <c r="AS815" s="154"/>
      <c r="AT815" s="155"/>
      <c r="AU815" s="155"/>
      <c r="AV815" s="155"/>
      <c r="AW815" s="107"/>
      <c r="AX815" s="107"/>
      <c r="AY815" s="107"/>
      <c r="AZ815" s="107"/>
      <c r="BA815" s="107"/>
      <c r="BB815" s="152"/>
      <c r="BC815" s="153"/>
      <c r="BD815" s="153"/>
      <c r="BE815" s="153"/>
      <c r="BF815" s="153"/>
      <c r="BG815" s="154"/>
    </row>
    <row r="816" spans="4:59" x14ac:dyDescent="0.2">
      <c r="D816" s="22"/>
      <c r="E816" s="23"/>
      <c r="F816" s="23"/>
      <c r="G816" s="23"/>
      <c r="H816" s="23"/>
      <c r="I816" s="64"/>
      <c r="J816" s="65"/>
      <c r="K816" s="65"/>
      <c r="L816" s="65"/>
      <c r="Q816" s="100"/>
      <c r="V816" s="9"/>
      <c r="W816" s="10"/>
      <c r="AE816" s="100"/>
      <c r="AN816" s="152"/>
      <c r="AO816" s="153"/>
      <c r="AP816" s="153"/>
      <c r="AQ816" s="153"/>
      <c r="AR816" s="153"/>
      <c r="AS816" s="154"/>
      <c r="AT816" s="155"/>
      <c r="AU816" s="155"/>
      <c r="AV816" s="155"/>
      <c r="AW816" s="107"/>
      <c r="AX816" s="107"/>
      <c r="AY816" s="107"/>
      <c r="AZ816" s="107"/>
      <c r="BA816" s="107"/>
      <c r="BB816" s="152"/>
      <c r="BC816" s="153"/>
      <c r="BD816" s="153"/>
      <c r="BE816" s="153"/>
      <c r="BF816" s="153"/>
      <c r="BG816" s="154"/>
    </row>
    <row r="817" spans="4:59" x14ac:dyDescent="0.2">
      <c r="D817" s="22"/>
      <c r="E817" s="23"/>
      <c r="F817" s="23"/>
      <c r="G817" s="23"/>
      <c r="H817" s="23"/>
      <c r="I817" s="64"/>
      <c r="J817" s="65"/>
      <c r="K817" s="65"/>
      <c r="L817" s="65"/>
      <c r="Q817" s="100"/>
      <c r="V817" s="9"/>
      <c r="W817" s="10"/>
      <c r="AE817" s="100"/>
      <c r="AN817" s="152"/>
      <c r="AO817" s="153"/>
      <c r="AP817" s="153"/>
      <c r="AQ817" s="153"/>
      <c r="AR817" s="153"/>
      <c r="AS817" s="154"/>
      <c r="AT817" s="155"/>
      <c r="AU817" s="155"/>
      <c r="AV817" s="155"/>
      <c r="AW817" s="107"/>
      <c r="AX817" s="107"/>
      <c r="AY817" s="107"/>
      <c r="AZ817" s="107"/>
      <c r="BA817" s="107"/>
      <c r="BB817" s="152"/>
      <c r="BC817" s="153"/>
      <c r="BD817" s="153"/>
      <c r="BE817" s="153"/>
      <c r="BF817" s="153"/>
      <c r="BG817" s="154"/>
    </row>
    <row r="818" spans="4:59" x14ac:dyDescent="0.2">
      <c r="D818" s="22"/>
      <c r="E818" s="23"/>
      <c r="F818" s="23"/>
      <c r="G818" s="23"/>
      <c r="H818" s="23"/>
      <c r="I818" s="64"/>
      <c r="J818" s="65"/>
      <c r="K818" s="65"/>
      <c r="L818" s="65"/>
      <c r="Q818" s="100"/>
      <c r="V818" s="9"/>
      <c r="W818" s="10"/>
      <c r="AE818" s="100"/>
      <c r="AN818" s="152"/>
      <c r="AO818" s="153"/>
      <c r="AP818" s="153"/>
      <c r="AQ818" s="153"/>
      <c r="AR818" s="153"/>
      <c r="AS818" s="154"/>
      <c r="AT818" s="155"/>
      <c r="AU818" s="155"/>
      <c r="AV818" s="155"/>
      <c r="AW818" s="107"/>
      <c r="AX818" s="107"/>
      <c r="AY818" s="107"/>
      <c r="AZ818" s="107"/>
      <c r="BA818" s="107"/>
      <c r="BB818" s="152"/>
      <c r="BC818" s="153"/>
      <c r="BD818" s="153"/>
      <c r="BE818" s="153"/>
      <c r="BF818" s="153"/>
      <c r="BG818" s="154"/>
    </row>
    <row r="819" spans="4:59" x14ac:dyDescent="0.2">
      <c r="D819" s="22"/>
      <c r="E819" s="23"/>
      <c r="F819" s="23"/>
      <c r="G819" s="23"/>
      <c r="H819" s="23"/>
      <c r="I819" s="64"/>
      <c r="J819" s="65"/>
      <c r="K819" s="65"/>
      <c r="L819" s="65"/>
      <c r="Q819" s="100"/>
      <c r="V819" s="9"/>
      <c r="W819" s="10"/>
      <c r="AE819" s="100"/>
      <c r="AN819" s="152"/>
      <c r="AO819" s="153"/>
      <c r="AP819" s="153"/>
      <c r="AQ819" s="153"/>
      <c r="AR819" s="153"/>
      <c r="AS819" s="154"/>
      <c r="AT819" s="155"/>
      <c r="AU819" s="155"/>
      <c r="AV819" s="155"/>
      <c r="AW819" s="107"/>
      <c r="AX819" s="107"/>
      <c r="AY819" s="107"/>
      <c r="AZ819" s="107"/>
      <c r="BA819" s="107"/>
      <c r="BB819" s="152"/>
      <c r="BC819" s="153"/>
      <c r="BD819" s="153"/>
      <c r="BE819" s="153"/>
      <c r="BF819" s="153"/>
      <c r="BG819" s="154"/>
    </row>
    <row r="820" spans="4:59" x14ac:dyDescent="0.2">
      <c r="D820" s="22"/>
      <c r="E820" s="23"/>
      <c r="F820" s="23"/>
      <c r="G820" s="23"/>
      <c r="H820" s="23"/>
      <c r="I820" s="64"/>
      <c r="J820" s="65"/>
      <c r="K820" s="65"/>
      <c r="L820" s="65"/>
      <c r="Q820" s="100"/>
      <c r="V820" s="9"/>
      <c r="W820" s="10"/>
      <c r="AE820" s="100"/>
      <c r="AN820" s="152"/>
      <c r="AO820" s="153"/>
      <c r="AP820" s="153"/>
      <c r="AQ820" s="153"/>
      <c r="AR820" s="153"/>
      <c r="AS820" s="154"/>
      <c r="AT820" s="155"/>
      <c r="AU820" s="155"/>
      <c r="AV820" s="155"/>
      <c r="AW820" s="107"/>
      <c r="AX820" s="107"/>
      <c r="AY820" s="107"/>
      <c r="AZ820" s="107"/>
      <c r="BA820" s="107"/>
      <c r="BB820" s="152"/>
      <c r="BC820" s="153"/>
      <c r="BD820" s="153"/>
      <c r="BE820" s="153"/>
      <c r="BF820" s="153"/>
      <c r="BG820" s="154"/>
    </row>
    <row r="821" spans="4:59" x14ac:dyDescent="0.2">
      <c r="D821" s="22"/>
      <c r="E821" s="23"/>
      <c r="F821" s="23"/>
      <c r="G821" s="23"/>
      <c r="H821" s="23"/>
      <c r="I821" s="64"/>
      <c r="J821" s="65"/>
      <c r="K821" s="65"/>
      <c r="L821" s="65"/>
      <c r="Q821" s="100"/>
      <c r="V821" s="9"/>
      <c r="W821" s="10"/>
      <c r="AE821" s="100"/>
      <c r="AN821" s="152"/>
      <c r="AO821" s="153"/>
      <c r="AP821" s="153"/>
      <c r="AQ821" s="153"/>
      <c r="AR821" s="153"/>
      <c r="AS821" s="154"/>
      <c r="AT821" s="155"/>
      <c r="AU821" s="155"/>
      <c r="AV821" s="155"/>
      <c r="AW821" s="107"/>
      <c r="AX821" s="107"/>
      <c r="AY821" s="107"/>
      <c r="AZ821" s="107"/>
      <c r="BA821" s="107"/>
      <c r="BB821" s="152"/>
      <c r="BC821" s="153"/>
      <c r="BD821" s="153"/>
      <c r="BE821" s="153"/>
      <c r="BF821" s="153"/>
      <c r="BG821" s="154"/>
    </row>
    <row r="822" spans="4:59" x14ac:dyDescent="0.2">
      <c r="D822" s="22"/>
      <c r="E822" s="23"/>
      <c r="F822" s="23"/>
      <c r="G822" s="23"/>
      <c r="H822" s="23"/>
      <c r="I822" s="64"/>
      <c r="J822" s="65"/>
      <c r="K822" s="65"/>
      <c r="L822" s="65"/>
      <c r="Q822" s="100"/>
      <c r="V822" s="9"/>
      <c r="W822" s="10"/>
      <c r="AE822" s="100"/>
      <c r="AN822" s="152"/>
      <c r="AO822" s="153"/>
      <c r="AP822" s="153"/>
      <c r="AQ822" s="153"/>
      <c r="AR822" s="153"/>
      <c r="AS822" s="154"/>
      <c r="AT822" s="155"/>
      <c r="AU822" s="155"/>
      <c r="AV822" s="155"/>
      <c r="AW822" s="107"/>
      <c r="AX822" s="107"/>
      <c r="AY822" s="107"/>
      <c r="AZ822" s="107"/>
      <c r="BA822" s="107"/>
      <c r="BB822" s="152"/>
      <c r="BC822" s="153"/>
      <c r="BD822" s="153"/>
      <c r="BE822" s="153"/>
      <c r="BF822" s="153"/>
      <c r="BG822" s="154"/>
    </row>
    <row r="823" spans="4:59" x14ac:dyDescent="0.2">
      <c r="D823" s="22"/>
      <c r="E823" s="23"/>
      <c r="F823" s="23"/>
      <c r="G823" s="23"/>
      <c r="H823" s="23"/>
      <c r="I823" s="64"/>
      <c r="J823" s="65"/>
      <c r="K823" s="65"/>
      <c r="L823" s="65"/>
      <c r="Q823" s="100"/>
      <c r="V823" s="9"/>
      <c r="W823" s="10"/>
      <c r="AE823" s="100"/>
      <c r="AN823" s="152"/>
      <c r="AO823" s="153"/>
      <c r="AP823" s="153"/>
      <c r="AQ823" s="153"/>
      <c r="AR823" s="153"/>
      <c r="AS823" s="154"/>
      <c r="AT823" s="155"/>
      <c r="AU823" s="155"/>
      <c r="AV823" s="155"/>
      <c r="AW823" s="107"/>
      <c r="AX823" s="107"/>
      <c r="AY823" s="107"/>
      <c r="AZ823" s="107"/>
      <c r="BA823" s="107"/>
      <c r="BB823" s="152"/>
      <c r="BC823" s="153"/>
      <c r="BD823" s="153"/>
      <c r="BE823" s="153"/>
      <c r="BF823" s="153"/>
      <c r="BG823" s="154"/>
    </row>
    <row r="824" spans="4:59" x14ac:dyDescent="0.2">
      <c r="D824" s="22"/>
      <c r="E824" s="23"/>
      <c r="F824" s="23"/>
      <c r="G824" s="23"/>
      <c r="H824" s="23"/>
      <c r="I824" s="64"/>
      <c r="J824" s="65"/>
      <c r="K824" s="65"/>
      <c r="L824" s="65"/>
      <c r="Q824" s="100"/>
      <c r="V824" s="9"/>
      <c r="W824" s="10"/>
      <c r="AE824" s="100"/>
      <c r="AN824" s="152"/>
      <c r="AO824" s="153"/>
      <c r="AP824" s="153"/>
      <c r="AQ824" s="153"/>
      <c r="AR824" s="153"/>
      <c r="AS824" s="154"/>
      <c r="AT824" s="155"/>
      <c r="AU824" s="155"/>
      <c r="AV824" s="155"/>
      <c r="AW824" s="107"/>
      <c r="AX824" s="107"/>
      <c r="AY824" s="107"/>
      <c r="AZ824" s="107"/>
      <c r="BA824" s="107"/>
      <c r="BB824" s="152"/>
      <c r="BC824" s="153"/>
      <c r="BD824" s="153"/>
      <c r="BE824" s="153"/>
      <c r="BF824" s="153"/>
      <c r="BG824" s="154"/>
    </row>
    <row r="825" spans="4:59" x14ac:dyDescent="0.2">
      <c r="D825" s="22"/>
      <c r="E825" s="23"/>
      <c r="F825" s="23"/>
      <c r="G825" s="23"/>
      <c r="H825" s="23"/>
      <c r="I825" s="64"/>
      <c r="J825" s="65"/>
      <c r="K825" s="65"/>
      <c r="L825" s="65"/>
      <c r="Q825" s="100"/>
      <c r="V825" s="9"/>
      <c r="W825" s="10"/>
      <c r="AE825" s="100"/>
      <c r="AN825" s="152"/>
      <c r="AO825" s="153"/>
      <c r="AP825" s="153"/>
      <c r="AQ825" s="153"/>
      <c r="AR825" s="153"/>
      <c r="AS825" s="154"/>
      <c r="AT825" s="155"/>
      <c r="AU825" s="155"/>
      <c r="AV825" s="155"/>
      <c r="AW825" s="107"/>
      <c r="AX825" s="107"/>
      <c r="AY825" s="107"/>
      <c r="AZ825" s="107"/>
      <c r="BA825" s="107"/>
      <c r="BB825" s="152"/>
      <c r="BC825" s="153"/>
      <c r="BD825" s="153"/>
      <c r="BE825" s="153"/>
      <c r="BF825" s="153"/>
      <c r="BG825" s="154"/>
    </row>
    <row r="826" spans="4:59" x14ac:dyDescent="0.2">
      <c r="D826" s="22"/>
      <c r="E826" s="23"/>
      <c r="F826" s="23"/>
      <c r="G826" s="23"/>
      <c r="H826" s="23"/>
      <c r="I826" s="64"/>
      <c r="J826" s="65"/>
      <c r="K826" s="65"/>
      <c r="L826" s="65"/>
      <c r="Q826" s="100"/>
      <c r="V826" s="9"/>
      <c r="W826" s="10"/>
      <c r="AE826" s="100"/>
      <c r="AN826" s="152"/>
      <c r="AO826" s="153"/>
      <c r="AP826" s="153"/>
      <c r="AQ826" s="153"/>
      <c r="AR826" s="153"/>
      <c r="AS826" s="154"/>
      <c r="AT826" s="155"/>
      <c r="AU826" s="155"/>
      <c r="AV826" s="155"/>
      <c r="AW826" s="107"/>
      <c r="AX826" s="107"/>
      <c r="AY826" s="107"/>
      <c r="AZ826" s="107"/>
      <c r="BA826" s="107"/>
      <c r="BB826" s="152"/>
      <c r="BC826" s="153"/>
      <c r="BD826" s="153"/>
      <c r="BE826" s="153"/>
      <c r="BF826" s="153"/>
      <c r="BG826" s="154"/>
    </row>
    <row r="827" spans="4:59" x14ac:dyDescent="0.2">
      <c r="D827" s="22"/>
      <c r="E827" s="23"/>
      <c r="F827" s="23"/>
      <c r="G827" s="23"/>
      <c r="H827" s="23"/>
      <c r="I827" s="64"/>
      <c r="J827" s="65"/>
      <c r="K827" s="65"/>
      <c r="L827" s="65"/>
      <c r="Q827" s="100"/>
      <c r="V827" s="9"/>
      <c r="W827" s="10"/>
      <c r="AE827" s="100"/>
      <c r="AN827" s="152"/>
      <c r="AO827" s="153"/>
      <c r="AP827" s="153"/>
      <c r="AQ827" s="153"/>
      <c r="AR827" s="153"/>
      <c r="AS827" s="154"/>
      <c r="AT827" s="155"/>
      <c r="AU827" s="155"/>
      <c r="AV827" s="155"/>
      <c r="AW827" s="107"/>
      <c r="AX827" s="107"/>
      <c r="AY827" s="107"/>
      <c r="AZ827" s="107"/>
      <c r="BA827" s="107"/>
      <c r="BB827" s="152"/>
      <c r="BC827" s="153"/>
      <c r="BD827" s="153"/>
      <c r="BE827" s="153"/>
      <c r="BF827" s="153"/>
      <c r="BG827" s="154"/>
    </row>
    <row r="828" spans="4:59" x14ac:dyDescent="0.2">
      <c r="D828" s="22"/>
      <c r="E828" s="23"/>
      <c r="F828" s="23"/>
      <c r="G828" s="23"/>
      <c r="H828" s="23"/>
      <c r="I828" s="64"/>
      <c r="J828" s="65"/>
      <c r="K828" s="65"/>
      <c r="L828" s="65"/>
      <c r="Q828" s="100"/>
      <c r="V828" s="9"/>
      <c r="W828" s="10"/>
      <c r="AE828" s="100"/>
      <c r="AN828" s="152"/>
      <c r="AO828" s="153"/>
      <c r="AP828" s="153"/>
      <c r="AQ828" s="153"/>
      <c r="AR828" s="153"/>
      <c r="AS828" s="154"/>
      <c r="AT828" s="155"/>
      <c r="AU828" s="155"/>
      <c r="AV828" s="155"/>
      <c r="AW828" s="107"/>
      <c r="AX828" s="107"/>
      <c r="AY828" s="107"/>
      <c r="AZ828" s="107"/>
      <c r="BA828" s="107"/>
      <c r="BB828" s="152"/>
      <c r="BC828" s="153"/>
      <c r="BD828" s="153"/>
      <c r="BE828" s="153"/>
      <c r="BF828" s="153"/>
      <c r="BG828" s="154"/>
    </row>
    <row r="829" spans="4:59" x14ac:dyDescent="0.2">
      <c r="D829" s="22"/>
      <c r="E829" s="23"/>
      <c r="F829" s="23"/>
      <c r="G829" s="23"/>
      <c r="H829" s="23"/>
      <c r="I829" s="64"/>
      <c r="J829" s="65"/>
      <c r="K829" s="65"/>
      <c r="L829" s="65"/>
      <c r="Q829" s="100"/>
      <c r="V829" s="9"/>
      <c r="W829" s="10"/>
      <c r="AE829" s="100"/>
      <c r="AN829" s="152"/>
      <c r="AO829" s="153"/>
      <c r="AP829" s="153"/>
      <c r="AQ829" s="153"/>
      <c r="AR829" s="153"/>
      <c r="AS829" s="154"/>
      <c r="AT829" s="155"/>
      <c r="AU829" s="155"/>
      <c r="AV829" s="155"/>
      <c r="AW829" s="107"/>
      <c r="AX829" s="107"/>
      <c r="AY829" s="107"/>
      <c r="AZ829" s="107"/>
      <c r="BA829" s="107"/>
      <c r="BB829" s="152"/>
      <c r="BC829" s="153"/>
      <c r="BD829" s="153"/>
      <c r="BE829" s="153"/>
      <c r="BF829" s="153"/>
      <c r="BG829" s="154"/>
    </row>
    <row r="830" spans="4:59" x14ac:dyDescent="0.2">
      <c r="D830" s="22"/>
      <c r="E830" s="23"/>
      <c r="F830" s="23"/>
      <c r="G830" s="23"/>
      <c r="H830" s="23"/>
      <c r="I830" s="64"/>
      <c r="J830" s="65"/>
      <c r="K830" s="65"/>
      <c r="L830" s="65"/>
      <c r="Q830" s="100"/>
      <c r="V830" s="9"/>
      <c r="W830" s="10"/>
      <c r="AE830" s="100"/>
      <c r="AN830" s="152"/>
      <c r="AO830" s="153"/>
      <c r="AP830" s="153"/>
      <c r="AQ830" s="153"/>
      <c r="AR830" s="153"/>
      <c r="AS830" s="154"/>
      <c r="AT830" s="155"/>
      <c r="AU830" s="155"/>
      <c r="AV830" s="155"/>
      <c r="AW830" s="107"/>
      <c r="AX830" s="107"/>
      <c r="AY830" s="107"/>
      <c r="AZ830" s="107"/>
      <c r="BA830" s="107"/>
      <c r="BB830" s="152"/>
      <c r="BC830" s="153"/>
      <c r="BD830" s="153"/>
      <c r="BE830" s="153"/>
      <c r="BF830" s="153"/>
      <c r="BG830" s="154"/>
    </row>
    <row r="831" spans="4:59" x14ac:dyDescent="0.2">
      <c r="D831" s="22"/>
      <c r="E831" s="23"/>
      <c r="F831" s="23"/>
      <c r="G831" s="23"/>
      <c r="H831" s="23"/>
      <c r="I831" s="64"/>
      <c r="J831" s="65"/>
      <c r="K831" s="65"/>
      <c r="L831" s="65"/>
      <c r="Q831" s="100"/>
      <c r="V831" s="9"/>
      <c r="W831" s="10"/>
      <c r="AE831" s="100"/>
      <c r="AN831" s="152"/>
      <c r="AO831" s="153"/>
      <c r="AP831" s="153"/>
      <c r="AQ831" s="153"/>
      <c r="AR831" s="153"/>
      <c r="AS831" s="154"/>
      <c r="AT831" s="155"/>
      <c r="AU831" s="155"/>
      <c r="AV831" s="155"/>
      <c r="AW831" s="107"/>
      <c r="AX831" s="107"/>
      <c r="AY831" s="107"/>
      <c r="AZ831" s="107"/>
      <c r="BA831" s="107"/>
      <c r="BB831" s="152"/>
      <c r="BC831" s="153"/>
      <c r="BD831" s="153"/>
      <c r="BE831" s="153"/>
      <c r="BF831" s="153"/>
      <c r="BG831" s="154"/>
    </row>
    <row r="832" spans="4:59" x14ac:dyDescent="0.2">
      <c r="D832" s="22"/>
      <c r="E832" s="23"/>
      <c r="F832" s="23"/>
      <c r="G832" s="23"/>
      <c r="H832" s="23"/>
      <c r="I832" s="64"/>
      <c r="J832" s="65"/>
      <c r="K832" s="65"/>
      <c r="L832" s="65"/>
      <c r="Q832" s="100"/>
      <c r="V832" s="9"/>
      <c r="W832" s="10"/>
      <c r="AE832" s="100"/>
      <c r="AN832" s="152"/>
      <c r="AO832" s="153"/>
      <c r="AP832" s="153"/>
      <c r="AQ832" s="153"/>
      <c r="AR832" s="153"/>
      <c r="AS832" s="154"/>
      <c r="AT832" s="155"/>
      <c r="AU832" s="155"/>
      <c r="AV832" s="155"/>
      <c r="AW832" s="107"/>
      <c r="AX832" s="107"/>
      <c r="AY832" s="107"/>
      <c r="AZ832" s="107"/>
      <c r="BA832" s="107"/>
      <c r="BB832" s="152"/>
      <c r="BC832" s="153"/>
      <c r="BD832" s="153"/>
      <c r="BE832" s="153"/>
      <c r="BF832" s="153"/>
      <c r="BG832" s="154"/>
    </row>
    <row r="833" spans="4:59" x14ac:dyDescent="0.2">
      <c r="D833" s="22"/>
      <c r="E833" s="23"/>
      <c r="F833" s="23"/>
      <c r="G833" s="23"/>
      <c r="H833" s="23"/>
      <c r="I833" s="64"/>
      <c r="J833" s="65"/>
      <c r="K833" s="65"/>
      <c r="L833" s="65"/>
      <c r="Q833" s="100"/>
      <c r="V833" s="9"/>
      <c r="W833" s="10"/>
      <c r="AE833" s="100"/>
      <c r="AN833" s="152"/>
      <c r="AO833" s="153"/>
      <c r="AP833" s="153"/>
      <c r="AQ833" s="153"/>
      <c r="AR833" s="153"/>
      <c r="AS833" s="154"/>
      <c r="AT833" s="155"/>
      <c r="AU833" s="155"/>
      <c r="AV833" s="155"/>
      <c r="AW833" s="107"/>
      <c r="AX833" s="107"/>
      <c r="AY833" s="107"/>
      <c r="AZ833" s="107"/>
      <c r="BA833" s="107"/>
      <c r="BB833" s="152"/>
      <c r="BC833" s="153"/>
      <c r="BD833" s="153"/>
      <c r="BE833" s="153"/>
      <c r="BF833" s="153"/>
      <c r="BG833" s="154"/>
    </row>
    <row r="834" spans="4:59" x14ac:dyDescent="0.2">
      <c r="D834" s="22"/>
      <c r="E834" s="23"/>
      <c r="F834" s="23"/>
      <c r="G834" s="23"/>
      <c r="H834" s="23"/>
      <c r="I834" s="64"/>
      <c r="J834" s="65"/>
      <c r="K834" s="65"/>
      <c r="L834" s="65"/>
      <c r="Q834" s="100"/>
      <c r="V834" s="9"/>
      <c r="W834" s="10"/>
      <c r="AE834" s="100"/>
      <c r="AN834" s="152"/>
      <c r="AO834" s="153"/>
      <c r="AP834" s="153"/>
      <c r="AQ834" s="153"/>
      <c r="AR834" s="153"/>
      <c r="AS834" s="154"/>
      <c r="AT834" s="155"/>
      <c r="AU834" s="155"/>
      <c r="AV834" s="155"/>
      <c r="AW834" s="107"/>
      <c r="AX834" s="107"/>
      <c r="AY834" s="107"/>
      <c r="AZ834" s="107"/>
      <c r="BA834" s="107"/>
      <c r="BB834" s="152"/>
      <c r="BC834" s="153"/>
      <c r="BD834" s="153"/>
      <c r="BE834" s="153"/>
      <c r="BF834" s="153"/>
      <c r="BG834" s="154"/>
    </row>
    <row r="835" spans="4:59" x14ac:dyDescent="0.2">
      <c r="D835" s="22"/>
      <c r="E835" s="23"/>
      <c r="F835" s="23"/>
      <c r="G835" s="23"/>
      <c r="H835" s="23"/>
      <c r="I835" s="64"/>
      <c r="J835" s="65"/>
      <c r="K835" s="65"/>
      <c r="L835" s="65"/>
      <c r="Q835" s="100"/>
      <c r="V835" s="9"/>
      <c r="W835" s="10"/>
      <c r="AE835" s="100"/>
      <c r="AN835" s="152"/>
      <c r="AO835" s="153"/>
      <c r="AP835" s="153"/>
      <c r="AQ835" s="153"/>
      <c r="AR835" s="153"/>
      <c r="AS835" s="154"/>
      <c r="AT835" s="155"/>
      <c r="AU835" s="155"/>
      <c r="AV835" s="155"/>
      <c r="AW835" s="107"/>
      <c r="AX835" s="107"/>
      <c r="AY835" s="107"/>
      <c r="AZ835" s="107"/>
      <c r="BA835" s="107"/>
      <c r="BB835" s="152"/>
      <c r="BC835" s="153"/>
      <c r="BD835" s="153"/>
      <c r="BE835" s="153"/>
      <c r="BF835" s="153"/>
      <c r="BG835" s="154"/>
    </row>
    <row r="836" spans="4:59" x14ac:dyDescent="0.2">
      <c r="D836" s="22"/>
      <c r="E836" s="23"/>
      <c r="F836" s="23"/>
      <c r="G836" s="23"/>
      <c r="H836" s="23"/>
      <c r="I836" s="64"/>
      <c r="J836" s="65"/>
      <c r="K836" s="65"/>
      <c r="L836" s="65"/>
      <c r="Q836" s="100"/>
      <c r="V836" s="9"/>
      <c r="W836" s="10"/>
      <c r="AE836" s="100"/>
      <c r="AN836" s="152"/>
      <c r="AO836" s="153"/>
      <c r="AP836" s="153"/>
      <c r="AQ836" s="153"/>
      <c r="AR836" s="153"/>
      <c r="AS836" s="154"/>
      <c r="AT836" s="155"/>
      <c r="AU836" s="155"/>
      <c r="AV836" s="155"/>
      <c r="AW836" s="107"/>
      <c r="AX836" s="107"/>
      <c r="AY836" s="107"/>
      <c r="AZ836" s="107"/>
      <c r="BA836" s="107"/>
      <c r="BB836" s="152"/>
      <c r="BC836" s="153"/>
      <c r="BD836" s="153"/>
      <c r="BE836" s="153"/>
      <c r="BF836" s="153"/>
      <c r="BG836" s="154"/>
    </row>
    <row r="837" spans="4:59" x14ac:dyDescent="0.2">
      <c r="D837" s="22"/>
      <c r="E837" s="23"/>
      <c r="F837" s="23"/>
      <c r="G837" s="23"/>
      <c r="H837" s="23"/>
      <c r="I837" s="64"/>
      <c r="J837" s="65"/>
      <c r="K837" s="65"/>
      <c r="L837" s="65"/>
      <c r="Q837" s="100"/>
      <c r="V837" s="9"/>
      <c r="W837" s="10"/>
      <c r="AE837" s="100"/>
      <c r="AN837" s="152"/>
      <c r="AO837" s="153"/>
      <c r="AP837" s="153"/>
      <c r="AQ837" s="153"/>
      <c r="AR837" s="153"/>
      <c r="AS837" s="154"/>
      <c r="AT837" s="155"/>
      <c r="AU837" s="155"/>
      <c r="AV837" s="155"/>
      <c r="AW837" s="107"/>
      <c r="AX837" s="107"/>
      <c r="AY837" s="107"/>
      <c r="AZ837" s="107"/>
      <c r="BA837" s="107"/>
      <c r="BB837" s="152"/>
      <c r="BC837" s="153"/>
      <c r="BD837" s="153"/>
      <c r="BE837" s="153"/>
      <c r="BF837" s="153"/>
      <c r="BG837" s="154"/>
    </row>
    <row r="838" spans="4:59" x14ac:dyDescent="0.2">
      <c r="D838" s="22"/>
      <c r="E838" s="23"/>
      <c r="F838" s="23"/>
      <c r="G838" s="23"/>
      <c r="H838" s="23"/>
      <c r="I838" s="64"/>
      <c r="J838" s="65"/>
      <c r="K838" s="65"/>
      <c r="L838" s="65"/>
      <c r="Q838" s="100"/>
      <c r="V838" s="9"/>
      <c r="W838" s="10"/>
      <c r="AE838" s="100"/>
      <c r="AN838" s="152"/>
      <c r="AO838" s="153"/>
      <c r="AP838" s="153"/>
      <c r="AQ838" s="153"/>
      <c r="AR838" s="153"/>
      <c r="AS838" s="154"/>
      <c r="AT838" s="155"/>
      <c r="AU838" s="155"/>
      <c r="AV838" s="155"/>
      <c r="AW838" s="107"/>
      <c r="AX838" s="107"/>
      <c r="AY838" s="107"/>
      <c r="AZ838" s="107"/>
      <c r="BA838" s="107"/>
      <c r="BB838" s="152"/>
      <c r="BC838" s="153"/>
      <c r="BD838" s="153"/>
      <c r="BE838" s="153"/>
      <c r="BF838" s="153"/>
      <c r="BG838" s="154"/>
    </row>
    <row r="839" spans="4:59" x14ac:dyDescent="0.2">
      <c r="D839" s="22"/>
      <c r="E839" s="23"/>
      <c r="F839" s="23"/>
      <c r="G839" s="23"/>
      <c r="H839" s="23"/>
      <c r="I839" s="64"/>
      <c r="J839" s="65"/>
      <c r="K839" s="65"/>
      <c r="L839" s="65"/>
      <c r="Q839" s="100"/>
      <c r="V839" s="9"/>
      <c r="W839" s="10"/>
      <c r="AE839" s="100"/>
      <c r="AN839" s="152"/>
      <c r="AO839" s="153"/>
      <c r="AP839" s="153"/>
      <c r="AQ839" s="153"/>
      <c r="AR839" s="153"/>
      <c r="AS839" s="154"/>
      <c r="AT839" s="155"/>
      <c r="AU839" s="155"/>
      <c r="AV839" s="155"/>
      <c r="AW839" s="107"/>
      <c r="AX839" s="107"/>
      <c r="AY839" s="107"/>
      <c r="AZ839" s="107"/>
      <c r="BA839" s="107"/>
      <c r="BB839" s="152"/>
      <c r="BC839" s="153"/>
      <c r="BD839" s="153"/>
      <c r="BE839" s="153"/>
      <c r="BF839" s="153"/>
      <c r="BG839" s="154"/>
    </row>
    <row r="840" spans="4:59" x14ac:dyDescent="0.2">
      <c r="D840" s="22"/>
      <c r="E840" s="23"/>
      <c r="F840" s="23"/>
      <c r="G840" s="23"/>
      <c r="H840" s="23"/>
      <c r="I840" s="64"/>
      <c r="J840" s="65"/>
      <c r="K840" s="65"/>
      <c r="L840" s="65"/>
      <c r="Q840" s="100"/>
      <c r="V840" s="9"/>
      <c r="W840" s="10"/>
      <c r="AE840" s="100"/>
      <c r="AN840" s="152"/>
      <c r="AO840" s="153"/>
      <c r="AP840" s="153"/>
      <c r="AQ840" s="153"/>
      <c r="AR840" s="153"/>
      <c r="AS840" s="154"/>
      <c r="AT840" s="155"/>
      <c r="AU840" s="155"/>
      <c r="AV840" s="155"/>
      <c r="AW840" s="107"/>
      <c r="AX840" s="107"/>
      <c r="AY840" s="107"/>
      <c r="AZ840" s="107"/>
      <c r="BA840" s="107"/>
      <c r="BB840" s="152"/>
      <c r="BC840" s="153"/>
      <c r="BD840" s="153"/>
      <c r="BE840" s="153"/>
      <c r="BF840" s="153"/>
      <c r="BG840" s="154"/>
    </row>
    <row r="841" spans="4:59" x14ac:dyDescent="0.2">
      <c r="D841" s="22"/>
      <c r="E841" s="23"/>
      <c r="F841" s="23"/>
      <c r="G841" s="23"/>
      <c r="H841" s="23"/>
      <c r="I841" s="64"/>
      <c r="J841" s="65"/>
      <c r="K841" s="65"/>
      <c r="L841" s="65"/>
      <c r="Q841" s="100"/>
      <c r="V841" s="9"/>
      <c r="W841" s="10"/>
      <c r="AE841" s="100"/>
      <c r="AN841" s="152"/>
      <c r="AO841" s="153"/>
      <c r="AP841" s="153"/>
      <c r="AQ841" s="153"/>
      <c r="AR841" s="153"/>
      <c r="AS841" s="154"/>
      <c r="AT841" s="155"/>
      <c r="AU841" s="155"/>
      <c r="AV841" s="155"/>
      <c r="AW841" s="107"/>
      <c r="AX841" s="107"/>
      <c r="AY841" s="107"/>
      <c r="AZ841" s="107"/>
      <c r="BA841" s="107"/>
      <c r="BB841" s="152"/>
      <c r="BC841" s="153"/>
      <c r="BD841" s="153"/>
      <c r="BE841" s="153"/>
      <c r="BF841" s="153"/>
      <c r="BG841" s="154"/>
    </row>
    <row r="842" spans="4:59" x14ac:dyDescent="0.2">
      <c r="D842" s="22"/>
      <c r="E842" s="23"/>
      <c r="F842" s="23"/>
      <c r="G842" s="23"/>
      <c r="H842" s="23"/>
      <c r="I842" s="64"/>
      <c r="J842" s="65"/>
      <c r="K842" s="65"/>
      <c r="L842" s="65"/>
      <c r="Q842" s="100"/>
      <c r="V842" s="9"/>
      <c r="W842" s="10"/>
      <c r="AE842" s="100"/>
      <c r="AN842" s="152"/>
      <c r="AO842" s="153"/>
      <c r="AP842" s="153"/>
      <c r="AQ842" s="153"/>
      <c r="AR842" s="153"/>
      <c r="AS842" s="154"/>
      <c r="AT842" s="155"/>
      <c r="AU842" s="155"/>
      <c r="AV842" s="155"/>
      <c r="AW842" s="107"/>
      <c r="AX842" s="107"/>
      <c r="AY842" s="107"/>
      <c r="AZ842" s="107"/>
      <c r="BA842" s="107"/>
      <c r="BB842" s="152"/>
      <c r="BC842" s="153"/>
      <c r="BD842" s="153"/>
      <c r="BE842" s="153"/>
      <c r="BF842" s="153"/>
      <c r="BG842" s="154"/>
    </row>
    <row r="843" spans="4:59" x14ac:dyDescent="0.2">
      <c r="D843" s="22"/>
      <c r="E843" s="23"/>
      <c r="F843" s="23"/>
      <c r="G843" s="23"/>
      <c r="H843" s="23"/>
      <c r="I843" s="64"/>
      <c r="J843" s="65"/>
      <c r="K843" s="65"/>
      <c r="L843" s="65"/>
      <c r="Q843" s="100"/>
      <c r="V843" s="9"/>
      <c r="W843" s="10"/>
      <c r="AE843" s="100"/>
      <c r="AN843" s="152"/>
      <c r="AO843" s="153"/>
      <c r="AP843" s="153"/>
      <c r="AQ843" s="153"/>
      <c r="AR843" s="153"/>
      <c r="AS843" s="154"/>
      <c r="AT843" s="155"/>
      <c r="AU843" s="155"/>
      <c r="AV843" s="155"/>
      <c r="AW843" s="107"/>
      <c r="AX843" s="107"/>
      <c r="AY843" s="107"/>
      <c r="AZ843" s="107"/>
      <c r="BA843" s="107"/>
      <c r="BB843" s="152"/>
      <c r="BC843" s="153"/>
      <c r="BD843" s="153"/>
      <c r="BE843" s="153"/>
      <c r="BF843" s="153"/>
      <c r="BG843" s="154"/>
    </row>
    <row r="844" spans="4:59" x14ac:dyDescent="0.2">
      <c r="D844" s="22"/>
      <c r="E844" s="23"/>
      <c r="F844" s="23"/>
      <c r="G844" s="23"/>
      <c r="H844" s="23"/>
      <c r="I844" s="64"/>
      <c r="J844" s="65"/>
      <c r="K844" s="65"/>
      <c r="L844" s="65"/>
      <c r="Q844" s="100"/>
      <c r="V844" s="9"/>
      <c r="W844" s="10"/>
      <c r="AE844" s="100"/>
      <c r="AN844" s="152"/>
      <c r="AO844" s="153"/>
      <c r="AP844" s="153"/>
      <c r="AQ844" s="153"/>
      <c r="AR844" s="153"/>
      <c r="AS844" s="154"/>
      <c r="AT844" s="155"/>
      <c r="AU844" s="155"/>
      <c r="AV844" s="155"/>
      <c r="AW844" s="107"/>
      <c r="AX844" s="107"/>
      <c r="AY844" s="107"/>
      <c r="AZ844" s="107"/>
      <c r="BA844" s="107"/>
      <c r="BB844" s="152"/>
      <c r="BC844" s="153"/>
      <c r="BD844" s="153"/>
      <c r="BE844" s="153"/>
      <c r="BF844" s="153"/>
      <c r="BG844" s="154"/>
    </row>
    <row r="845" spans="4:59" x14ac:dyDescent="0.2">
      <c r="D845" s="22"/>
      <c r="E845" s="23"/>
      <c r="F845" s="23"/>
      <c r="G845" s="23"/>
      <c r="H845" s="23"/>
      <c r="I845" s="64"/>
      <c r="J845" s="65"/>
      <c r="K845" s="65"/>
      <c r="L845" s="65"/>
      <c r="Q845" s="100"/>
      <c r="V845" s="9"/>
      <c r="W845" s="10"/>
      <c r="AE845" s="100"/>
      <c r="AN845" s="152"/>
      <c r="AO845" s="153"/>
      <c r="AP845" s="153"/>
      <c r="AQ845" s="153"/>
      <c r="AR845" s="153"/>
      <c r="AS845" s="154"/>
      <c r="AT845" s="155"/>
      <c r="AU845" s="155"/>
      <c r="AV845" s="155"/>
      <c r="AW845" s="107"/>
      <c r="AX845" s="107"/>
      <c r="AY845" s="107"/>
      <c r="AZ845" s="107"/>
      <c r="BA845" s="107"/>
      <c r="BB845" s="152"/>
      <c r="BC845" s="153"/>
      <c r="BD845" s="153"/>
      <c r="BE845" s="153"/>
      <c r="BF845" s="153"/>
      <c r="BG845" s="154"/>
    </row>
    <row r="846" spans="4:59" x14ac:dyDescent="0.2">
      <c r="D846" s="22"/>
      <c r="E846" s="23"/>
      <c r="F846" s="23"/>
      <c r="G846" s="23"/>
      <c r="H846" s="23"/>
      <c r="I846" s="64"/>
      <c r="J846" s="65"/>
      <c r="K846" s="65"/>
      <c r="L846" s="65"/>
      <c r="Q846" s="100"/>
      <c r="V846" s="9"/>
      <c r="W846" s="10"/>
      <c r="AE846" s="100"/>
      <c r="AN846" s="152"/>
      <c r="AO846" s="153"/>
      <c r="AP846" s="153"/>
      <c r="AQ846" s="153"/>
      <c r="AR846" s="153"/>
      <c r="AS846" s="154"/>
      <c r="AT846" s="155"/>
      <c r="AU846" s="155"/>
      <c r="AV846" s="155"/>
      <c r="AW846" s="107"/>
      <c r="AX846" s="107"/>
      <c r="AY846" s="107"/>
      <c r="AZ846" s="107"/>
      <c r="BA846" s="107"/>
      <c r="BB846" s="152"/>
      <c r="BC846" s="153"/>
      <c r="BD846" s="153"/>
      <c r="BE846" s="153"/>
      <c r="BF846" s="153"/>
      <c r="BG846" s="154"/>
    </row>
    <row r="847" spans="4:59" x14ac:dyDescent="0.2">
      <c r="D847" s="22"/>
      <c r="E847" s="23"/>
      <c r="F847" s="23"/>
      <c r="G847" s="23"/>
      <c r="H847" s="23"/>
      <c r="I847" s="64"/>
      <c r="J847" s="65"/>
      <c r="K847" s="65"/>
      <c r="L847" s="65"/>
      <c r="Q847" s="100"/>
      <c r="V847" s="9"/>
      <c r="W847" s="10"/>
      <c r="AE847" s="100"/>
      <c r="AN847" s="152"/>
      <c r="AO847" s="153"/>
      <c r="AP847" s="153"/>
      <c r="AQ847" s="153"/>
      <c r="AR847" s="153"/>
      <c r="AS847" s="154"/>
      <c r="AT847" s="155"/>
      <c r="AU847" s="155"/>
      <c r="AV847" s="155"/>
      <c r="AW847" s="107"/>
      <c r="AX847" s="107"/>
      <c r="AY847" s="107"/>
      <c r="AZ847" s="107"/>
      <c r="BA847" s="107"/>
      <c r="BB847" s="152"/>
      <c r="BC847" s="153"/>
      <c r="BD847" s="153"/>
      <c r="BE847" s="153"/>
      <c r="BF847" s="153"/>
      <c r="BG847" s="154"/>
    </row>
    <row r="848" spans="4:59" x14ac:dyDescent="0.2">
      <c r="D848" s="22"/>
      <c r="E848" s="23"/>
      <c r="F848" s="23"/>
      <c r="G848" s="23"/>
      <c r="H848" s="23"/>
      <c r="I848" s="64"/>
      <c r="J848" s="65"/>
      <c r="K848" s="65"/>
      <c r="L848" s="65"/>
      <c r="Q848" s="100"/>
      <c r="V848" s="9"/>
      <c r="W848" s="10"/>
      <c r="AE848" s="100"/>
      <c r="AN848" s="152"/>
      <c r="AO848" s="153"/>
      <c r="AP848" s="153"/>
      <c r="AQ848" s="153"/>
      <c r="AR848" s="153"/>
      <c r="AS848" s="154"/>
      <c r="AT848" s="155"/>
      <c r="AU848" s="155"/>
      <c r="AV848" s="155"/>
      <c r="AW848" s="107"/>
      <c r="AX848" s="107"/>
      <c r="AY848" s="107"/>
      <c r="AZ848" s="107"/>
      <c r="BA848" s="107"/>
      <c r="BB848" s="152"/>
      <c r="BC848" s="153"/>
      <c r="BD848" s="153"/>
      <c r="BE848" s="153"/>
      <c r="BF848" s="153"/>
      <c r="BG848" s="154"/>
    </row>
    <row r="849" spans="4:59" x14ac:dyDescent="0.2">
      <c r="D849" s="22"/>
      <c r="E849" s="23"/>
      <c r="F849" s="23"/>
      <c r="G849" s="23"/>
      <c r="H849" s="23"/>
      <c r="I849" s="64"/>
      <c r="J849" s="65"/>
      <c r="K849" s="65"/>
      <c r="L849" s="65"/>
      <c r="Q849" s="100"/>
      <c r="V849" s="9"/>
      <c r="W849" s="10"/>
      <c r="AE849" s="100"/>
      <c r="AN849" s="152"/>
      <c r="AO849" s="153"/>
      <c r="AP849" s="153"/>
      <c r="AQ849" s="153"/>
      <c r="AR849" s="153"/>
      <c r="AS849" s="154"/>
      <c r="AT849" s="155"/>
      <c r="AU849" s="155"/>
      <c r="AV849" s="155"/>
      <c r="AW849" s="107"/>
      <c r="AX849" s="107"/>
      <c r="AY849" s="107"/>
      <c r="AZ849" s="107"/>
      <c r="BA849" s="107"/>
      <c r="BB849" s="152"/>
      <c r="BC849" s="153"/>
      <c r="BD849" s="153"/>
      <c r="BE849" s="153"/>
      <c r="BF849" s="153"/>
      <c r="BG849" s="154"/>
    </row>
    <row r="850" spans="4:59" x14ac:dyDescent="0.2">
      <c r="D850" s="22"/>
      <c r="E850" s="23"/>
      <c r="F850" s="23"/>
      <c r="G850" s="23"/>
      <c r="H850" s="23"/>
      <c r="I850" s="64"/>
      <c r="J850" s="65"/>
      <c r="K850" s="65"/>
      <c r="L850" s="65"/>
      <c r="Q850" s="100"/>
      <c r="V850" s="9"/>
      <c r="W850" s="10"/>
      <c r="AE850" s="100"/>
      <c r="AN850" s="152"/>
      <c r="AO850" s="153"/>
      <c r="AP850" s="153"/>
      <c r="AQ850" s="153"/>
      <c r="AR850" s="153"/>
      <c r="AS850" s="154"/>
      <c r="AT850" s="155"/>
      <c r="AU850" s="155"/>
      <c r="AV850" s="155"/>
      <c r="AW850" s="107"/>
      <c r="AX850" s="107"/>
      <c r="AY850" s="107"/>
      <c r="AZ850" s="107"/>
      <c r="BA850" s="107"/>
      <c r="BB850" s="152"/>
      <c r="BC850" s="153"/>
      <c r="BD850" s="153"/>
      <c r="BE850" s="153"/>
      <c r="BF850" s="153"/>
      <c r="BG850" s="154"/>
    </row>
    <row r="851" spans="4:59" x14ac:dyDescent="0.2">
      <c r="D851" s="22"/>
      <c r="E851" s="23"/>
      <c r="F851" s="23"/>
      <c r="G851" s="23"/>
      <c r="H851" s="23"/>
      <c r="I851" s="64"/>
      <c r="J851" s="65"/>
      <c r="K851" s="65"/>
      <c r="L851" s="65"/>
      <c r="Q851" s="100"/>
      <c r="V851" s="9"/>
      <c r="W851" s="10"/>
      <c r="AE851" s="100"/>
      <c r="AN851" s="152"/>
      <c r="AO851" s="153"/>
      <c r="AP851" s="153"/>
      <c r="AQ851" s="153"/>
      <c r="AR851" s="153"/>
      <c r="AS851" s="154"/>
      <c r="AT851" s="155"/>
      <c r="AU851" s="155"/>
      <c r="AV851" s="155"/>
      <c r="AW851" s="107"/>
      <c r="AX851" s="107"/>
      <c r="AY851" s="107"/>
      <c r="AZ851" s="107"/>
      <c r="BA851" s="107"/>
      <c r="BB851" s="152"/>
      <c r="BC851" s="153"/>
      <c r="BD851" s="153"/>
      <c r="BE851" s="153"/>
      <c r="BF851" s="153"/>
      <c r="BG851" s="154"/>
    </row>
    <row r="852" spans="4:59" x14ac:dyDescent="0.2">
      <c r="D852" s="22"/>
      <c r="E852" s="23"/>
      <c r="F852" s="23"/>
      <c r="G852" s="23"/>
      <c r="H852" s="23"/>
      <c r="I852" s="64"/>
      <c r="J852" s="65"/>
      <c r="K852" s="65"/>
      <c r="L852" s="65"/>
      <c r="Q852" s="100"/>
      <c r="V852" s="9"/>
      <c r="W852" s="10"/>
      <c r="AE852" s="100"/>
      <c r="AN852" s="152"/>
      <c r="AO852" s="153"/>
      <c r="AP852" s="153"/>
      <c r="AQ852" s="153"/>
      <c r="AR852" s="153"/>
      <c r="AS852" s="154"/>
      <c r="AT852" s="155"/>
      <c r="AU852" s="155"/>
      <c r="AV852" s="155"/>
      <c r="AW852" s="107"/>
      <c r="AX852" s="107"/>
      <c r="AY852" s="107"/>
      <c r="AZ852" s="107"/>
      <c r="BA852" s="107"/>
      <c r="BB852" s="152"/>
      <c r="BC852" s="153"/>
      <c r="BD852" s="153"/>
      <c r="BE852" s="153"/>
      <c r="BF852" s="153"/>
      <c r="BG852" s="154"/>
    </row>
    <row r="853" spans="4:59" x14ac:dyDescent="0.2">
      <c r="D853" s="22"/>
      <c r="E853" s="23"/>
      <c r="F853" s="23"/>
      <c r="G853" s="23"/>
      <c r="H853" s="23"/>
      <c r="I853" s="64"/>
      <c r="J853" s="65"/>
      <c r="K853" s="65"/>
      <c r="L853" s="65"/>
      <c r="Q853" s="100"/>
      <c r="V853" s="9"/>
      <c r="W853" s="10"/>
      <c r="AE853" s="100"/>
      <c r="AN853" s="152"/>
      <c r="AO853" s="153"/>
      <c r="AP853" s="153"/>
      <c r="AQ853" s="153"/>
      <c r="AR853" s="153"/>
      <c r="AS853" s="154"/>
      <c r="AT853" s="155"/>
      <c r="AU853" s="155"/>
      <c r="AV853" s="155"/>
      <c r="AW853" s="107"/>
      <c r="AX853" s="107"/>
      <c r="AY853" s="107"/>
      <c r="AZ853" s="107"/>
      <c r="BA853" s="107"/>
      <c r="BB853" s="152"/>
      <c r="BC853" s="153"/>
      <c r="BD853" s="153"/>
      <c r="BE853" s="153"/>
      <c r="BF853" s="153"/>
      <c r="BG853" s="154"/>
    </row>
    <row r="854" spans="4:59" x14ac:dyDescent="0.2">
      <c r="D854" s="22"/>
      <c r="E854" s="23"/>
      <c r="F854" s="23"/>
      <c r="G854" s="23"/>
      <c r="H854" s="23"/>
      <c r="I854" s="64"/>
      <c r="J854" s="65"/>
      <c r="K854" s="65"/>
      <c r="L854" s="65"/>
      <c r="Q854" s="100"/>
      <c r="V854" s="9"/>
      <c r="W854" s="10"/>
      <c r="AE854" s="100"/>
      <c r="AN854" s="152"/>
      <c r="AO854" s="153"/>
      <c r="AP854" s="153"/>
      <c r="AQ854" s="153"/>
      <c r="AR854" s="153"/>
      <c r="AS854" s="154"/>
      <c r="AT854" s="155"/>
      <c r="AU854" s="155"/>
      <c r="AV854" s="155"/>
      <c r="AW854" s="107"/>
      <c r="AX854" s="107"/>
      <c r="AY854" s="107"/>
      <c r="AZ854" s="107"/>
      <c r="BA854" s="107"/>
      <c r="BB854" s="152"/>
      <c r="BC854" s="153"/>
      <c r="BD854" s="153"/>
      <c r="BE854" s="153"/>
      <c r="BF854" s="153"/>
      <c r="BG854" s="154"/>
    </row>
    <row r="855" spans="4:59" x14ac:dyDescent="0.2">
      <c r="D855" s="22"/>
      <c r="E855" s="23"/>
      <c r="F855" s="23"/>
      <c r="G855" s="23"/>
      <c r="H855" s="23"/>
      <c r="I855" s="64"/>
      <c r="J855" s="65"/>
      <c r="K855" s="65"/>
      <c r="L855" s="65"/>
      <c r="Q855" s="100"/>
      <c r="V855" s="9"/>
      <c r="W855" s="10"/>
      <c r="AE855" s="100"/>
      <c r="AN855" s="152"/>
      <c r="AO855" s="153"/>
      <c r="AP855" s="153"/>
      <c r="AQ855" s="153"/>
      <c r="AR855" s="153"/>
      <c r="AS855" s="154"/>
      <c r="AT855" s="155"/>
      <c r="AU855" s="155"/>
      <c r="AV855" s="155"/>
      <c r="AW855" s="107"/>
      <c r="AX855" s="107"/>
      <c r="AY855" s="107"/>
      <c r="AZ855" s="107"/>
      <c r="BA855" s="107"/>
      <c r="BB855" s="152"/>
      <c r="BC855" s="153"/>
      <c r="BD855" s="153"/>
      <c r="BE855" s="153"/>
      <c r="BF855" s="153"/>
      <c r="BG855" s="154"/>
    </row>
    <row r="856" spans="4:59" x14ac:dyDescent="0.2">
      <c r="D856" s="22"/>
      <c r="E856" s="23"/>
      <c r="F856" s="23"/>
      <c r="G856" s="23"/>
      <c r="H856" s="23"/>
      <c r="I856" s="64"/>
      <c r="J856" s="65"/>
      <c r="K856" s="65"/>
      <c r="L856" s="65"/>
      <c r="Q856" s="100"/>
      <c r="V856" s="9"/>
      <c r="W856" s="10"/>
      <c r="AE856" s="100"/>
      <c r="AN856" s="152"/>
      <c r="AO856" s="153"/>
      <c r="AP856" s="153"/>
      <c r="AQ856" s="153"/>
      <c r="AR856" s="153"/>
      <c r="AS856" s="154"/>
      <c r="AT856" s="155"/>
      <c r="AU856" s="155"/>
      <c r="AV856" s="155"/>
      <c r="AW856" s="107"/>
      <c r="AX856" s="107"/>
      <c r="AY856" s="107"/>
      <c r="AZ856" s="107"/>
      <c r="BA856" s="107"/>
      <c r="BB856" s="152"/>
      <c r="BC856" s="153"/>
      <c r="BD856" s="153"/>
      <c r="BE856" s="153"/>
      <c r="BF856" s="153"/>
      <c r="BG856" s="154"/>
    </row>
    <row r="857" spans="4:59" x14ac:dyDescent="0.2">
      <c r="D857" s="22"/>
      <c r="E857" s="23"/>
      <c r="F857" s="23"/>
      <c r="G857" s="23"/>
      <c r="H857" s="23"/>
      <c r="I857" s="64"/>
      <c r="J857" s="65"/>
      <c r="K857" s="65"/>
      <c r="L857" s="65"/>
      <c r="Q857" s="100"/>
      <c r="V857" s="9"/>
      <c r="W857" s="10"/>
      <c r="AE857" s="100"/>
      <c r="AN857" s="152"/>
      <c r="AO857" s="153"/>
      <c r="AP857" s="153"/>
      <c r="AQ857" s="153"/>
      <c r="AR857" s="153"/>
      <c r="AS857" s="154"/>
      <c r="AT857" s="155"/>
      <c r="AU857" s="155"/>
      <c r="AV857" s="155"/>
      <c r="AW857" s="107"/>
      <c r="AX857" s="107"/>
      <c r="AY857" s="107"/>
      <c r="AZ857" s="107"/>
      <c r="BA857" s="107"/>
      <c r="BB857" s="152"/>
      <c r="BC857" s="153"/>
      <c r="BD857" s="153"/>
      <c r="BE857" s="153"/>
      <c r="BF857" s="153"/>
      <c r="BG857" s="154"/>
    </row>
    <row r="858" spans="4:59" x14ac:dyDescent="0.2">
      <c r="D858" s="22"/>
      <c r="E858" s="23"/>
      <c r="F858" s="23"/>
      <c r="G858" s="23"/>
      <c r="H858" s="23"/>
      <c r="I858" s="64"/>
      <c r="J858" s="65"/>
      <c r="K858" s="65"/>
      <c r="L858" s="65"/>
      <c r="Q858" s="100"/>
      <c r="V858" s="9"/>
      <c r="W858" s="10"/>
      <c r="AE858" s="100"/>
      <c r="AN858" s="152"/>
      <c r="AO858" s="153"/>
      <c r="AP858" s="153"/>
      <c r="AQ858" s="153"/>
      <c r="AR858" s="153"/>
      <c r="AS858" s="154"/>
      <c r="AT858" s="155"/>
      <c r="AU858" s="155"/>
      <c r="AV858" s="155"/>
      <c r="AW858" s="107"/>
      <c r="AX858" s="107"/>
      <c r="AY858" s="107"/>
      <c r="AZ858" s="107"/>
      <c r="BA858" s="107"/>
      <c r="BB858" s="152"/>
      <c r="BC858" s="153"/>
      <c r="BD858" s="153"/>
      <c r="BE858" s="153"/>
      <c r="BF858" s="153"/>
      <c r="BG858" s="154"/>
    </row>
    <row r="859" spans="4:59" x14ac:dyDescent="0.2">
      <c r="D859" s="22"/>
      <c r="E859" s="23"/>
      <c r="F859" s="23"/>
      <c r="G859" s="23"/>
      <c r="H859" s="23"/>
      <c r="I859" s="64"/>
      <c r="J859" s="65"/>
      <c r="K859" s="65"/>
      <c r="L859" s="65"/>
      <c r="Q859" s="100"/>
      <c r="V859" s="9"/>
      <c r="W859" s="10"/>
      <c r="AE859" s="100"/>
      <c r="AN859" s="152"/>
      <c r="AO859" s="153"/>
      <c r="AP859" s="153"/>
      <c r="AQ859" s="153"/>
      <c r="AR859" s="153"/>
      <c r="AS859" s="154"/>
      <c r="AT859" s="155"/>
      <c r="AU859" s="155"/>
      <c r="AV859" s="155"/>
      <c r="AW859" s="107"/>
      <c r="AX859" s="107"/>
      <c r="AY859" s="107"/>
      <c r="AZ859" s="107"/>
      <c r="BA859" s="107"/>
      <c r="BB859" s="152"/>
      <c r="BC859" s="153"/>
      <c r="BD859" s="153"/>
      <c r="BE859" s="153"/>
      <c r="BF859" s="153"/>
      <c r="BG859" s="154"/>
    </row>
    <row r="860" spans="4:59" x14ac:dyDescent="0.2">
      <c r="D860" s="22"/>
      <c r="E860" s="23"/>
      <c r="F860" s="23"/>
      <c r="G860" s="23"/>
      <c r="H860" s="23"/>
      <c r="I860" s="64"/>
      <c r="J860" s="65"/>
      <c r="K860" s="65"/>
      <c r="L860" s="65"/>
      <c r="Q860" s="100"/>
      <c r="V860" s="9"/>
      <c r="W860" s="10"/>
      <c r="AE860" s="100"/>
      <c r="AN860" s="152"/>
      <c r="AO860" s="153"/>
      <c r="AP860" s="153"/>
      <c r="AQ860" s="153"/>
      <c r="AR860" s="153"/>
      <c r="AS860" s="154"/>
      <c r="AT860" s="155"/>
      <c r="AU860" s="155"/>
      <c r="AV860" s="155"/>
      <c r="AW860" s="107"/>
      <c r="AX860" s="107"/>
      <c r="AY860" s="107"/>
      <c r="AZ860" s="107"/>
      <c r="BA860" s="107"/>
      <c r="BB860" s="152"/>
      <c r="BC860" s="153"/>
      <c r="BD860" s="153"/>
      <c r="BE860" s="153"/>
      <c r="BF860" s="153"/>
      <c r="BG860" s="154"/>
    </row>
    <row r="861" spans="4:59" x14ac:dyDescent="0.2">
      <c r="D861" s="22"/>
      <c r="E861" s="23"/>
      <c r="F861" s="23"/>
      <c r="G861" s="23"/>
      <c r="H861" s="23"/>
      <c r="I861" s="64"/>
      <c r="J861" s="65"/>
      <c r="K861" s="65"/>
      <c r="L861" s="65"/>
      <c r="Q861" s="100"/>
      <c r="V861" s="9"/>
      <c r="W861" s="10"/>
      <c r="AE861" s="100"/>
      <c r="AN861" s="152"/>
      <c r="AO861" s="153"/>
      <c r="AP861" s="153"/>
      <c r="AQ861" s="153"/>
      <c r="AR861" s="153"/>
      <c r="AS861" s="154"/>
      <c r="AT861" s="155"/>
      <c r="AU861" s="155"/>
      <c r="AV861" s="155"/>
      <c r="AW861" s="107"/>
      <c r="AX861" s="107"/>
      <c r="AY861" s="107"/>
      <c r="AZ861" s="107"/>
      <c r="BA861" s="107"/>
      <c r="BB861" s="152"/>
      <c r="BC861" s="153"/>
      <c r="BD861" s="153"/>
      <c r="BE861" s="153"/>
      <c r="BF861" s="153"/>
      <c r="BG861" s="154"/>
    </row>
    <row r="862" spans="4:59" x14ac:dyDescent="0.2">
      <c r="D862" s="22"/>
      <c r="E862" s="23"/>
      <c r="F862" s="23"/>
      <c r="G862" s="23"/>
      <c r="H862" s="23"/>
      <c r="I862" s="64"/>
      <c r="J862" s="65"/>
      <c r="K862" s="65"/>
      <c r="L862" s="65"/>
      <c r="Q862" s="100"/>
      <c r="V862" s="9"/>
      <c r="W862" s="10"/>
      <c r="AE862" s="100"/>
      <c r="AN862" s="152"/>
      <c r="AO862" s="153"/>
      <c r="AP862" s="153"/>
      <c r="AQ862" s="153"/>
      <c r="AR862" s="153"/>
      <c r="AS862" s="154"/>
      <c r="AT862" s="155"/>
      <c r="AU862" s="155"/>
      <c r="AV862" s="155"/>
      <c r="AW862" s="107"/>
      <c r="AX862" s="107"/>
      <c r="AY862" s="107"/>
      <c r="AZ862" s="107"/>
      <c r="BA862" s="107"/>
      <c r="BB862" s="152"/>
      <c r="BC862" s="153"/>
      <c r="BD862" s="153"/>
      <c r="BE862" s="153"/>
      <c r="BF862" s="153"/>
      <c r="BG862" s="154"/>
    </row>
    <row r="863" spans="4:59" x14ac:dyDescent="0.2">
      <c r="D863" s="22"/>
      <c r="E863" s="23"/>
      <c r="F863" s="23"/>
      <c r="G863" s="23"/>
      <c r="H863" s="23"/>
      <c r="I863" s="64"/>
      <c r="J863" s="65"/>
      <c r="K863" s="65"/>
      <c r="L863" s="65"/>
      <c r="Q863" s="100"/>
      <c r="V863" s="9"/>
      <c r="W863" s="10"/>
      <c r="AE863" s="100"/>
      <c r="AN863" s="152"/>
      <c r="AO863" s="153"/>
      <c r="AP863" s="153"/>
      <c r="AQ863" s="153"/>
      <c r="AR863" s="153"/>
      <c r="AS863" s="154"/>
      <c r="AT863" s="155"/>
      <c r="AU863" s="155"/>
      <c r="AV863" s="155"/>
      <c r="AW863" s="107"/>
      <c r="AX863" s="107"/>
      <c r="AY863" s="107"/>
      <c r="AZ863" s="107"/>
      <c r="BA863" s="107"/>
      <c r="BB863" s="152"/>
      <c r="BC863" s="153"/>
      <c r="BD863" s="153"/>
      <c r="BE863" s="153"/>
      <c r="BF863" s="153"/>
      <c r="BG863" s="154"/>
    </row>
    <row r="864" spans="4:59" x14ac:dyDescent="0.2">
      <c r="D864" s="22"/>
      <c r="E864" s="23"/>
      <c r="F864" s="23"/>
      <c r="G864" s="23"/>
      <c r="H864" s="23"/>
      <c r="I864" s="64"/>
      <c r="J864" s="65"/>
      <c r="K864" s="65"/>
      <c r="L864" s="65"/>
      <c r="Q864" s="100"/>
      <c r="V864" s="9"/>
      <c r="W864" s="10"/>
      <c r="AE864" s="100"/>
      <c r="AN864" s="152"/>
      <c r="AO864" s="153"/>
      <c r="AP864" s="153"/>
      <c r="AQ864" s="153"/>
      <c r="AR864" s="153"/>
      <c r="AS864" s="154"/>
      <c r="AT864" s="155"/>
      <c r="AU864" s="155"/>
      <c r="AV864" s="155"/>
      <c r="AW864" s="107"/>
      <c r="AX864" s="107"/>
      <c r="AY864" s="107"/>
      <c r="AZ864" s="107"/>
      <c r="BA864" s="107"/>
      <c r="BB864" s="152"/>
      <c r="BC864" s="153"/>
      <c r="BD864" s="153"/>
      <c r="BE864" s="153"/>
      <c r="BF864" s="153"/>
      <c r="BG864" s="154"/>
    </row>
    <row r="865" spans="4:59" x14ac:dyDescent="0.2">
      <c r="D865" s="22"/>
      <c r="E865" s="23"/>
      <c r="F865" s="23"/>
      <c r="G865" s="23"/>
      <c r="H865" s="23"/>
      <c r="I865" s="64"/>
      <c r="J865" s="65"/>
      <c r="K865" s="65"/>
      <c r="L865" s="65"/>
      <c r="Q865" s="100"/>
      <c r="V865" s="9"/>
      <c r="W865" s="10"/>
      <c r="AE865" s="100"/>
      <c r="AN865" s="152"/>
      <c r="AO865" s="153"/>
      <c r="AP865" s="153"/>
      <c r="AQ865" s="153"/>
      <c r="AR865" s="153"/>
      <c r="AS865" s="154"/>
      <c r="AT865" s="155"/>
      <c r="AU865" s="155"/>
      <c r="AV865" s="155"/>
      <c r="AW865" s="107"/>
      <c r="AX865" s="107"/>
      <c r="AY865" s="107"/>
      <c r="AZ865" s="107"/>
      <c r="BA865" s="107"/>
      <c r="BB865" s="152"/>
      <c r="BC865" s="153"/>
      <c r="BD865" s="153"/>
      <c r="BE865" s="153"/>
      <c r="BF865" s="153"/>
      <c r="BG865" s="154"/>
    </row>
    <row r="866" spans="4:59" x14ac:dyDescent="0.2">
      <c r="D866" s="22"/>
      <c r="E866" s="23"/>
      <c r="F866" s="23"/>
      <c r="G866" s="23"/>
      <c r="H866" s="23"/>
      <c r="I866" s="64"/>
      <c r="J866" s="65"/>
      <c r="K866" s="65"/>
      <c r="L866" s="65"/>
      <c r="Q866" s="100"/>
      <c r="V866" s="9"/>
      <c r="W866" s="10"/>
      <c r="AE866" s="100"/>
      <c r="AN866" s="152"/>
      <c r="AO866" s="153"/>
      <c r="AP866" s="153"/>
      <c r="AQ866" s="153"/>
      <c r="AR866" s="153"/>
      <c r="AS866" s="154"/>
      <c r="AT866" s="155"/>
      <c r="AU866" s="155"/>
      <c r="AV866" s="155"/>
      <c r="AW866" s="107"/>
      <c r="AX866" s="107"/>
      <c r="AY866" s="107"/>
      <c r="AZ866" s="107"/>
      <c r="BA866" s="107"/>
      <c r="BB866" s="152"/>
      <c r="BC866" s="153"/>
      <c r="BD866" s="153"/>
      <c r="BE866" s="153"/>
      <c r="BF866" s="153"/>
      <c r="BG866" s="154"/>
    </row>
    <row r="867" spans="4:59" x14ac:dyDescent="0.2">
      <c r="D867" s="22"/>
      <c r="E867" s="23"/>
      <c r="F867" s="23"/>
      <c r="G867" s="23"/>
      <c r="H867" s="23"/>
      <c r="I867" s="64"/>
      <c r="J867" s="65"/>
      <c r="K867" s="65"/>
      <c r="L867" s="65"/>
      <c r="Q867" s="100"/>
      <c r="V867" s="9"/>
      <c r="W867" s="10"/>
      <c r="AE867" s="100"/>
      <c r="AN867" s="152"/>
      <c r="AO867" s="153"/>
      <c r="AP867" s="153"/>
      <c r="AQ867" s="153"/>
      <c r="AR867" s="153"/>
      <c r="AS867" s="154"/>
      <c r="AT867" s="155"/>
      <c r="AU867" s="155"/>
      <c r="AV867" s="155"/>
      <c r="AW867" s="107"/>
      <c r="AX867" s="107"/>
      <c r="AY867" s="107"/>
      <c r="AZ867" s="107"/>
      <c r="BA867" s="107"/>
      <c r="BB867" s="152"/>
      <c r="BC867" s="153"/>
      <c r="BD867" s="153"/>
      <c r="BE867" s="153"/>
      <c r="BF867" s="153"/>
      <c r="BG867" s="154"/>
    </row>
    <row r="868" spans="4:59" x14ac:dyDescent="0.2">
      <c r="D868" s="22"/>
      <c r="E868" s="23"/>
      <c r="F868" s="23"/>
      <c r="G868" s="23"/>
      <c r="H868" s="23"/>
      <c r="I868" s="64"/>
      <c r="J868" s="65"/>
      <c r="K868" s="65"/>
      <c r="L868" s="65"/>
      <c r="Q868" s="100"/>
      <c r="V868" s="9"/>
      <c r="W868" s="10"/>
      <c r="AE868" s="100"/>
      <c r="AN868" s="152"/>
      <c r="AO868" s="153"/>
      <c r="AP868" s="153"/>
      <c r="AQ868" s="153"/>
      <c r="AR868" s="153"/>
      <c r="AS868" s="154"/>
      <c r="AT868" s="155"/>
      <c r="AU868" s="155"/>
      <c r="AV868" s="155"/>
      <c r="AW868" s="107"/>
      <c r="AX868" s="107"/>
      <c r="AY868" s="107"/>
      <c r="AZ868" s="107"/>
      <c r="BA868" s="107"/>
      <c r="BB868" s="152"/>
      <c r="BC868" s="153"/>
      <c r="BD868" s="153"/>
      <c r="BE868" s="153"/>
      <c r="BF868" s="153"/>
      <c r="BG868" s="154"/>
    </row>
    <row r="869" spans="4:59" x14ac:dyDescent="0.2">
      <c r="D869" s="22"/>
      <c r="E869" s="23"/>
      <c r="F869" s="23"/>
      <c r="G869" s="23"/>
      <c r="H869" s="23"/>
      <c r="I869" s="64"/>
      <c r="J869" s="65"/>
      <c r="K869" s="65"/>
      <c r="L869" s="65"/>
      <c r="Q869" s="100"/>
      <c r="V869" s="9"/>
      <c r="W869" s="10"/>
      <c r="AE869" s="100"/>
      <c r="AN869" s="152"/>
      <c r="AO869" s="153"/>
      <c r="AP869" s="153"/>
      <c r="AQ869" s="153"/>
      <c r="AR869" s="153"/>
      <c r="AS869" s="154"/>
      <c r="AT869" s="155"/>
      <c r="AU869" s="155"/>
      <c r="AV869" s="155"/>
      <c r="AW869" s="107"/>
      <c r="AX869" s="107"/>
      <c r="AY869" s="107"/>
      <c r="AZ869" s="107"/>
      <c r="BA869" s="107"/>
      <c r="BB869" s="152"/>
      <c r="BC869" s="153"/>
      <c r="BD869" s="153"/>
      <c r="BE869" s="153"/>
      <c r="BF869" s="153"/>
      <c r="BG869" s="154"/>
    </row>
    <row r="870" spans="4:59" x14ac:dyDescent="0.2">
      <c r="D870" s="22"/>
      <c r="E870" s="23"/>
      <c r="F870" s="23"/>
      <c r="G870" s="23"/>
      <c r="H870" s="23"/>
      <c r="I870" s="64"/>
      <c r="J870" s="65"/>
      <c r="K870" s="65"/>
      <c r="L870" s="65"/>
      <c r="Q870" s="100"/>
      <c r="V870" s="9"/>
      <c r="W870" s="10"/>
      <c r="AE870" s="100"/>
      <c r="AN870" s="152"/>
      <c r="AO870" s="153"/>
      <c r="AP870" s="153"/>
      <c r="AQ870" s="153"/>
      <c r="AR870" s="153"/>
      <c r="AS870" s="154"/>
      <c r="AT870" s="155"/>
      <c r="AU870" s="155"/>
      <c r="AV870" s="155"/>
      <c r="AW870" s="107"/>
      <c r="AX870" s="107"/>
      <c r="AY870" s="107"/>
      <c r="AZ870" s="107"/>
      <c r="BA870" s="107"/>
      <c r="BB870" s="152"/>
      <c r="BC870" s="153"/>
      <c r="BD870" s="153"/>
      <c r="BE870" s="153"/>
      <c r="BF870" s="153"/>
      <c r="BG870" s="154"/>
    </row>
    <row r="871" spans="4:59" x14ac:dyDescent="0.2">
      <c r="D871" s="22"/>
      <c r="E871" s="23"/>
      <c r="F871" s="23"/>
      <c r="G871" s="23"/>
      <c r="H871" s="23"/>
      <c r="I871" s="64"/>
      <c r="J871" s="65"/>
      <c r="K871" s="65"/>
      <c r="L871" s="65"/>
      <c r="Q871" s="100"/>
      <c r="V871" s="9"/>
      <c r="W871" s="10"/>
      <c r="AE871" s="100"/>
      <c r="AN871" s="152"/>
      <c r="AO871" s="153"/>
      <c r="AP871" s="153"/>
      <c r="AQ871" s="153"/>
      <c r="AR871" s="153"/>
      <c r="AS871" s="154"/>
      <c r="AT871" s="155"/>
      <c r="AU871" s="155"/>
      <c r="AV871" s="155"/>
      <c r="AW871" s="107"/>
      <c r="AX871" s="107"/>
      <c r="AY871" s="107"/>
      <c r="AZ871" s="107"/>
      <c r="BA871" s="107"/>
      <c r="BB871" s="152"/>
      <c r="BC871" s="153"/>
      <c r="BD871" s="153"/>
      <c r="BE871" s="153"/>
      <c r="BF871" s="153"/>
      <c r="BG871" s="154"/>
    </row>
    <row r="872" spans="4:59" x14ac:dyDescent="0.2">
      <c r="D872" s="22"/>
      <c r="E872" s="23"/>
      <c r="F872" s="23"/>
      <c r="G872" s="23"/>
      <c r="H872" s="23"/>
      <c r="I872" s="64"/>
      <c r="J872" s="65"/>
      <c r="K872" s="65"/>
      <c r="L872" s="65"/>
      <c r="Q872" s="100"/>
      <c r="V872" s="9"/>
      <c r="W872" s="10"/>
      <c r="AE872" s="100"/>
      <c r="AN872" s="152"/>
      <c r="AO872" s="153"/>
      <c r="AP872" s="153"/>
      <c r="AQ872" s="153"/>
      <c r="AR872" s="153"/>
      <c r="AS872" s="154"/>
      <c r="AT872" s="155"/>
      <c r="AU872" s="155"/>
      <c r="AV872" s="155"/>
      <c r="AW872" s="107"/>
      <c r="AX872" s="107"/>
      <c r="AY872" s="107"/>
      <c r="AZ872" s="107"/>
      <c r="BA872" s="107"/>
      <c r="BB872" s="152"/>
      <c r="BC872" s="153"/>
      <c r="BD872" s="153"/>
      <c r="BE872" s="153"/>
      <c r="BF872" s="153"/>
      <c r="BG872" s="154"/>
    </row>
    <row r="873" spans="4:59" x14ac:dyDescent="0.2">
      <c r="D873" s="22"/>
      <c r="E873" s="23"/>
      <c r="F873" s="23"/>
      <c r="G873" s="23"/>
      <c r="H873" s="23"/>
      <c r="I873" s="64"/>
      <c r="J873" s="65"/>
      <c r="K873" s="65"/>
      <c r="L873" s="65"/>
      <c r="Q873" s="100"/>
      <c r="V873" s="9"/>
      <c r="W873" s="10"/>
      <c r="AE873" s="100"/>
      <c r="AN873" s="152"/>
      <c r="AO873" s="153"/>
      <c r="AP873" s="153"/>
      <c r="AQ873" s="153"/>
      <c r="AR873" s="153"/>
      <c r="AS873" s="154"/>
      <c r="AT873" s="155"/>
      <c r="AU873" s="155"/>
      <c r="AV873" s="155"/>
      <c r="AW873" s="107"/>
      <c r="AX873" s="107"/>
      <c r="AY873" s="107"/>
      <c r="AZ873" s="107"/>
      <c r="BA873" s="107"/>
      <c r="BB873" s="152"/>
      <c r="BC873" s="153"/>
      <c r="BD873" s="153"/>
      <c r="BE873" s="153"/>
      <c r="BF873" s="153"/>
      <c r="BG873" s="154"/>
    </row>
    <row r="874" spans="4:59" x14ac:dyDescent="0.2">
      <c r="D874" s="22"/>
      <c r="E874" s="23"/>
      <c r="F874" s="23"/>
      <c r="G874" s="23"/>
      <c r="H874" s="23"/>
      <c r="I874" s="64"/>
      <c r="J874" s="65"/>
      <c r="K874" s="65"/>
      <c r="L874" s="65"/>
      <c r="Q874" s="100"/>
      <c r="V874" s="9"/>
      <c r="W874" s="10"/>
      <c r="AE874" s="100"/>
      <c r="AN874" s="152"/>
      <c r="AO874" s="153"/>
      <c r="AP874" s="153"/>
      <c r="AQ874" s="153"/>
      <c r="AR874" s="153"/>
      <c r="AS874" s="154"/>
      <c r="AT874" s="155"/>
      <c r="AU874" s="155"/>
      <c r="AV874" s="155"/>
      <c r="AW874" s="107"/>
      <c r="AX874" s="107"/>
      <c r="AY874" s="107"/>
      <c r="AZ874" s="107"/>
      <c r="BA874" s="107"/>
      <c r="BB874" s="152"/>
      <c r="BC874" s="153"/>
      <c r="BD874" s="153"/>
      <c r="BE874" s="153"/>
      <c r="BF874" s="153"/>
      <c r="BG874" s="154"/>
    </row>
    <row r="875" spans="4:59" x14ac:dyDescent="0.2">
      <c r="D875" s="22"/>
      <c r="E875" s="23"/>
      <c r="F875" s="23"/>
      <c r="G875" s="23"/>
      <c r="H875" s="23"/>
      <c r="I875" s="64"/>
      <c r="J875" s="65"/>
      <c r="K875" s="65"/>
      <c r="L875" s="65"/>
      <c r="Q875" s="100"/>
      <c r="V875" s="9"/>
      <c r="W875" s="10"/>
      <c r="AE875" s="100"/>
      <c r="AN875" s="152"/>
      <c r="AO875" s="153"/>
      <c r="AP875" s="153"/>
      <c r="AQ875" s="153"/>
      <c r="AR875" s="153"/>
      <c r="AS875" s="154"/>
      <c r="AT875" s="155"/>
      <c r="AU875" s="155"/>
      <c r="AV875" s="155"/>
      <c r="AW875" s="107"/>
      <c r="AX875" s="107"/>
      <c r="AY875" s="107"/>
      <c r="AZ875" s="107"/>
      <c r="BA875" s="107"/>
      <c r="BB875" s="152"/>
      <c r="BC875" s="153"/>
      <c r="BD875" s="153"/>
      <c r="BE875" s="153"/>
      <c r="BF875" s="153"/>
      <c r="BG875" s="154"/>
    </row>
    <row r="876" spans="4:59" x14ac:dyDescent="0.2">
      <c r="D876" s="22"/>
      <c r="E876" s="23"/>
      <c r="F876" s="23"/>
      <c r="G876" s="23"/>
      <c r="H876" s="23"/>
      <c r="I876" s="64"/>
      <c r="J876" s="65"/>
      <c r="K876" s="65"/>
      <c r="L876" s="65"/>
      <c r="Q876" s="100"/>
      <c r="V876" s="9"/>
      <c r="W876" s="10"/>
      <c r="AE876" s="100"/>
      <c r="AN876" s="152"/>
      <c r="AO876" s="153"/>
      <c r="AP876" s="153"/>
      <c r="AQ876" s="153"/>
      <c r="AR876" s="153"/>
      <c r="AS876" s="154"/>
      <c r="AT876" s="155"/>
      <c r="AU876" s="155"/>
      <c r="AV876" s="155"/>
      <c r="AW876" s="107"/>
      <c r="AX876" s="107"/>
      <c r="AY876" s="107"/>
      <c r="AZ876" s="107"/>
      <c r="BA876" s="107"/>
      <c r="BB876" s="152"/>
      <c r="BC876" s="153"/>
      <c r="BD876" s="153"/>
      <c r="BE876" s="153"/>
      <c r="BF876" s="153"/>
      <c r="BG876" s="154"/>
    </row>
    <row r="877" spans="4:59" x14ac:dyDescent="0.2">
      <c r="D877" s="22"/>
      <c r="E877" s="23"/>
      <c r="F877" s="23"/>
      <c r="G877" s="23"/>
      <c r="H877" s="23"/>
      <c r="I877" s="64"/>
      <c r="J877" s="65"/>
      <c r="K877" s="65"/>
      <c r="L877" s="65"/>
      <c r="Q877" s="100"/>
      <c r="V877" s="9"/>
      <c r="W877" s="10"/>
      <c r="AE877" s="100"/>
      <c r="AN877" s="152"/>
      <c r="AO877" s="153"/>
      <c r="AP877" s="153"/>
      <c r="AQ877" s="153"/>
      <c r="AR877" s="153"/>
      <c r="AS877" s="154"/>
      <c r="AT877" s="155"/>
      <c r="AU877" s="155"/>
      <c r="AV877" s="155"/>
      <c r="AW877" s="107"/>
      <c r="AX877" s="107"/>
      <c r="AY877" s="107"/>
      <c r="AZ877" s="107"/>
      <c r="BA877" s="107"/>
      <c r="BB877" s="152"/>
      <c r="BC877" s="153"/>
      <c r="BD877" s="153"/>
      <c r="BE877" s="153"/>
      <c r="BF877" s="153"/>
      <c r="BG877" s="154"/>
    </row>
    <row r="878" spans="4:59" x14ac:dyDescent="0.2">
      <c r="D878" s="22"/>
      <c r="E878" s="23"/>
      <c r="F878" s="23"/>
      <c r="G878" s="23"/>
      <c r="H878" s="23"/>
      <c r="I878" s="64"/>
      <c r="J878" s="65"/>
      <c r="K878" s="65"/>
      <c r="L878" s="65"/>
      <c r="Q878" s="100"/>
      <c r="V878" s="9"/>
      <c r="W878" s="10"/>
      <c r="AE878" s="100"/>
      <c r="AN878" s="152"/>
      <c r="AO878" s="153"/>
      <c r="AP878" s="153"/>
      <c r="AQ878" s="153"/>
      <c r="AR878" s="153"/>
      <c r="AS878" s="154"/>
      <c r="AT878" s="155"/>
      <c r="AU878" s="155"/>
      <c r="AV878" s="155"/>
      <c r="AW878" s="107"/>
      <c r="AX878" s="107"/>
      <c r="AY878" s="107"/>
      <c r="AZ878" s="107"/>
      <c r="BA878" s="107"/>
      <c r="BB878" s="152"/>
      <c r="BC878" s="153"/>
      <c r="BD878" s="153"/>
      <c r="BE878" s="153"/>
      <c r="BF878" s="153"/>
      <c r="BG878" s="154"/>
    </row>
    <row r="879" spans="4:59" x14ac:dyDescent="0.2">
      <c r="D879" s="22"/>
      <c r="E879" s="23"/>
      <c r="F879" s="23"/>
      <c r="G879" s="23"/>
      <c r="H879" s="23"/>
      <c r="I879" s="64"/>
      <c r="J879" s="65"/>
      <c r="K879" s="65"/>
      <c r="L879" s="65"/>
      <c r="Q879" s="100"/>
      <c r="V879" s="9"/>
      <c r="W879" s="10"/>
      <c r="AE879" s="100"/>
      <c r="AN879" s="152"/>
      <c r="AO879" s="153"/>
      <c r="AP879" s="153"/>
      <c r="AQ879" s="153"/>
      <c r="AR879" s="153"/>
      <c r="AS879" s="154"/>
      <c r="AT879" s="155"/>
      <c r="AU879" s="155"/>
      <c r="AV879" s="155"/>
      <c r="AW879" s="107"/>
      <c r="AX879" s="107"/>
      <c r="AY879" s="107"/>
      <c r="AZ879" s="107"/>
      <c r="BA879" s="107"/>
      <c r="BB879" s="152"/>
      <c r="BC879" s="153"/>
      <c r="BD879" s="153"/>
      <c r="BE879" s="153"/>
      <c r="BF879" s="153"/>
      <c r="BG879" s="154"/>
    </row>
    <row r="880" spans="4:59" x14ac:dyDescent="0.2">
      <c r="D880" s="22"/>
      <c r="E880" s="23"/>
      <c r="F880" s="23"/>
      <c r="G880" s="23"/>
      <c r="H880" s="23"/>
      <c r="I880" s="64"/>
      <c r="J880" s="65"/>
      <c r="K880" s="65"/>
      <c r="L880" s="65"/>
      <c r="Q880" s="100"/>
      <c r="V880" s="9"/>
      <c r="W880" s="10"/>
      <c r="AE880" s="100"/>
      <c r="AN880" s="152"/>
      <c r="AO880" s="153"/>
      <c r="AP880" s="153"/>
      <c r="AQ880" s="153"/>
      <c r="AR880" s="153"/>
      <c r="AS880" s="154"/>
      <c r="AT880" s="155"/>
      <c r="AU880" s="155"/>
      <c r="AV880" s="155"/>
      <c r="AW880" s="107"/>
      <c r="AX880" s="107"/>
      <c r="AY880" s="107"/>
      <c r="AZ880" s="107"/>
      <c r="BA880" s="107"/>
      <c r="BB880" s="152"/>
      <c r="BC880" s="153"/>
      <c r="BD880" s="153"/>
      <c r="BE880" s="153"/>
      <c r="BF880" s="153"/>
      <c r="BG880" s="154"/>
    </row>
    <row r="881" spans="4:59" x14ac:dyDescent="0.2">
      <c r="D881" s="22"/>
      <c r="E881" s="23"/>
      <c r="F881" s="23"/>
      <c r="G881" s="23"/>
      <c r="H881" s="23"/>
      <c r="I881" s="64"/>
      <c r="J881" s="65"/>
      <c r="K881" s="65"/>
      <c r="L881" s="65"/>
      <c r="Q881" s="100"/>
      <c r="V881" s="9"/>
      <c r="W881" s="10"/>
      <c r="AE881" s="100"/>
      <c r="AN881" s="152"/>
      <c r="AO881" s="153"/>
      <c r="AP881" s="153"/>
      <c r="AQ881" s="153"/>
      <c r="AR881" s="153"/>
      <c r="AS881" s="154"/>
      <c r="AT881" s="155"/>
      <c r="AU881" s="155"/>
      <c r="AV881" s="155"/>
      <c r="AW881" s="107"/>
      <c r="AX881" s="107"/>
      <c r="AY881" s="107"/>
      <c r="AZ881" s="107"/>
      <c r="BA881" s="107"/>
      <c r="BB881" s="152"/>
      <c r="BC881" s="153"/>
      <c r="BD881" s="153"/>
      <c r="BE881" s="153"/>
      <c r="BF881" s="153"/>
      <c r="BG881" s="154"/>
    </row>
    <row r="882" spans="4:59" x14ac:dyDescent="0.2">
      <c r="D882" s="22"/>
      <c r="E882" s="23"/>
      <c r="F882" s="23"/>
      <c r="G882" s="23"/>
      <c r="H882" s="23"/>
      <c r="I882" s="64"/>
      <c r="J882" s="65"/>
      <c r="K882" s="65"/>
      <c r="L882" s="65"/>
      <c r="Q882" s="100"/>
      <c r="V882" s="9"/>
      <c r="W882" s="10"/>
      <c r="AE882" s="100"/>
      <c r="AN882" s="152"/>
      <c r="AO882" s="153"/>
      <c r="AP882" s="153"/>
      <c r="AQ882" s="153"/>
      <c r="AR882" s="153"/>
      <c r="AS882" s="154"/>
      <c r="AT882" s="155"/>
      <c r="AU882" s="155"/>
      <c r="AV882" s="155"/>
      <c r="AW882" s="107"/>
      <c r="AX882" s="107"/>
      <c r="AY882" s="107"/>
      <c r="AZ882" s="107"/>
      <c r="BA882" s="107"/>
      <c r="BB882" s="152"/>
      <c r="BC882" s="153"/>
      <c r="BD882" s="153"/>
      <c r="BE882" s="153"/>
      <c r="BF882" s="153"/>
      <c r="BG882" s="154"/>
    </row>
    <row r="883" spans="4:59" x14ac:dyDescent="0.2">
      <c r="D883" s="22"/>
      <c r="E883" s="23"/>
      <c r="F883" s="23"/>
      <c r="G883" s="23"/>
      <c r="H883" s="23"/>
      <c r="I883" s="64"/>
      <c r="J883" s="65"/>
      <c r="K883" s="65"/>
      <c r="L883" s="65"/>
      <c r="Q883" s="100"/>
      <c r="V883" s="9"/>
      <c r="W883" s="10"/>
      <c r="AE883" s="100"/>
      <c r="AN883" s="152"/>
      <c r="AO883" s="153"/>
      <c r="AP883" s="153"/>
      <c r="AQ883" s="153"/>
      <c r="AR883" s="153"/>
      <c r="AS883" s="154"/>
      <c r="AT883" s="155"/>
      <c r="AU883" s="155"/>
      <c r="AV883" s="155"/>
      <c r="AW883" s="107"/>
      <c r="AX883" s="107"/>
      <c r="AY883" s="107"/>
      <c r="AZ883" s="107"/>
      <c r="BA883" s="107"/>
      <c r="BB883" s="152"/>
      <c r="BC883" s="153"/>
      <c r="BD883" s="153"/>
      <c r="BE883" s="153"/>
      <c r="BF883" s="153"/>
      <c r="BG883" s="154"/>
    </row>
    <row r="884" spans="4:59" x14ac:dyDescent="0.2">
      <c r="D884" s="22"/>
      <c r="E884" s="23"/>
      <c r="F884" s="23"/>
      <c r="G884" s="23"/>
      <c r="H884" s="23"/>
      <c r="I884" s="64"/>
      <c r="J884" s="65"/>
      <c r="K884" s="65"/>
      <c r="L884" s="65"/>
      <c r="Q884" s="100"/>
      <c r="V884" s="9"/>
      <c r="W884" s="10"/>
      <c r="AE884" s="100"/>
      <c r="AN884" s="152"/>
      <c r="AO884" s="153"/>
      <c r="AP884" s="153"/>
      <c r="AQ884" s="153"/>
      <c r="AR884" s="153"/>
      <c r="AS884" s="154"/>
      <c r="AT884" s="155"/>
      <c r="AU884" s="155"/>
      <c r="AV884" s="155"/>
      <c r="AW884" s="107"/>
      <c r="AX884" s="107"/>
      <c r="AY884" s="107"/>
      <c r="AZ884" s="107"/>
      <c r="BA884" s="107"/>
      <c r="BB884" s="152"/>
      <c r="BC884" s="153"/>
      <c r="BD884" s="153"/>
      <c r="BE884" s="153"/>
      <c r="BF884" s="153"/>
      <c r="BG884" s="154"/>
    </row>
    <row r="885" spans="4:59" x14ac:dyDescent="0.2">
      <c r="D885" s="22"/>
      <c r="E885" s="23"/>
      <c r="F885" s="23"/>
      <c r="G885" s="23"/>
      <c r="H885" s="23"/>
      <c r="I885" s="64"/>
      <c r="J885" s="65"/>
      <c r="K885" s="65"/>
      <c r="L885" s="65"/>
      <c r="Q885" s="100"/>
      <c r="V885" s="9"/>
      <c r="W885" s="10"/>
      <c r="AE885" s="100"/>
      <c r="AN885" s="152"/>
      <c r="AO885" s="153"/>
      <c r="AP885" s="153"/>
      <c r="AQ885" s="153"/>
      <c r="AR885" s="153"/>
      <c r="AS885" s="154"/>
      <c r="AT885" s="155"/>
      <c r="AU885" s="155"/>
      <c r="AV885" s="155"/>
      <c r="AW885" s="107"/>
      <c r="AX885" s="107"/>
      <c r="AY885" s="107"/>
      <c r="AZ885" s="107"/>
      <c r="BA885" s="107"/>
      <c r="BB885" s="152"/>
      <c r="BC885" s="153"/>
      <c r="BD885" s="153"/>
      <c r="BE885" s="153"/>
      <c r="BF885" s="153"/>
      <c r="BG885" s="154"/>
    </row>
    <row r="886" spans="4:59" x14ac:dyDescent="0.2">
      <c r="D886" s="22"/>
      <c r="E886" s="23"/>
      <c r="F886" s="23"/>
      <c r="G886" s="23"/>
      <c r="H886" s="23"/>
      <c r="I886" s="64"/>
      <c r="J886" s="65"/>
      <c r="K886" s="65"/>
      <c r="L886" s="65"/>
      <c r="Q886" s="100"/>
      <c r="V886" s="9"/>
      <c r="W886" s="10"/>
      <c r="AE886" s="100"/>
      <c r="AN886" s="152"/>
      <c r="AO886" s="153"/>
      <c r="AP886" s="153"/>
      <c r="AQ886" s="153"/>
      <c r="AR886" s="153"/>
      <c r="AS886" s="154"/>
      <c r="AT886" s="155"/>
      <c r="AU886" s="155"/>
      <c r="AV886" s="155"/>
      <c r="AW886" s="107"/>
      <c r="AX886" s="107"/>
      <c r="AY886" s="107"/>
      <c r="AZ886" s="107"/>
      <c r="BA886" s="107"/>
      <c r="BB886" s="152"/>
      <c r="BC886" s="153"/>
      <c r="BD886" s="153"/>
      <c r="BE886" s="153"/>
      <c r="BF886" s="153"/>
      <c r="BG886" s="154"/>
    </row>
    <row r="887" spans="4:59" x14ac:dyDescent="0.2">
      <c r="D887" s="22"/>
      <c r="E887" s="23"/>
      <c r="F887" s="23"/>
      <c r="G887" s="23"/>
      <c r="H887" s="23"/>
      <c r="I887" s="64"/>
      <c r="J887" s="65"/>
      <c r="K887" s="65"/>
      <c r="L887" s="65"/>
      <c r="Q887" s="100"/>
      <c r="V887" s="9"/>
      <c r="W887" s="10"/>
      <c r="AE887" s="100"/>
      <c r="AN887" s="152"/>
      <c r="AO887" s="153"/>
      <c r="AP887" s="153"/>
      <c r="AQ887" s="153"/>
      <c r="AR887" s="153"/>
      <c r="AS887" s="154"/>
      <c r="AT887" s="155"/>
      <c r="AU887" s="155"/>
      <c r="AV887" s="155"/>
      <c r="AW887" s="107"/>
      <c r="AX887" s="107"/>
      <c r="AY887" s="107"/>
      <c r="AZ887" s="107"/>
      <c r="BA887" s="107"/>
      <c r="BB887" s="152"/>
      <c r="BC887" s="153"/>
      <c r="BD887" s="153"/>
      <c r="BE887" s="153"/>
      <c r="BF887" s="153"/>
      <c r="BG887" s="154"/>
    </row>
    <row r="888" spans="4:59" x14ac:dyDescent="0.2">
      <c r="D888" s="22"/>
      <c r="E888" s="23"/>
      <c r="F888" s="23"/>
      <c r="G888" s="23"/>
      <c r="H888" s="23"/>
      <c r="I888" s="64"/>
      <c r="J888" s="65"/>
      <c r="K888" s="65"/>
      <c r="L888" s="65"/>
      <c r="Q888" s="100"/>
      <c r="V888" s="9"/>
      <c r="W888" s="10"/>
      <c r="AE888" s="100"/>
      <c r="AN888" s="152"/>
      <c r="AO888" s="153"/>
      <c r="AP888" s="153"/>
      <c r="AQ888" s="153"/>
      <c r="AR888" s="153"/>
      <c r="AS888" s="154"/>
      <c r="AT888" s="155"/>
      <c r="AU888" s="155"/>
      <c r="AV888" s="155"/>
      <c r="AW888" s="107"/>
      <c r="AX888" s="107"/>
      <c r="AY888" s="107"/>
      <c r="AZ888" s="107"/>
      <c r="BA888" s="107"/>
      <c r="BB888" s="152"/>
      <c r="BC888" s="153"/>
      <c r="BD888" s="153"/>
      <c r="BE888" s="153"/>
      <c r="BF888" s="153"/>
      <c r="BG888" s="154"/>
    </row>
    <row r="889" spans="4:59" x14ac:dyDescent="0.2">
      <c r="D889" s="22"/>
      <c r="E889" s="23"/>
      <c r="F889" s="23"/>
      <c r="G889" s="23"/>
      <c r="H889" s="23"/>
      <c r="I889" s="64"/>
      <c r="J889" s="65"/>
      <c r="K889" s="65"/>
      <c r="L889" s="65"/>
      <c r="Q889" s="100"/>
      <c r="V889" s="9"/>
      <c r="W889" s="10"/>
      <c r="AE889" s="100"/>
      <c r="AN889" s="152"/>
      <c r="AO889" s="153"/>
      <c r="AP889" s="153"/>
      <c r="AQ889" s="153"/>
      <c r="AR889" s="153"/>
      <c r="AS889" s="154"/>
      <c r="AT889" s="155"/>
      <c r="AU889" s="155"/>
      <c r="AV889" s="155"/>
      <c r="AW889" s="107"/>
      <c r="AX889" s="107"/>
      <c r="AY889" s="107"/>
      <c r="AZ889" s="107"/>
      <c r="BA889" s="107"/>
      <c r="BB889" s="152"/>
      <c r="BC889" s="153"/>
      <c r="BD889" s="153"/>
      <c r="BE889" s="153"/>
      <c r="BF889" s="153"/>
      <c r="BG889" s="154"/>
    </row>
    <row r="890" spans="4:59" x14ac:dyDescent="0.2">
      <c r="D890" s="22"/>
      <c r="E890" s="23"/>
      <c r="F890" s="23"/>
      <c r="G890" s="23"/>
      <c r="H890" s="23"/>
      <c r="I890" s="64"/>
      <c r="J890" s="65"/>
      <c r="K890" s="65"/>
      <c r="L890" s="65"/>
      <c r="Q890" s="100"/>
      <c r="V890" s="9"/>
      <c r="W890" s="10"/>
      <c r="AE890" s="100"/>
      <c r="AN890" s="152"/>
      <c r="AO890" s="153"/>
      <c r="AP890" s="153"/>
      <c r="AQ890" s="153"/>
      <c r="AR890" s="153"/>
      <c r="AS890" s="154"/>
      <c r="AT890" s="155"/>
      <c r="AU890" s="155"/>
      <c r="AV890" s="155"/>
      <c r="AW890" s="107"/>
      <c r="AX890" s="107"/>
      <c r="AY890" s="107"/>
      <c r="AZ890" s="107"/>
      <c r="BA890" s="107"/>
      <c r="BB890" s="152"/>
      <c r="BC890" s="153"/>
      <c r="BD890" s="153"/>
      <c r="BE890" s="153"/>
      <c r="BF890" s="153"/>
      <c r="BG890" s="154"/>
    </row>
    <row r="891" spans="4:59" x14ac:dyDescent="0.2">
      <c r="D891" s="22"/>
      <c r="E891" s="23"/>
      <c r="F891" s="23"/>
      <c r="G891" s="23"/>
      <c r="H891" s="23"/>
      <c r="I891" s="64"/>
      <c r="J891" s="65"/>
      <c r="K891" s="65"/>
      <c r="L891" s="65"/>
      <c r="Q891" s="100"/>
      <c r="V891" s="9"/>
      <c r="W891" s="10"/>
      <c r="AE891" s="100"/>
      <c r="AN891" s="152"/>
      <c r="AO891" s="153"/>
      <c r="AP891" s="153"/>
      <c r="AQ891" s="153"/>
      <c r="AR891" s="153"/>
      <c r="AS891" s="154"/>
      <c r="AT891" s="155"/>
      <c r="AU891" s="155"/>
      <c r="AV891" s="155"/>
      <c r="AW891" s="107"/>
      <c r="AX891" s="107"/>
      <c r="AY891" s="107"/>
      <c r="AZ891" s="107"/>
      <c r="BA891" s="107"/>
      <c r="BB891" s="152"/>
      <c r="BC891" s="153"/>
      <c r="BD891" s="153"/>
      <c r="BE891" s="153"/>
      <c r="BF891" s="153"/>
      <c r="BG891" s="154"/>
    </row>
    <row r="892" spans="4:59" x14ac:dyDescent="0.2">
      <c r="D892" s="22"/>
      <c r="E892" s="23"/>
      <c r="F892" s="23"/>
      <c r="G892" s="23"/>
      <c r="H892" s="23"/>
      <c r="I892" s="64"/>
      <c r="J892" s="65"/>
      <c r="K892" s="65"/>
      <c r="L892" s="65"/>
      <c r="Q892" s="100"/>
      <c r="V892" s="9"/>
      <c r="W892" s="10"/>
      <c r="AE892" s="100"/>
      <c r="AN892" s="152"/>
      <c r="AO892" s="153"/>
      <c r="AP892" s="153"/>
      <c r="AQ892" s="153"/>
      <c r="AR892" s="153"/>
      <c r="AS892" s="154"/>
      <c r="AT892" s="155"/>
      <c r="AU892" s="155"/>
      <c r="AV892" s="155"/>
      <c r="AW892" s="107"/>
      <c r="AX892" s="107"/>
      <c r="AY892" s="107"/>
      <c r="AZ892" s="107"/>
      <c r="BA892" s="107"/>
      <c r="BB892" s="152"/>
      <c r="BC892" s="153"/>
      <c r="BD892" s="153"/>
      <c r="BE892" s="153"/>
      <c r="BF892" s="153"/>
      <c r="BG892" s="154"/>
    </row>
    <row r="893" spans="4:59" x14ac:dyDescent="0.2">
      <c r="D893" s="22"/>
      <c r="E893" s="23"/>
      <c r="F893" s="23"/>
      <c r="G893" s="23"/>
      <c r="H893" s="23"/>
      <c r="I893" s="64"/>
      <c r="J893" s="65"/>
      <c r="K893" s="65"/>
      <c r="L893" s="65"/>
      <c r="Q893" s="100"/>
      <c r="V893" s="9"/>
      <c r="W893" s="10"/>
      <c r="AE893" s="100"/>
      <c r="AN893" s="152"/>
      <c r="AO893" s="153"/>
      <c r="AP893" s="153"/>
      <c r="AQ893" s="153"/>
      <c r="AR893" s="153"/>
      <c r="AS893" s="154"/>
      <c r="AT893" s="155"/>
      <c r="AU893" s="155"/>
      <c r="AV893" s="155"/>
      <c r="AW893" s="107"/>
      <c r="AX893" s="107"/>
      <c r="AY893" s="107"/>
      <c r="AZ893" s="107"/>
      <c r="BA893" s="107"/>
      <c r="BB893" s="152"/>
      <c r="BC893" s="153"/>
      <c r="BD893" s="153"/>
      <c r="BE893" s="153"/>
      <c r="BF893" s="153"/>
      <c r="BG893" s="154"/>
    </row>
    <row r="894" spans="4:59" x14ac:dyDescent="0.2">
      <c r="D894" s="22"/>
      <c r="E894" s="23"/>
      <c r="F894" s="23"/>
      <c r="G894" s="23"/>
      <c r="H894" s="23"/>
      <c r="I894" s="64"/>
      <c r="J894" s="65"/>
      <c r="K894" s="65"/>
      <c r="L894" s="65"/>
      <c r="Q894" s="100"/>
      <c r="V894" s="9"/>
      <c r="W894" s="10"/>
      <c r="AE894" s="100"/>
      <c r="AN894" s="152"/>
      <c r="AO894" s="153"/>
      <c r="AP894" s="153"/>
      <c r="AQ894" s="153"/>
      <c r="AR894" s="153"/>
      <c r="AS894" s="154"/>
      <c r="AT894" s="155"/>
      <c r="AU894" s="155"/>
      <c r="AV894" s="155"/>
      <c r="AW894" s="107"/>
      <c r="AX894" s="107"/>
      <c r="AY894" s="107"/>
      <c r="AZ894" s="107"/>
      <c r="BA894" s="107"/>
      <c r="BB894" s="152"/>
      <c r="BC894" s="153"/>
      <c r="BD894" s="153"/>
      <c r="BE894" s="153"/>
      <c r="BF894" s="153"/>
      <c r="BG894" s="154"/>
    </row>
    <row r="895" spans="4:59" x14ac:dyDescent="0.2">
      <c r="D895" s="22"/>
      <c r="E895" s="23"/>
      <c r="F895" s="23"/>
      <c r="G895" s="23"/>
      <c r="H895" s="23"/>
      <c r="I895" s="64"/>
      <c r="J895" s="65"/>
      <c r="K895" s="65"/>
      <c r="L895" s="65"/>
      <c r="Q895" s="100"/>
      <c r="V895" s="9"/>
      <c r="W895" s="10"/>
      <c r="AE895" s="100"/>
      <c r="AN895" s="152"/>
      <c r="AO895" s="153"/>
      <c r="AP895" s="153"/>
      <c r="AQ895" s="153"/>
      <c r="AR895" s="153"/>
      <c r="AS895" s="154"/>
      <c r="AT895" s="155"/>
      <c r="AU895" s="155"/>
      <c r="AV895" s="155"/>
      <c r="AW895" s="107"/>
      <c r="AX895" s="107"/>
      <c r="AY895" s="107"/>
      <c r="AZ895" s="107"/>
      <c r="BA895" s="107"/>
      <c r="BB895" s="152"/>
      <c r="BC895" s="153"/>
      <c r="BD895" s="153"/>
      <c r="BE895" s="153"/>
      <c r="BF895" s="153"/>
      <c r="BG895" s="154"/>
    </row>
    <row r="896" spans="4:59" x14ac:dyDescent="0.2">
      <c r="D896" s="22"/>
      <c r="E896" s="23"/>
      <c r="F896" s="23"/>
      <c r="G896" s="23"/>
      <c r="H896" s="23"/>
      <c r="I896" s="64"/>
      <c r="J896" s="65"/>
      <c r="K896" s="65"/>
      <c r="L896" s="65"/>
      <c r="Q896" s="100"/>
      <c r="V896" s="9"/>
      <c r="W896" s="10"/>
      <c r="AE896" s="100"/>
      <c r="AN896" s="152"/>
      <c r="AO896" s="153"/>
      <c r="AP896" s="153"/>
      <c r="AQ896" s="153"/>
      <c r="AR896" s="153"/>
      <c r="AS896" s="154"/>
      <c r="AT896" s="155"/>
      <c r="AU896" s="155"/>
      <c r="AV896" s="155"/>
      <c r="AW896" s="107"/>
      <c r="AX896" s="107"/>
      <c r="AY896" s="107"/>
      <c r="AZ896" s="107"/>
      <c r="BA896" s="107"/>
      <c r="BB896" s="152"/>
      <c r="BC896" s="153"/>
      <c r="BD896" s="153"/>
      <c r="BE896" s="153"/>
      <c r="BF896" s="153"/>
      <c r="BG896" s="154"/>
    </row>
    <row r="897" spans="4:59" x14ac:dyDescent="0.2">
      <c r="D897" s="22"/>
      <c r="E897" s="23"/>
      <c r="F897" s="23"/>
      <c r="G897" s="23"/>
      <c r="H897" s="23"/>
      <c r="I897" s="64"/>
      <c r="J897" s="65"/>
      <c r="K897" s="65"/>
      <c r="L897" s="65"/>
      <c r="Q897" s="100"/>
      <c r="V897" s="9"/>
      <c r="W897" s="10"/>
      <c r="AE897" s="100"/>
      <c r="AN897" s="152"/>
      <c r="AO897" s="153"/>
      <c r="AP897" s="153"/>
      <c r="AQ897" s="153"/>
      <c r="AR897" s="153"/>
      <c r="AS897" s="154"/>
      <c r="AT897" s="155"/>
      <c r="AU897" s="155"/>
      <c r="AV897" s="155"/>
      <c r="AW897" s="107"/>
      <c r="AX897" s="107"/>
      <c r="AY897" s="107"/>
      <c r="AZ897" s="107"/>
      <c r="BA897" s="107"/>
      <c r="BB897" s="152"/>
      <c r="BC897" s="153"/>
      <c r="BD897" s="153"/>
      <c r="BE897" s="153"/>
      <c r="BF897" s="153"/>
      <c r="BG897" s="154"/>
    </row>
    <row r="898" spans="4:59" x14ac:dyDescent="0.2">
      <c r="D898" s="22"/>
      <c r="E898" s="23"/>
      <c r="F898" s="23"/>
      <c r="G898" s="23"/>
      <c r="H898" s="23"/>
      <c r="I898" s="64"/>
      <c r="J898" s="65"/>
      <c r="K898" s="65"/>
      <c r="L898" s="65"/>
      <c r="Q898" s="100"/>
      <c r="V898" s="9"/>
      <c r="W898" s="10"/>
      <c r="AE898" s="100"/>
      <c r="AN898" s="152"/>
      <c r="AO898" s="153"/>
      <c r="AP898" s="153"/>
      <c r="AQ898" s="153"/>
      <c r="AR898" s="153"/>
      <c r="AS898" s="154"/>
      <c r="AT898" s="155"/>
      <c r="AU898" s="155"/>
      <c r="AV898" s="155"/>
      <c r="AW898" s="107"/>
      <c r="AX898" s="107"/>
      <c r="AY898" s="107"/>
      <c r="AZ898" s="107"/>
      <c r="BA898" s="107"/>
      <c r="BB898" s="152"/>
      <c r="BC898" s="153"/>
      <c r="BD898" s="153"/>
      <c r="BE898" s="153"/>
      <c r="BF898" s="153"/>
      <c r="BG898" s="154"/>
    </row>
    <row r="899" spans="4:59" x14ac:dyDescent="0.2">
      <c r="D899" s="22"/>
      <c r="E899" s="23"/>
      <c r="F899" s="23"/>
      <c r="G899" s="23"/>
      <c r="H899" s="23"/>
      <c r="I899" s="64"/>
      <c r="J899" s="65"/>
      <c r="K899" s="65"/>
      <c r="L899" s="65"/>
      <c r="Q899" s="100"/>
      <c r="V899" s="9"/>
      <c r="W899" s="10"/>
      <c r="AE899" s="100"/>
      <c r="AN899" s="152"/>
      <c r="AO899" s="153"/>
      <c r="AP899" s="153"/>
      <c r="AQ899" s="153"/>
      <c r="AR899" s="153"/>
      <c r="AS899" s="154"/>
      <c r="AT899" s="155"/>
      <c r="AU899" s="155"/>
      <c r="AV899" s="155"/>
      <c r="AW899" s="107"/>
      <c r="AX899" s="107"/>
      <c r="AY899" s="107"/>
      <c r="AZ899" s="107"/>
      <c r="BA899" s="107"/>
      <c r="BB899" s="152"/>
      <c r="BC899" s="153"/>
      <c r="BD899" s="153"/>
      <c r="BE899" s="153"/>
      <c r="BF899" s="153"/>
      <c r="BG899" s="154"/>
    </row>
    <row r="900" spans="4:59" x14ac:dyDescent="0.2">
      <c r="D900" s="22"/>
      <c r="E900" s="23"/>
      <c r="F900" s="23"/>
      <c r="G900" s="23"/>
      <c r="H900" s="23"/>
      <c r="I900" s="64"/>
      <c r="J900" s="65"/>
      <c r="K900" s="65"/>
      <c r="L900" s="65"/>
      <c r="Q900" s="100"/>
      <c r="V900" s="9"/>
      <c r="W900" s="10"/>
      <c r="AE900" s="100"/>
      <c r="AN900" s="152"/>
      <c r="AO900" s="153"/>
      <c r="AP900" s="153"/>
      <c r="AQ900" s="153"/>
      <c r="AR900" s="153"/>
      <c r="AS900" s="154"/>
      <c r="AT900" s="155"/>
      <c r="AU900" s="155"/>
      <c r="AV900" s="155"/>
      <c r="AW900" s="107"/>
      <c r="AX900" s="107"/>
      <c r="AY900" s="107"/>
      <c r="AZ900" s="107"/>
      <c r="BA900" s="107"/>
      <c r="BB900" s="152"/>
      <c r="BC900" s="153"/>
      <c r="BD900" s="153"/>
      <c r="BE900" s="153"/>
      <c r="BF900" s="153"/>
      <c r="BG900" s="154"/>
    </row>
    <row r="901" spans="4:59" x14ac:dyDescent="0.2">
      <c r="D901" s="22"/>
      <c r="E901" s="23"/>
      <c r="F901" s="23"/>
      <c r="G901" s="23"/>
      <c r="H901" s="23"/>
      <c r="I901" s="64"/>
      <c r="J901" s="65"/>
      <c r="K901" s="65"/>
      <c r="L901" s="65"/>
      <c r="Q901" s="100"/>
      <c r="V901" s="9"/>
      <c r="W901" s="10"/>
      <c r="AE901" s="100"/>
      <c r="AN901" s="152"/>
      <c r="AO901" s="153"/>
      <c r="AP901" s="153"/>
      <c r="AQ901" s="153"/>
      <c r="AR901" s="153"/>
      <c r="AS901" s="154"/>
      <c r="AT901" s="155"/>
      <c r="AU901" s="155"/>
      <c r="AV901" s="155"/>
      <c r="AW901" s="107"/>
      <c r="AX901" s="107"/>
      <c r="AY901" s="107"/>
      <c r="AZ901" s="107"/>
      <c r="BA901" s="107"/>
      <c r="BB901" s="152"/>
      <c r="BC901" s="153"/>
      <c r="BD901" s="153"/>
      <c r="BE901" s="153"/>
      <c r="BF901" s="153"/>
      <c r="BG901" s="154"/>
    </row>
    <row r="902" spans="4:59" x14ac:dyDescent="0.2">
      <c r="D902" s="22"/>
      <c r="E902" s="23"/>
      <c r="F902" s="23"/>
      <c r="G902" s="23"/>
      <c r="H902" s="23"/>
      <c r="I902" s="64"/>
      <c r="J902" s="65"/>
      <c r="K902" s="65"/>
      <c r="L902" s="65"/>
      <c r="Q902" s="100"/>
      <c r="V902" s="9"/>
      <c r="W902" s="10"/>
      <c r="AE902" s="100"/>
      <c r="AN902" s="152"/>
      <c r="AO902" s="153"/>
      <c r="AP902" s="153"/>
      <c r="AQ902" s="153"/>
      <c r="AR902" s="153"/>
      <c r="AS902" s="154"/>
      <c r="AT902" s="155"/>
      <c r="AU902" s="155"/>
      <c r="AV902" s="155"/>
      <c r="AW902" s="107"/>
      <c r="AX902" s="107"/>
      <c r="AY902" s="107"/>
      <c r="AZ902" s="107"/>
      <c r="BA902" s="107"/>
      <c r="BB902" s="152"/>
      <c r="BC902" s="153"/>
      <c r="BD902" s="153"/>
      <c r="BE902" s="153"/>
      <c r="BF902" s="153"/>
      <c r="BG902" s="154"/>
    </row>
    <row r="903" spans="4:59" x14ac:dyDescent="0.2">
      <c r="D903" s="22"/>
      <c r="E903" s="23"/>
      <c r="F903" s="23"/>
      <c r="G903" s="23"/>
      <c r="H903" s="23"/>
      <c r="I903" s="64"/>
      <c r="J903" s="65"/>
      <c r="K903" s="65"/>
      <c r="L903" s="65"/>
      <c r="Q903" s="100"/>
      <c r="V903" s="9"/>
      <c r="W903" s="10"/>
      <c r="AE903" s="100"/>
      <c r="AN903" s="152"/>
      <c r="AO903" s="153"/>
      <c r="AP903" s="153"/>
      <c r="AQ903" s="153"/>
      <c r="AR903" s="153"/>
      <c r="AS903" s="154"/>
      <c r="AT903" s="155"/>
      <c r="AU903" s="155"/>
      <c r="AV903" s="155"/>
      <c r="AW903" s="107"/>
      <c r="AX903" s="107"/>
      <c r="AY903" s="107"/>
      <c r="AZ903" s="107"/>
      <c r="BA903" s="107"/>
      <c r="BB903" s="152"/>
      <c r="BC903" s="153"/>
      <c r="BD903" s="153"/>
      <c r="BE903" s="153"/>
      <c r="BF903" s="153"/>
      <c r="BG903" s="154"/>
    </row>
    <row r="904" spans="4:59" x14ac:dyDescent="0.2">
      <c r="D904" s="22"/>
      <c r="E904" s="23"/>
      <c r="F904" s="23"/>
      <c r="G904" s="23"/>
      <c r="H904" s="23"/>
      <c r="I904" s="64"/>
      <c r="J904" s="65"/>
      <c r="K904" s="65"/>
      <c r="L904" s="65"/>
      <c r="Q904" s="100"/>
      <c r="V904" s="9"/>
      <c r="W904" s="10"/>
      <c r="AE904" s="100"/>
      <c r="AN904" s="152"/>
      <c r="AO904" s="153"/>
      <c r="AP904" s="153"/>
      <c r="AQ904" s="153"/>
      <c r="AR904" s="153"/>
      <c r="AS904" s="154"/>
      <c r="AT904" s="155"/>
      <c r="AU904" s="155"/>
      <c r="AV904" s="155"/>
      <c r="AW904" s="107"/>
      <c r="AX904" s="107"/>
      <c r="AY904" s="107"/>
      <c r="AZ904" s="107"/>
      <c r="BA904" s="107"/>
      <c r="BB904" s="152"/>
      <c r="BC904" s="153"/>
      <c r="BD904" s="153"/>
      <c r="BE904" s="153"/>
      <c r="BF904" s="153"/>
      <c r="BG904" s="154"/>
    </row>
    <row r="905" spans="4:59" x14ac:dyDescent="0.2">
      <c r="D905" s="22"/>
      <c r="E905" s="23"/>
      <c r="F905" s="23"/>
      <c r="G905" s="23"/>
      <c r="H905" s="23"/>
      <c r="I905" s="64"/>
      <c r="J905" s="65"/>
      <c r="K905" s="65"/>
      <c r="L905" s="65"/>
      <c r="Q905" s="100"/>
      <c r="V905" s="9"/>
      <c r="W905" s="10"/>
      <c r="AE905" s="100"/>
      <c r="AN905" s="152"/>
      <c r="AO905" s="153"/>
      <c r="AP905" s="153"/>
      <c r="AQ905" s="153"/>
      <c r="AR905" s="153"/>
      <c r="AS905" s="154"/>
      <c r="AT905" s="155"/>
      <c r="AU905" s="155"/>
      <c r="AV905" s="155"/>
      <c r="AW905" s="107"/>
      <c r="AX905" s="107"/>
      <c r="AY905" s="107"/>
      <c r="AZ905" s="107"/>
      <c r="BA905" s="107"/>
      <c r="BB905" s="152"/>
      <c r="BC905" s="153"/>
      <c r="BD905" s="153"/>
      <c r="BE905" s="153"/>
      <c r="BF905" s="153"/>
      <c r="BG905" s="154"/>
    </row>
    <row r="906" spans="4:59" x14ac:dyDescent="0.2">
      <c r="D906" s="22"/>
      <c r="E906" s="23"/>
      <c r="F906" s="23"/>
      <c r="G906" s="23"/>
      <c r="H906" s="23"/>
      <c r="I906" s="64"/>
      <c r="J906" s="65"/>
      <c r="K906" s="65"/>
      <c r="L906" s="65"/>
      <c r="Q906" s="100"/>
      <c r="V906" s="9"/>
      <c r="W906" s="10"/>
      <c r="AE906" s="100"/>
      <c r="AN906" s="152"/>
      <c r="AO906" s="153"/>
      <c r="AP906" s="153"/>
      <c r="AQ906" s="153"/>
      <c r="AR906" s="153"/>
      <c r="AS906" s="154"/>
      <c r="AT906" s="155"/>
      <c r="AU906" s="155"/>
      <c r="AV906" s="155"/>
      <c r="AW906" s="107"/>
      <c r="AX906" s="107"/>
      <c r="AY906" s="107"/>
      <c r="AZ906" s="107"/>
      <c r="BA906" s="107"/>
      <c r="BB906" s="152"/>
      <c r="BC906" s="153"/>
      <c r="BD906" s="153"/>
      <c r="BE906" s="153"/>
      <c r="BF906" s="153"/>
      <c r="BG906" s="154"/>
    </row>
    <row r="907" spans="4:59" x14ac:dyDescent="0.2">
      <c r="D907" s="22"/>
      <c r="E907" s="23"/>
      <c r="F907" s="23"/>
      <c r="G907" s="23"/>
      <c r="H907" s="23"/>
      <c r="I907" s="64"/>
      <c r="J907" s="65"/>
      <c r="K907" s="65"/>
      <c r="L907" s="65"/>
      <c r="Q907" s="100"/>
      <c r="V907" s="9"/>
      <c r="W907" s="10"/>
      <c r="AE907" s="100"/>
      <c r="AN907" s="152"/>
      <c r="AO907" s="153"/>
      <c r="AP907" s="153"/>
      <c r="AQ907" s="153"/>
      <c r="AR907" s="153"/>
      <c r="AS907" s="154"/>
      <c r="AT907" s="155"/>
      <c r="AU907" s="155"/>
      <c r="AV907" s="155"/>
      <c r="AW907" s="107"/>
      <c r="AX907" s="107"/>
      <c r="AY907" s="107"/>
      <c r="AZ907" s="107"/>
      <c r="BA907" s="107"/>
      <c r="BB907" s="152"/>
      <c r="BC907" s="153"/>
      <c r="BD907" s="153"/>
      <c r="BE907" s="153"/>
      <c r="BF907" s="153"/>
      <c r="BG907" s="154"/>
    </row>
    <row r="908" spans="4:59" x14ac:dyDescent="0.2">
      <c r="D908" s="22"/>
      <c r="E908" s="23"/>
      <c r="F908" s="23"/>
      <c r="G908" s="23"/>
      <c r="H908" s="23"/>
      <c r="I908" s="64"/>
      <c r="J908" s="65"/>
      <c r="K908" s="65"/>
      <c r="L908" s="65"/>
      <c r="Q908" s="100"/>
      <c r="V908" s="9"/>
      <c r="W908" s="10"/>
      <c r="AE908" s="100"/>
      <c r="AN908" s="152"/>
      <c r="AO908" s="153"/>
      <c r="AP908" s="153"/>
      <c r="AQ908" s="153"/>
      <c r="AR908" s="153"/>
      <c r="AS908" s="154"/>
      <c r="AT908" s="155"/>
      <c r="AU908" s="155"/>
      <c r="AV908" s="155"/>
      <c r="AW908" s="107"/>
      <c r="AX908" s="107"/>
      <c r="AY908" s="107"/>
      <c r="AZ908" s="107"/>
      <c r="BA908" s="107"/>
      <c r="BB908" s="152"/>
      <c r="BC908" s="153"/>
      <c r="BD908" s="153"/>
      <c r="BE908" s="153"/>
      <c r="BF908" s="153"/>
      <c r="BG908" s="154"/>
    </row>
    <row r="909" spans="4:59" x14ac:dyDescent="0.2">
      <c r="D909" s="22"/>
      <c r="E909" s="23"/>
      <c r="F909" s="23"/>
      <c r="G909" s="23"/>
      <c r="H909" s="23"/>
      <c r="I909" s="64"/>
      <c r="J909" s="65"/>
      <c r="K909" s="65"/>
      <c r="L909" s="65"/>
      <c r="Q909" s="100"/>
      <c r="V909" s="9"/>
      <c r="W909" s="10"/>
      <c r="AE909" s="100"/>
      <c r="AN909" s="152"/>
      <c r="AO909" s="153"/>
      <c r="AP909" s="153"/>
      <c r="AQ909" s="153"/>
      <c r="AR909" s="153"/>
      <c r="AS909" s="154"/>
      <c r="AT909" s="155"/>
      <c r="AU909" s="155"/>
      <c r="AV909" s="155"/>
      <c r="AW909" s="107"/>
      <c r="AX909" s="107"/>
      <c r="AY909" s="107"/>
      <c r="AZ909" s="107"/>
      <c r="BA909" s="107"/>
      <c r="BB909" s="152"/>
      <c r="BC909" s="153"/>
      <c r="BD909" s="153"/>
      <c r="BE909" s="153"/>
      <c r="BF909" s="153"/>
      <c r="BG909" s="154"/>
    </row>
    <row r="910" spans="4:59" x14ac:dyDescent="0.2">
      <c r="D910" s="22"/>
      <c r="E910" s="23"/>
      <c r="F910" s="23"/>
      <c r="G910" s="23"/>
      <c r="H910" s="23"/>
      <c r="I910" s="64"/>
      <c r="J910" s="65"/>
      <c r="K910" s="65"/>
      <c r="L910" s="65"/>
      <c r="Q910" s="100"/>
      <c r="V910" s="9"/>
      <c r="W910" s="10"/>
      <c r="AE910" s="100"/>
      <c r="AN910" s="152"/>
      <c r="AO910" s="153"/>
      <c r="AP910" s="153"/>
      <c r="AQ910" s="153"/>
      <c r="AR910" s="153"/>
      <c r="AS910" s="154"/>
      <c r="AT910" s="155"/>
      <c r="AU910" s="155"/>
      <c r="AV910" s="155"/>
      <c r="AW910" s="107"/>
      <c r="AX910" s="107"/>
      <c r="AY910" s="107"/>
      <c r="AZ910" s="107"/>
      <c r="BA910" s="107"/>
      <c r="BB910" s="152"/>
      <c r="BC910" s="153"/>
      <c r="BD910" s="153"/>
      <c r="BE910" s="153"/>
      <c r="BF910" s="153"/>
      <c r="BG910" s="154"/>
    </row>
    <row r="911" spans="4:59" x14ac:dyDescent="0.2">
      <c r="D911" s="22"/>
      <c r="E911" s="23"/>
      <c r="F911" s="23"/>
      <c r="G911" s="23"/>
      <c r="H911" s="23"/>
      <c r="I911" s="64"/>
      <c r="J911" s="65"/>
      <c r="K911" s="65"/>
      <c r="L911" s="65"/>
      <c r="Q911" s="100"/>
      <c r="V911" s="9"/>
      <c r="W911" s="10"/>
      <c r="AE911" s="100"/>
      <c r="AN911" s="152"/>
      <c r="AO911" s="153"/>
      <c r="AP911" s="153"/>
      <c r="AQ911" s="153"/>
      <c r="AR911" s="153"/>
      <c r="AS911" s="154"/>
      <c r="AT911" s="155"/>
      <c r="AU911" s="155"/>
      <c r="AV911" s="155"/>
      <c r="AW911" s="107"/>
      <c r="AX911" s="107"/>
      <c r="AY911" s="107"/>
      <c r="AZ911" s="107"/>
      <c r="BA911" s="107"/>
      <c r="BB911" s="152"/>
      <c r="BC911" s="153"/>
      <c r="BD911" s="153"/>
      <c r="BE911" s="153"/>
      <c r="BF911" s="153"/>
      <c r="BG911" s="154"/>
    </row>
    <row r="912" spans="4:59" ht="16" thickBot="1" x14ac:dyDescent="0.25">
      <c r="D912" s="22"/>
      <c r="E912" s="24"/>
      <c r="F912" s="23"/>
      <c r="G912" s="24"/>
      <c r="H912" s="24"/>
      <c r="I912" s="66"/>
      <c r="J912" s="65"/>
      <c r="K912" s="65"/>
      <c r="L912" s="65"/>
      <c r="Q912" s="100"/>
      <c r="V912" s="9"/>
      <c r="W912" s="10"/>
      <c r="AE912" s="100"/>
      <c r="AN912" s="152"/>
      <c r="AO912" s="153"/>
      <c r="AP912" s="153"/>
      <c r="AQ912" s="153"/>
      <c r="AR912" s="153"/>
      <c r="AS912" s="154"/>
      <c r="AT912" s="155"/>
      <c r="AU912" s="155"/>
      <c r="AV912" s="155"/>
      <c r="AW912" s="107"/>
      <c r="AX912" s="107"/>
      <c r="AY912" s="107"/>
      <c r="AZ912" s="107"/>
      <c r="BA912" s="107"/>
      <c r="BB912" s="152"/>
      <c r="BC912" s="153"/>
      <c r="BD912" s="153"/>
      <c r="BE912" s="153"/>
      <c r="BF912" s="153"/>
      <c r="BG912" s="154"/>
    </row>
    <row r="913" spans="4:59" ht="16" thickBot="1" x14ac:dyDescent="0.25">
      <c r="D913" s="22"/>
      <c r="V913" s="11"/>
      <c r="W913" s="12"/>
      <c r="AE913" s="100"/>
      <c r="AN913" s="152"/>
      <c r="AO913" s="153"/>
      <c r="AP913" s="153"/>
      <c r="AQ913" s="153"/>
      <c r="AR913" s="153"/>
      <c r="AS913" s="154"/>
      <c r="AT913" s="155"/>
      <c r="AU913" s="155"/>
      <c r="AV913" s="155"/>
      <c r="AW913" s="107"/>
      <c r="AX913" s="107"/>
      <c r="AY913" s="107"/>
      <c r="AZ913" s="107"/>
      <c r="BA913" s="107"/>
      <c r="BB913" s="152"/>
      <c r="BC913" s="153"/>
      <c r="BD913" s="153"/>
      <c r="BE913" s="153"/>
      <c r="BF913" s="153"/>
      <c r="BG913" s="154"/>
    </row>
  </sheetData>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0A18A-980F-4C77-A007-04AEC1B5F647}">
  <dimension ref="B4:C23"/>
  <sheetViews>
    <sheetView workbookViewId="0">
      <selection activeCell="C24" sqref="C24"/>
    </sheetView>
  </sheetViews>
  <sheetFormatPr baseColWidth="10" defaultColWidth="8.83203125" defaultRowHeight="15" x14ac:dyDescent="0.2"/>
  <sheetData>
    <row r="4" spans="2:3" x14ac:dyDescent="0.2">
      <c r="B4" t="s">
        <v>191</v>
      </c>
    </row>
    <row r="6" spans="2:3" x14ac:dyDescent="0.2">
      <c r="B6" t="s">
        <v>192</v>
      </c>
    </row>
    <row r="7" spans="2:3" x14ac:dyDescent="0.2">
      <c r="B7" t="s">
        <v>193</v>
      </c>
    </row>
    <row r="9" spans="2:3" x14ac:dyDescent="0.2">
      <c r="B9" t="s">
        <v>194</v>
      </c>
    </row>
    <row r="11" spans="2:3" x14ac:dyDescent="0.2">
      <c r="B11" t="s">
        <v>195</v>
      </c>
    </row>
    <row r="15" spans="2:3" x14ac:dyDescent="0.2">
      <c r="C15" t="s">
        <v>197</v>
      </c>
    </row>
    <row r="17" spans="3:3" x14ac:dyDescent="0.2">
      <c r="C17" t="s">
        <v>198</v>
      </c>
    </row>
    <row r="20" spans="3:3" x14ac:dyDescent="0.2">
      <c r="C20" t="s">
        <v>246</v>
      </c>
    </row>
    <row r="23" spans="3:3" x14ac:dyDescent="0.2">
      <c r="C23" t="s">
        <v>249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05A07-EE83-499F-B4D3-D64257BA5A3C}">
  <dimension ref="B2:AC28"/>
  <sheetViews>
    <sheetView workbookViewId="0">
      <selection activeCell="J17" sqref="J17"/>
    </sheetView>
  </sheetViews>
  <sheetFormatPr baseColWidth="10" defaultColWidth="8.83203125" defaultRowHeight="15" x14ac:dyDescent="0.2"/>
  <cols>
    <col min="2" max="2" width="20.6640625" customWidth="1"/>
    <col min="8" max="8" width="17.5" customWidth="1"/>
    <col min="22" max="22" width="14" customWidth="1"/>
    <col min="28" max="28" width="15.1640625" customWidth="1"/>
  </cols>
  <sheetData>
    <row r="2" spans="2:29" x14ac:dyDescent="0.2">
      <c r="I2" t="s">
        <v>245</v>
      </c>
    </row>
    <row r="3" spans="2:29" ht="16" thickBot="1" x14ac:dyDescent="0.25"/>
    <row r="4" spans="2:29" ht="16" thickBot="1" x14ac:dyDescent="0.25">
      <c r="C4" s="5" t="s">
        <v>199</v>
      </c>
      <c r="D4" s="16"/>
      <c r="E4" s="6"/>
      <c r="F4" s="15"/>
      <c r="G4" s="15"/>
      <c r="H4" s="15"/>
      <c r="I4" s="5" t="s">
        <v>200</v>
      </c>
      <c r="J4" s="16"/>
      <c r="K4" s="6"/>
      <c r="L4" s="15"/>
      <c r="M4" s="15"/>
      <c r="P4" s="5" t="s">
        <v>216</v>
      </c>
      <c r="Q4" s="16"/>
      <c r="R4" s="6"/>
      <c r="W4" s="5" t="s">
        <v>201</v>
      </c>
      <c r="X4" s="16"/>
      <c r="Y4" s="6"/>
      <c r="AB4" s="5" t="s">
        <v>230</v>
      </c>
      <c r="AC4" s="6">
        <v>0.98</v>
      </c>
    </row>
    <row r="5" spans="2:29" ht="16" thickBot="1" x14ac:dyDescent="0.25">
      <c r="C5" s="20"/>
      <c r="D5" s="13"/>
      <c r="E5" s="13"/>
      <c r="F5" s="8"/>
      <c r="G5" s="15"/>
      <c r="H5" s="15"/>
      <c r="I5" s="20"/>
      <c r="J5" s="13"/>
      <c r="K5" s="13"/>
      <c r="L5" s="8"/>
      <c r="M5" s="15"/>
      <c r="P5" s="20"/>
      <c r="Q5" s="13"/>
      <c r="R5" s="13"/>
      <c r="S5" s="8"/>
      <c r="W5" s="20"/>
      <c r="X5" s="13"/>
      <c r="Y5" s="13"/>
      <c r="Z5" s="8"/>
    </row>
    <row r="6" spans="2:29" x14ac:dyDescent="0.2">
      <c r="B6" s="20" t="s">
        <v>202</v>
      </c>
      <c r="C6" s="18" t="s">
        <v>218</v>
      </c>
      <c r="D6" s="15">
        <f>Data!CG5/1000</f>
        <v>0</v>
      </c>
      <c r="E6" s="15"/>
      <c r="F6" s="10"/>
      <c r="G6" s="15"/>
      <c r="H6" s="20" t="s">
        <v>209</v>
      </c>
      <c r="I6" s="18" t="s">
        <v>219</v>
      </c>
      <c r="J6" s="172">
        <f xml:space="preserve"> MAX('Hybrid System'!G9:G539)</f>
        <v>17520.571968799348</v>
      </c>
      <c r="K6" s="15"/>
      <c r="L6" s="10"/>
      <c r="M6" s="15"/>
      <c r="O6" s="20" t="s">
        <v>203</v>
      </c>
      <c r="P6" s="18" t="s">
        <v>219</v>
      </c>
      <c r="Q6" s="15">
        <f>'Hybrid System'!Y4/1000</f>
        <v>8.7455200000000012E-4</v>
      </c>
      <c r="R6" s="15"/>
      <c r="S6" s="10"/>
      <c r="V6" s="20" t="s">
        <v>211</v>
      </c>
      <c r="W6" s="18"/>
      <c r="X6" s="15"/>
      <c r="Y6" s="15"/>
      <c r="Z6" s="10"/>
    </row>
    <row r="7" spans="2:29" x14ac:dyDescent="0.2">
      <c r="B7" s="18" t="s">
        <v>204</v>
      </c>
      <c r="C7" s="18" t="s">
        <v>219</v>
      </c>
      <c r="D7" s="15">
        <f>'Hybrid System'!V4/1000</f>
        <v>8.308244E-4</v>
      </c>
      <c r="E7" s="15"/>
      <c r="F7" s="10"/>
      <c r="G7" s="15"/>
      <c r="H7" s="18" t="s">
        <v>210</v>
      </c>
      <c r="I7" s="18" t="s">
        <v>219</v>
      </c>
      <c r="J7" s="171">
        <f>'Hybrid System'!M7</f>
        <v>0</v>
      </c>
      <c r="K7" s="15"/>
      <c r="L7" s="10"/>
      <c r="M7" s="15"/>
      <c r="O7" s="18"/>
      <c r="P7" s="18"/>
      <c r="Q7" s="15"/>
      <c r="R7" s="15"/>
      <c r="S7" s="10"/>
      <c r="V7" s="18" t="s">
        <v>212</v>
      </c>
      <c r="W7" s="18"/>
      <c r="X7" s="15"/>
      <c r="Y7" s="15"/>
      <c r="Z7" s="10"/>
    </row>
    <row r="8" spans="2:29" x14ac:dyDescent="0.2">
      <c r="B8" s="18" t="s">
        <v>205</v>
      </c>
      <c r="C8" s="18" t="s">
        <v>219</v>
      </c>
      <c r="D8" s="171">
        <f>'Hybrid System'!M7/1000</f>
        <v>0</v>
      </c>
      <c r="E8" s="15"/>
      <c r="F8" s="10"/>
      <c r="G8" s="15"/>
      <c r="H8" s="18" t="s">
        <v>115</v>
      </c>
      <c r="I8" s="18" t="s">
        <v>221</v>
      </c>
      <c r="J8" s="108" t="s">
        <v>269</v>
      </c>
      <c r="K8" s="15"/>
      <c r="L8" s="10"/>
      <c r="M8" s="15"/>
      <c r="O8" s="18"/>
      <c r="P8" s="18"/>
      <c r="Q8" s="15"/>
      <c r="R8" s="15"/>
      <c r="S8" s="10"/>
      <c r="V8" s="18" t="s">
        <v>213</v>
      </c>
      <c r="W8" s="18"/>
      <c r="X8" s="15" t="s">
        <v>243</v>
      </c>
      <c r="Y8" s="15"/>
      <c r="Z8" s="10"/>
    </row>
    <row r="9" spans="2:29" x14ac:dyDescent="0.2">
      <c r="B9" s="18" t="s">
        <v>206</v>
      </c>
      <c r="C9" s="18" t="s">
        <v>220</v>
      </c>
      <c r="D9" s="15"/>
      <c r="E9" s="15"/>
      <c r="F9" s="10"/>
      <c r="G9" s="15"/>
      <c r="H9" s="18"/>
      <c r="I9" s="18"/>
      <c r="J9" s="15"/>
      <c r="K9" s="15"/>
      <c r="L9" s="10"/>
      <c r="M9" s="15"/>
      <c r="O9" s="18"/>
      <c r="P9" s="18"/>
      <c r="Q9" s="15"/>
      <c r="R9" s="15"/>
      <c r="S9" s="10"/>
      <c r="V9" s="18" t="s">
        <v>203</v>
      </c>
      <c r="W9" s="18" t="s">
        <v>219</v>
      </c>
      <c r="X9" s="15"/>
      <c r="Y9" s="15"/>
      <c r="Z9" s="10"/>
    </row>
    <row r="10" spans="2:29" x14ac:dyDescent="0.2">
      <c r="B10" s="18" t="s">
        <v>207</v>
      </c>
      <c r="C10" s="18"/>
      <c r="D10" s="108" t="s">
        <v>268</v>
      </c>
      <c r="E10" s="15"/>
      <c r="F10" s="10"/>
      <c r="G10" s="15"/>
      <c r="H10" s="18"/>
      <c r="I10" s="18"/>
      <c r="J10" s="15"/>
      <c r="K10" s="15"/>
      <c r="L10" s="10"/>
      <c r="M10" s="15"/>
      <c r="O10" s="18"/>
      <c r="P10" s="18"/>
      <c r="Q10" s="15"/>
      <c r="R10" s="15"/>
      <c r="S10" s="10"/>
      <c r="V10" s="18" t="s">
        <v>214</v>
      </c>
      <c r="W10" s="18"/>
      <c r="X10" s="15"/>
      <c r="Y10" s="15"/>
      <c r="Z10" s="10"/>
    </row>
    <row r="11" spans="2:29" x14ac:dyDescent="0.2">
      <c r="B11" s="18" t="s">
        <v>217</v>
      </c>
      <c r="C11" s="18" t="s">
        <v>218</v>
      </c>
      <c r="D11" s="15">
        <f>D6+('Hybrid System'!R6)</f>
        <v>0</v>
      </c>
      <c r="E11" s="15"/>
      <c r="F11" s="10"/>
      <c r="G11" s="15"/>
      <c r="H11" s="18"/>
      <c r="I11" s="18"/>
      <c r="J11" s="15"/>
      <c r="K11" s="15"/>
      <c r="L11" s="10"/>
      <c r="M11" s="15"/>
      <c r="O11" s="18"/>
      <c r="P11" s="18"/>
      <c r="Q11" s="15"/>
      <c r="R11" s="15"/>
      <c r="S11" s="10"/>
      <c r="V11" s="18" t="s">
        <v>215</v>
      </c>
      <c r="W11" s="18"/>
      <c r="X11" s="15"/>
      <c r="Y11" s="15"/>
      <c r="Z11" s="10"/>
    </row>
    <row r="12" spans="2:29" x14ac:dyDescent="0.2">
      <c r="B12" s="18"/>
      <c r="C12" s="18" t="s">
        <v>244</v>
      </c>
      <c r="D12" s="15">
        <f>D11/3.6</f>
        <v>0</v>
      </c>
      <c r="E12" s="15"/>
      <c r="F12" s="10"/>
      <c r="G12" s="15"/>
      <c r="H12" s="18"/>
      <c r="I12" s="18"/>
      <c r="J12" s="15"/>
      <c r="K12" s="15"/>
      <c r="L12" s="10"/>
      <c r="M12" s="15"/>
      <c r="O12" s="18"/>
      <c r="P12" s="18"/>
      <c r="Q12" s="15"/>
      <c r="R12" s="15"/>
      <c r="S12" s="10"/>
      <c r="V12" s="18"/>
      <c r="W12" s="18"/>
      <c r="X12" s="15"/>
      <c r="Y12" s="15"/>
      <c r="Z12" s="10"/>
    </row>
    <row r="13" spans="2:29" ht="16" thickBot="1" x14ac:dyDescent="0.25">
      <c r="B13" s="19"/>
      <c r="C13" s="19"/>
      <c r="D13" s="14"/>
      <c r="E13" s="14"/>
      <c r="F13" s="12"/>
      <c r="G13" s="15"/>
      <c r="H13" s="19"/>
      <c r="I13" s="19"/>
      <c r="J13" s="14"/>
      <c r="K13" s="14"/>
      <c r="L13" s="12"/>
      <c r="M13" s="15"/>
      <c r="O13" s="19"/>
      <c r="P13" s="19"/>
      <c r="Q13" s="14"/>
      <c r="R13" s="14"/>
      <c r="S13" s="12"/>
      <c r="V13" s="19"/>
      <c r="W13" s="19"/>
      <c r="X13" s="14"/>
      <c r="Y13" s="14"/>
      <c r="Z13" s="12"/>
    </row>
    <row r="14" spans="2:29" ht="16" thickBot="1" x14ac:dyDescent="0.25">
      <c r="C14" s="15"/>
      <c r="D14" s="15"/>
      <c r="E14" s="15"/>
      <c r="F14" s="15"/>
      <c r="G14" s="15"/>
      <c r="H14" s="15"/>
      <c r="I14" s="15"/>
      <c r="J14" s="15"/>
      <c r="K14" s="15"/>
      <c r="L14" s="15"/>
      <c r="M14" s="15"/>
    </row>
    <row r="15" spans="2:29" ht="16" thickBot="1" x14ac:dyDescent="0.25">
      <c r="C15" s="5" t="s">
        <v>208</v>
      </c>
      <c r="D15" s="16"/>
      <c r="E15" s="6"/>
      <c r="I15" s="5" t="s">
        <v>208</v>
      </c>
      <c r="J15" s="16"/>
      <c r="K15" s="6"/>
      <c r="P15" s="7" t="s">
        <v>208</v>
      </c>
      <c r="Q15" s="13"/>
      <c r="R15" s="13"/>
      <c r="S15" s="8"/>
      <c r="W15" s="5" t="s">
        <v>208</v>
      </c>
      <c r="X15" s="16"/>
      <c r="Y15" s="6"/>
    </row>
    <row r="16" spans="2:29" x14ac:dyDescent="0.2">
      <c r="B16" s="20" t="s">
        <v>222</v>
      </c>
      <c r="C16" s="7" t="s">
        <v>227</v>
      </c>
      <c r="D16" s="13">
        <v>0.9</v>
      </c>
      <c r="E16" s="13"/>
      <c r="F16" s="8"/>
      <c r="H16" s="7" t="s">
        <v>228</v>
      </c>
      <c r="I16" s="7" t="s">
        <v>227</v>
      </c>
      <c r="J16" s="13">
        <v>0.92</v>
      </c>
      <c r="K16" s="13"/>
      <c r="L16" s="8"/>
      <c r="O16" s="20" t="s">
        <v>228</v>
      </c>
      <c r="P16" s="13" t="s">
        <v>227</v>
      </c>
      <c r="Q16" s="13">
        <v>0.95</v>
      </c>
      <c r="R16" s="13"/>
      <c r="S16" s="8"/>
      <c r="V16" s="20" t="s">
        <v>228</v>
      </c>
      <c r="W16" s="7" t="s">
        <v>227</v>
      </c>
      <c r="X16" s="13">
        <v>0.97</v>
      </c>
      <c r="Y16" s="13"/>
      <c r="Z16" s="8"/>
    </row>
    <row r="17" spans="2:26" x14ac:dyDescent="0.2">
      <c r="B17" s="18" t="s">
        <v>223</v>
      </c>
      <c r="C17" s="9" t="s">
        <v>227</v>
      </c>
      <c r="D17" s="15">
        <v>0.9</v>
      </c>
      <c r="E17" s="15"/>
      <c r="F17" s="10"/>
      <c r="H17" s="9" t="s">
        <v>209</v>
      </c>
      <c r="I17" s="9" t="s">
        <v>219</v>
      </c>
      <c r="J17" s="15"/>
      <c r="K17" s="15"/>
      <c r="L17" s="10"/>
      <c r="O17" s="18" t="s">
        <v>203</v>
      </c>
      <c r="P17" s="15" t="s">
        <v>219</v>
      </c>
      <c r="Q17" s="15"/>
      <c r="R17" s="15"/>
      <c r="S17" s="10"/>
      <c r="V17" s="18"/>
      <c r="W17" s="9"/>
      <c r="X17" s="15"/>
      <c r="Y17" s="15"/>
      <c r="Z17" s="10"/>
    </row>
    <row r="18" spans="2:26" x14ac:dyDescent="0.2">
      <c r="B18" s="18" t="s">
        <v>224</v>
      </c>
      <c r="C18" s="9" t="s">
        <v>219</v>
      </c>
      <c r="D18" s="15"/>
      <c r="E18" s="15"/>
      <c r="F18" s="10"/>
      <c r="H18" s="9" t="s">
        <v>210</v>
      </c>
      <c r="I18" s="9" t="s">
        <v>219</v>
      </c>
      <c r="J18" s="15"/>
      <c r="K18" s="15"/>
      <c r="L18" s="10"/>
      <c r="O18" s="18"/>
      <c r="P18" s="15"/>
      <c r="Q18" s="15"/>
      <c r="R18" s="15"/>
      <c r="S18" s="10"/>
      <c r="V18" s="18"/>
      <c r="W18" s="9"/>
      <c r="X18" s="15"/>
      <c r="Y18" s="15"/>
      <c r="Z18" s="10"/>
    </row>
    <row r="19" spans="2:26" x14ac:dyDescent="0.2">
      <c r="B19" s="18" t="s">
        <v>205</v>
      </c>
      <c r="C19" s="9" t="s">
        <v>219</v>
      </c>
      <c r="D19" s="15"/>
      <c r="E19" s="15"/>
      <c r="F19" s="10"/>
      <c r="H19" s="9" t="s">
        <v>115</v>
      </c>
      <c r="I19" s="9" t="s">
        <v>12</v>
      </c>
      <c r="J19" s="15"/>
      <c r="K19" s="15"/>
      <c r="L19" s="10"/>
      <c r="O19" s="18"/>
      <c r="P19" s="15"/>
      <c r="Q19" s="15"/>
      <c r="R19" s="15"/>
      <c r="S19" s="10"/>
      <c r="V19" s="18"/>
      <c r="W19" s="9"/>
      <c r="X19" s="15"/>
      <c r="Y19" s="15"/>
      <c r="Z19" s="10"/>
    </row>
    <row r="20" spans="2:26" x14ac:dyDescent="0.2">
      <c r="B20" s="18" t="s">
        <v>225</v>
      </c>
      <c r="C20" s="9" t="s">
        <v>218</v>
      </c>
      <c r="D20" s="15"/>
      <c r="E20" s="15"/>
      <c r="F20" s="10"/>
      <c r="H20" s="9"/>
      <c r="I20" s="9"/>
      <c r="J20" s="15"/>
      <c r="K20" s="15"/>
      <c r="L20" s="10"/>
      <c r="O20" s="18"/>
      <c r="P20" s="15"/>
      <c r="Q20" s="15"/>
      <c r="R20" s="15"/>
      <c r="S20" s="10"/>
      <c r="V20" s="18"/>
      <c r="W20" s="9"/>
      <c r="X20" s="15"/>
      <c r="Y20" s="15"/>
      <c r="Z20" s="10"/>
    </row>
    <row r="21" spans="2:26" ht="16" thickBot="1" x14ac:dyDescent="0.25">
      <c r="B21" s="19" t="s">
        <v>226</v>
      </c>
      <c r="C21" s="11" t="s">
        <v>218</v>
      </c>
      <c r="D21" s="14"/>
      <c r="E21" s="14"/>
      <c r="F21" s="12"/>
      <c r="H21" s="11"/>
      <c r="I21" s="11"/>
      <c r="J21" s="14"/>
      <c r="K21" s="14"/>
      <c r="L21" s="12"/>
      <c r="O21" s="19"/>
      <c r="P21" s="14"/>
      <c r="Q21" s="14"/>
      <c r="R21" s="14"/>
      <c r="S21" s="12"/>
      <c r="V21" s="19"/>
      <c r="W21" s="11"/>
      <c r="X21" s="14"/>
      <c r="Y21" s="14"/>
      <c r="Z21" s="12"/>
    </row>
    <row r="28" spans="2:26" x14ac:dyDescent="0.2">
      <c r="B28" t="s">
        <v>229</v>
      </c>
      <c r="D28">
        <f>AC4*J16*X16*D17*D16*Q16</f>
        <v>0.67296776400000002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B2B73-6CA2-43A2-900D-2E82F335AEEF}">
  <dimension ref="C2:AH540"/>
  <sheetViews>
    <sheetView tabSelected="1" topLeftCell="U1" workbookViewId="0">
      <selection activeCell="AB10" sqref="AB10"/>
    </sheetView>
  </sheetViews>
  <sheetFormatPr baseColWidth="10" defaultColWidth="8.83203125" defaultRowHeight="15" x14ac:dyDescent="0.2"/>
  <cols>
    <col min="5" max="5" width="20.6640625" customWidth="1"/>
    <col min="6" max="7" width="8.5" customWidth="1"/>
    <col min="9" max="9" width="20" customWidth="1"/>
    <col min="10" max="10" width="26" customWidth="1"/>
    <col min="12" max="12" width="17.5" customWidth="1"/>
    <col min="14" max="14" width="12.1640625" customWidth="1"/>
    <col min="15" max="15" width="20.5" customWidth="1"/>
    <col min="16" max="16" width="15.33203125" customWidth="1"/>
    <col min="17" max="17" width="16.1640625" customWidth="1"/>
    <col min="18" max="18" width="23.5" customWidth="1"/>
    <col min="19" max="19" width="19.33203125" customWidth="1"/>
    <col min="20" max="20" width="26.83203125" customWidth="1"/>
    <col min="21" max="21" width="36.33203125" customWidth="1"/>
    <col min="22" max="22" width="26.6640625" customWidth="1"/>
    <col min="23" max="23" width="16.33203125" customWidth="1"/>
    <col min="24" max="24" width="16.6640625" customWidth="1"/>
    <col min="25" max="25" width="16.33203125" customWidth="1"/>
    <col min="26" max="26" width="14.33203125" customWidth="1"/>
  </cols>
  <sheetData>
    <row r="2" spans="3:34" x14ac:dyDescent="0.2">
      <c r="M2">
        <f>H5/K5</f>
        <v>0.85499999999999998</v>
      </c>
      <c r="T2" s="28" t="s">
        <v>267</v>
      </c>
      <c r="U2">
        <f>SUM(_xlfn.ANCHORARRAY(C9))</f>
        <v>184.02903966003487</v>
      </c>
      <c r="AB2" s="28" t="s">
        <v>284</v>
      </c>
      <c r="AC2" s="28" t="s">
        <v>285</v>
      </c>
      <c r="AE2" s="28" t="s">
        <v>286</v>
      </c>
      <c r="AG2" s="28" t="s">
        <v>288</v>
      </c>
    </row>
    <row r="3" spans="3:34" ht="16" thickBot="1" x14ac:dyDescent="0.25">
      <c r="P3" t="s">
        <v>260</v>
      </c>
      <c r="Q3" t="s">
        <v>261</v>
      </c>
      <c r="X3" s="146"/>
      <c r="AB3" s="165">
        <f>MAX(AA9:AA539)</f>
        <v>104551.16053941545</v>
      </c>
      <c r="AC3" s="165">
        <f>MIN(AA9:AA539)</f>
        <v>-111767.30940756778</v>
      </c>
      <c r="AE3" s="177">
        <f>AB3-AC3</f>
        <v>216318.46994698321</v>
      </c>
      <c r="AF3" s="28" t="s">
        <v>287</v>
      </c>
      <c r="AG3" s="177">
        <f>MAX(X9:X539)</f>
        <v>8321.790580935316</v>
      </c>
      <c r="AH3" s="28" t="s">
        <v>289</v>
      </c>
    </row>
    <row r="4" spans="3:34" ht="16" thickBot="1" x14ac:dyDescent="0.25">
      <c r="C4" s="163"/>
      <c r="D4" s="16" t="s">
        <v>234</v>
      </c>
      <c r="E4" s="6"/>
      <c r="H4" s="7" t="s">
        <v>233</v>
      </c>
      <c r="I4" s="8"/>
      <c r="J4" t="s">
        <v>248</v>
      </c>
      <c r="K4" s="7" t="s">
        <v>235</v>
      </c>
      <c r="L4" s="13"/>
      <c r="M4" s="13"/>
      <c r="N4" s="8"/>
      <c r="O4" s="165">
        <f>MAX(F9:F539)</f>
        <v>14071.822582460883</v>
      </c>
      <c r="P4">
        <f>L9</f>
        <v>0.83082440000000002</v>
      </c>
      <c r="Q4">
        <f>M29</f>
        <v>0.70838712000000004</v>
      </c>
      <c r="R4" t="s">
        <v>240</v>
      </c>
      <c r="U4" t="s">
        <v>241</v>
      </c>
      <c r="V4">
        <f>MAX(L9:L538)</f>
        <v>0.83082440000000002</v>
      </c>
      <c r="X4" t="s">
        <v>242</v>
      </c>
      <c r="Y4">
        <f>M9/'Electrical System Specification'!Q16</f>
        <v>0.87455200000000011</v>
      </c>
      <c r="AB4" s="28" t="s">
        <v>282</v>
      </c>
      <c r="AC4" s="28" t="s">
        <v>283</v>
      </c>
      <c r="AE4" s="28" t="s">
        <v>281</v>
      </c>
    </row>
    <row r="5" spans="3:34" ht="16" thickBot="1" x14ac:dyDescent="0.25">
      <c r="G5" s="165"/>
      <c r="H5" s="167">
        <f>AVERAGE(G9:G539)</f>
        <v>8730.390230316656</v>
      </c>
      <c r="I5" s="12"/>
      <c r="J5" s="165">
        <f>AVERAGE(_xlfn.ANCHORARRAY(E9))</f>
        <v>6871.6622130335309</v>
      </c>
      <c r="K5" s="166">
        <f>H5/('Electrical System Specification'!D16*'Electrical System Specification'!Q16)</f>
        <v>10210.982725516556</v>
      </c>
      <c r="L5" s="14"/>
      <c r="M5" s="14"/>
      <c r="N5" s="12"/>
      <c r="R5" s="165">
        <f>MIN(Q10:Q540)</f>
        <v>0</v>
      </c>
      <c r="U5" t="s">
        <v>263</v>
      </c>
      <c r="V5" s="165">
        <f>AVERAGE(U9:U539)</f>
        <v>8791.3306271654874</v>
      </c>
      <c r="W5" s="28" t="s">
        <v>266</v>
      </c>
      <c r="AA5" s="165"/>
      <c r="AB5" s="165">
        <f>SUM(W9:W539)</f>
        <v>479549.40316039353</v>
      </c>
      <c r="AC5">
        <f>SUM(Y9:Y539)</f>
        <v>470250.28418469738</v>
      </c>
      <c r="AE5" s="177">
        <f>AB5-AC5</f>
        <v>9299.1189756961539</v>
      </c>
    </row>
    <row r="6" spans="3:34" ht="16" thickBot="1" x14ac:dyDescent="0.25">
      <c r="J6" s="20" t="s">
        <v>251</v>
      </c>
      <c r="L6" t="s">
        <v>236</v>
      </c>
      <c r="O6" t="s">
        <v>237</v>
      </c>
      <c r="R6">
        <f>(R5*-1)/1000</f>
        <v>0</v>
      </c>
      <c r="S6" t="s">
        <v>196</v>
      </c>
      <c r="U6" t="s">
        <v>265</v>
      </c>
      <c r="V6" s="175">
        <f>I9/Q4</f>
        <v>9700.4335892407671</v>
      </c>
      <c r="W6" s="165">
        <f>100-((V5/V6)*100)</f>
        <v>9.3717765676331339</v>
      </c>
    </row>
    <row r="7" spans="3:34" ht="16" thickBot="1" x14ac:dyDescent="0.25">
      <c r="C7" t="s">
        <v>89</v>
      </c>
      <c r="D7" t="s">
        <v>238</v>
      </c>
      <c r="E7" t="s">
        <v>160</v>
      </c>
      <c r="F7" t="s">
        <v>239</v>
      </c>
      <c r="G7" t="s">
        <v>239</v>
      </c>
      <c r="J7" s="106">
        <f>J5/('Electrical System Specification'!AC4*'Electrical System Specification'!J16)</f>
        <v>7621.6306710664712</v>
      </c>
      <c r="K7" s="165"/>
      <c r="L7" s="168"/>
      <c r="M7" s="169"/>
      <c r="O7" s="168"/>
      <c r="P7" s="169"/>
      <c r="R7" s="170" t="s">
        <v>259</v>
      </c>
      <c r="U7" s="165"/>
      <c r="AA7" s="28" t="s">
        <v>280</v>
      </c>
      <c r="AB7" s="165"/>
    </row>
    <row r="8" spans="3:34" ht="16" thickBot="1" x14ac:dyDescent="0.25">
      <c r="D8">
        <v>0</v>
      </c>
      <c r="E8" s="5" t="s">
        <v>231</v>
      </c>
      <c r="F8" s="16" t="s">
        <v>232</v>
      </c>
      <c r="G8" s="6" t="s">
        <v>167</v>
      </c>
      <c r="I8" t="s">
        <v>247</v>
      </c>
      <c r="J8" t="s">
        <v>250</v>
      </c>
      <c r="K8" t="s">
        <v>252</v>
      </c>
      <c r="M8" t="s">
        <v>253</v>
      </c>
      <c r="N8" t="s">
        <v>254</v>
      </c>
      <c r="O8" t="s">
        <v>255</v>
      </c>
      <c r="P8" t="s">
        <v>257</v>
      </c>
      <c r="R8" t="s">
        <v>256</v>
      </c>
      <c r="S8" t="s">
        <v>258</v>
      </c>
      <c r="T8" t="s">
        <v>262</v>
      </c>
      <c r="U8" t="s">
        <v>264</v>
      </c>
      <c r="V8" s="28" t="s">
        <v>276</v>
      </c>
      <c r="W8" s="28" t="s">
        <v>275</v>
      </c>
      <c r="X8" s="28" t="s">
        <v>277</v>
      </c>
      <c r="Y8" s="28" t="s">
        <v>278</v>
      </c>
      <c r="Z8" s="28" t="s">
        <v>279</v>
      </c>
      <c r="AA8">
        <v>0</v>
      </c>
    </row>
    <row r="9" spans="3:34" x14ac:dyDescent="0.2">
      <c r="C9" s="148" cm="1">
        <f t="array" ref="C9:C539">Data!AF3:AF533</f>
        <v>0.15641098600795228</v>
      </c>
      <c r="D9">
        <f>C9+D8</f>
        <v>0.15641098600795228</v>
      </c>
      <c r="E9" s="164" cm="1">
        <f t="array" ref="E9:E539">Data!BT3:BT533</f>
        <v>2192.0645856092228</v>
      </c>
      <c r="F9" s="165">
        <f>E9/'Electrical System Specification'!AC$4</f>
        <v>2236.8005975604315</v>
      </c>
      <c r="G9" s="146">
        <f>F9/('Electrical System Specification'!X$16*'Electrical System Specification'!J$16*'Electrical System Specification'!D$17)</f>
        <v>2784.9999969625374</v>
      </c>
      <c r="H9" s="165"/>
      <c r="I9" s="173">
        <f>J$5</f>
        <v>6871.6622130335309</v>
      </c>
      <c r="J9" s="173">
        <f>J$7</f>
        <v>7621.6306710664712</v>
      </c>
      <c r="K9" s="174" t="b">
        <f>IF(E9&gt;I9,'Electrical System Specification'!AC$4*'Electrical System Specification'!J$16*'Electrical System Specification'!D$16*'Electrical System Specification'!D$17*'Electrical System Specification'!X$16)</f>
        <v>0</v>
      </c>
      <c r="L9" s="174">
        <f>IF(E9&lt;I9,'Electrical System Specification'!X$16*'Electrical System Specification'!Q$16*'Electrical System Specification'!AC$4*'Electrical System Specification'!J$16)</f>
        <v>0.83082440000000002</v>
      </c>
      <c r="M9" s="174">
        <f t="shared" ref="M9:M73" si="0">IF(I9&gt;E9,L9,IF(I9&lt;E9,K9))</f>
        <v>0.83082440000000002</v>
      </c>
      <c r="N9" s="174">
        <f>M9*E9</f>
        <v>1821.2207441000312</v>
      </c>
      <c r="O9" s="173">
        <f>E9-I9</f>
        <v>-4679.5976274243076</v>
      </c>
      <c r="P9" s="174" t="b">
        <f>IF(O9&gt;0,O9/K9)</f>
        <v>0</v>
      </c>
      <c r="Q9" s="174">
        <f>IF(O9&lt;0,I9-(O9*-1),IF(O9&gt;0,I9/L9))</f>
        <v>2192.0645856092233</v>
      </c>
      <c r="R9" s="174">
        <f>Q9/L9</f>
        <v>2638.421049753983</v>
      </c>
      <c r="S9" s="165">
        <f>IF(P9=FALSE,R9,IF(R9=FALSE,P9))</f>
        <v>2638.421049753983</v>
      </c>
      <c r="T9" t="b">
        <f>IF(O9&gt;0,(I9/P$4)+(O9/Q$4))</f>
        <v>0</v>
      </c>
      <c r="U9" s="176">
        <f>IF(T9=FALSE,S9,T9)</f>
        <v>2638.421049753983</v>
      </c>
      <c r="V9" s="165">
        <f>IF(U9&lt;V$5,V$5-U9,IF(U9&gt;=V$5,0))*('Electrical System Specification'!D$16*'Electrical System Specification'!Q$16)</f>
        <v>5260.7376886868369</v>
      </c>
      <c r="W9" s="28">
        <f>V9*C9</f>
        <v>822.83716901670402</v>
      </c>
      <c r="X9" s="165">
        <f>IF(U9&gt;V$5,U9-V$5,0)*'Electrical System Specification'!D$17</f>
        <v>0</v>
      </c>
      <c r="Y9">
        <f>(X9*C9)</f>
        <v>0</v>
      </c>
      <c r="Z9" s="165">
        <f>(W9-Y9)</f>
        <v>822.83716901670402</v>
      </c>
      <c r="AA9" s="165">
        <f>Z9+AA8</f>
        <v>822.83716901670402</v>
      </c>
      <c r="AB9" s="165"/>
    </row>
    <row r="10" spans="3:34" x14ac:dyDescent="0.2">
      <c r="C10" s="148">
        <v>0.15641098600795228</v>
      </c>
      <c r="D10">
        <f t="shared" ref="D10:D73" si="1">C10+D9</f>
        <v>0.31282197201590456</v>
      </c>
      <c r="E10" s="164">
        <v>1938.2015147243258</v>
      </c>
      <c r="F10" s="165">
        <f>E10/'Electrical System Specification'!AC$4</f>
        <v>1977.7566476778834</v>
      </c>
      <c r="G10" s="146">
        <f>F10/('Electrical System Specification'!X$16*'Electrical System Specification'!J$16*'Electrical System Specification'!D$17)</f>
        <v>2462.4690568229039</v>
      </c>
      <c r="H10" s="165"/>
      <c r="I10" s="173">
        <f t="shared" ref="I10:I73" si="2">J$5</f>
        <v>6871.6622130335309</v>
      </c>
      <c r="J10" s="173">
        <f t="shared" ref="J10:J73" si="3">J$7</f>
        <v>7621.6306710664712</v>
      </c>
      <c r="K10" s="174" t="b">
        <f>IF(E10&gt;I10,'Electrical System Specification'!AC$4*'Electrical System Specification'!J$16*'Electrical System Specification'!D$16*'Electrical System Specification'!D$17*'Electrical System Specification'!X$16)</f>
        <v>0</v>
      </c>
      <c r="L10" s="174">
        <f>IF(E10&lt;I10,'Electrical System Specification'!X$16*'Electrical System Specification'!Q$16*'Electrical System Specification'!AC$4*'Electrical System Specification'!J$16)</f>
        <v>0.83082440000000002</v>
      </c>
      <c r="M10" s="174">
        <f t="shared" si="0"/>
        <v>0.83082440000000002</v>
      </c>
      <c r="N10" s="174">
        <f t="shared" ref="N10:N73" si="4">M10*E10</f>
        <v>1610.3051105499292</v>
      </c>
      <c r="O10" s="173">
        <f t="shared" ref="O10:O73" si="5">E10-I10</f>
        <v>-4933.4606983092053</v>
      </c>
      <c r="P10" s="174" t="b">
        <f t="shared" ref="P10:P73" si="6">IF(O10&gt;0,O10/K10)</f>
        <v>0</v>
      </c>
      <c r="Q10" s="174">
        <f t="shared" ref="Q10:Q73" si="7">IF(O10&lt;0,I10-(O10*-1),IF(O10&gt;0,I10/L10))</f>
        <v>1938.2015147243255</v>
      </c>
      <c r="R10" s="174">
        <f t="shared" ref="R10:R73" si="8">Q10/L10</f>
        <v>2332.8654222532768</v>
      </c>
      <c r="S10" s="165">
        <f t="shared" ref="S10:S73" si="9">IF(P10=FALSE,R10,IF(R10=FALSE,P10))</f>
        <v>2332.8654222532768</v>
      </c>
      <c r="T10" t="b">
        <f t="shared" ref="T10:T73" si="10">IF(O10&gt;0,(I10/P$4)+(O10/Q$4))</f>
        <v>0</v>
      </c>
      <c r="U10" s="176">
        <f t="shared" ref="U10:U73" si="11">IF(T10=FALSE,S10,T10)</f>
        <v>2332.8654222532768</v>
      </c>
      <c r="V10" s="165">
        <f>IF(U10&lt;V$5,V$5-U10,IF(U10&gt;=V$5,0))*('Electrical System Specification'!D$16*'Electrical System Specification'!Q$16)</f>
        <v>5521.9877501999399</v>
      </c>
      <c r="W10" s="28">
        <f t="shared" ref="W10:W73" si="12">V10*C10</f>
        <v>863.69954873260667</v>
      </c>
      <c r="X10" s="165">
        <f>IF(U10&gt;V$5,U10-V$5,0)*'Electrical System Specification'!D$17</f>
        <v>0</v>
      </c>
      <c r="Y10">
        <f>(X10*C10)*'Electrical System Specification'!D$17</f>
        <v>0</v>
      </c>
      <c r="Z10" s="165">
        <f t="shared" ref="Z10:Z73" si="13">(W10-Y10)</f>
        <v>863.69954873260667</v>
      </c>
      <c r="AA10" s="165">
        <f t="shared" ref="AA10:AA73" si="14">Z10+AA9</f>
        <v>1686.5367177493108</v>
      </c>
      <c r="AB10" s="165"/>
    </row>
    <row r="11" spans="3:34" x14ac:dyDescent="0.2">
      <c r="C11" s="148">
        <v>0.1537062252816897</v>
      </c>
      <c r="D11">
        <f t="shared" si="1"/>
        <v>0.46652819729759426</v>
      </c>
      <c r="E11" s="164">
        <v>1975.0784358419901</v>
      </c>
      <c r="F11" s="165">
        <f>E11/'Electrical System Specification'!AC$4</f>
        <v>2015.386159022439</v>
      </c>
      <c r="G11" s="146">
        <f>F11/('Electrical System Specification'!X$16*'Electrical System Specification'!J$16*'Electrical System Specification'!D$17)</f>
        <v>2509.320881296926</v>
      </c>
      <c r="H11" s="165"/>
      <c r="I11" s="173">
        <f t="shared" si="2"/>
        <v>6871.6622130335309</v>
      </c>
      <c r="J11" s="173">
        <f t="shared" si="3"/>
        <v>7621.6306710664712</v>
      </c>
      <c r="K11" s="174" t="b">
        <f>IF(E11&gt;I11,'Electrical System Specification'!AC$4*'Electrical System Specification'!J$16*'Electrical System Specification'!D$16*'Electrical System Specification'!D$17*'Electrical System Specification'!X$16)</f>
        <v>0</v>
      </c>
      <c r="L11" s="174">
        <f>IF(E11&lt;I11,'Electrical System Specification'!X$16*'Electrical System Specification'!Q$16*'Electrical System Specification'!AC$4*'Electrical System Specification'!J$16)</f>
        <v>0.83082440000000002</v>
      </c>
      <c r="M11" s="174">
        <f t="shared" si="0"/>
        <v>0.83082440000000002</v>
      </c>
      <c r="N11" s="174">
        <f t="shared" si="4"/>
        <v>1640.9433564113599</v>
      </c>
      <c r="O11" s="173">
        <f t="shared" si="5"/>
        <v>-4896.5837771915412</v>
      </c>
      <c r="P11" s="174" t="b">
        <f t="shared" si="6"/>
        <v>0</v>
      </c>
      <c r="Q11" s="174">
        <f t="shared" si="7"/>
        <v>1975.0784358419896</v>
      </c>
      <c r="R11" s="174">
        <f t="shared" si="8"/>
        <v>2377.2513612286657</v>
      </c>
      <c r="S11" s="165">
        <f t="shared" si="9"/>
        <v>2377.2513612286657</v>
      </c>
      <c r="T11" t="b">
        <f t="shared" si="10"/>
        <v>0</v>
      </c>
      <c r="U11" s="176">
        <f t="shared" si="11"/>
        <v>2377.2513612286657</v>
      </c>
      <c r="V11" s="165">
        <f>IF(U11&lt;V$5,V$5-U11,IF(U11&gt;=V$5,0))*('Electrical System Specification'!D$16*'Electrical System Specification'!Q$16)</f>
        <v>5484.0377723759821</v>
      </c>
      <c r="W11" s="28">
        <f t="shared" si="12"/>
        <v>842.93074529411842</v>
      </c>
      <c r="X11" s="165">
        <f>IF(U11&gt;V$5,U11-V$5,0)*'Electrical System Specification'!D$17</f>
        <v>0</v>
      </c>
      <c r="Y11">
        <f>(X11*C11)*'Electrical System Specification'!D$17</f>
        <v>0</v>
      </c>
      <c r="Z11" s="165">
        <f t="shared" si="13"/>
        <v>842.93074529411842</v>
      </c>
      <c r="AA11" s="165">
        <f t="shared" si="14"/>
        <v>2529.4674630434292</v>
      </c>
      <c r="AB11" s="165"/>
    </row>
    <row r="12" spans="3:34" x14ac:dyDescent="0.2">
      <c r="C12" s="148">
        <v>0.15168839835575454</v>
      </c>
      <c r="D12">
        <f t="shared" si="1"/>
        <v>0.61821659565334874</v>
      </c>
      <c r="E12" s="164">
        <v>2011.4183567426471</v>
      </c>
      <c r="F12" s="165">
        <f>E12/'Electrical System Specification'!AC$4</f>
        <v>2052.4677109618847</v>
      </c>
      <c r="G12" s="146">
        <f>F12/('Electrical System Specification'!X$16*'Electrical System Specification'!J$16*'Electrical System Specification'!D$17)</f>
        <v>2555.4904514192499</v>
      </c>
      <c r="H12" s="165"/>
      <c r="I12" s="173">
        <f t="shared" si="2"/>
        <v>6871.6622130335309</v>
      </c>
      <c r="J12" s="173">
        <f t="shared" si="3"/>
        <v>7621.6306710664712</v>
      </c>
      <c r="K12" s="174" t="b">
        <f>IF(E12&gt;I12,'Electrical System Specification'!AC$4*'Electrical System Specification'!J$16*'Electrical System Specification'!D$16*'Electrical System Specification'!D$17*'Electrical System Specification'!X$16)</f>
        <v>0</v>
      </c>
      <c r="L12" s="174">
        <f>IF(E12&lt;I12,'Electrical System Specification'!X$16*'Electrical System Specification'!Q$16*'Electrical System Specification'!AC$4*'Electrical System Specification'!J$16)</f>
        <v>0.83082440000000002</v>
      </c>
      <c r="M12" s="174">
        <f t="shared" si="0"/>
        <v>0.83082440000000002</v>
      </c>
      <c r="N12" s="174">
        <f t="shared" si="4"/>
        <v>1671.1354493896959</v>
      </c>
      <c r="O12" s="173">
        <f t="shared" si="5"/>
        <v>-4860.2438562908837</v>
      </c>
      <c r="P12" s="174" t="b">
        <f t="shared" si="6"/>
        <v>0</v>
      </c>
      <c r="Q12" s="174">
        <f t="shared" si="7"/>
        <v>2011.4183567426471</v>
      </c>
      <c r="R12" s="174">
        <f t="shared" si="8"/>
        <v>2420.9909539761316</v>
      </c>
      <c r="S12" s="165">
        <f t="shared" si="9"/>
        <v>2420.9909539761316</v>
      </c>
      <c r="T12" t="b">
        <f t="shared" si="10"/>
        <v>0</v>
      </c>
      <c r="U12" s="176">
        <f t="shared" si="11"/>
        <v>2420.9909539761316</v>
      </c>
      <c r="V12" s="165">
        <f>IF(U12&lt;V$5,V$5-U12,IF(U12&gt;=V$5,0))*('Electrical System Specification'!D$16*'Electrical System Specification'!Q$16)</f>
        <v>5446.6404205768986</v>
      </c>
      <c r="W12" s="28">
        <f t="shared" si="12"/>
        <v>826.19216181702302</v>
      </c>
      <c r="X12" s="165">
        <f>IF(U12&gt;V$5,U12-V$5,0)*'Electrical System Specification'!D$17</f>
        <v>0</v>
      </c>
      <c r="Y12">
        <f>(X12*C12)*'Electrical System Specification'!D$17</f>
        <v>0</v>
      </c>
      <c r="Z12" s="165">
        <f t="shared" si="13"/>
        <v>826.19216181702302</v>
      </c>
      <c r="AA12" s="165">
        <f t="shared" si="14"/>
        <v>3355.6596248604524</v>
      </c>
      <c r="AB12" s="165"/>
    </row>
    <row r="13" spans="3:34" x14ac:dyDescent="0.2">
      <c r="C13" s="148">
        <v>0.14904780574497406</v>
      </c>
      <c r="D13">
        <f t="shared" si="1"/>
        <v>0.76726440139832275</v>
      </c>
      <c r="E13" s="164">
        <v>1371.958407246243</v>
      </c>
      <c r="F13" s="165">
        <f>E13/'Electrical System Specification'!AC$4</f>
        <v>1399.9575584145337</v>
      </c>
      <c r="G13" s="146">
        <f>F13/('Electrical System Specification'!X$16*'Electrical System Specification'!J$16*'Electrical System Specification'!D$17)</f>
        <v>1743.0618536960676</v>
      </c>
      <c r="H13" s="165"/>
      <c r="I13" s="173">
        <f t="shared" si="2"/>
        <v>6871.6622130335309</v>
      </c>
      <c r="J13" s="173">
        <f t="shared" si="3"/>
        <v>7621.6306710664712</v>
      </c>
      <c r="K13" s="174" t="b">
        <f>IF(E13&gt;I13,'Electrical System Specification'!AC$4*'Electrical System Specification'!J$16*'Electrical System Specification'!D$16*'Electrical System Specification'!D$17*'Electrical System Specification'!X$16)</f>
        <v>0</v>
      </c>
      <c r="L13" s="174">
        <f>IF(E13&lt;I13,'Electrical System Specification'!X$16*'Electrical System Specification'!Q$16*'Electrical System Specification'!AC$4*'Electrical System Specification'!J$16)</f>
        <v>0.83082440000000002</v>
      </c>
      <c r="M13" s="174">
        <f t="shared" si="0"/>
        <v>0.83082440000000002</v>
      </c>
      <c r="N13" s="174">
        <f t="shared" si="4"/>
        <v>1139.8565205253155</v>
      </c>
      <c r="O13" s="173">
        <f t="shared" si="5"/>
        <v>-5499.7038057872878</v>
      </c>
      <c r="P13" s="174" t="b">
        <f t="shared" si="6"/>
        <v>0</v>
      </c>
      <c r="Q13" s="174">
        <f t="shared" si="7"/>
        <v>1371.958407246243</v>
      </c>
      <c r="R13" s="174">
        <f t="shared" si="8"/>
        <v>1651.3217561331167</v>
      </c>
      <c r="S13" s="165">
        <f t="shared" si="9"/>
        <v>1651.3217561331167</v>
      </c>
      <c r="T13" t="b">
        <f t="shared" si="10"/>
        <v>0</v>
      </c>
      <c r="U13" s="176">
        <f t="shared" si="11"/>
        <v>1651.3217561331167</v>
      </c>
      <c r="V13" s="165">
        <f>IF(U13&lt;V$5,V$5-U13,IF(U13&gt;=V$5,0))*('Electrical System Specification'!D$16*'Electrical System Specification'!Q$16)</f>
        <v>6104.7075847326769</v>
      </c>
      <c r="W13" s="28">
        <f t="shared" si="12"/>
        <v>909.89327021910583</v>
      </c>
      <c r="X13" s="165">
        <f>IF(U13&gt;V$5,U13-V$5,0)*'Electrical System Specification'!D$17</f>
        <v>0</v>
      </c>
      <c r="Y13">
        <f>(X13*C13)*'Electrical System Specification'!D$17</f>
        <v>0</v>
      </c>
      <c r="Z13" s="165">
        <f t="shared" si="13"/>
        <v>909.89327021910583</v>
      </c>
      <c r="AA13" s="165">
        <f t="shared" si="14"/>
        <v>4265.5528950795579</v>
      </c>
      <c r="AB13" s="165"/>
    </row>
    <row r="14" spans="3:34" x14ac:dyDescent="0.2">
      <c r="C14" s="148">
        <v>0.14726671528497001</v>
      </c>
      <c r="D14">
        <f t="shared" si="1"/>
        <v>0.91453111668329279</v>
      </c>
      <c r="E14" s="164">
        <v>1198.9043631115458</v>
      </c>
      <c r="F14" s="165">
        <f>E14/'Electrical System Specification'!AC$4</f>
        <v>1223.371799093414</v>
      </c>
      <c r="G14" s="146">
        <f>F14/('Electrical System Specification'!X$16*'Electrical System Specification'!J$16*'Electrical System Specification'!D$17)</f>
        <v>1523.1981163073535</v>
      </c>
      <c r="H14" s="165"/>
      <c r="I14" s="173">
        <f t="shared" si="2"/>
        <v>6871.6622130335309</v>
      </c>
      <c r="J14" s="173">
        <f t="shared" si="3"/>
        <v>7621.6306710664712</v>
      </c>
      <c r="K14" s="174" t="b">
        <f>IF(E14&gt;I14,'Electrical System Specification'!AC$4*'Electrical System Specification'!J$16*'Electrical System Specification'!D$16*'Electrical System Specification'!D$17*'Electrical System Specification'!X$16)</f>
        <v>0</v>
      </c>
      <c r="L14" s="174">
        <f>IF(E14&lt;I14,'Electrical System Specification'!X$16*'Electrical System Specification'!Q$16*'Electrical System Specification'!AC$4*'Electrical System Specification'!J$16)</f>
        <v>0.83082440000000002</v>
      </c>
      <c r="M14" s="174">
        <f t="shared" si="0"/>
        <v>0.83082440000000002</v>
      </c>
      <c r="N14" s="174">
        <f t="shared" si="4"/>
        <v>996.07899813953213</v>
      </c>
      <c r="O14" s="173">
        <f t="shared" si="5"/>
        <v>-5672.7578499219853</v>
      </c>
      <c r="P14" s="174" t="b">
        <f t="shared" si="6"/>
        <v>0</v>
      </c>
      <c r="Q14" s="174">
        <f t="shared" si="7"/>
        <v>1198.9043631115455</v>
      </c>
      <c r="R14" s="174">
        <f t="shared" si="8"/>
        <v>1443.0297943964399</v>
      </c>
      <c r="S14" s="165">
        <f t="shared" si="9"/>
        <v>1443.0297943964399</v>
      </c>
      <c r="T14" t="b">
        <f t="shared" si="10"/>
        <v>0</v>
      </c>
      <c r="U14" s="176">
        <f t="shared" si="11"/>
        <v>1443.0297943964399</v>
      </c>
      <c r="V14" s="165">
        <f>IF(U14&lt;V$5,V$5-U14,IF(U14&gt;=V$5,0))*('Electrical System Specification'!D$16*'Electrical System Specification'!Q$16)</f>
        <v>6282.7972120175355</v>
      </c>
      <c r="W14" s="28">
        <f t="shared" si="12"/>
        <v>925.24690821538979</v>
      </c>
      <c r="X14" s="165">
        <f>IF(U14&gt;V$5,U14-V$5,0)*'Electrical System Specification'!D$17</f>
        <v>0</v>
      </c>
      <c r="Y14">
        <f>(X14*C14)*'Electrical System Specification'!D$17</f>
        <v>0</v>
      </c>
      <c r="Z14" s="165">
        <f t="shared" si="13"/>
        <v>925.24690821538979</v>
      </c>
      <c r="AA14" s="165">
        <f t="shared" si="14"/>
        <v>5190.7998032949472</v>
      </c>
      <c r="AB14" s="165"/>
    </row>
    <row r="15" spans="3:34" x14ac:dyDescent="0.2">
      <c r="C15" s="148">
        <v>0.14616832893730861</v>
      </c>
      <c r="D15">
        <f t="shared" si="1"/>
        <v>1.0606994456206014</v>
      </c>
      <c r="E15" s="164">
        <v>1209.4596211661421</v>
      </c>
      <c r="F15" s="165">
        <f>E15/'Electrical System Specification'!AC$4</f>
        <v>1234.142470577696</v>
      </c>
      <c r="G15" s="146">
        <f>F15/('Electrical System Specification'!X$16*'Electrical System Specification'!J$16*'Electrical System Specification'!D$17)</f>
        <v>1536.6084847075253</v>
      </c>
      <c r="H15" s="165"/>
      <c r="I15" s="173">
        <f t="shared" si="2"/>
        <v>6871.6622130335309</v>
      </c>
      <c r="J15" s="173">
        <f t="shared" si="3"/>
        <v>7621.6306710664712</v>
      </c>
      <c r="K15" s="174" t="b">
        <f>IF(E15&gt;I15,'Electrical System Specification'!AC$4*'Electrical System Specification'!J$16*'Electrical System Specification'!D$16*'Electrical System Specification'!D$17*'Electrical System Specification'!X$16)</f>
        <v>0</v>
      </c>
      <c r="L15" s="174">
        <f>IF(E15&lt;I15,'Electrical System Specification'!X$16*'Electrical System Specification'!Q$16*'Electrical System Specification'!AC$4*'Electrical System Specification'!J$16)</f>
        <v>0.83082440000000002</v>
      </c>
      <c r="M15" s="174">
        <f t="shared" si="0"/>
        <v>0.83082440000000002</v>
      </c>
      <c r="N15" s="174">
        <f t="shared" si="4"/>
        <v>1004.8485640795874</v>
      </c>
      <c r="O15" s="173">
        <f t="shared" si="5"/>
        <v>-5662.2025918673889</v>
      </c>
      <c r="P15" s="174" t="b">
        <f t="shared" si="6"/>
        <v>0</v>
      </c>
      <c r="Q15" s="174">
        <f t="shared" si="7"/>
        <v>1209.4596211661419</v>
      </c>
      <c r="R15" s="174">
        <f t="shared" si="8"/>
        <v>1455.7343539334447</v>
      </c>
      <c r="S15" s="165">
        <f t="shared" si="9"/>
        <v>1455.7343539334447</v>
      </c>
      <c r="T15" t="b">
        <f t="shared" si="10"/>
        <v>0</v>
      </c>
      <c r="U15" s="176">
        <f t="shared" si="11"/>
        <v>1455.7343539334447</v>
      </c>
      <c r="V15" s="165">
        <f>IF(U15&lt;V$5,V$5-U15,IF(U15&gt;=V$5,0))*('Electrical System Specification'!D$16*'Electrical System Specification'!Q$16)</f>
        <v>6271.9348136133958</v>
      </c>
      <c r="W15" s="28">
        <f t="shared" si="12"/>
        <v>916.75823090960023</v>
      </c>
      <c r="X15" s="165">
        <f>IF(U15&gt;V$5,U15-V$5,0)*'Electrical System Specification'!D$17</f>
        <v>0</v>
      </c>
      <c r="Y15">
        <f>(X15*C15)*'Electrical System Specification'!D$17</f>
        <v>0</v>
      </c>
      <c r="Z15" s="165">
        <f t="shared" si="13"/>
        <v>916.75823090960023</v>
      </c>
      <c r="AA15" s="165">
        <f t="shared" si="14"/>
        <v>6107.5580342045478</v>
      </c>
      <c r="AB15" s="165"/>
    </row>
    <row r="16" spans="3:34" x14ac:dyDescent="0.2">
      <c r="C16" s="148">
        <v>0.14556729585358846</v>
      </c>
      <c r="D16">
        <f t="shared" si="1"/>
        <v>1.2062667414741899</v>
      </c>
      <c r="E16" s="164">
        <v>1219.9860485535228</v>
      </c>
      <c r="F16" s="165">
        <f>E16/'Electrical System Specification'!AC$4</f>
        <v>1244.8837230137988</v>
      </c>
      <c r="G16" s="146">
        <f>F16/('Electrical System Specification'!X$16*'Electrical System Specification'!J$16*'Electrical System Specification'!D$17)</f>
        <v>1549.9822239825176</v>
      </c>
      <c r="H16" s="165"/>
      <c r="I16" s="173">
        <f t="shared" si="2"/>
        <v>6871.6622130335309</v>
      </c>
      <c r="J16" s="173">
        <f t="shared" si="3"/>
        <v>7621.6306710664712</v>
      </c>
      <c r="K16" s="174" t="b">
        <f>IF(E16&gt;I16,'Electrical System Specification'!AC$4*'Electrical System Specification'!J$16*'Electrical System Specification'!D$16*'Electrical System Specification'!D$17*'Electrical System Specification'!X$16)</f>
        <v>0</v>
      </c>
      <c r="L16" s="174">
        <f>IF(E16&lt;I16,'Electrical System Specification'!X$16*'Electrical System Specification'!Q$16*'Electrical System Specification'!AC$4*'Electrical System Specification'!J$16)</f>
        <v>0.83082440000000002</v>
      </c>
      <c r="M16" s="174">
        <f t="shared" si="0"/>
        <v>0.83082440000000002</v>
      </c>
      <c r="N16" s="174">
        <f t="shared" si="4"/>
        <v>1013.5941767978514</v>
      </c>
      <c r="O16" s="173">
        <f t="shared" si="5"/>
        <v>-5651.6761644800081</v>
      </c>
      <c r="P16" s="174" t="b">
        <f t="shared" si="6"/>
        <v>0</v>
      </c>
      <c r="Q16" s="174">
        <f t="shared" si="7"/>
        <v>1219.9860485535228</v>
      </c>
      <c r="R16" s="174">
        <f t="shared" si="8"/>
        <v>1468.404212193964</v>
      </c>
      <c r="S16" s="165">
        <f t="shared" si="9"/>
        <v>1468.404212193964</v>
      </c>
      <c r="T16" t="b">
        <f t="shared" si="10"/>
        <v>0</v>
      </c>
      <c r="U16" s="176">
        <f t="shared" si="11"/>
        <v>1468.404212193964</v>
      </c>
      <c r="V16" s="165">
        <f>IF(U16&lt;V$5,V$5-U16,IF(U16&gt;=V$5,0))*('Electrical System Specification'!D$16*'Electrical System Specification'!Q$16)</f>
        <v>6261.1020848006528</v>
      </c>
      <c r="W16" s="28">
        <f t="shared" si="12"/>
        <v>911.41169954769612</v>
      </c>
      <c r="X16" s="165">
        <f>IF(U16&gt;V$5,U16-V$5,0)*'Electrical System Specification'!D$17</f>
        <v>0</v>
      </c>
      <c r="Y16">
        <f>(X16*C16)*'Electrical System Specification'!D$17</f>
        <v>0</v>
      </c>
      <c r="Z16" s="165">
        <f t="shared" si="13"/>
        <v>911.41169954769612</v>
      </c>
      <c r="AA16" s="165">
        <f t="shared" si="14"/>
        <v>7018.9697337522439</v>
      </c>
      <c r="AB16" s="165"/>
    </row>
    <row r="17" spans="3:28" x14ac:dyDescent="0.2">
      <c r="C17" s="148">
        <v>0.14473265695865545</v>
      </c>
      <c r="D17">
        <f t="shared" si="1"/>
        <v>1.3509993984328452</v>
      </c>
      <c r="E17" s="164">
        <v>1230.5019006194364</v>
      </c>
      <c r="F17" s="165">
        <f>E17/'Electrical System Specification'!AC$4</f>
        <v>1255.6141843055473</v>
      </c>
      <c r="G17" s="146">
        <f>F17/('Electrical System Specification'!X$16*'Electrical System Specification'!J$16*'Electrical System Specification'!D$17)</f>
        <v>1563.3425273987093</v>
      </c>
      <c r="H17" s="165"/>
      <c r="I17" s="173">
        <f t="shared" si="2"/>
        <v>6871.6622130335309</v>
      </c>
      <c r="J17" s="173">
        <f t="shared" si="3"/>
        <v>7621.6306710664712</v>
      </c>
      <c r="K17" s="174" t="b">
        <f>IF(E17&gt;I17,'Electrical System Specification'!AC$4*'Electrical System Specification'!J$16*'Electrical System Specification'!D$16*'Electrical System Specification'!D$17*'Electrical System Specification'!X$16)</f>
        <v>0</v>
      </c>
      <c r="L17" s="174">
        <f>IF(E17&lt;I17,'Electrical System Specification'!X$16*'Electrical System Specification'!Q$16*'Electrical System Specification'!AC$4*'Electrical System Specification'!J$16)</f>
        <v>0.83082440000000002</v>
      </c>
      <c r="M17" s="174">
        <f t="shared" si="0"/>
        <v>0.83082440000000002</v>
      </c>
      <c r="N17" s="174">
        <f t="shared" si="4"/>
        <v>1022.3310032810028</v>
      </c>
      <c r="O17" s="173">
        <f t="shared" si="5"/>
        <v>-5641.1603124140947</v>
      </c>
      <c r="P17" s="174" t="b">
        <f t="shared" si="6"/>
        <v>0</v>
      </c>
      <c r="Q17" s="174">
        <f t="shared" si="7"/>
        <v>1230.5019006194361</v>
      </c>
      <c r="R17" s="174">
        <f t="shared" si="8"/>
        <v>1481.0613417461452</v>
      </c>
      <c r="S17" s="165">
        <f t="shared" si="9"/>
        <v>1481.0613417461452</v>
      </c>
      <c r="T17" t="b">
        <f t="shared" si="10"/>
        <v>0</v>
      </c>
      <c r="U17" s="176">
        <f t="shared" si="11"/>
        <v>1481.0613417461452</v>
      </c>
      <c r="V17" s="165">
        <f>IF(U17&lt;V$5,V$5-U17,IF(U17&gt;=V$5,0))*('Electrical System Specification'!D$16*'Electrical System Specification'!Q$16)</f>
        <v>6250.2802390335373</v>
      </c>
      <c r="W17" s="28">
        <f t="shared" si="12"/>
        <v>904.61966573150391</v>
      </c>
      <c r="X17" s="165">
        <f>IF(U17&gt;V$5,U17-V$5,0)*'Electrical System Specification'!D$17</f>
        <v>0</v>
      </c>
      <c r="Y17">
        <f>(X17*C17)*'Electrical System Specification'!D$17</f>
        <v>0</v>
      </c>
      <c r="Z17" s="165">
        <f t="shared" si="13"/>
        <v>904.61966573150391</v>
      </c>
      <c r="AA17" s="165">
        <f t="shared" si="14"/>
        <v>7923.5893994837479</v>
      </c>
      <c r="AB17" s="165"/>
    </row>
    <row r="18" spans="3:28" x14ac:dyDescent="0.2">
      <c r="C18" s="148">
        <v>0.14404113154782752</v>
      </c>
      <c r="D18">
        <f t="shared" si="1"/>
        <v>1.4950405299806728</v>
      </c>
      <c r="E18" s="164">
        <v>1241.0073113116575</v>
      </c>
      <c r="F18" s="165">
        <f>E18/'Electrical System Specification'!AC$4</f>
        <v>1266.3339911343444</v>
      </c>
      <c r="G18" s="146">
        <f>F18/('Electrical System Specification'!X$16*'Electrical System Specification'!J$16*'Electrical System Specification'!D$17)</f>
        <v>1576.6895651356447</v>
      </c>
      <c r="H18" s="165"/>
      <c r="I18" s="173">
        <f t="shared" si="2"/>
        <v>6871.6622130335309</v>
      </c>
      <c r="J18" s="173">
        <f t="shared" si="3"/>
        <v>7621.6306710664712</v>
      </c>
      <c r="K18" s="174" t="b">
        <f>IF(E18&gt;I18,'Electrical System Specification'!AC$4*'Electrical System Specification'!J$16*'Electrical System Specification'!D$16*'Electrical System Specification'!D$17*'Electrical System Specification'!X$16)</f>
        <v>0</v>
      </c>
      <c r="L18" s="174">
        <f>IF(E18&lt;I18,'Electrical System Specification'!X$16*'Electrical System Specification'!Q$16*'Electrical System Specification'!AC$4*'Electrical System Specification'!J$16)</f>
        <v>0.83082440000000002</v>
      </c>
      <c r="M18" s="174">
        <f t="shared" si="0"/>
        <v>0.83082440000000002</v>
      </c>
      <c r="N18" s="174">
        <f t="shared" si="4"/>
        <v>1031.059154816121</v>
      </c>
      <c r="O18" s="173">
        <f t="shared" si="5"/>
        <v>-5630.6549017218731</v>
      </c>
      <c r="P18" s="174" t="b">
        <f t="shared" si="6"/>
        <v>0</v>
      </c>
      <c r="Q18" s="174">
        <f t="shared" si="7"/>
        <v>1241.0073113116578</v>
      </c>
      <c r="R18" s="174">
        <f t="shared" si="8"/>
        <v>1493.7059038127163</v>
      </c>
      <c r="S18" s="165">
        <f t="shared" si="9"/>
        <v>1493.7059038127163</v>
      </c>
      <c r="T18" t="b">
        <f t="shared" si="10"/>
        <v>0</v>
      </c>
      <c r="U18" s="176">
        <f t="shared" si="11"/>
        <v>1493.7059038127163</v>
      </c>
      <c r="V18" s="165">
        <f>IF(U18&lt;V$5,V$5-U18,IF(U18&gt;=V$5,0))*('Electrical System Specification'!D$16*'Electrical System Specification'!Q$16)</f>
        <v>6239.4691384666194</v>
      </c>
      <c r="W18" s="28">
        <f t="shared" si="12"/>
        <v>898.74019496248036</v>
      </c>
      <c r="X18" s="165">
        <f>IF(U18&gt;V$5,U18-V$5,0)*'Electrical System Specification'!D$17</f>
        <v>0</v>
      </c>
      <c r="Y18">
        <f>(X18*C18)*'Electrical System Specification'!D$17</f>
        <v>0</v>
      </c>
      <c r="Z18" s="165">
        <f t="shared" si="13"/>
        <v>898.74019496248036</v>
      </c>
      <c r="AA18" s="165">
        <f t="shared" si="14"/>
        <v>8822.3295944462279</v>
      </c>
      <c r="AB18" s="165"/>
    </row>
    <row r="19" spans="3:28" x14ac:dyDescent="0.2">
      <c r="C19" s="148">
        <v>0.14338381935684866</v>
      </c>
      <c r="D19">
        <f t="shared" si="1"/>
        <v>1.6384243493375215</v>
      </c>
      <c r="E19" s="164">
        <v>1251.4838062749754</v>
      </c>
      <c r="F19" s="165">
        <f>E19/'Electrical System Specification'!AC$4</f>
        <v>1277.0242921173219</v>
      </c>
      <c r="G19" s="146">
        <f>F19/('Electrical System Specification'!X$16*'Electrical System Specification'!J$16*'Electrical System Specification'!D$17)</f>
        <v>1589.9998656772275</v>
      </c>
      <c r="H19" s="165"/>
      <c r="I19" s="173">
        <f t="shared" si="2"/>
        <v>6871.6622130335309</v>
      </c>
      <c r="J19" s="173">
        <f t="shared" si="3"/>
        <v>7621.6306710664712</v>
      </c>
      <c r="K19" s="174" t="b">
        <f>IF(E19&gt;I19,'Electrical System Specification'!AC$4*'Electrical System Specification'!J$16*'Electrical System Specification'!D$16*'Electrical System Specification'!D$17*'Electrical System Specification'!X$16)</f>
        <v>0</v>
      </c>
      <c r="L19" s="174">
        <f>IF(E19&lt;I19,'Electrical System Specification'!X$16*'Electrical System Specification'!Q$16*'Electrical System Specification'!AC$4*'Electrical System Specification'!J$16)</f>
        <v>0.83082440000000002</v>
      </c>
      <c r="M19" s="174">
        <f t="shared" si="0"/>
        <v>0.83082440000000002</v>
      </c>
      <c r="N19" s="174">
        <f t="shared" si="4"/>
        <v>1039.7632824581228</v>
      </c>
      <c r="O19" s="173">
        <f t="shared" si="5"/>
        <v>-5620.1784067585559</v>
      </c>
      <c r="P19" s="174" t="b">
        <f t="shared" si="6"/>
        <v>0</v>
      </c>
      <c r="Q19" s="174">
        <f t="shared" si="7"/>
        <v>1251.483806274975</v>
      </c>
      <c r="R19" s="174">
        <f t="shared" si="8"/>
        <v>1506.3156622205306</v>
      </c>
      <c r="S19" s="165">
        <f t="shared" si="9"/>
        <v>1506.3156622205306</v>
      </c>
      <c r="T19" t="b">
        <f t="shared" si="10"/>
        <v>0</v>
      </c>
      <c r="U19" s="176">
        <f t="shared" si="11"/>
        <v>1506.3156622205306</v>
      </c>
      <c r="V19" s="165">
        <f>IF(U19&lt;V$5,V$5-U19,IF(U19&gt;=V$5,0))*('Electrical System Specification'!D$16*'Electrical System Specification'!Q$16)</f>
        <v>6228.6877950279377</v>
      </c>
      <c r="W19" s="28">
        <f t="shared" si="12"/>
        <v>893.09304563249384</v>
      </c>
      <c r="X19" s="165">
        <f>IF(U19&gt;V$5,U19-V$5,0)*'Electrical System Specification'!D$17</f>
        <v>0</v>
      </c>
      <c r="Y19">
        <f>(X19*C19)*'Electrical System Specification'!D$17</f>
        <v>0</v>
      </c>
      <c r="Z19" s="165">
        <f t="shared" si="13"/>
        <v>893.09304563249384</v>
      </c>
      <c r="AA19" s="165">
        <f t="shared" si="14"/>
        <v>9715.4226400787211</v>
      </c>
      <c r="AB19" s="165"/>
    </row>
    <row r="20" spans="3:28" x14ac:dyDescent="0.2">
      <c r="C20" s="148">
        <v>0.14253866984232622</v>
      </c>
      <c r="D20">
        <f t="shared" si="1"/>
        <v>1.7809630191798478</v>
      </c>
      <c r="E20" s="164">
        <v>1261.9760401295209</v>
      </c>
      <c r="F20" s="165">
        <f>E20/'Electrical System Specification'!AC$4</f>
        <v>1287.7306531933887</v>
      </c>
      <c r="G20" s="146">
        <f>F20/('Electrical System Specification'!X$16*'Electrical System Specification'!J$16*'Electrical System Specification'!D$17)</f>
        <v>1603.3301623504515</v>
      </c>
      <c r="H20" s="165"/>
      <c r="I20" s="173">
        <f t="shared" si="2"/>
        <v>6871.6622130335309</v>
      </c>
      <c r="J20" s="173">
        <f t="shared" si="3"/>
        <v>7621.6306710664712</v>
      </c>
      <c r="K20" s="174" t="b">
        <f>IF(E20&gt;I20,'Electrical System Specification'!AC$4*'Electrical System Specification'!J$16*'Electrical System Specification'!D$16*'Electrical System Specification'!D$17*'Electrical System Specification'!X$16)</f>
        <v>0</v>
      </c>
      <c r="L20" s="174">
        <f>IF(E20&lt;I20,'Electrical System Specification'!X$16*'Electrical System Specification'!Q$16*'Electrical System Specification'!AC$4*'Electrical System Specification'!J$16)</f>
        <v>0.83082440000000002</v>
      </c>
      <c r="M20" s="174">
        <f t="shared" si="0"/>
        <v>0.83082440000000002</v>
      </c>
      <c r="N20" s="174">
        <f t="shared" si="4"/>
        <v>1048.4804863549853</v>
      </c>
      <c r="O20" s="173">
        <f t="shared" si="5"/>
        <v>-5609.6861729040102</v>
      </c>
      <c r="P20" s="174" t="b">
        <f t="shared" si="6"/>
        <v>0</v>
      </c>
      <c r="Q20" s="174">
        <f t="shared" si="7"/>
        <v>1261.9760401295207</v>
      </c>
      <c r="R20" s="174">
        <f t="shared" si="8"/>
        <v>1518.9443643320064</v>
      </c>
      <c r="S20" s="165">
        <f t="shared" si="9"/>
        <v>1518.9443643320064</v>
      </c>
      <c r="T20" t="b">
        <f t="shared" si="10"/>
        <v>0</v>
      </c>
      <c r="U20" s="176">
        <f t="shared" si="11"/>
        <v>1518.9443643320064</v>
      </c>
      <c r="V20" s="165">
        <f>IF(U20&lt;V$5,V$5-U20,IF(U20&gt;=V$5,0))*('Electrical System Specification'!D$16*'Electrical System Specification'!Q$16)</f>
        <v>6217.8902547226262</v>
      </c>
      <c r="W20" s="28">
        <f t="shared" si="12"/>
        <v>886.28980613372607</v>
      </c>
      <c r="X20" s="165">
        <f>IF(U20&gt;V$5,U20-V$5,0)*'Electrical System Specification'!D$17</f>
        <v>0</v>
      </c>
      <c r="Y20">
        <f>(X20*C20)*'Electrical System Specification'!D$17</f>
        <v>0</v>
      </c>
      <c r="Z20" s="165">
        <f t="shared" si="13"/>
        <v>886.28980613372607</v>
      </c>
      <c r="AA20" s="165">
        <f t="shared" si="14"/>
        <v>10601.712446212447</v>
      </c>
      <c r="AB20" s="165"/>
    </row>
    <row r="21" spans="3:28" x14ac:dyDescent="0.2">
      <c r="C21" s="148">
        <v>0.14213486574713335</v>
      </c>
      <c r="D21">
        <f t="shared" si="1"/>
        <v>1.9230978849269811</v>
      </c>
      <c r="E21" s="164">
        <v>1272.4357683624849</v>
      </c>
      <c r="F21" s="165">
        <f>E21/'Electrical System Specification'!AC$4</f>
        <v>1298.4038452678417</v>
      </c>
      <c r="G21" s="146">
        <f>F21/('Electrical System Specification'!X$16*'Electrical System Specification'!J$16*'Electrical System Specification'!D$17)</f>
        <v>1616.6191608992501</v>
      </c>
      <c r="H21" s="165"/>
      <c r="I21" s="173">
        <f t="shared" si="2"/>
        <v>6871.6622130335309</v>
      </c>
      <c r="J21" s="173">
        <f t="shared" si="3"/>
        <v>7621.6306710664712</v>
      </c>
      <c r="K21" s="174" t="b">
        <f>IF(E21&gt;I21,'Electrical System Specification'!AC$4*'Electrical System Specification'!J$16*'Electrical System Specification'!D$16*'Electrical System Specification'!D$17*'Electrical System Specification'!X$16)</f>
        <v>0</v>
      </c>
      <c r="L21" s="174">
        <f>IF(E21&lt;I21,'Electrical System Specification'!X$16*'Electrical System Specification'!Q$16*'Electrical System Specification'!AC$4*'Electrical System Specification'!J$16)</f>
        <v>0.83082440000000002</v>
      </c>
      <c r="M21" s="174">
        <f t="shared" si="0"/>
        <v>0.83082440000000002</v>
      </c>
      <c r="N21" s="174">
        <f t="shared" si="4"/>
        <v>1057.1706837883005</v>
      </c>
      <c r="O21" s="173">
        <f t="shared" si="5"/>
        <v>-5599.226444671046</v>
      </c>
      <c r="P21" s="174" t="b">
        <f t="shared" si="6"/>
        <v>0</v>
      </c>
      <c r="Q21" s="174">
        <f t="shared" si="7"/>
        <v>1272.4357683624849</v>
      </c>
      <c r="R21" s="174">
        <f t="shared" ref="R21:R84" si="15">IF(Q21&gt;I21,0,Q21/L21)</f>
        <v>1531.5339419045526</v>
      </c>
      <c r="S21" s="165">
        <f t="shared" si="9"/>
        <v>1531.5339419045526</v>
      </c>
      <c r="T21" t="b">
        <f t="shared" si="10"/>
        <v>0</v>
      </c>
      <c r="U21" s="176">
        <f t="shared" si="11"/>
        <v>1531.5339419045526</v>
      </c>
      <c r="V21" s="165">
        <f>IF(U21&lt;V$5,V$5-U21,IF(U21&gt;=V$5,0))*('Electrical System Specification'!D$16*'Electrical System Specification'!Q$16)</f>
        <v>6207.1261658980993</v>
      </c>
      <c r="W21" s="28">
        <f t="shared" si="12"/>
        <v>882.24904426544492</v>
      </c>
      <c r="X21" s="165">
        <f>IF(U21&gt;V$5,U21-V$5,0)*'Electrical System Specification'!D$17</f>
        <v>0</v>
      </c>
      <c r="Y21">
        <f>(X21*C21)*'Electrical System Specification'!D$17</f>
        <v>0</v>
      </c>
      <c r="Z21" s="165">
        <f t="shared" si="13"/>
        <v>882.24904426544492</v>
      </c>
      <c r="AA21" s="165">
        <f t="shared" si="14"/>
        <v>11483.961490477892</v>
      </c>
      <c r="AB21" s="165"/>
    </row>
    <row r="22" spans="3:28" x14ac:dyDescent="0.2">
      <c r="C22" s="148">
        <v>0.14131009226048821</v>
      </c>
      <c r="D22">
        <f t="shared" si="1"/>
        <v>2.0644079771874693</v>
      </c>
      <c r="E22" s="164">
        <v>1282.9292177985046</v>
      </c>
      <c r="F22" s="165">
        <f>E22/'Electrical System Specification'!AC$4</f>
        <v>1309.1114467331679</v>
      </c>
      <c r="G22" s="146">
        <f>F22/('Electrical System Specification'!X$16*'Electrical System Specification'!J$16*'Electrical System Specification'!D$17)</f>
        <v>1629.9510019587231</v>
      </c>
      <c r="H22" s="165"/>
      <c r="I22" s="173">
        <f t="shared" si="2"/>
        <v>6871.6622130335309</v>
      </c>
      <c r="J22" s="173">
        <f t="shared" si="3"/>
        <v>7621.6306710664712</v>
      </c>
      <c r="K22" s="174" t="b">
        <f>IF(E22&gt;I22,'Electrical System Specification'!AC$4*'Electrical System Specification'!J$16*'Electrical System Specification'!D$16*'Electrical System Specification'!D$17*'Electrical System Specification'!X$16)</f>
        <v>0</v>
      </c>
      <c r="L22" s="174">
        <f>IF(E22&lt;I22,'Electrical System Specification'!X$16*'Electrical System Specification'!Q$16*'Electrical System Specification'!AC$4*'Electrical System Specification'!J$16)</f>
        <v>0.83082440000000002</v>
      </c>
      <c r="M22" s="174">
        <f t="shared" si="0"/>
        <v>0.83082440000000002</v>
      </c>
      <c r="N22" s="174">
        <f t="shared" si="4"/>
        <v>1065.8888976199119</v>
      </c>
      <c r="O22" s="173">
        <f t="shared" si="5"/>
        <v>-5588.7329952350265</v>
      </c>
      <c r="P22" s="174" t="b">
        <f t="shared" si="6"/>
        <v>0</v>
      </c>
      <c r="Q22" s="174">
        <f t="shared" si="7"/>
        <v>1282.9292177985044</v>
      </c>
      <c r="R22" s="174">
        <f t="shared" si="15"/>
        <v>1544.1641071187898</v>
      </c>
      <c r="S22" s="165">
        <f t="shared" si="9"/>
        <v>1544.1641071187898</v>
      </c>
      <c r="T22" t="b">
        <f t="shared" si="10"/>
        <v>0</v>
      </c>
      <c r="U22" s="176">
        <f t="shared" si="11"/>
        <v>1544.1641071187898</v>
      </c>
      <c r="V22" s="165">
        <f>IF(U22&lt;V$5,V$5-U22,IF(U22&gt;=V$5,0))*('Electrical System Specification'!D$16*'Electrical System Specification'!Q$16)</f>
        <v>6196.3273746399263</v>
      </c>
      <c r="W22" s="28">
        <f t="shared" si="12"/>
        <v>875.60359298655669</v>
      </c>
      <c r="X22" s="165">
        <f>IF(U22&gt;V$5,U22-V$5,0)*'Electrical System Specification'!D$17</f>
        <v>0</v>
      </c>
      <c r="Y22">
        <f>(X22*C22)*'Electrical System Specification'!D$17</f>
        <v>0</v>
      </c>
      <c r="Z22" s="165">
        <f t="shared" si="13"/>
        <v>875.60359298655669</v>
      </c>
      <c r="AA22" s="165">
        <f t="shared" si="14"/>
        <v>12359.565083464449</v>
      </c>
      <c r="AB22" s="165"/>
    </row>
    <row r="23" spans="3:28" x14ac:dyDescent="0.2">
      <c r="C23" s="148">
        <v>0.14110481349061724</v>
      </c>
      <c r="D23">
        <f t="shared" si="1"/>
        <v>2.2055127906780867</v>
      </c>
      <c r="E23" s="164">
        <v>1293.396607607777</v>
      </c>
      <c r="F23" s="165">
        <f>E23/'Electrical System Specification'!AC$4</f>
        <v>1319.7924567426296</v>
      </c>
      <c r="G23" s="146">
        <f>F23/('Electrical System Specification'!X$16*'Electrical System Specification'!J$16*'Electrical System Specification'!D$17)</f>
        <v>1643.2497344771025</v>
      </c>
      <c r="H23" s="165"/>
      <c r="I23" s="173">
        <f t="shared" si="2"/>
        <v>6871.6622130335309</v>
      </c>
      <c r="J23" s="173">
        <f t="shared" si="3"/>
        <v>7621.6306710664712</v>
      </c>
      <c r="K23" s="174" t="b">
        <f>IF(E23&gt;I23,'Electrical System Specification'!AC$4*'Electrical System Specification'!J$16*'Electrical System Specification'!D$16*'Electrical System Specification'!D$17*'Electrical System Specification'!X$16)</f>
        <v>0</v>
      </c>
      <c r="L23" s="174">
        <f>IF(E23&lt;I23,'Electrical System Specification'!X$16*'Electrical System Specification'!Q$16*'Electrical System Specification'!AC$4*'Electrical System Specification'!J$16)</f>
        <v>0.83082440000000002</v>
      </c>
      <c r="M23" s="174">
        <f t="shared" si="0"/>
        <v>0.83082440000000002</v>
      </c>
      <c r="N23" s="174">
        <f t="shared" si="4"/>
        <v>1074.5854604777669</v>
      </c>
      <c r="O23" s="173">
        <f t="shared" si="5"/>
        <v>-5578.2656054257541</v>
      </c>
      <c r="P23" s="174" t="b">
        <f t="shared" si="6"/>
        <v>0</v>
      </c>
      <c r="Q23" s="174">
        <f t="shared" si="7"/>
        <v>1293.3966076077768</v>
      </c>
      <c r="R23" s="174">
        <f t="shared" si="15"/>
        <v>1556.7629063467284</v>
      </c>
      <c r="S23" s="165">
        <f t="shared" si="9"/>
        <v>1556.7629063467284</v>
      </c>
      <c r="T23" t="b">
        <f t="shared" si="10"/>
        <v>0</v>
      </c>
      <c r="U23" s="176">
        <f t="shared" si="11"/>
        <v>1556.7629063467284</v>
      </c>
      <c r="V23" s="165">
        <f>IF(U23&lt;V$5,V$5-U23,IF(U23&gt;=V$5,0))*('Electrical System Specification'!D$16*'Electrical System Specification'!Q$16)</f>
        <v>6185.5554013000392</v>
      </c>
      <c r="W23" s="28">
        <f t="shared" si="12"/>
        <v>872.81164123632209</v>
      </c>
      <c r="X23" s="165">
        <f>IF(U23&gt;V$5,U23-V$5,0)*'Electrical System Specification'!D$17</f>
        <v>0</v>
      </c>
      <c r="Y23">
        <f>(X23*C23)*'Electrical System Specification'!D$17</f>
        <v>0</v>
      </c>
      <c r="Z23" s="165">
        <f t="shared" si="13"/>
        <v>872.81164123632209</v>
      </c>
      <c r="AA23" s="165">
        <f t="shared" si="14"/>
        <v>13232.376724700771</v>
      </c>
      <c r="AB23" s="165"/>
    </row>
    <row r="24" spans="3:28" x14ac:dyDescent="0.2">
      <c r="C24" s="148">
        <v>0.14039398519640894</v>
      </c>
      <c r="D24">
        <f t="shared" si="1"/>
        <v>2.3459067758744956</v>
      </c>
      <c r="E24" s="164">
        <v>1303.8897319167565</v>
      </c>
      <c r="F24" s="165">
        <f>E24/'Electrical System Specification'!AC$4</f>
        <v>1330.4997264456699</v>
      </c>
      <c r="G24" s="146">
        <f>F24/('Electrical System Specification'!X$16*'Electrical System Specification'!J$16*'Electrical System Specification'!D$17)</f>
        <v>1656.5811624653493</v>
      </c>
      <c r="H24" s="165"/>
      <c r="I24" s="173">
        <f t="shared" si="2"/>
        <v>6871.6622130335309</v>
      </c>
      <c r="J24" s="173">
        <f t="shared" si="3"/>
        <v>7621.6306710664712</v>
      </c>
      <c r="K24" s="174" t="b">
        <f>IF(E24&gt;I24,'Electrical System Specification'!AC$4*'Electrical System Specification'!J$16*'Electrical System Specification'!D$16*'Electrical System Specification'!D$17*'Electrical System Specification'!X$16)</f>
        <v>0</v>
      </c>
      <c r="L24" s="174">
        <f>IF(E24&lt;I24,'Electrical System Specification'!X$16*'Electrical System Specification'!Q$16*'Electrical System Specification'!AC$4*'Electrical System Specification'!J$16)</f>
        <v>0.83082440000000002</v>
      </c>
      <c r="M24" s="174">
        <f t="shared" si="0"/>
        <v>0.83082440000000002</v>
      </c>
      <c r="N24" s="174">
        <f t="shared" si="4"/>
        <v>1083.3034041859</v>
      </c>
      <c r="O24" s="173">
        <f t="shared" si="5"/>
        <v>-5567.7724811167745</v>
      </c>
      <c r="P24" s="174" t="b">
        <f t="shared" si="6"/>
        <v>0</v>
      </c>
      <c r="Q24" s="174">
        <f t="shared" si="7"/>
        <v>1303.8897319167563</v>
      </c>
      <c r="R24" s="174">
        <f t="shared" si="15"/>
        <v>1569.3926802303306</v>
      </c>
      <c r="S24" s="165">
        <f t="shared" si="9"/>
        <v>1569.3926802303306</v>
      </c>
      <c r="T24" t="b">
        <f t="shared" si="10"/>
        <v>0</v>
      </c>
      <c r="U24" s="176">
        <f t="shared" si="11"/>
        <v>1569.3926802303306</v>
      </c>
      <c r="V24" s="165">
        <f>IF(U24&lt;V$5,V$5-U24,IF(U24&gt;=V$5,0))*('Electrical System Specification'!D$16*'Electrical System Specification'!Q$16)</f>
        <v>6174.7569446295593</v>
      </c>
      <c r="W24" s="28">
        <f t="shared" si="12"/>
        <v>866.89873507574566</v>
      </c>
      <c r="X24" s="165">
        <f>IF(U24&gt;V$5,U24-V$5,0)*'Electrical System Specification'!D$17</f>
        <v>0</v>
      </c>
      <c r="Y24">
        <f>(X24*C24)*'Electrical System Specification'!D$17</f>
        <v>0</v>
      </c>
      <c r="Z24" s="165">
        <f t="shared" si="13"/>
        <v>866.89873507574566</v>
      </c>
      <c r="AA24" s="165">
        <f t="shared" si="14"/>
        <v>14099.275459776516</v>
      </c>
      <c r="AB24" s="165"/>
    </row>
    <row r="25" spans="3:28" x14ac:dyDescent="0.2">
      <c r="C25" s="148">
        <v>0.1401288065758165</v>
      </c>
      <c r="D25">
        <f t="shared" si="1"/>
        <v>2.4860355824503122</v>
      </c>
      <c r="E25" s="164">
        <v>1314.3671565969157</v>
      </c>
      <c r="F25" s="165">
        <f>E25/'Electrical System Specification'!AC$4</f>
        <v>1341.1909761193017</v>
      </c>
      <c r="G25" s="146">
        <f>F25/('Electrical System Specification'!X$16*'Electrical System Specification'!J$16*'Electrical System Specification'!D$17)</f>
        <v>1669.8926442045192</v>
      </c>
      <c r="H25" s="165"/>
      <c r="I25" s="173">
        <f t="shared" si="2"/>
        <v>6871.6622130335309</v>
      </c>
      <c r="J25" s="173">
        <f t="shared" si="3"/>
        <v>7621.6306710664712</v>
      </c>
      <c r="K25" s="174" t="b">
        <f>IF(E25&gt;I25,'Electrical System Specification'!AC$4*'Electrical System Specification'!J$16*'Electrical System Specification'!D$16*'Electrical System Specification'!D$17*'Electrical System Specification'!X$16)</f>
        <v>0</v>
      </c>
      <c r="L25" s="174">
        <f>IF(E25&lt;I25,'Electrical System Specification'!X$16*'Electrical System Specification'!Q$16*'Electrical System Specification'!AC$4*'Electrical System Specification'!J$16)</f>
        <v>0.83082440000000002</v>
      </c>
      <c r="M25" s="174">
        <f t="shared" si="0"/>
        <v>0.83082440000000002</v>
      </c>
      <c r="N25" s="174">
        <f t="shared" si="4"/>
        <v>1092.0083042593385</v>
      </c>
      <c r="O25" s="173">
        <f t="shared" si="5"/>
        <v>-5557.2950564366147</v>
      </c>
      <c r="P25" s="174" t="b">
        <f t="shared" si="6"/>
        <v>0</v>
      </c>
      <c r="Q25" s="174">
        <f t="shared" si="7"/>
        <v>1314.3671565969162</v>
      </c>
      <c r="R25" s="174">
        <f t="shared" si="15"/>
        <v>1582.00355766744</v>
      </c>
      <c r="S25" s="165">
        <f t="shared" si="9"/>
        <v>1582.00355766744</v>
      </c>
      <c r="T25" t="b">
        <f t="shared" si="10"/>
        <v>0</v>
      </c>
      <c r="U25" s="176">
        <f t="shared" si="11"/>
        <v>1582.00355766744</v>
      </c>
      <c r="V25" s="165">
        <f>IF(U25&lt;V$5,V$5-U25,IF(U25&gt;=V$5,0))*('Electrical System Specification'!D$16*'Electrical System Specification'!Q$16)</f>
        <v>6163.9746444208304</v>
      </c>
      <c r="W25" s="28">
        <f t="shared" si="12"/>
        <v>863.75041068628389</v>
      </c>
      <c r="X25" s="165">
        <f>IF(U25&gt;V$5,U25-V$5,0)*'Electrical System Specification'!D$17</f>
        <v>0</v>
      </c>
      <c r="Y25">
        <f>(X25*C25)*'Electrical System Specification'!D$17</f>
        <v>0</v>
      </c>
      <c r="Z25" s="165">
        <f t="shared" si="13"/>
        <v>863.75041068628389</v>
      </c>
      <c r="AA25" s="165">
        <f t="shared" si="14"/>
        <v>14963.0258704628</v>
      </c>
      <c r="AB25" s="165"/>
    </row>
    <row r="26" spans="3:28" x14ac:dyDescent="0.2">
      <c r="C26" s="148">
        <v>0.13951872175741384</v>
      </c>
      <c r="D26">
        <f t="shared" si="1"/>
        <v>2.6255543042077258</v>
      </c>
      <c r="E26" s="164">
        <v>1324.8607685010868</v>
      </c>
      <c r="F26" s="165">
        <f>E26/'Electrical System Specification'!AC$4</f>
        <v>1351.8987433684558</v>
      </c>
      <c r="G26" s="146">
        <f>F26/('Electrical System Specification'!X$16*'Electrical System Specification'!J$16*'Electrical System Specification'!D$17)</f>
        <v>1683.22469167844</v>
      </c>
      <c r="H26" s="165"/>
      <c r="I26" s="173">
        <f t="shared" si="2"/>
        <v>6871.6622130335309</v>
      </c>
      <c r="J26" s="173">
        <f t="shared" si="3"/>
        <v>7621.6306710664712</v>
      </c>
      <c r="K26" s="174" t="b">
        <f>IF(E26&gt;I26,'Electrical System Specification'!AC$4*'Electrical System Specification'!J$16*'Electrical System Specification'!D$16*'Electrical System Specification'!D$17*'Electrical System Specification'!X$16)</f>
        <v>0</v>
      </c>
      <c r="L26" s="174">
        <f>IF(E26&lt;I26,'Electrical System Specification'!X$16*'Electrical System Specification'!Q$16*'Electrical System Specification'!AC$4*'Electrical System Specification'!J$16)</f>
        <v>0.83082440000000002</v>
      </c>
      <c r="M26" s="174">
        <f t="shared" si="0"/>
        <v>0.83082440000000002</v>
      </c>
      <c r="N26" s="174">
        <f t="shared" si="4"/>
        <v>1100.7266530734544</v>
      </c>
      <c r="O26" s="173">
        <f t="shared" si="5"/>
        <v>-5546.8014445324443</v>
      </c>
      <c r="P26" s="174" t="b">
        <f t="shared" si="6"/>
        <v>0</v>
      </c>
      <c r="Q26" s="174">
        <f t="shared" si="7"/>
        <v>1324.8607685010866</v>
      </c>
      <c r="R26" s="174">
        <f t="shared" si="15"/>
        <v>1594.633918432206</v>
      </c>
      <c r="S26" s="165">
        <f t="shared" si="9"/>
        <v>1594.633918432206</v>
      </c>
      <c r="T26" t="b">
        <f t="shared" si="10"/>
        <v>0</v>
      </c>
      <c r="U26" s="176">
        <f t="shared" si="11"/>
        <v>1594.633918432206</v>
      </c>
      <c r="V26" s="165">
        <f>IF(U26&lt;V$5,V$5-U26,IF(U26&gt;=V$5,0))*('Electrical System Specification'!D$16*'Electrical System Specification'!Q$16)</f>
        <v>6153.1756859669558</v>
      </c>
      <c r="W26" s="28">
        <f t="shared" si="12"/>
        <v>858.48320645490776</v>
      </c>
      <c r="X26" s="165">
        <f>IF(U26&gt;V$5,U26-V$5,0)*'Electrical System Specification'!D$17</f>
        <v>0</v>
      </c>
      <c r="Y26">
        <f>(X26*C26)*'Electrical System Specification'!D$17</f>
        <v>0</v>
      </c>
      <c r="Z26" s="165">
        <f t="shared" si="13"/>
        <v>858.48320645490776</v>
      </c>
      <c r="AA26" s="165">
        <f t="shared" si="14"/>
        <v>15821.509076917708</v>
      </c>
      <c r="AB26" s="165"/>
    </row>
    <row r="27" spans="3:28" x14ac:dyDescent="0.2">
      <c r="C27" s="148">
        <v>0.13917513271179305</v>
      </c>
      <c r="D27">
        <f t="shared" si="1"/>
        <v>2.7647294369195188</v>
      </c>
      <c r="E27" s="164">
        <v>1335.3529844055124</v>
      </c>
      <c r="F27" s="165">
        <f>E27/'Electrical System Specification'!AC$4</f>
        <v>1362.6050861280739</v>
      </c>
      <c r="G27" s="146">
        <f>F27/('Electrical System Specification'!X$16*'Electrical System Specification'!J$16*'Electrical System Specification'!D$17)</f>
        <v>1696.554965546185</v>
      </c>
      <c r="H27" s="165"/>
      <c r="I27" s="173">
        <f t="shared" si="2"/>
        <v>6871.6622130335309</v>
      </c>
      <c r="J27" s="173">
        <f t="shared" si="3"/>
        <v>7621.6306710664712</v>
      </c>
      <c r="K27" s="174" t="b">
        <f>IF(E27&gt;I27,'Electrical System Specification'!AC$4*'Electrical System Specification'!J$16*'Electrical System Specification'!D$16*'Electrical System Specification'!D$17*'Electrical System Specification'!X$16)</f>
        <v>0</v>
      </c>
      <c r="L27" s="174">
        <f>IF(E27&lt;I27,'Electrical System Specification'!X$16*'Electrical System Specification'!Q$16*'Electrical System Specification'!AC$4*'Electrical System Specification'!J$16)</f>
        <v>0.83082440000000002</v>
      </c>
      <c r="M27" s="174">
        <f t="shared" si="0"/>
        <v>0.83082440000000002</v>
      </c>
      <c r="N27" s="174">
        <f t="shared" si="4"/>
        <v>1109.4438420569193</v>
      </c>
      <c r="O27" s="173">
        <f t="shared" si="5"/>
        <v>-5536.3092286280189</v>
      </c>
      <c r="P27" s="174" t="b">
        <f t="shared" si="6"/>
        <v>0</v>
      </c>
      <c r="Q27" s="174">
        <f t="shared" si="7"/>
        <v>1335.352984405512</v>
      </c>
      <c r="R27" s="174">
        <f t="shared" si="15"/>
        <v>1607.2625989384903</v>
      </c>
      <c r="S27" s="165">
        <f t="shared" si="9"/>
        <v>1607.2625989384903</v>
      </c>
      <c r="T27" t="b">
        <f t="shared" si="10"/>
        <v>0</v>
      </c>
      <c r="U27" s="176">
        <f t="shared" si="11"/>
        <v>1607.2625989384903</v>
      </c>
      <c r="V27" s="165">
        <f>IF(U27&lt;V$5,V$5-U27,IF(U27&gt;=V$5,0))*('Electrical System Specification'!D$16*'Electrical System Specification'!Q$16)</f>
        <v>6142.378164134082</v>
      </c>
      <c r="W27" s="28">
        <f t="shared" si="12"/>
        <v>854.86629615938057</v>
      </c>
      <c r="X27" s="165">
        <f>IF(U27&gt;V$5,U27-V$5,0)*'Electrical System Specification'!D$17</f>
        <v>0</v>
      </c>
      <c r="Y27">
        <f>(X27*C27)*'Electrical System Specification'!D$17</f>
        <v>0</v>
      </c>
      <c r="Z27" s="165">
        <f t="shared" si="13"/>
        <v>854.86629615938057</v>
      </c>
      <c r="AA27" s="165">
        <f t="shared" si="14"/>
        <v>16676.375373077088</v>
      </c>
      <c r="AB27" s="165"/>
    </row>
    <row r="28" spans="3:28" x14ac:dyDescent="0.2">
      <c r="C28" s="148">
        <v>0.13870223217858771</v>
      </c>
      <c r="D28">
        <f t="shared" si="1"/>
        <v>2.9034316690981066</v>
      </c>
      <c r="E28" s="164">
        <v>1345.8483783661875</v>
      </c>
      <c r="F28" s="165">
        <f>E28/'Electrical System Specification'!AC$4</f>
        <v>1373.3146718022322</v>
      </c>
      <c r="G28" s="146">
        <f>F28/('Electrical System Specification'!X$16*'Electrical System Specification'!J$16*'Electrical System Specification'!D$17)</f>
        <v>1709.8892771082128</v>
      </c>
      <c r="H28" s="165"/>
      <c r="I28" s="173">
        <f t="shared" si="2"/>
        <v>6871.6622130335309</v>
      </c>
      <c r="J28" s="173">
        <f t="shared" si="3"/>
        <v>7621.6306710664712</v>
      </c>
      <c r="K28" s="174" t="b">
        <f>IF(E28&gt;I28,'Electrical System Specification'!AC$4*'Electrical System Specification'!J$16*'Electrical System Specification'!D$16*'Electrical System Specification'!D$17*'Electrical System Specification'!X$16)</f>
        <v>0</v>
      </c>
      <c r="L28" s="174">
        <f>IF(E28&lt;I28,'Electrical System Specification'!X$16*'Electrical System Specification'!Q$16*'Electrical System Specification'!AC$4*'Electrical System Specification'!J$16)</f>
        <v>0.83082440000000002</v>
      </c>
      <c r="M28" s="174">
        <f t="shared" si="0"/>
        <v>0.83082440000000002</v>
      </c>
      <c r="N28" s="174">
        <f t="shared" si="4"/>
        <v>1118.1636714470608</v>
      </c>
      <c r="O28" s="173">
        <f t="shared" si="5"/>
        <v>-5525.8138346673431</v>
      </c>
      <c r="P28" s="174" t="b">
        <f t="shared" si="6"/>
        <v>0</v>
      </c>
      <c r="Q28" s="174">
        <f t="shared" si="7"/>
        <v>1345.8483783661877</v>
      </c>
      <c r="R28" s="174">
        <f t="shared" si="15"/>
        <v>1619.8951046288335</v>
      </c>
      <c r="S28" s="165">
        <f t="shared" si="9"/>
        <v>1619.8951046288335</v>
      </c>
      <c r="T28" t="b">
        <f t="shared" si="10"/>
        <v>0</v>
      </c>
      <c r="U28" s="176">
        <f t="shared" si="11"/>
        <v>1619.8951046288335</v>
      </c>
      <c r="V28" s="165">
        <f>IF(U28&lt;V$5,V$5-U28,IF(U28&gt;=V$5,0))*('Electrical System Specification'!D$16*'Electrical System Specification'!Q$16)</f>
        <v>6131.5773717688389</v>
      </c>
      <c r="W28" s="28">
        <f t="shared" si="12"/>
        <v>850.46346824005605</v>
      </c>
      <c r="X28" s="165">
        <f>IF(U28&gt;V$5,U28-V$5,0)*'Electrical System Specification'!D$17</f>
        <v>0</v>
      </c>
      <c r="Y28">
        <f>(X28*C28)*'Electrical System Specification'!D$17</f>
        <v>0</v>
      </c>
      <c r="Z28" s="165">
        <f t="shared" si="13"/>
        <v>850.46346824005605</v>
      </c>
      <c r="AA28" s="165">
        <f t="shared" si="14"/>
        <v>17526.838841317145</v>
      </c>
      <c r="AB28" s="165"/>
    </row>
    <row r="29" spans="3:28" x14ac:dyDescent="0.2">
      <c r="C29" s="148">
        <v>0.13825218297761541</v>
      </c>
      <c r="D29">
        <f t="shared" si="1"/>
        <v>3.0416838520757219</v>
      </c>
      <c r="E29" s="164">
        <v>8422.0799647446038</v>
      </c>
      <c r="F29" s="165">
        <f>E29/'Electrical System Specification'!AC$4</f>
        <v>8593.9591476985752</v>
      </c>
      <c r="G29" s="146">
        <f>F29/('Electrical System Specification'!X$16*'Electrical System Specification'!J$16*'Electrical System Specification'!D$17)</f>
        <v>10700.183210940006</v>
      </c>
      <c r="H29" s="165"/>
      <c r="I29" s="173">
        <f t="shared" si="2"/>
        <v>6871.6622130335309</v>
      </c>
      <c r="J29" s="173">
        <f t="shared" si="3"/>
        <v>7621.6306710664712</v>
      </c>
      <c r="K29" s="174">
        <f>IF(E29&gt;I29,'Electrical System Specification'!AC$4*'Electrical System Specification'!J$16*'Electrical System Specification'!D$16*'Electrical System Specification'!D$17*'Electrical System Specification'!X$16)</f>
        <v>0.70838712000000004</v>
      </c>
      <c r="L29" s="174" t="b">
        <f>IF(E29&lt;I29,'Electrical System Specification'!X$16*'Electrical System Specification'!Q$16*'Electrical System Specification'!AC$4*'Electrical System Specification'!J$16)</f>
        <v>0</v>
      </c>
      <c r="M29" s="174">
        <f t="shared" si="0"/>
        <v>0.70838712000000004</v>
      </c>
      <c r="N29" s="174">
        <f t="shared" si="4"/>
        <v>5966.0929706351317</v>
      </c>
      <c r="O29" s="173">
        <f t="shared" si="5"/>
        <v>1550.4177517110729</v>
      </c>
      <c r="P29" s="174">
        <f t="shared" si="6"/>
        <v>2188.6588673592382</v>
      </c>
      <c r="Q29" s="174">
        <f>IF(O29&lt;0,I29-(O29*-1),IF(O29&gt;0,I29/L$9))</f>
        <v>8270.8960076684452</v>
      </c>
      <c r="R29" s="174">
        <f>IF(Q29&gt;I29,0,Q29/L29)</f>
        <v>0</v>
      </c>
      <c r="S29" s="165" t="b">
        <f t="shared" si="9"/>
        <v>0</v>
      </c>
      <c r="T29">
        <f t="shared" si="10"/>
        <v>10459.554875027683</v>
      </c>
      <c r="U29" s="176">
        <f t="shared" si="11"/>
        <v>10459.554875027683</v>
      </c>
      <c r="V29" s="165">
        <f>IF(U29&lt;V$5,V$5-U29,IF(U29&gt;=V$5,0))*('Electrical System Specification'!D$16*'Electrical System Specification'!Q$16)</f>
        <v>0</v>
      </c>
      <c r="W29" s="28">
        <f t="shared" si="12"/>
        <v>0</v>
      </c>
      <c r="X29" s="165">
        <f>IF(U29&gt;V$5,U29-V$5,0)*'Electrical System Specification'!D$17</f>
        <v>1501.4018230759762</v>
      </c>
      <c r="Y29">
        <f>(X29*C29)*'Electrical System Specification'!D$17</f>
        <v>186.81487161014269</v>
      </c>
      <c r="Z29" s="165">
        <f t="shared" si="13"/>
        <v>-186.81487161014269</v>
      </c>
      <c r="AA29" s="165">
        <f t="shared" si="14"/>
        <v>17340.023969707003</v>
      </c>
      <c r="AB29" s="165"/>
    </row>
    <row r="30" spans="3:28" x14ac:dyDescent="0.2">
      <c r="C30" s="148">
        <v>0.13998682780271074</v>
      </c>
      <c r="D30">
        <f t="shared" si="1"/>
        <v>3.1816706798784327</v>
      </c>
      <c r="E30" s="164">
        <v>8489.0885662329656</v>
      </c>
      <c r="F30" s="165">
        <f>E30/'Electrical System Specification'!AC$4</f>
        <v>8662.3352716662921</v>
      </c>
      <c r="G30" s="146">
        <f>F30/('Electrical System Specification'!X$16*'Electrical System Specification'!J$16*'Electrical System Specification'!D$17)</f>
        <v>10785.317087088864</v>
      </c>
      <c r="H30" s="165"/>
      <c r="I30" s="173">
        <f t="shared" si="2"/>
        <v>6871.6622130335309</v>
      </c>
      <c r="J30" s="173">
        <f t="shared" si="3"/>
        <v>7621.6306710664712</v>
      </c>
      <c r="K30" s="174">
        <f>IF(E30&gt;I30,'Electrical System Specification'!AC$4*'Electrical System Specification'!J$16*'Electrical System Specification'!D$16*'Electrical System Specification'!D$17*'Electrical System Specification'!X$16)</f>
        <v>0.70838712000000004</v>
      </c>
      <c r="L30" s="174" t="b">
        <f>IF(E30&lt;I30,'Electrical System Specification'!X$16*'Electrical System Specification'!Q$16*'Electrical System Specification'!AC$4*'Electrical System Specification'!J$16)</f>
        <v>0</v>
      </c>
      <c r="M30" s="174">
        <f t="shared" si="0"/>
        <v>0.70838712000000004</v>
      </c>
      <c r="N30" s="174">
        <f t="shared" si="4"/>
        <v>6013.5610008587</v>
      </c>
      <c r="O30" s="173">
        <f t="shared" si="5"/>
        <v>1617.4263531994347</v>
      </c>
      <c r="P30" s="174">
        <f t="shared" si="6"/>
        <v>2283.252063080191</v>
      </c>
      <c r="Q30" s="174">
        <f t="shared" ref="Q30:Q93" si="16">IF(O30&lt;0,I30-(O30*-1),IF(O30&gt;0,I30/L$9))</f>
        <v>8270.8960076684452</v>
      </c>
      <c r="R30" s="174">
        <f t="shared" si="15"/>
        <v>0</v>
      </c>
      <c r="S30" s="165" t="b">
        <f t="shared" si="9"/>
        <v>0</v>
      </c>
      <c r="T30">
        <f t="shared" si="10"/>
        <v>10554.148070748637</v>
      </c>
      <c r="U30" s="176">
        <f t="shared" si="11"/>
        <v>10554.148070748637</v>
      </c>
      <c r="V30" s="165">
        <f>IF(U30&lt;V$5,V$5-U30,IF(U30&gt;=V$5,0))*('Electrical System Specification'!D$16*'Electrical System Specification'!Q$16)</f>
        <v>0</v>
      </c>
      <c r="W30" s="28">
        <f t="shared" si="12"/>
        <v>0</v>
      </c>
      <c r="X30" s="165">
        <f>IF(U30&gt;V$5,U30-V$5,0)*'Electrical System Specification'!D$17</f>
        <v>1586.5356992248348</v>
      </c>
      <c r="Y30">
        <f>(X30*C30)*'Electrical System Specification'!D$17</f>
        <v>199.88468975721622</v>
      </c>
      <c r="Z30" s="165">
        <f t="shared" si="13"/>
        <v>-199.88468975721622</v>
      </c>
      <c r="AA30" s="165">
        <f t="shared" si="14"/>
        <v>17140.139279949788</v>
      </c>
      <c r="AB30" s="165"/>
    </row>
    <row r="31" spans="3:28" x14ac:dyDescent="0.2">
      <c r="C31" s="148">
        <v>0.14264112096404441</v>
      </c>
      <c r="D31">
        <f t="shared" si="1"/>
        <v>3.324311800842477</v>
      </c>
      <c r="E31" s="164">
        <v>8557.7264057105458</v>
      </c>
      <c r="F31" s="165">
        <f>E31/'Electrical System Specification'!AC$4</f>
        <v>8732.3738833781081</v>
      </c>
      <c r="G31" s="146">
        <f>F31/('Electrical System Specification'!X$16*'Electrical System Specification'!J$16*'Electrical System Specification'!D$17)</f>
        <v>10872.520896680746</v>
      </c>
      <c r="H31" s="165"/>
      <c r="I31" s="173">
        <f t="shared" si="2"/>
        <v>6871.6622130335309</v>
      </c>
      <c r="J31" s="173">
        <f t="shared" si="3"/>
        <v>7621.6306710664712</v>
      </c>
      <c r="K31" s="174">
        <f>IF(E31&gt;I31,'Electrical System Specification'!AC$4*'Electrical System Specification'!J$16*'Electrical System Specification'!D$16*'Electrical System Specification'!D$17*'Electrical System Specification'!X$16)</f>
        <v>0.70838712000000004</v>
      </c>
      <c r="L31" s="174" t="b">
        <f>IF(E31&lt;I31,'Electrical System Specification'!X$16*'Electrical System Specification'!Q$16*'Electrical System Specification'!AC$4*'Electrical System Specification'!J$16)</f>
        <v>0</v>
      </c>
      <c r="M31" s="174">
        <f t="shared" si="0"/>
        <v>0.70838712000000004</v>
      </c>
      <c r="N31" s="174">
        <f t="shared" si="4"/>
        <v>6062.183162289245</v>
      </c>
      <c r="O31" s="173">
        <f t="shared" si="5"/>
        <v>1686.0641926770149</v>
      </c>
      <c r="P31" s="174">
        <f t="shared" si="6"/>
        <v>2380.1451848489492</v>
      </c>
      <c r="Q31" s="174">
        <f t="shared" si="16"/>
        <v>8270.8960076684452</v>
      </c>
      <c r="R31" s="174">
        <f t="shared" si="15"/>
        <v>0</v>
      </c>
      <c r="S31" s="165" t="b">
        <f t="shared" si="9"/>
        <v>0</v>
      </c>
      <c r="T31">
        <f t="shared" si="10"/>
        <v>10651.041192517394</v>
      </c>
      <c r="U31" s="176">
        <f t="shared" si="11"/>
        <v>10651.041192517394</v>
      </c>
      <c r="V31" s="165">
        <f>IF(U31&lt;V$5,V$5-U31,IF(U31&gt;=V$5,0))*('Electrical System Specification'!D$16*'Electrical System Specification'!Q$16)</f>
        <v>0</v>
      </c>
      <c r="W31" s="28">
        <f t="shared" si="12"/>
        <v>0</v>
      </c>
      <c r="X31" s="165">
        <f>IF(U31&gt;V$5,U31-V$5,0)*'Electrical System Specification'!D$17</f>
        <v>1673.7395088167159</v>
      </c>
      <c r="Y31">
        <f>(X31*C31)*'Electrical System Specification'!D$17</f>
        <v>214.86967176548291</v>
      </c>
      <c r="Z31" s="165">
        <f t="shared" si="13"/>
        <v>-214.86967176548291</v>
      </c>
      <c r="AA31" s="165">
        <f t="shared" si="14"/>
        <v>16925.269608184306</v>
      </c>
      <c r="AB31" s="165"/>
    </row>
    <row r="32" spans="3:28" x14ac:dyDescent="0.2">
      <c r="C32" s="148">
        <v>0.14350214131905409</v>
      </c>
      <c r="D32">
        <f t="shared" si="1"/>
        <v>3.467813942161531</v>
      </c>
      <c r="E32" s="164">
        <v>8626.8119168732737</v>
      </c>
      <c r="F32" s="165">
        <f>E32/'Electrical System Specification'!AC$4</f>
        <v>8802.8693029319129</v>
      </c>
      <c r="G32" s="146">
        <f>F32/('Electrical System Specification'!X$16*'Electrical System Specification'!J$16*'Electrical System Specification'!D$17)</f>
        <v>10960.293469460523</v>
      </c>
      <c r="H32" s="165"/>
      <c r="I32" s="173">
        <f t="shared" si="2"/>
        <v>6871.6622130335309</v>
      </c>
      <c r="J32" s="173">
        <f t="shared" si="3"/>
        <v>7621.6306710664712</v>
      </c>
      <c r="K32" s="174">
        <f>IF(E32&gt;I32,'Electrical System Specification'!AC$4*'Electrical System Specification'!J$16*'Electrical System Specification'!D$16*'Electrical System Specification'!D$17*'Electrical System Specification'!X$16)</f>
        <v>0.70838712000000004</v>
      </c>
      <c r="L32" s="174" t="b">
        <f>IF(E32&lt;I32,'Electrical System Specification'!X$16*'Electrical System Specification'!Q$16*'Electrical System Specification'!AC$4*'Electrical System Specification'!J$16)</f>
        <v>0</v>
      </c>
      <c r="M32" s="174">
        <f t="shared" si="0"/>
        <v>0.70838712000000004</v>
      </c>
      <c r="N32" s="174">
        <f t="shared" si="4"/>
        <v>6111.1224485755383</v>
      </c>
      <c r="O32" s="173">
        <f t="shared" si="5"/>
        <v>1755.1497038397429</v>
      </c>
      <c r="P32" s="174">
        <f t="shared" si="6"/>
        <v>2477.670265715366</v>
      </c>
      <c r="Q32" s="174">
        <f t="shared" si="16"/>
        <v>8270.8960076684452</v>
      </c>
      <c r="R32" s="174">
        <f t="shared" si="15"/>
        <v>0</v>
      </c>
      <c r="S32" s="165" t="b">
        <f t="shared" si="9"/>
        <v>0</v>
      </c>
      <c r="T32">
        <f t="shared" si="10"/>
        <v>10748.566273383811</v>
      </c>
      <c r="U32" s="176">
        <f t="shared" si="11"/>
        <v>10748.566273383811</v>
      </c>
      <c r="V32" s="165">
        <f>IF(U32&lt;V$5,V$5-U32,IF(U32&gt;=V$5,0))*('Electrical System Specification'!D$16*'Electrical System Specification'!Q$16)</f>
        <v>0</v>
      </c>
      <c r="W32" s="28">
        <f t="shared" si="12"/>
        <v>0</v>
      </c>
      <c r="X32" s="165">
        <f>IF(U32&gt;V$5,U32-V$5,0)*'Electrical System Specification'!D$17</f>
        <v>1761.512081596491</v>
      </c>
      <c r="Y32">
        <f>(X32*C32)*'Electrical System Specification'!D$17</f>
        <v>227.50268010163271</v>
      </c>
      <c r="Z32" s="165">
        <f t="shared" si="13"/>
        <v>-227.50268010163271</v>
      </c>
      <c r="AA32" s="165">
        <f t="shared" si="14"/>
        <v>16697.766928082674</v>
      </c>
      <c r="AB32" s="165"/>
    </row>
    <row r="33" spans="3:28" x14ac:dyDescent="0.2">
      <c r="C33" s="148">
        <v>0.1457535201374601</v>
      </c>
      <c r="D33">
        <f t="shared" si="1"/>
        <v>3.6135674622989913</v>
      </c>
      <c r="E33" s="164">
        <v>8697.4138708739829</v>
      </c>
      <c r="F33" s="165">
        <f>E33/'Electrical System Specification'!AC$4</f>
        <v>8874.9121131367174</v>
      </c>
      <c r="G33" s="146">
        <f>F33/('Electrical System Specification'!X$16*'Electrical System Specification'!J$16*'Electrical System Specification'!D$17)</f>
        <v>11049.992670372923</v>
      </c>
      <c r="H33" s="165"/>
      <c r="I33" s="173">
        <f t="shared" si="2"/>
        <v>6871.6622130335309</v>
      </c>
      <c r="J33" s="173">
        <f t="shared" si="3"/>
        <v>7621.6306710664712</v>
      </c>
      <c r="K33" s="174">
        <f>IF(E33&gt;I33,'Electrical System Specification'!AC$4*'Electrical System Specification'!J$16*'Electrical System Specification'!D$16*'Electrical System Specification'!D$17*'Electrical System Specification'!X$16)</f>
        <v>0.70838712000000004</v>
      </c>
      <c r="L33" s="174" t="b">
        <f>IF(E33&lt;I33,'Electrical System Specification'!X$16*'Electrical System Specification'!Q$16*'Electrical System Specification'!AC$4*'Electrical System Specification'!J$16)</f>
        <v>0</v>
      </c>
      <c r="M33" s="174">
        <f t="shared" si="0"/>
        <v>0.70838712000000004</v>
      </c>
      <c r="N33" s="174">
        <f t="shared" si="4"/>
        <v>6161.1359634364726</v>
      </c>
      <c r="O33" s="173">
        <f t="shared" si="5"/>
        <v>1825.751657840452</v>
      </c>
      <c r="P33" s="174">
        <f t="shared" si="6"/>
        <v>2577.3360445069243</v>
      </c>
      <c r="Q33" s="174">
        <f t="shared" si="16"/>
        <v>8270.8960076684452</v>
      </c>
      <c r="R33" s="174">
        <f t="shared" si="15"/>
        <v>0</v>
      </c>
      <c r="S33" s="165" t="b">
        <f t="shared" si="9"/>
        <v>0</v>
      </c>
      <c r="T33">
        <f t="shared" si="10"/>
        <v>10848.23205217537</v>
      </c>
      <c r="U33" s="176">
        <f t="shared" si="11"/>
        <v>10848.23205217537</v>
      </c>
      <c r="V33" s="165">
        <f>IF(U33&lt;V$5,V$5-U33,IF(U33&gt;=V$5,0))*('Electrical System Specification'!D$16*'Electrical System Specification'!Q$16)</f>
        <v>0</v>
      </c>
      <c r="W33" s="28">
        <f t="shared" si="12"/>
        <v>0</v>
      </c>
      <c r="X33" s="165">
        <f>IF(U33&gt;V$5,U33-V$5,0)*'Electrical System Specification'!D$17</f>
        <v>1851.2112825088943</v>
      </c>
      <c r="Y33">
        <f>(X33*C33)*'Electrical System Specification'!D$17</f>
        <v>242.83850484946814</v>
      </c>
      <c r="Z33" s="165">
        <f t="shared" si="13"/>
        <v>-242.83850484946814</v>
      </c>
      <c r="AA33" s="165">
        <f t="shared" si="14"/>
        <v>16454.928423233207</v>
      </c>
      <c r="AB33" s="165"/>
    </row>
    <row r="34" spans="3:28" x14ac:dyDescent="0.2">
      <c r="C34" s="148">
        <v>0.14519574058855059</v>
      </c>
      <c r="D34">
        <f t="shared" si="1"/>
        <v>3.758763202887542</v>
      </c>
      <c r="E34" s="164">
        <v>8767.6665793996981</v>
      </c>
      <c r="F34" s="165">
        <f>E34/'Electrical System Specification'!AC$4</f>
        <v>8946.5985504078562</v>
      </c>
      <c r="G34" s="146">
        <f>F34/('Electrical System Specification'!X$16*'Electrical System Specification'!J$16*'Electrical System Specification'!D$17)</f>
        <v>11139.248157786564</v>
      </c>
      <c r="H34" s="165"/>
      <c r="I34" s="173">
        <f t="shared" si="2"/>
        <v>6871.6622130335309</v>
      </c>
      <c r="J34" s="173">
        <f t="shared" si="3"/>
        <v>7621.6306710664712</v>
      </c>
      <c r="K34" s="174">
        <f>IF(E34&gt;I34,'Electrical System Specification'!AC$4*'Electrical System Specification'!J$16*'Electrical System Specification'!D$16*'Electrical System Specification'!D$17*'Electrical System Specification'!X$16)</f>
        <v>0.70838712000000004</v>
      </c>
      <c r="L34" s="174" t="b">
        <f>IF(E34&lt;I34,'Electrical System Specification'!X$16*'Electrical System Specification'!Q$16*'Electrical System Specification'!AC$4*'Electrical System Specification'!J$16)</f>
        <v>0</v>
      </c>
      <c r="M34" s="174">
        <f t="shared" si="0"/>
        <v>0.70838712000000004</v>
      </c>
      <c r="N34" s="174">
        <f t="shared" si="4"/>
        <v>6210.9020773012035</v>
      </c>
      <c r="O34" s="173">
        <f t="shared" si="5"/>
        <v>1896.0043663661672</v>
      </c>
      <c r="P34" s="174">
        <f t="shared" si="6"/>
        <v>2676.5088082998559</v>
      </c>
      <c r="Q34" s="174">
        <f t="shared" si="16"/>
        <v>8270.8960076684452</v>
      </c>
      <c r="R34" s="174">
        <f t="shared" si="15"/>
        <v>0</v>
      </c>
      <c r="S34" s="165" t="b">
        <f t="shared" si="9"/>
        <v>0</v>
      </c>
      <c r="T34">
        <f t="shared" si="10"/>
        <v>10947.404815968301</v>
      </c>
      <c r="U34" s="176">
        <f t="shared" si="11"/>
        <v>10947.404815968301</v>
      </c>
      <c r="V34" s="165">
        <f>IF(U34&lt;V$5,V$5-U34,IF(U34&gt;=V$5,0))*('Electrical System Specification'!D$16*'Electrical System Specification'!Q$16)</f>
        <v>0</v>
      </c>
      <c r="W34" s="28">
        <f t="shared" si="12"/>
        <v>0</v>
      </c>
      <c r="X34" s="165">
        <f>IF(U34&gt;V$5,U34-V$5,0)*'Electrical System Specification'!D$17</f>
        <v>1940.466769922532</v>
      </c>
      <c r="Y34">
        <f>(X34*C34)*'Electrical System Specification'!D$17</f>
        <v>253.5727587717372</v>
      </c>
      <c r="Z34" s="165">
        <f t="shared" si="13"/>
        <v>-253.5727587717372</v>
      </c>
      <c r="AA34" s="165">
        <f t="shared" si="14"/>
        <v>16201.355664461469</v>
      </c>
      <c r="AB34" s="165"/>
    </row>
    <row r="35" spans="3:28" x14ac:dyDescent="0.2">
      <c r="C35" s="148">
        <v>0.14483785622942227</v>
      </c>
      <c r="D35">
        <f t="shared" si="1"/>
        <v>3.9036010591169643</v>
      </c>
      <c r="E35" s="164">
        <v>8838.0333827933118</v>
      </c>
      <c r="F35" s="165">
        <f>E35/'Electrical System Specification'!AC$4</f>
        <v>9018.4014110135831</v>
      </c>
      <c r="G35" s="146">
        <f>F35/('Electrical System Specification'!X$16*'Electrical System Specification'!J$16*'Electrical System Specification'!D$17)</f>
        <v>11228.64860178991</v>
      </c>
      <c r="H35" s="165"/>
      <c r="I35" s="173">
        <f t="shared" si="2"/>
        <v>6871.6622130335309</v>
      </c>
      <c r="J35" s="173">
        <f t="shared" si="3"/>
        <v>7621.6306710664712</v>
      </c>
      <c r="K35" s="174">
        <f>IF(E35&gt;I35,'Electrical System Specification'!AC$4*'Electrical System Specification'!J$16*'Electrical System Specification'!D$16*'Electrical System Specification'!D$17*'Electrical System Specification'!X$16)</f>
        <v>0.70838712000000004</v>
      </c>
      <c r="L35" s="174" t="b">
        <f>IF(E35&lt;I35,'Electrical System Specification'!X$16*'Electrical System Specification'!Q$16*'Electrical System Specification'!AC$4*'Electrical System Specification'!J$16)</f>
        <v>0</v>
      </c>
      <c r="M35" s="174">
        <f t="shared" si="0"/>
        <v>0.70838712000000004</v>
      </c>
      <c r="N35" s="174">
        <f t="shared" si="4"/>
        <v>6260.7490145008123</v>
      </c>
      <c r="O35" s="173">
        <f t="shared" si="5"/>
        <v>1966.371169759781</v>
      </c>
      <c r="P35" s="174">
        <f t="shared" si="6"/>
        <v>2775.8426349702418</v>
      </c>
      <c r="Q35" s="174">
        <f t="shared" si="16"/>
        <v>8270.8960076684452</v>
      </c>
      <c r="R35" s="174">
        <f t="shared" si="15"/>
        <v>0</v>
      </c>
      <c r="S35" s="165" t="b">
        <f t="shared" si="9"/>
        <v>0</v>
      </c>
      <c r="T35">
        <f t="shared" si="10"/>
        <v>11046.738642638687</v>
      </c>
      <c r="U35" s="176">
        <f t="shared" si="11"/>
        <v>11046.738642638687</v>
      </c>
      <c r="V35" s="165">
        <f>IF(U35&lt;V$5,V$5-U35,IF(U35&gt;=V$5,0))*('Electrical System Specification'!D$16*'Electrical System Specification'!Q$16)</f>
        <v>0</v>
      </c>
      <c r="W35" s="28">
        <f t="shared" si="12"/>
        <v>0</v>
      </c>
      <c r="X35" s="165">
        <f>IF(U35&gt;V$5,U35-V$5,0)*'Electrical System Specification'!D$17</f>
        <v>2029.8672139258802</v>
      </c>
      <c r="Y35">
        <f>(X35*C35)*'Electrical System Specification'!D$17</f>
        <v>264.60145412587309</v>
      </c>
      <c r="Z35" s="165">
        <f t="shared" si="13"/>
        <v>-264.60145412587309</v>
      </c>
      <c r="AA35" s="165">
        <f t="shared" si="14"/>
        <v>15936.754210335595</v>
      </c>
      <c r="AB35" s="165"/>
    </row>
    <row r="36" spans="3:28" x14ac:dyDescent="0.2">
      <c r="C36" s="148">
        <v>0.14439205502324237</v>
      </c>
      <c r="D36">
        <f t="shared" si="1"/>
        <v>4.0479931141402066</v>
      </c>
      <c r="E36" s="164">
        <v>8908.4358289284937</v>
      </c>
      <c r="F36" s="165">
        <f>E36/'Electrical System Specification'!AC$4</f>
        <v>9090.2406417637685</v>
      </c>
      <c r="G36" s="146">
        <f>F36/('Electrical System Specification'!X$16*'Electrical System Specification'!J$16*'Electrical System Specification'!D$17)</f>
        <v>11318.09432960278</v>
      </c>
      <c r="H36" s="165"/>
      <c r="I36" s="173">
        <f t="shared" si="2"/>
        <v>6871.6622130335309</v>
      </c>
      <c r="J36" s="173">
        <f t="shared" si="3"/>
        <v>7621.6306710664712</v>
      </c>
      <c r="K36" s="174">
        <f>IF(E36&gt;I36,'Electrical System Specification'!AC$4*'Electrical System Specification'!J$16*'Electrical System Specification'!D$16*'Electrical System Specification'!D$17*'Electrical System Specification'!X$16)</f>
        <v>0.70838712000000004</v>
      </c>
      <c r="L36" s="174" t="b">
        <f>IF(E36&lt;I36,'Electrical System Specification'!X$16*'Electrical System Specification'!Q$16*'Electrical System Specification'!AC$4*'Electrical System Specification'!J$16)</f>
        <v>0</v>
      </c>
      <c r="M36" s="174">
        <f t="shared" si="0"/>
        <v>0.70838712000000004</v>
      </c>
      <c r="N36" s="174">
        <f t="shared" si="4"/>
        <v>6310.6212005594689</v>
      </c>
      <c r="O36" s="173">
        <f t="shared" si="5"/>
        <v>2036.7736158949629</v>
      </c>
      <c r="P36" s="174">
        <f t="shared" si="6"/>
        <v>2875.226776984543</v>
      </c>
      <c r="Q36" s="174">
        <f t="shared" si="16"/>
        <v>8270.8960076684452</v>
      </c>
      <c r="R36" s="174">
        <f t="shared" si="15"/>
        <v>0</v>
      </c>
      <c r="S36" s="165" t="b">
        <f t="shared" si="9"/>
        <v>0</v>
      </c>
      <c r="T36">
        <f t="shared" si="10"/>
        <v>11146.122784652987</v>
      </c>
      <c r="U36" s="176">
        <f t="shared" si="11"/>
        <v>11146.122784652987</v>
      </c>
      <c r="V36" s="165">
        <f>IF(U36&lt;V$5,V$5-U36,IF(U36&gt;=V$5,0))*('Electrical System Specification'!D$16*'Electrical System Specification'!Q$16)</f>
        <v>0</v>
      </c>
      <c r="W36" s="28">
        <f t="shared" si="12"/>
        <v>0</v>
      </c>
      <c r="X36" s="165">
        <f>IF(U36&gt;V$5,U36-V$5,0)*'Electrical System Specification'!D$17</f>
        <v>2119.3129417387499</v>
      </c>
      <c r="Y36">
        <f>(X36*C36)*'Electrical System Specification'!D$17</f>
        <v>275.41075580551012</v>
      </c>
      <c r="Z36" s="165">
        <f t="shared" si="13"/>
        <v>-275.41075580551012</v>
      </c>
      <c r="AA36" s="165">
        <f t="shared" si="14"/>
        <v>15661.343454530086</v>
      </c>
      <c r="AB36" s="165"/>
    </row>
    <row r="37" spans="3:28" x14ac:dyDescent="0.2">
      <c r="C37" s="148">
        <v>0.14418896963946312</v>
      </c>
      <c r="D37">
        <f t="shared" si="1"/>
        <v>4.1921820837796693</v>
      </c>
      <c r="E37" s="164">
        <v>8979.032961951094</v>
      </c>
      <c r="F37" s="165">
        <f>E37/'Electrical System Specification'!AC$4</f>
        <v>9162.2785326031571</v>
      </c>
      <c r="G37" s="146">
        <f>F37/('Electrical System Specification'!X$16*'Electrical System Specification'!J$16*'Electrical System Specification'!D$17)</f>
        <v>11407.787405502213</v>
      </c>
      <c r="H37" s="165"/>
      <c r="I37" s="173">
        <f t="shared" si="2"/>
        <v>6871.6622130335309</v>
      </c>
      <c r="J37" s="173">
        <f t="shared" si="3"/>
        <v>7621.6306710664712</v>
      </c>
      <c r="K37" s="174">
        <f>IF(E37&gt;I37,'Electrical System Specification'!AC$4*'Electrical System Specification'!J$16*'Electrical System Specification'!D$16*'Electrical System Specification'!D$17*'Electrical System Specification'!X$16)</f>
        <v>0.70838712000000004</v>
      </c>
      <c r="L37" s="174" t="b">
        <f>IF(E37&lt;I37,'Electrical System Specification'!X$16*'Electrical System Specification'!Q$16*'Electrical System Specification'!AC$4*'Electrical System Specification'!J$16)</f>
        <v>0</v>
      </c>
      <c r="M37" s="174">
        <f t="shared" si="0"/>
        <v>0.70838712000000004</v>
      </c>
      <c r="N37" s="174">
        <f t="shared" si="4"/>
        <v>6360.6313003016057</v>
      </c>
      <c r="O37" s="173">
        <f t="shared" si="5"/>
        <v>2107.3707489175631</v>
      </c>
      <c r="P37" s="174">
        <f t="shared" si="6"/>
        <v>2974.8857502061346</v>
      </c>
      <c r="Q37" s="174">
        <f t="shared" si="16"/>
        <v>8270.8960076684452</v>
      </c>
      <c r="R37" s="174">
        <f t="shared" si="15"/>
        <v>0</v>
      </c>
      <c r="S37" s="165" t="b">
        <f t="shared" si="9"/>
        <v>0</v>
      </c>
      <c r="T37">
        <f t="shared" si="10"/>
        <v>11245.78175787458</v>
      </c>
      <c r="U37" s="176">
        <f t="shared" si="11"/>
        <v>11245.78175787458</v>
      </c>
      <c r="V37" s="165">
        <f>IF(U37&lt;V$5,V$5-U37,IF(U37&gt;=V$5,0))*('Electrical System Specification'!D$16*'Electrical System Specification'!Q$16)</f>
        <v>0</v>
      </c>
      <c r="W37" s="28">
        <f t="shared" si="12"/>
        <v>0</v>
      </c>
      <c r="X37" s="165">
        <f>IF(U37&gt;V$5,U37-V$5,0)*'Electrical System Specification'!D$17</f>
        <v>2209.0060176381835</v>
      </c>
      <c r="Y37">
        <f>(X37*C37)*'Electrical System Specification'!D$17</f>
        <v>286.66287144956101</v>
      </c>
      <c r="Z37" s="165">
        <f t="shared" si="13"/>
        <v>-286.66287144956101</v>
      </c>
      <c r="AA37" s="165">
        <f t="shared" si="14"/>
        <v>15374.680583080524</v>
      </c>
      <c r="AB37" s="165"/>
    </row>
    <row r="38" spans="3:28" x14ac:dyDescent="0.2">
      <c r="C38" s="148">
        <v>0.14397636629285002</v>
      </c>
      <c r="D38">
        <f t="shared" si="1"/>
        <v>4.336158450072519</v>
      </c>
      <c r="E38" s="164">
        <v>9049.7898992570445</v>
      </c>
      <c r="F38" s="165">
        <f>E38/'Electrical System Specification'!AC$4</f>
        <v>9234.4794890377998</v>
      </c>
      <c r="G38" s="146">
        <f>F38/('Electrical System Specification'!X$16*'Electrical System Specification'!J$16*'Electrical System Specification'!D$17)</f>
        <v>11497.683511427113</v>
      </c>
      <c r="H38" s="165"/>
      <c r="I38" s="173">
        <f t="shared" si="2"/>
        <v>6871.6622130335309</v>
      </c>
      <c r="J38" s="173">
        <f t="shared" si="3"/>
        <v>7621.6306710664712</v>
      </c>
      <c r="K38" s="174">
        <f>IF(E38&gt;I38,'Electrical System Specification'!AC$4*'Electrical System Specification'!J$16*'Electrical System Specification'!D$16*'Electrical System Specification'!D$17*'Electrical System Specification'!X$16)</f>
        <v>0.70838712000000004</v>
      </c>
      <c r="L38" s="174" t="b">
        <f>IF(E38&lt;I38,'Electrical System Specification'!X$16*'Electrical System Specification'!Q$16*'Electrical System Specification'!AC$4*'Electrical System Specification'!J$16)</f>
        <v>0</v>
      </c>
      <c r="M38" s="174">
        <f t="shared" si="0"/>
        <v>0.70838712000000004</v>
      </c>
      <c r="N38" s="174">
        <f t="shared" si="4"/>
        <v>6410.7546033397884</v>
      </c>
      <c r="O38" s="173">
        <f t="shared" si="5"/>
        <v>2178.1276862235136</v>
      </c>
      <c r="P38" s="174">
        <f t="shared" si="6"/>
        <v>3074.7703123449132</v>
      </c>
      <c r="Q38" s="174">
        <f t="shared" si="16"/>
        <v>8270.8960076684452</v>
      </c>
      <c r="R38" s="174">
        <f t="shared" si="15"/>
        <v>0</v>
      </c>
      <c r="S38" s="165" t="b">
        <f t="shared" si="9"/>
        <v>0</v>
      </c>
      <c r="T38">
        <f t="shared" si="10"/>
        <v>11345.666320013359</v>
      </c>
      <c r="U38" s="176">
        <f t="shared" si="11"/>
        <v>11345.666320013359</v>
      </c>
      <c r="V38" s="165">
        <f>IF(U38&lt;V$5,V$5-U38,IF(U38&gt;=V$5,0))*('Electrical System Specification'!D$16*'Electrical System Specification'!Q$16)</f>
        <v>0</v>
      </c>
      <c r="W38" s="28">
        <f t="shared" si="12"/>
        <v>0</v>
      </c>
      <c r="X38" s="165">
        <f>IF(U38&gt;V$5,U38-V$5,0)*'Electrical System Specification'!D$17</f>
        <v>2298.9021235630844</v>
      </c>
      <c r="Y38">
        <f>(X38*C38)*'Electrical System Specification'!D$17</f>
        <v>297.88881679217644</v>
      </c>
      <c r="Z38" s="165">
        <f t="shared" si="13"/>
        <v>-297.88881679217644</v>
      </c>
      <c r="AA38" s="165">
        <f t="shared" si="14"/>
        <v>15076.791766288348</v>
      </c>
      <c r="AB38" s="165"/>
    </row>
    <row r="39" spans="3:28" x14ac:dyDescent="0.2">
      <c r="C39" s="148">
        <v>0.14389827103843691</v>
      </c>
      <c r="D39">
        <f t="shared" si="1"/>
        <v>4.4800567211109561</v>
      </c>
      <c r="E39" s="164">
        <v>9120.7914116434567</v>
      </c>
      <c r="F39" s="165">
        <f>E39/'Electrical System Specification'!AC$4</f>
        <v>9306.9300118810788</v>
      </c>
      <c r="G39" s="146">
        <f>F39/('Electrical System Specification'!X$16*'Electrical System Specification'!J$16*'Electrical System Specification'!D$17)</f>
        <v>11587.89034797684</v>
      </c>
      <c r="H39" s="165"/>
      <c r="I39" s="173">
        <f t="shared" si="2"/>
        <v>6871.6622130335309</v>
      </c>
      <c r="J39" s="173">
        <f t="shared" si="3"/>
        <v>7621.6306710664712</v>
      </c>
      <c r="K39" s="174">
        <f>IF(E39&gt;I39,'Electrical System Specification'!AC$4*'Electrical System Specification'!J$16*'Electrical System Specification'!D$16*'Electrical System Specification'!D$17*'Electrical System Specification'!X$16)</f>
        <v>0.70838712000000004</v>
      </c>
      <c r="L39" s="174" t="b">
        <f>IF(E39&lt;I39,'Electrical System Specification'!X$16*'Electrical System Specification'!Q$16*'Electrical System Specification'!AC$4*'Electrical System Specification'!J$16)</f>
        <v>0</v>
      </c>
      <c r="M39" s="174">
        <f t="shared" si="0"/>
        <v>0.70838712000000004</v>
      </c>
      <c r="N39" s="174">
        <f t="shared" si="4"/>
        <v>6461.0511602148435</v>
      </c>
      <c r="O39" s="173">
        <f t="shared" si="5"/>
        <v>2249.1291986099259</v>
      </c>
      <c r="P39" s="174">
        <f t="shared" si="6"/>
        <v>3175.0001307334974</v>
      </c>
      <c r="Q39" s="174">
        <f t="shared" si="16"/>
        <v>8270.8960076684452</v>
      </c>
      <c r="R39" s="174">
        <f t="shared" si="15"/>
        <v>0</v>
      </c>
      <c r="S39" s="165" t="b">
        <f t="shared" si="9"/>
        <v>0</v>
      </c>
      <c r="T39">
        <f t="shared" si="10"/>
        <v>11445.896138401942</v>
      </c>
      <c r="U39" s="176">
        <f t="shared" si="11"/>
        <v>11445.896138401942</v>
      </c>
      <c r="V39" s="165">
        <f>IF(U39&lt;V$5,V$5-U39,IF(U39&gt;=V$5,0))*('Electrical System Specification'!D$16*'Electrical System Specification'!Q$16)</f>
        <v>0</v>
      </c>
      <c r="W39" s="28">
        <f t="shared" si="12"/>
        <v>0</v>
      </c>
      <c r="X39" s="165">
        <f>IF(U39&gt;V$5,U39-V$5,0)*'Electrical System Specification'!D$17</f>
        <v>2389.1089601128092</v>
      </c>
      <c r="Y39">
        <f>(X39*C39)*'Electrical System Specification'!D$17</f>
        <v>309.40978381440408</v>
      </c>
      <c r="Z39" s="165">
        <f t="shared" si="13"/>
        <v>-309.40978381440408</v>
      </c>
      <c r="AA39" s="165">
        <f t="shared" si="14"/>
        <v>14767.381982473944</v>
      </c>
      <c r="AB39" s="165"/>
    </row>
    <row r="40" spans="3:28" x14ac:dyDescent="0.2">
      <c r="C40" s="148">
        <v>0.14456395940157563</v>
      </c>
      <c r="D40">
        <f t="shared" si="1"/>
        <v>4.6246206805125318</v>
      </c>
      <c r="E40" s="164">
        <v>4743.6509664132855</v>
      </c>
      <c r="F40" s="165">
        <f>E40/'Electrical System Specification'!AC$4</f>
        <v>4840.4601698094748</v>
      </c>
      <c r="G40" s="146">
        <f>F40/('Electrical System Specification'!X$16*'Electrical System Specification'!J$16*'Electrical System Specification'!D$17)</f>
        <v>6026.7694728441093</v>
      </c>
      <c r="H40" s="165"/>
      <c r="I40" s="173">
        <f t="shared" si="2"/>
        <v>6871.6622130335309</v>
      </c>
      <c r="J40" s="173">
        <f t="shared" si="3"/>
        <v>7621.6306710664712</v>
      </c>
      <c r="K40" s="174" t="b">
        <f>IF(E40&gt;I40,'Electrical System Specification'!AC$4*'Electrical System Specification'!J$16*'Electrical System Specification'!D$16*'Electrical System Specification'!D$17*'Electrical System Specification'!X$16)</f>
        <v>0</v>
      </c>
      <c r="L40" s="174">
        <f>IF(E40&lt;I40,'Electrical System Specification'!X$16*'Electrical System Specification'!Q$16*'Electrical System Specification'!AC$4*'Electrical System Specification'!J$16)</f>
        <v>0.83082440000000002</v>
      </c>
      <c r="M40" s="174">
        <f t="shared" si="0"/>
        <v>0.83082440000000002</v>
      </c>
      <c r="N40" s="174">
        <f t="shared" si="4"/>
        <v>3941.140967979738</v>
      </c>
      <c r="O40" s="173">
        <f t="shared" si="5"/>
        <v>-2128.0112466202454</v>
      </c>
      <c r="P40" s="174" t="b">
        <f t="shared" si="6"/>
        <v>0</v>
      </c>
      <c r="Q40" s="174">
        <f t="shared" si="16"/>
        <v>4743.6509664132855</v>
      </c>
      <c r="R40" s="174">
        <f t="shared" si="15"/>
        <v>5709.5710795365248</v>
      </c>
      <c r="S40" s="165">
        <f t="shared" si="9"/>
        <v>5709.5710795365248</v>
      </c>
      <c r="T40" t="b">
        <f t="shared" si="10"/>
        <v>0</v>
      </c>
      <c r="U40" s="176">
        <f t="shared" si="11"/>
        <v>5709.5710795365248</v>
      </c>
      <c r="V40" s="165">
        <f>IF(U40&lt;V$5,V$5-U40,IF(U40&gt;=V$5,0))*('Electrical System Specification'!D$16*'Electrical System Specification'!Q$16)</f>
        <v>2634.9044132227627</v>
      </c>
      <c r="W40" s="28">
        <f t="shared" si="12"/>
        <v>380.9122146201679</v>
      </c>
      <c r="X40" s="165">
        <f>IF(U40&gt;V$5,U40-V$5,0)*'Electrical System Specification'!D$17</f>
        <v>0</v>
      </c>
      <c r="Y40">
        <f>(X40*C40)*'Electrical System Specification'!D$17</f>
        <v>0</v>
      </c>
      <c r="Z40" s="165">
        <f t="shared" si="13"/>
        <v>380.9122146201679</v>
      </c>
      <c r="AA40" s="165">
        <f t="shared" si="14"/>
        <v>15148.294197094112</v>
      </c>
      <c r="AB40" s="165"/>
    </row>
    <row r="41" spans="3:28" x14ac:dyDescent="0.2">
      <c r="C41" s="148">
        <v>0.14465691462952024</v>
      </c>
      <c r="D41">
        <f t="shared" si="1"/>
        <v>4.7692775951420519</v>
      </c>
      <c r="E41" s="164">
        <v>9208.0379747051611</v>
      </c>
      <c r="F41" s="165">
        <f>E41/'Electrical System Specification'!AC$4</f>
        <v>9395.9571170460822</v>
      </c>
      <c r="G41" s="146">
        <f>F41/('Electrical System Specification'!X$16*'Electrical System Specification'!J$16*'Electrical System Specification'!D$17)</f>
        <v>11698.736387576675</v>
      </c>
      <c r="H41" s="165"/>
      <c r="I41" s="173">
        <f t="shared" si="2"/>
        <v>6871.6622130335309</v>
      </c>
      <c r="J41" s="173">
        <f t="shared" si="3"/>
        <v>7621.6306710664712</v>
      </c>
      <c r="K41" s="174">
        <f>IF(E41&gt;I41,'Electrical System Specification'!AC$4*'Electrical System Specification'!J$16*'Electrical System Specification'!D$16*'Electrical System Specification'!D$17*'Electrical System Specification'!X$16)</f>
        <v>0.70838712000000004</v>
      </c>
      <c r="L41" s="174" t="b">
        <f>IF(E41&lt;I41,'Electrical System Specification'!X$16*'Electrical System Specification'!Q$16*'Electrical System Specification'!AC$4*'Electrical System Specification'!J$16)</f>
        <v>0</v>
      </c>
      <c r="M41" s="174">
        <f t="shared" si="0"/>
        <v>0.70838712000000004</v>
      </c>
      <c r="N41" s="174">
        <f t="shared" si="4"/>
        <v>6522.8555017520221</v>
      </c>
      <c r="O41" s="173">
        <f t="shared" si="5"/>
        <v>2336.3757616716302</v>
      </c>
      <c r="P41" s="174">
        <f t="shared" si="6"/>
        <v>3298.1623969555376</v>
      </c>
      <c r="Q41" s="174">
        <f t="shared" si="16"/>
        <v>8270.8960076684452</v>
      </c>
      <c r="R41" s="174">
        <f t="shared" si="15"/>
        <v>0</v>
      </c>
      <c r="S41" s="165" t="b">
        <f t="shared" si="9"/>
        <v>0</v>
      </c>
      <c r="T41">
        <f t="shared" si="10"/>
        <v>11569.058404623982</v>
      </c>
      <c r="U41" s="176">
        <f t="shared" si="11"/>
        <v>11569.058404623982</v>
      </c>
      <c r="V41" s="165">
        <f>IF(U41&lt;V$5,V$5-U41,IF(U41&gt;=V$5,0))*('Electrical System Specification'!D$16*'Electrical System Specification'!Q$16)</f>
        <v>0</v>
      </c>
      <c r="W41" s="28">
        <f t="shared" si="12"/>
        <v>0</v>
      </c>
      <c r="X41" s="165">
        <f>IF(U41&gt;V$5,U41-V$5,0)*'Electrical System Specification'!D$17</f>
        <v>2499.9549997126451</v>
      </c>
      <c r="Y41">
        <f>(X41*C41)*'Electrical System Specification'!D$17</f>
        <v>325.47219927396696</v>
      </c>
      <c r="Z41" s="165">
        <f t="shared" si="13"/>
        <v>-325.47219927396696</v>
      </c>
      <c r="AA41" s="165">
        <f t="shared" si="14"/>
        <v>14822.821997820145</v>
      </c>
      <c r="AB41" s="165"/>
    </row>
    <row r="42" spans="3:28" x14ac:dyDescent="0.2">
      <c r="C42" s="148">
        <v>0.14489856087715364</v>
      </c>
      <c r="D42">
        <f t="shared" si="1"/>
        <v>4.9141761560192059</v>
      </c>
      <c r="E42" s="164">
        <v>9280.1772310742526</v>
      </c>
      <c r="F42" s="165">
        <f>E42/'Electrical System Specification'!AC$4</f>
        <v>9469.5686031369933</v>
      </c>
      <c r="G42" s="146">
        <f>F42/('Electrical System Specification'!X$16*'Electrical System Specification'!J$16*'Electrical System Specification'!D$17)</f>
        <v>11790.388718483233</v>
      </c>
      <c r="H42" s="165"/>
      <c r="I42" s="173">
        <f t="shared" si="2"/>
        <v>6871.6622130335309</v>
      </c>
      <c r="J42" s="173">
        <f t="shared" si="3"/>
        <v>7621.6306710664712</v>
      </c>
      <c r="K42" s="174">
        <f>IF(E42&gt;I42,'Electrical System Specification'!AC$4*'Electrical System Specification'!J$16*'Electrical System Specification'!D$16*'Electrical System Specification'!D$17*'Electrical System Specification'!X$16)</f>
        <v>0.70838712000000004</v>
      </c>
      <c r="L42" s="174" t="b">
        <f>IF(E42&lt;I42,'Electrical System Specification'!X$16*'Electrical System Specification'!Q$16*'Electrical System Specification'!AC$4*'Electrical System Specification'!J$16)</f>
        <v>0</v>
      </c>
      <c r="M42" s="174">
        <f t="shared" si="0"/>
        <v>0.70838712000000004</v>
      </c>
      <c r="N42" s="174">
        <f t="shared" si="4"/>
        <v>6573.9580218102647</v>
      </c>
      <c r="O42" s="173">
        <f t="shared" si="5"/>
        <v>2408.5150180407218</v>
      </c>
      <c r="P42" s="174">
        <f t="shared" si="6"/>
        <v>3399.9983201850446</v>
      </c>
      <c r="Q42" s="174">
        <f t="shared" si="16"/>
        <v>8270.8960076684452</v>
      </c>
      <c r="R42" s="174">
        <f t="shared" si="15"/>
        <v>0</v>
      </c>
      <c r="S42" s="165" t="b">
        <f t="shared" si="9"/>
        <v>0</v>
      </c>
      <c r="T42">
        <f t="shared" si="10"/>
        <v>11670.89432785349</v>
      </c>
      <c r="U42" s="176">
        <f t="shared" si="11"/>
        <v>11670.89432785349</v>
      </c>
      <c r="V42" s="165">
        <f>IF(U42&lt;V$5,V$5-U42,IF(U42&gt;=V$5,0))*('Electrical System Specification'!D$16*'Electrical System Specification'!Q$16)</f>
        <v>0</v>
      </c>
      <c r="W42" s="28">
        <f t="shared" si="12"/>
        <v>0</v>
      </c>
      <c r="X42" s="165">
        <f>IF(U42&gt;V$5,U42-V$5,0)*'Electrical System Specification'!D$17</f>
        <v>2591.6073306192025</v>
      </c>
      <c r="Y42">
        <f>(X42*C42)*'Electrical System Specification'!D$17</f>
        <v>337.96815530886374</v>
      </c>
      <c r="Z42" s="165">
        <f t="shared" si="13"/>
        <v>-337.96815530886374</v>
      </c>
      <c r="AA42" s="165">
        <f t="shared" si="14"/>
        <v>14484.853842511282</v>
      </c>
      <c r="AB42" s="165"/>
    </row>
    <row r="43" spans="3:28" x14ac:dyDescent="0.2">
      <c r="C43" s="148">
        <v>0.15389846301446788</v>
      </c>
      <c r="D43">
        <f t="shared" si="1"/>
        <v>5.0680746190336734</v>
      </c>
      <c r="E43" s="164">
        <v>0</v>
      </c>
      <c r="F43" s="165">
        <f>E43/'Electrical System Specification'!AC$4</f>
        <v>0</v>
      </c>
      <c r="G43" s="146">
        <f>F43/('Electrical System Specification'!X$16*'Electrical System Specification'!J$16*'Electrical System Specification'!D$17)</f>
        <v>0</v>
      </c>
      <c r="H43" s="165"/>
      <c r="I43" s="173">
        <f t="shared" si="2"/>
        <v>6871.6622130335309</v>
      </c>
      <c r="J43" s="173">
        <f t="shared" si="3"/>
        <v>7621.6306710664712</v>
      </c>
      <c r="K43" s="174" t="b">
        <f>IF(E43&gt;I43,'Electrical System Specification'!AC$4*'Electrical System Specification'!J$16*'Electrical System Specification'!D$16*'Electrical System Specification'!D$17*'Electrical System Specification'!X$16)</f>
        <v>0</v>
      </c>
      <c r="L43" s="174">
        <f>IF(E43&lt;I43,'Electrical System Specification'!X$16*'Electrical System Specification'!Q$16*'Electrical System Specification'!AC$4*'Electrical System Specification'!J$16)</f>
        <v>0.83082440000000002</v>
      </c>
      <c r="M43" s="174">
        <f t="shared" si="0"/>
        <v>0.83082440000000002</v>
      </c>
      <c r="N43" s="174">
        <f t="shared" si="4"/>
        <v>0</v>
      </c>
      <c r="O43" s="173">
        <f t="shared" si="5"/>
        <v>-6871.6622130335309</v>
      </c>
      <c r="P43" s="174" t="b">
        <f t="shared" si="6"/>
        <v>0</v>
      </c>
      <c r="Q43" s="174">
        <f t="shared" si="16"/>
        <v>0</v>
      </c>
      <c r="R43" s="174">
        <f t="shared" si="15"/>
        <v>0</v>
      </c>
      <c r="S43" s="165">
        <f t="shared" si="9"/>
        <v>0</v>
      </c>
      <c r="T43" t="b">
        <f t="shared" si="10"/>
        <v>0</v>
      </c>
      <c r="U43" s="176">
        <f t="shared" si="11"/>
        <v>0</v>
      </c>
      <c r="V43" s="165">
        <f>IF(U43&lt;V$5,V$5-U43,IF(U43&gt;=V$5,0))*('Electrical System Specification'!D$16*'Electrical System Specification'!Q$16)</f>
        <v>7516.5876862264913</v>
      </c>
      <c r="W43" s="28">
        <f t="shared" si="12"/>
        <v>1156.7912920237325</v>
      </c>
      <c r="X43" s="165">
        <f>IF(U43&gt;V$5,U43-V$5,0)*'Electrical System Specification'!D$17</f>
        <v>0</v>
      </c>
      <c r="Y43">
        <f>(X43*C43)*'Electrical System Specification'!D$17</f>
        <v>0</v>
      </c>
      <c r="Z43" s="165">
        <f t="shared" si="13"/>
        <v>1156.7912920237325</v>
      </c>
      <c r="AA43" s="165">
        <f t="shared" si="14"/>
        <v>15641.645134535014</v>
      </c>
      <c r="AB43" s="165"/>
    </row>
    <row r="44" spans="3:28" x14ac:dyDescent="0.2">
      <c r="C44" s="148">
        <v>0.16303550470407729</v>
      </c>
      <c r="D44">
        <f t="shared" si="1"/>
        <v>5.2311101237377509</v>
      </c>
      <c r="E44" s="164">
        <v>0</v>
      </c>
      <c r="F44" s="165">
        <f>E44/'Electrical System Specification'!AC$4</f>
        <v>0</v>
      </c>
      <c r="G44" s="146">
        <f>F44/('Electrical System Specification'!X$16*'Electrical System Specification'!J$16*'Electrical System Specification'!D$17)</f>
        <v>0</v>
      </c>
      <c r="H44" s="165"/>
      <c r="I44" s="173">
        <f t="shared" si="2"/>
        <v>6871.6622130335309</v>
      </c>
      <c r="J44" s="173">
        <f t="shared" si="3"/>
        <v>7621.6306710664712</v>
      </c>
      <c r="K44" s="174" t="b">
        <f>IF(E44&gt;I44,'Electrical System Specification'!AC$4*'Electrical System Specification'!J$16*'Electrical System Specification'!D$16*'Electrical System Specification'!D$17*'Electrical System Specification'!X$16)</f>
        <v>0</v>
      </c>
      <c r="L44" s="174">
        <f>IF(E44&lt;I44,'Electrical System Specification'!X$16*'Electrical System Specification'!Q$16*'Electrical System Specification'!AC$4*'Electrical System Specification'!J$16)</f>
        <v>0.83082440000000002</v>
      </c>
      <c r="M44" s="174">
        <f t="shared" si="0"/>
        <v>0.83082440000000002</v>
      </c>
      <c r="N44" s="174">
        <f t="shared" si="4"/>
        <v>0</v>
      </c>
      <c r="O44" s="173">
        <f t="shared" si="5"/>
        <v>-6871.6622130335309</v>
      </c>
      <c r="P44" s="174" t="b">
        <f t="shared" si="6"/>
        <v>0</v>
      </c>
      <c r="Q44" s="174">
        <f t="shared" si="16"/>
        <v>0</v>
      </c>
      <c r="R44" s="174">
        <f t="shared" si="15"/>
        <v>0</v>
      </c>
      <c r="S44" s="165">
        <f t="shared" si="9"/>
        <v>0</v>
      </c>
      <c r="T44" t="b">
        <f t="shared" si="10"/>
        <v>0</v>
      </c>
      <c r="U44" s="176">
        <f t="shared" si="11"/>
        <v>0</v>
      </c>
      <c r="V44" s="165">
        <f>IF(U44&lt;V$5,V$5-U44,IF(U44&gt;=V$5,0))*('Electrical System Specification'!D$16*'Electrical System Specification'!Q$16)</f>
        <v>7516.5876862264913</v>
      </c>
      <c r="W44" s="28">
        <f t="shared" si="12"/>
        <v>1225.4706670763885</v>
      </c>
      <c r="X44" s="165">
        <f>IF(U44&gt;V$5,U44-V$5,0)*'Electrical System Specification'!D$17</f>
        <v>0</v>
      </c>
      <c r="Y44">
        <f>(X44*C44)*'Electrical System Specification'!D$17</f>
        <v>0</v>
      </c>
      <c r="Z44" s="165">
        <f t="shared" si="13"/>
        <v>1225.4706670763885</v>
      </c>
      <c r="AA44" s="165">
        <f t="shared" si="14"/>
        <v>16867.115801611402</v>
      </c>
      <c r="AB44" s="165"/>
    </row>
    <row r="45" spans="3:28" x14ac:dyDescent="0.2">
      <c r="C45" s="148">
        <v>0.18081613499663454</v>
      </c>
      <c r="D45">
        <f t="shared" si="1"/>
        <v>5.4119262587343853</v>
      </c>
      <c r="E45" s="164">
        <v>0</v>
      </c>
      <c r="F45" s="165">
        <f>E45/'Electrical System Specification'!AC$4</f>
        <v>0</v>
      </c>
      <c r="G45" s="146">
        <f>F45/('Electrical System Specification'!X$16*'Electrical System Specification'!J$16*'Electrical System Specification'!D$17)</f>
        <v>0</v>
      </c>
      <c r="H45" s="165"/>
      <c r="I45" s="173">
        <f t="shared" si="2"/>
        <v>6871.6622130335309</v>
      </c>
      <c r="J45" s="173">
        <f t="shared" si="3"/>
        <v>7621.6306710664712</v>
      </c>
      <c r="K45" s="174" t="b">
        <f>IF(E45&gt;I45,'Electrical System Specification'!AC$4*'Electrical System Specification'!J$16*'Electrical System Specification'!D$16*'Electrical System Specification'!D$17*'Electrical System Specification'!X$16)</f>
        <v>0</v>
      </c>
      <c r="L45" s="174">
        <f>IF(E45&lt;I45,'Electrical System Specification'!X$16*'Electrical System Specification'!Q$16*'Electrical System Specification'!AC$4*'Electrical System Specification'!J$16)</f>
        <v>0.83082440000000002</v>
      </c>
      <c r="M45" s="174">
        <f t="shared" si="0"/>
        <v>0.83082440000000002</v>
      </c>
      <c r="N45" s="174">
        <f t="shared" si="4"/>
        <v>0</v>
      </c>
      <c r="O45" s="173">
        <f t="shared" si="5"/>
        <v>-6871.6622130335309</v>
      </c>
      <c r="P45" s="174" t="b">
        <f t="shared" si="6"/>
        <v>0</v>
      </c>
      <c r="Q45" s="174">
        <f t="shared" si="16"/>
        <v>0</v>
      </c>
      <c r="R45" s="174">
        <f t="shared" si="15"/>
        <v>0</v>
      </c>
      <c r="S45" s="165">
        <f t="shared" si="9"/>
        <v>0</v>
      </c>
      <c r="T45" t="b">
        <f t="shared" si="10"/>
        <v>0</v>
      </c>
      <c r="U45" s="176">
        <f t="shared" si="11"/>
        <v>0</v>
      </c>
      <c r="V45" s="165">
        <f>IF(U45&lt;V$5,V$5-U45,IF(U45&gt;=V$5,0))*('Electrical System Specification'!D$16*'Electrical System Specification'!Q$16)</f>
        <v>7516.5876862264913</v>
      </c>
      <c r="W45" s="28">
        <f t="shared" si="12"/>
        <v>1359.1203337867701</v>
      </c>
      <c r="X45" s="165">
        <f>IF(U45&gt;V$5,U45-V$5,0)*'Electrical System Specification'!D$17</f>
        <v>0</v>
      </c>
      <c r="Y45">
        <f>(X45*C45)*'Electrical System Specification'!D$17</f>
        <v>0</v>
      </c>
      <c r="Z45" s="165">
        <f t="shared" si="13"/>
        <v>1359.1203337867701</v>
      </c>
      <c r="AA45" s="165">
        <f t="shared" si="14"/>
        <v>18226.236135398172</v>
      </c>
      <c r="AB45" s="165"/>
    </row>
    <row r="46" spans="3:28" x14ac:dyDescent="0.2">
      <c r="C46" s="148">
        <v>0.19692137087255546</v>
      </c>
      <c r="D46">
        <f t="shared" si="1"/>
        <v>5.6088476296069407</v>
      </c>
      <c r="E46" s="164">
        <v>0</v>
      </c>
      <c r="F46" s="165">
        <f>E46/'Electrical System Specification'!AC$4</f>
        <v>0</v>
      </c>
      <c r="G46" s="146">
        <f>F46/('Electrical System Specification'!X$16*'Electrical System Specification'!J$16*'Electrical System Specification'!D$17)</f>
        <v>0</v>
      </c>
      <c r="H46" s="165"/>
      <c r="I46" s="173">
        <f t="shared" si="2"/>
        <v>6871.6622130335309</v>
      </c>
      <c r="J46" s="173">
        <f t="shared" si="3"/>
        <v>7621.6306710664712</v>
      </c>
      <c r="K46" s="174" t="b">
        <f>IF(E46&gt;I46,'Electrical System Specification'!AC$4*'Electrical System Specification'!J$16*'Electrical System Specification'!D$16*'Electrical System Specification'!D$17*'Electrical System Specification'!X$16)</f>
        <v>0</v>
      </c>
      <c r="L46" s="174">
        <f>IF(E46&lt;I46,'Electrical System Specification'!X$16*'Electrical System Specification'!Q$16*'Electrical System Specification'!AC$4*'Electrical System Specification'!J$16)</f>
        <v>0.83082440000000002</v>
      </c>
      <c r="M46" s="174">
        <f t="shared" si="0"/>
        <v>0.83082440000000002</v>
      </c>
      <c r="N46" s="174">
        <f t="shared" si="4"/>
        <v>0</v>
      </c>
      <c r="O46" s="173">
        <f t="shared" si="5"/>
        <v>-6871.6622130335309</v>
      </c>
      <c r="P46" s="174" t="b">
        <f t="shared" si="6"/>
        <v>0</v>
      </c>
      <c r="Q46" s="174">
        <f t="shared" si="16"/>
        <v>0</v>
      </c>
      <c r="R46" s="174">
        <f t="shared" si="15"/>
        <v>0</v>
      </c>
      <c r="S46" s="165">
        <f t="shared" si="9"/>
        <v>0</v>
      </c>
      <c r="T46" t="b">
        <f t="shared" si="10"/>
        <v>0</v>
      </c>
      <c r="U46" s="176">
        <f t="shared" si="11"/>
        <v>0</v>
      </c>
      <c r="V46" s="165">
        <f>IF(U46&lt;V$5,V$5-U46,IF(U46&gt;=V$5,0))*('Electrical System Specification'!D$16*'Electrical System Specification'!Q$16)</f>
        <v>7516.5876862264913</v>
      </c>
      <c r="W46" s="28">
        <f t="shared" si="12"/>
        <v>1480.1767514554904</v>
      </c>
      <c r="X46" s="165">
        <f>IF(U46&gt;V$5,U46-V$5,0)*'Electrical System Specification'!D$17</f>
        <v>0</v>
      </c>
      <c r="Y46">
        <f>(X46*C46)*'Electrical System Specification'!D$17</f>
        <v>0</v>
      </c>
      <c r="Z46" s="165">
        <f t="shared" si="13"/>
        <v>1480.1767514554904</v>
      </c>
      <c r="AA46" s="165">
        <f t="shared" si="14"/>
        <v>19706.412886853665</v>
      </c>
      <c r="AB46" s="165"/>
    </row>
    <row r="47" spans="3:28" x14ac:dyDescent="0.2">
      <c r="C47" s="148">
        <v>0.21743524936219089</v>
      </c>
      <c r="D47">
        <f t="shared" si="1"/>
        <v>5.8262828789691312</v>
      </c>
      <c r="E47" s="164">
        <v>0</v>
      </c>
      <c r="F47" s="165">
        <f>E47/'Electrical System Specification'!AC$4</f>
        <v>0</v>
      </c>
      <c r="G47" s="146">
        <f>F47/('Electrical System Specification'!X$16*'Electrical System Specification'!J$16*'Electrical System Specification'!D$17)</f>
        <v>0</v>
      </c>
      <c r="H47" s="165"/>
      <c r="I47" s="173">
        <f t="shared" si="2"/>
        <v>6871.6622130335309</v>
      </c>
      <c r="J47" s="173">
        <f t="shared" si="3"/>
        <v>7621.6306710664712</v>
      </c>
      <c r="K47" s="174" t="b">
        <f>IF(E47&gt;I47,'Electrical System Specification'!AC$4*'Electrical System Specification'!J$16*'Electrical System Specification'!D$16*'Electrical System Specification'!D$17*'Electrical System Specification'!X$16)</f>
        <v>0</v>
      </c>
      <c r="L47" s="174">
        <f>IF(E47&lt;I47,'Electrical System Specification'!X$16*'Electrical System Specification'!Q$16*'Electrical System Specification'!AC$4*'Electrical System Specification'!J$16)</f>
        <v>0.83082440000000002</v>
      </c>
      <c r="M47" s="174">
        <f t="shared" si="0"/>
        <v>0.83082440000000002</v>
      </c>
      <c r="N47" s="174">
        <f t="shared" si="4"/>
        <v>0</v>
      </c>
      <c r="O47" s="173">
        <f t="shared" si="5"/>
        <v>-6871.6622130335309</v>
      </c>
      <c r="P47" s="174" t="b">
        <f t="shared" si="6"/>
        <v>0</v>
      </c>
      <c r="Q47" s="174">
        <f t="shared" si="16"/>
        <v>0</v>
      </c>
      <c r="R47" s="174">
        <f t="shared" si="15"/>
        <v>0</v>
      </c>
      <c r="S47" s="165">
        <f t="shared" si="9"/>
        <v>0</v>
      </c>
      <c r="T47" t="b">
        <f t="shared" si="10"/>
        <v>0</v>
      </c>
      <c r="U47" s="176">
        <f t="shared" si="11"/>
        <v>0</v>
      </c>
      <c r="V47" s="165">
        <f>IF(U47&lt;V$5,V$5-U47,IF(U47&gt;=V$5,0))*('Electrical System Specification'!D$16*'Electrical System Specification'!Q$16)</f>
        <v>7516.5876862264913</v>
      </c>
      <c r="W47" s="28">
        <f t="shared" si="12"/>
        <v>1634.3711179074305</v>
      </c>
      <c r="X47" s="165">
        <f>IF(U47&gt;V$5,U47-V$5,0)*'Electrical System Specification'!D$17</f>
        <v>0</v>
      </c>
      <c r="Y47">
        <f>(X47*C47)*'Electrical System Specification'!D$17</f>
        <v>0</v>
      </c>
      <c r="Z47" s="165">
        <f t="shared" si="13"/>
        <v>1634.3711179074305</v>
      </c>
      <c r="AA47" s="165">
        <f t="shared" si="14"/>
        <v>21340.784004761095</v>
      </c>
      <c r="AB47" s="165"/>
    </row>
    <row r="48" spans="3:28" x14ac:dyDescent="0.2">
      <c r="C48" s="148">
        <v>0.24582847336108071</v>
      </c>
      <c r="D48">
        <f t="shared" si="1"/>
        <v>6.0721113523302117</v>
      </c>
      <c r="E48" s="164">
        <v>0</v>
      </c>
      <c r="F48" s="165">
        <f>E48/'Electrical System Specification'!AC$4</f>
        <v>0</v>
      </c>
      <c r="G48" s="146">
        <f>F48/('Electrical System Specification'!X$16*'Electrical System Specification'!J$16*'Electrical System Specification'!D$17)</f>
        <v>0</v>
      </c>
      <c r="H48" s="165"/>
      <c r="I48" s="173">
        <f t="shared" si="2"/>
        <v>6871.6622130335309</v>
      </c>
      <c r="J48" s="173">
        <f t="shared" si="3"/>
        <v>7621.6306710664712</v>
      </c>
      <c r="K48" s="174" t="b">
        <f>IF(E48&gt;I48,'Electrical System Specification'!AC$4*'Electrical System Specification'!J$16*'Electrical System Specification'!D$16*'Electrical System Specification'!D$17*'Electrical System Specification'!X$16)</f>
        <v>0</v>
      </c>
      <c r="L48" s="174">
        <f>IF(E48&lt;I48,'Electrical System Specification'!X$16*'Electrical System Specification'!Q$16*'Electrical System Specification'!AC$4*'Electrical System Specification'!J$16)</f>
        <v>0.83082440000000002</v>
      </c>
      <c r="M48" s="174">
        <f t="shared" si="0"/>
        <v>0.83082440000000002</v>
      </c>
      <c r="N48" s="174">
        <f t="shared" si="4"/>
        <v>0</v>
      </c>
      <c r="O48" s="173">
        <f t="shared" si="5"/>
        <v>-6871.6622130335309</v>
      </c>
      <c r="P48" s="174" t="b">
        <f t="shared" si="6"/>
        <v>0</v>
      </c>
      <c r="Q48" s="174">
        <f t="shared" si="16"/>
        <v>0</v>
      </c>
      <c r="R48" s="174">
        <f t="shared" si="15"/>
        <v>0</v>
      </c>
      <c r="S48" s="165">
        <f t="shared" si="9"/>
        <v>0</v>
      </c>
      <c r="T48" t="b">
        <f t="shared" si="10"/>
        <v>0</v>
      </c>
      <c r="U48" s="176">
        <f t="shared" si="11"/>
        <v>0</v>
      </c>
      <c r="V48" s="165">
        <f>IF(U48&lt;V$5,V$5-U48,IF(U48&gt;=V$5,0))*('Electrical System Specification'!D$16*'Electrical System Specification'!Q$16)</f>
        <v>7516.5876862264913</v>
      </c>
      <c r="W48" s="28">
        <f t="shared" si="12"/>
        <v>1847.7912757897564</v>
      </c>
      <c r="X48" s="165">
        <f>IF(U48&gt;V$5,U48-V$5,0)*'Electrical System Specification'!D$17</f>
        <v>0</v>
      </c>
      <c r="Y48">
        <f>(X48*C48)*'Electrical System Specification'!D$17</f>
        <v>0</v>
      </c>
      <c r="Z48" s="165">
        <f t="shared" si="13"/>
        <v>1847.7912757897564</v>
      </c>
      <c r="AA48" s="165">
        <f t="shared" si="14"/>
        <v>23188.575280550853</v>
      </c>
      <c r="AB48" s="165"/>
    </row>
    <row r="49" spans="3:28" x14ac:dyDescent="0.2">
      <c r="C49" s="148">
        <v>0.28787417532950438</v>
      </c>
      <c r="D49">
        <f t="shared" si="1"/>
        <v>6.3599855276597159</v>
      </c>
      <c r="E49" s="164">
        <v>0</v>
      </c>
      <c r="F49" s="165">
        <f>E49/'Electrical System Specification'!AC$4</f>
        <v>0</v>
      </c>
      <c r="G49" s="146">
        <f>F49/('Electrical System Specification'!X$16*'Electrical System Specification'!J$16*'Electrical System Specification'!D$17)</f>
        <v>0</v>
      </c>
      <c r="H49" s="165"/>
      <c r="I49" s="173">
        <f t="shared" si="2"/>
        <v>6871.6622130335309</v>
      </c>
      <c r="J49" s="173">
        <f t="shared" si="3"/>
        <v>7621.6306710664712</v>
      </c>
      <c r="K49" s="174" t="b">
        <f>IF(E49&gt;I49,'Electrical System Specification'!AC$4*'Electrical System Specification'!J$16*'Electrical System Specification'!D$16*'Electrical System Specification'!D$17*'Electrical System Specification'!X$16)</f>
        <v>0</v>
      </c>
      <c r="L49" s="174">
        <f>IF(E49&lt;I49,'Electrical System Specification'!X$16*'Electrical System Specification'!Q$16*'Electrical System Specification'!AC$4*'Electrical System Specification'!J$16)</f>
        <v>0.83082440000000002</v>
      </c>
      <c r="M49" s="174">
        <f t="shared" si="0"/>
        <v>0.83082440000000002</v>
      </c>
      <c r="N49" s="174">
        <f t="shared" si="4"/>
        <v>0</v>
      </c>
      <c r="O49" s="173">
        <f t="shared" si="5"/>
        <v>-6871.6622130335309</v>
      </c>
      <c r="P49" s="174" t="b">
        <f t="shared" si="6"/>
        <v>0</v>
      </c>
      <c r="Q49" s="174">
        <f t="shared" si="16"/>
        <v>0</v>
      </c>
      <c r="R49" s="174">
        <f t="shared" si="15"/>
        <v>0</v>
      </c>
      <c r="S49" s="165">
        <f t="shared" si="9"/>
        <v>0</v>
      </c>
      <c r="T49" t="b">
        <f t="shared" si="10"/>
        <v>0</v>
      </c>
      <c r="U49" s="176">
        <f t="shared" si="11"/>
        <v>0</v>
      </c>
      <c r="V49" s="165">
        <f>IF(U49&lt;V$5,V$5-U49,IF(U49&gt;=V$5,0))*('Electrical System Specification'!D$16*'Electrical System Specification'!Q$16)</f>
        <v>7516.5876862264913</v>
      </c>
      <c r="W49" s="28">
        <f t="shared" si="12"/>
        <v>2163.8314814643586</v>
      </c>
      <c r="X49" s="165">
        <f>IF(U49&gt;V$5,U49-V$5,0)*'Electrical System Specification'!D$17</f>
        <v>0</v>
      </c>
      <c r="Y49">
        <f>(X49*C49)*'Electrical System Specification'!D$17</f>
        <v>0</v>
      </c>
      <c r="Z49" s="165">
        <f t="shared" si="13"/>
        <v>2163.8314814643586</v>
      </c>
      <c r="AA49" s="165">
        <f t="shared" si="14"/>
        <v>25352.406762015213</v>
      </c>
      <c r="AB49" s="165"/>
    </row>
    <row r="50" spans="3:28" x14ac:dyDescent="0.2">
      <c r="C50" s="148">
        <v>0.4896781399371013</v>
      </c>
      <c r="D50">
        <f t="shared" si="1"/>
        <v>6.8496636675968174</v>
      </c>
      <c r="E50" s="164">
        <v>0</v>
      </c>
      <c r="F50" s="165">
        <f>E50/'Electrical System Specification'!AC$4</f>
        <v>0</v>
      </c>
      <c r="G50" s="146">
        <f>F50/('Electrical System Specification'!X$16*'Electrical System Specification'!J$16*'Electrical System Specification'!D$17)</f>
        <v>0</v>
      </c>
      <c r="H50" s="165"/>
      <c r="I50" s="173">
        <f t="shared" si="2"/>
        <v>6871.6622130335309</v>
      </c>
      <c r="J50" s="173">
        <f t="shared" si="3"/>
        <v>7621.6306710664712</v>
      </c>
      <c r="K50" s="174" t="b">
        <f>IF(E50&gt;I50,'Electrical System Specification'!AC$4*'Electrical System Specification'!J$16*'Electrical System Specification'!D$16*'Electrical System Specification'!D$17*'Electrical System Specification'!X$16)</f>
        <v>0</v>
      </c>
      <c r="L50" s="174">
        <f>IF(E50&lt;I50,'Electrical System Specification'!X$16*'Electrical System Specification'!Q$16*'Electrical System Specification'!AC$4*'Electrical System Specification'!J$16)</f>
        <v>0.83082440000000002</v>
      </c>
      <c r="M50" s="174">
        <f t="shared" si="0"/>
        <v>0.83082440000000002</v>
      </c>
      <c r="N50" s="174">
        <f t="shared" si="4"/>
        <v>0</v>
      </c>
      <c r="O50" s="173">
        <f t="shared" si="5"/>
        <v>-6871.6622130335309</v>
      </c>
      <c r="P50" s="174" t="b">
        <f t="shared" si="6"/>
        <v>0</v>
      </c>
      <c r="Q50" s="174">
        <f t="shared" si="16"/>
        <v>0</v>
      </c>
      <c r="R50" s="174">
        <f t="shared" si="15"/>
        <v>0</v>
      </c>
      <c r="S50" s="165">
        <f t="shared" si="9"/>
        <v>0</v>
      </c>
      <c r="T50" t="b">
        <f t="shared" si="10"/>
        <v>0</v>
      </c>
      <c r="U50" s="176">
        <f t="shared" si="11"/>
        <v>0</v>
      </c>
      <c r="V50" s="165">
        <f>IF(U50&lt;V$5,V$5-U50,IF(U50&gt;=V$5,0))*('Electrical System Specification'!D$16*'Electrical System Specification'!Q$16)</f>
        <v>7516.5876862264913</v>
      </c>
      <c r="W50" s="28">
        <f t="shared" si="12"/>
        <v>3680.7086768655081</v>
      </c>
      <c r="X50" s="165">
        <f>IF(U50&gt;V$5,U50-V$5,0)*'Electrical System Specification'!D$17</f>
        <v>0</v>
      </c>
      <c r="Y50">
        <f>(X50*C50)*'Electrical System Specification'!D$17</f>
        <v>0</v>
      </c>
      <c r="Z50" s="165">
        <f t="shared" si="13"/>
        <v>3680.7086768655081</v>
      </c>
      <c r="AA50" s="165">
        <f t="shared" si="14"/>
        <v>29033.115438880719</v>
      </c>
      <c r="AB50" s="165"/>
    </row>
    <row r="51" spans="3:28" x14ac:dyDescent="0.2">
      <c r="C51" s="148">
        <v>0.51533359047649496</v>
      </c>
      <c r="D51">
        <f t="shared" si="1"/>
        <v>7.3649972580733127</v>
      </c>
      <c r="E51" s="164">
        <v>0</v>
      </c>
      <c r="F51" s="165">
        <f>E51/'Electrical System Specification'!AC$4</f>
        <v>0</v>
      </c>
      <c r="G51" s="146">
        <f>F51/('Electrical System Specification'!X$16*'Electrical System Specification'!J$16*'Electrical System Specification'!D$17)</f>
        <v>0</v>
      </c>
      <c r="H51" s="165"/>
      <c r="I51" s="173">
        <f t="shared" si="2"/>
        <v>6871.6622130335309</v>
      </c>
      <c r="J51" s="173">
        <f t="shared" si="3"/>
        <v>7621.6306710664712</v>
      </c>
      <c r="K51" s="174" t="b">
        <f>IF(E51&gt;I51,'Electrical System Specification'!AC$4*'Electrical System Specification'!J$16*'Electrical System Specification'!D$16*'Electrical System Specification'!D$17*'Electrical System Specification'!X$16)</f>
        <v>0</v>
      </c>
      <c r="L51" s="174">
        <f>IF(E51&lt;I51,'Electrical System Specification'!X$16*'Electrical System Specification'!Q$16*'Electrical System Specification'!AC$4*'Electrical System Specification'!J$16)</f>
        <v>0.83082440000000002</v>
      </c>
      <c r="M51" s="174">
        <f t="shared" si="0"/>
        <v>0.83082440000000002</v>
      </c>
      <c r="N51" s="174">
        <f t="shared" si="4"/>
        <v>0</v>
      </c>
      <c r="O51" s="173">
        <f t="shared" si="5"/>
        <v>-6871.6622130335309</v>
      </c>
      <c r="P51" s="174" t="b">
        <f t="shared" si="6"/>
        <v>0</v>
      </c>
      <c r="Q51" s="174">
        <f t="shared" si="16"/>
        <v>0</v>
      </c>
      <c r="R51" s="174">
        <f t="shared" si="15"/>
        <v>0</v>
      </c>
      <c r="S51" s="165">
        <f t="shared" si="9"/>
        <v>0</v>
      </c>
      <c r="T51" t="b">
        <f t="shared" si="10"/>
        <v>0</v>
      </c>
      <c r="U51" s="176">
        <f t="shared" si="11"/>
        <v>0</v>
      </c>
      <c r="V51" s="165">
        <f>IF(U51&lt;V$5,V$5-U51,IF(U51&gt;=V$5,0))*('Electrical System Specification'!D$16*'Electrical System Specification'!Q$16)</f>
        <v>7516.5876862264913</v>
      </c>
      <c r="W51" s="28">
        <f t="shared" si="12"/>
        <v>3873.5501204745074</v>
      </c>
      <c r="X51" s="165">
        <f>IF(U51&gt;V$5,U51-V$5,0)*'Electrical System Specification'!D$17</f>
        <v>0</v>
      </c>
      <c r="Y51">
        <f>(X51*C51)*'Electrical System Specification'!D$17</f>
        <v>0</v>
      </c>
      <c r="Z51" s="165">
        <f t="shared" si="13"/>
        <v>3873.5501204745074</v>
      </c>
      <c r="AA51" s="165">
        <f t="shared" si="14"/>
        <v>32906.665559355228</v>
      </c>
      <c r="AB51" s="165"/>
    </row>
    <row r="52" spans="3:28" x14ac:dyDescent="0.2">
      <c r="C52" s="148">
        <v>0.5177852318861077</v>
      </c>
      <c r="D52">
        <f t="shared" si="1"/>
        <v>7.8827824899594203</v>
      </c>
      <c r="E52" s="164">
        <v>6211.2456793690735</v>
      </c>
      <c r="F52" s="165">
        <f>E52/'Electrical System Specification'!AC$4</f>
        <v>6338.0057952745647</v>
      </c>
      <c r="G52" s="146">
        <f>F52/('Electrical System Specification'!X$16*'Electrical System Specification'!J$16*'Electrical System Specification'!D$17)</f>
        <v>7891.3364650562335</v>
      </c>
      <c r="H52" s="165"/>
      <c r="I52" s="173">
        <f t="shared" si="2"/>
        <v>6871.6622130335309</v>
      </c>
      <c r="J52" s="173">
        <f t="shared" si="3"/>
        <v>7621.6306710664712</v>
      </c>
      <c r="K52" s="174" t="b">
        <f>IF(E52&gt;I52,'Electrical System Specification'!AC$4*'Electrical System Specification'!J$16*'Electrical System Specification'!D$16*'Electrical System Specification'!D$17*'Electrical System Specification'!X$16)</f>
        <v>0</v>
      </c>
      <c r="L52" s="174">
        <f>IF(E52&lt;I52,'Electrical System Specification'!X$16*'Electrical System Specification'!Q$16*'Electrical System Specification'!AC$4*'Electrical System Specification'!J$16)</f>
        <v>0.83082440000000002</v>
      </c>
      <c r="M52" s="174">
        <f t="shared" si="0"/>
        <v>0.83082440000000002</v>
      </c>
      <c r="N52" s="174">
        <f t="shared" si="4"/>
        <v>5160.4544648144029</v>
      </c>
      <c r="O52" s="173">
        <f t="shared" si="5"/>
        <v>-660.41653366445735</v>
      </c>
      <c r="P52" s="174" t="b">
        <f t="shared" si="6"/>
        <v>0</v>
      </c>
      <c r="Q52" s="174">
        <f t="shared" si="16"/>
        <v>6211.2456793690735</v>
      </c>
      <c r="R52" s="174">
        <f t="shared" si="15"/>
        <v>7476.0029668953794</v>
      </c>
      <c r="S52" s="165">
        <f t="shared" si="9"/>
        <v>7476.0029668953794</v>
      </c>
      <c r="T52" t="b">
        <f t="shared" si="10"/>
        <v>0</v>
      </c>
      <c r="U52" s="176">
        <f t="shared" si="11"/>
        <v>7476.0029668953794</v>
      </c>
      <c r="V52" s="165">
        <f>IF(U52&lt;V$5,V$5-U52,IF(U52&gt;=V$5,0))*('Electrical System Specification'!D$16*'Electrical System Specification'!Q$16)</f>
        <v>1124.6051495309423</v>
      </c>
      <c r="W52" s="28">
        <f t="shared" si="12"/>
        <v>582.30393813018975</v>
      </c>
      <c r="X52" s="165">
        <f>IF(U52&gt;V$5,U52-V$5,0)*'Electrical System Specification'!D$17</f>
        <v>0</v>
      </c>
      <c r="Y52">
        <f>(X52*C52)*'Electrical System Specification'!D$17</f>
        <v>0</v>
      </c>
      <c r="Z52" s="165">
        <f t="shared" si="13"/>
        <v>582.30393813018975</v>
      </c>
      <c r="AA52" s="165">
        <f t="shared" si="14"/>
        <v>33488.969497485421</v>
      </c>
      <c r="AB52" s="165"/>
    </row>
    <row r="53" spans="3:28" x14ac:dyDescent="0.2">
      <c r="C53" s="148">
        <v>0.52089757448189367</v>
      </c>
      <c r="D53">
        <f t="shared" si="1"/>
        <v>8.4036800644413141</v>
      </c>
      <c r="E53" s="164">
        <v>0</v>
      </c>
      <c r="F53" s="165">
        <f>E53/'Electrical System Specification'!AC$4</f>
        <v>0</v>
      </c>
      <c r="G53" s="146">
        <f>F53/('Electrical System Specification'!X$16*'Electrical System Specification'!J$16*'Electrical System Specification'!D$17)</f>
        <v>0</v>
      </c>
      <c r="H53" s="165"/>
      <c r="I53" s="173">
        <f t="shared" si="2"/>
        <v>6871.6622130335309</v>
      </c>
      <c r="J53" s="173">
        <f t="shared" si="3"/>
        <v>7621.6306710664712</v>
      </c>
      <c r="K53" s="174" t="b">
        <f>IF(E53&gt;I53,'Electrical System Specification'!AC$4*'Electrical System Specification'!J$16*'Electrical System Specification'!D$16*'Electrical System Specification'!D$17*'Electrical System Specification'!X$16)</f>
        <v>0</v>
      </c>
      <c r="L53" s="174">
        <f>IF(E53&lt;I53,'Electrical System Specification'!X$16*'Electrical System Specification'!Q$16*'Electrical System Specification'!AC$4*'Electrical System Specification'!J$16)</f>
        <v>0.83082440000000002</v>
      </c>
      <c r="M53" s="174">
        <f t="shared" si="0"/>
        <v>0.83082440000000002</v>
      </c>
      <c r="N53" s="174">
        <f t="shared" si="4"/>
        <v>0</v>
      </c>
      <c r="O53" s="173">
        <f t="shared" si="5"/>
        <v>-6871.6622130335309</v>
      </c>
      <c r="P53" s="174" t="b">
        <f t="shared" si="6"/>
        <v>0</v>
      </c>
      <c r="Q53" s="174">
        <f t="shared" si="16"/>
        <v>0</v>
      </c>
      <c r="R53" s="174">
        <f t="shared" si="15"/>
        <v>0</v>
      </c>
      <c r="S53" s="165">
        <f t="shared" si="9"/>
        <v>0</v>
      </c>
      <c r="T53" t="b">
        <f t="shared" si="10"/>
        <v>0</v>
      </c>
      <c r="U53" s="176">
        <f t="shared" si="11"/>
        <v>0</v>
      </c>
      <c r="V53" s="165">
        <f>IF(U53&lt;V$5,V$5-U53,IF(U53&gt;=V$5,0))*('Electrical System Specification'!D$16*'Electrical System Specification'!Q$16)</f>
        <v>7516.5876862264913</v>
      </c>
      <c r="W53" s="28">
        <f t="shared" si="12"/>
        <v>3915.3722941358487</v>
      </c>
      <c r="X53" s="165">
        <f>IF(U53&gt;V$5,U53-V$5,0)*'Electrical System Specification'!D$17</f>
        <v>0</v>
      </c>
      <c r="Y53">
        <f>(X53*C53)*'Electrical System Specification'!D$17</f>
        <v>0</v>
      </c>
      <c r="Z53" s="165">
        <f t="shared" si="13"/>
        <v>3915.3722941358487</v>
      </c>
      <c r="AA53" s="165">
        <f t="shared" si="14"/>
        <v>37404.341791621271</v>
      </c>
      <c r="AB53" s="165"/>
    </row>
    <row r="54" spans="3:28" x14ac:dyDescent="0.2">
      <c r="C54" s="148">
        <v>0.52373822613369858</v>
      </c>
      <c r="D54">
        <f t="shared" si="1"/>
        <v>8.9274182905750123</v>
      </c>
      <c r="E54" s="164">
        <v>0</v>
      </c>
      <c r="F54" s="165">
        <f>E54/'Electrical System Specification'!AC$4</f>
        <v>0</v>
      </c>
      <c r="G54" s="146">
        <f>F54/('Electrical System Specification'!X$16*'Electrical System Specification'!J$16*'Electrical System Specification'!D$17)</f>
        <v>0</v>
      </c>
      <c r="H54" s="165"/>
      <c r="I54" s="173">
        <f t="shared" si="2"/>
        <v>6871.6622130335309</v>
      </c>
      <c r="J54" s="173">
        <f t="shared" si="3"/>
        <v>7621.6306710664712</v>
      </c>
      <c r="K54" s="174" t="b">
        <f>IF(E54&gt;I54,'Electrical System Specification'!AC$4*'Electrical System Specification'!J$16*'Electrical System Specification'!D$16*'Electrical System Specification'!D$17*'Electrical System Specification'!X$16)</f>
        <v>0</v>
      </c>
      <c r="L54" s="174">
        <f>IF(E54&lt;I54,'Electrical System Specification'!X$16*'Electrical System Specification'!Q$16*'Electrical System Specification'!AC$4*'Electrical System Specification'!J$16)</f>
        <v>0.83082440000000002</v>
      </c>
      <c r="M54" s="174">
        <f t="shared" si="0"/>
        <v>0.83082440000000002</v>
      </c>
      <c r="N54" s="174">
        <f t="shared" si="4"/>
        <v>0</v>
      </c>
      <c r="O54" s="173">
        <f t="shared" si="5"/>
        <v>-6871.6622130335309</v>
      </c>
      <c r="P54" s="174" t="b">
        <f t="shared" si="6"/>
        <v>0</v>
      </c>
      <c r="Q54" s="174">
        <f t="shared" si="16"/>
        <v>0</v>
      </c>
      <c r="R54" s="174">
        <f t="shared" si="15"/>
        <v>0</v>
      </c>
      <c r="S54" s="165">
        <f t="shared" si="9"/>
        <v>0</v>
      </c>
      <c r="T54" t="b">
        <f t="shared" si="10"/>
        <v>0</v>
      </c>
      <c r="U54" s="176">
        <f t="shared" si="11"/>
        <v>0</v>
      </c>
      <c r="V54" s="165">
        <f>IF(U54&lt;V$5,V$5-U54,IF(U54&gt;=V$5,0))*('Electrical System Specification'!D$16*'Electrical System Specification'!Q$16)</f>
        <v>7516.5876862264913</v>
      </c>
      <c r="W54" s="28">
        <f t="shared" si="12"/>
        <v>3936.7243013626644</v>
      </c>
      <c r="X54" s="165">
        <f>IF(U54&gt;V$5,U54-V$5,0)*'Electrical System Specification'!D$17</f>
        <v>0</v>
      </c>
      <c r="Y54">
        <f>(X54*C54)*'Electrical System Specification'!D$17</f>
        <v>0</v>
      </c>
      <c r="Z54" s="165">
        <f t="shared" si="13"/>
        <v>3936.7243013626644</v>
      </c>
      <c r="AA54" s="165">
        <f t="shared" si="14"/>
        <v>41341.066092983936</v>
      </c>
      <c r="AB54" s="165"/>
    </row>
    <row r="55" spans="3:28" x14ac:dyDescent="0.2">
      <c r="C55" s="148">
        <v>0.52665006217812038</v>
      </c>
      <c r="D55">
        <f t="shared" si="1"/>
        <v>9.4540683527531328</v>
      </c>
      <c r="E55" s="164">
        <v>0</v>
      </c>
      <c r="F55" s="165">
        <f>E55/'Electrical System Specification'!AC$4</f>
        <v>0</v>
      </c>
      <c r="G55" s="146">
        <f>F55/('Electrical System Specification'!X$16*'Electrical System Specification'!J$16*'Electrical System Specification'!D$17)</f>
        <v>0</v>
      </c>
      <c r="H55" s="165"/>
      <c r="I55" s="173">
        <f t="shared" si="2"/>
        <v>6871.6622130335309</v>
      </c>
      <c r="J55" s="173">
        <f t="shared" si="3"/>
        <v>7621.6306710664712</v>
      </c>
      <c r="K55" s="174" t="b">
        <f>IF(E55&gt;I55,'Electrical System Specification'!AC$4*'Electrical System Specification'!J$16*'Electrical System Specification'!D$16*'Electrical System Specification'!D$17*'Electrical System Specification'!X$16)</f>
        <v>0</v>
      </c>
      <c r="L55" s="174">
        <f>IF(E55&lt;I55,'Electrical System Specification'!X$16*'Electrical System Specification'!Q$16*'Electrical System Specification'!AC$4*'Electrical System Specification'!J$16)</f>
        <v>0.83082440000000002</v>
      </c>
      <c r="M55" s="174">
        <f t="shared" si="0"/>
        <v>0.83082440000000002</v>
      </c>
      <c r="N55" s="174">
        <f t="shared" si="4"/>
        <v>0</v>
      </c>
      <c r="O55" s="173">
        <f t="shared" si="5"/>
        <v>-6871.6622130335309</v>
      </c>
      <c r="P55" s="174" t="b">
        <f t="shared" si="6"/>
        <v>0</v>
      </c>
      <c r="Q55" s="174">
        <f t="shared" si="16"/>
        <v>0</v>
      </c>
      <c r="R55" s="174">
        <f t="shared" si="15"/>
        <v>0</v>
      </c>
      <c r="S55" s="165">
        <f t="shared" si="9"/>
        <v>0</v>
      </c>
      <c r="T55" t="b">
        <f t="shared" si="10"/>
        <v>0</v>
      </c>
      <c r="U55" s="176">
        <f t="shared" si="11"/>
        <v>0</v>
      </c>
      <c r="V55" s="165">
        <f>IF(U55&lt;V$5,V$5-U55,IF(U55&gt;=V$5,0))*('Electrical System Specification'!D$16*'Electrical System Specification'!Q$16)</f>
        <v>7516.5876862264913</v>
      </c>
      <c r="W55" s="28">
        <f t="shared" si="12"/>
        <v>3958.6113723184758</v>
      </c>
      <c r="X55" s="165">
        <f>IF(U55&gt;V$5,U55-V$5,0)*'Electrical System Specification'!D$17</f>
        <v>0</v>
      </c>
      <c r="Y55">
        <f>(X55*C55)*'Electrical System Specification'!D$17</f>
        <v>0</v>
      </c>
      <c r="Z55" s="165">
        <f t="shared" si="13"/>
        <v>3958.6113723184758</v>
      </c>
      <c r="AA55" s="165">
        <f t="shared" si="14"/>
        <v>45299.677465302411</v>
      </c>
      <c r="AB55" s="165"/>
    </row>
    <row r="56" spans="3:28" x14ac:dyDescent="0.2">
      <c r="C56" s="148">
        <v>0.52884525715831221</v>
      </c>
      <c r="D56">
        <f t="shared" si="1"/>
        <v>9.9829136099114457</v>
      </c>
      <c r="E56" s="164">
        <v>0</v>
      </c>
      <c r="F56" s="165">
        <f>E56/'Electrical System Specification'!AC$4</f>
        <v>0</v>
      </c>
      <c r="G56" s="146">
        <f>F56/('Electrical System Specification'!X$16*'Electrical System Specification'!J$16*'Electrical System Specification'!D$17)</f>
        <v>0</v>
      </c>
      <c r="H56" s="165"/>
      <c r="I56" s="173">
        <f t="shared" si="2"/>
        <v>6871.6622130335309</v>
      </c>
      <c r="J56" s="173">
        <f t="shared" si="3"/>
        <v>7621.6306710664712</v>
      </c>
      <c r="K56" s="174" t="b">
        <f>IF(E56&gt;I56,'Electrical System Specification'!AC$4*'Electrical System Specification'!J$16*'Electrical System Specification'!D$16*'Electrical System Specification'!D$17*'Electrical System Specification'!X$16)</f>
        <v>0</v>
      </c>
      <c r="L56" s="174">
        <f>IF(E56&lt;I56,'Electrical System Specification'!X$16*'Electrical System Specification'!Q$16*'Electrical System Specification'!AC$4*'Electrical System Specification'!J$16)</f>
        <v>0.83082440000000002</v>
      </c>
      <c r="M56" s="174">
        <f t="shared" si="0"/>
        <v>0.83082440000000002</v>
      </c>
      <c r="N56" s="174">
        <f t="shared" si="4"/>
        <v>0</v>
      </c>
      <c r="O56" s="173">
        <f t="shared" si="5"/>
        <v>-6871.6622130335309</v>
      </c>
      <c r="P56" s="174" t="b">
        <f t="shared" si="6"/>
        <v>0</v>
      </c>
      <c r="Q56" s="174">
        <f t="shared" si="16"/>
        <v>0</v>
      </c>
      <c r="R56" s="174">
        <f t="shared" si="15"/>
        <v>0</v>
      </c>
      <c r="S56" s="165">
        <f t="shared" si="9"/>
        <v>0</v>
      </c>
      <c r="T56" t="b">
        <f t="shared" si="10"/>
        <v>0</v>
      </c>
      <c r="U56" s="176">
        <f t="shared" si="11"/>
        <v>0</v>
      </c>
      <c r="V56" s="165">
        <f>IF(U56&lt;V$5,V$5-U56,IF(U56&gt;=V$5,0))*('Electrical System Specification'!D$16*'Electrical System Specification'!Q$16)</f>
        <v>7516.5876862264913</v>
      </c>
      <c r="W56" s="28">
        <f t="shared" si="12"/>
        <v>3975.1117478754518</v>
      </c>
      <c r="X56" s="165">
        <f>IF(U56&gt;V$5,U56-V$5,0)*'Electrical System Specification'!D$17</f>
        <v>0</v>
      </c>
      <c r="Y56">
        <f>(X56*C56)*'Electrical System Specification'!D$17</f>
        <v>0</v>
      </c>
      <c r="Z56" s="165">
        <f t="shared" si="13"/>
        <v>3975.1117478754518</v>
      </c>
      <c r="AA56" s="165">
        <f t="shared" si="14"/>
        <v>49274.789213177864</v>
      </c>
      <c r="AB56" s="165"/>
    </row>
    <row r="57" spans="3:28" x14ac:dyDescent="0.2">
      <c r="C57" s="148">
        <v>0.53154875867633722</v>
      </c>
      <c r="D57">
        <f t="shared" si="1"/>
        <v>10.514462368587782</v>
      </c>
      <c r="E57" s="164">
        <v>0</v>
      </c>
      <c r="F57" s="165">
        <f>E57/'Electrical System Specification'!AC$4</f>
        <v>0</v>
      </c>
      <c r="G57" s="146">
        <f>F57/('Electrical System Specification'!X$16*'Electrical System Specification'!J$16*'Electrical System Specification'!D$17)</f>
        <v>0</v>
      </c>
      <c r="H57" s="165"/>
      <c r="I57" s="173">
        <f t="shared" si="2"/>
        <v>6871.6622130335309</v>
      </c>
      <c r="J57" s="173">
        <f t="shared" si="3"/>
        <v>7621.6306710664712</v>
      </c>
      <c r="K57" s="174" t="b">
        <f>IF(E57&gt;I57,'Electrical System Specification'!AC$4*'Electrical System Specification'!J$16*'Electrical System Specification'!D$16*'Electrical System Specification'!D$17*'Electrical System Specification'!X$16)</f>
        <v>0</v>
      </c>
      <c r="L57" s="174">
        <f>IF(E57&lt;I57,'Electrical System Specification'!X$16*'Electrical System Specification'!Q$16*'Electrical System Specification'!AC$4*'Electrical System Specification'!J$16)</f>
        <v>0.83082440000000002</v>
      </c>
      <c r="M57" s="174">
        <f t="shared" si="0"/>
        <v>0.83082440000000002</v>
      </c>
      <c r="N57" s="174">
        <f t="shared" si="4"/>
        <v>0</v>
      </c>
      <c r="O57" s="173">
        <f t="shared" si="5"/>
        <v>-6871.6622130335309</v>
      </c>
      <c r="P57" s="174" t="b">
        <f t="shared" si="6"/>
        <v>0</v>
      </c>
      <c r="Q57" s="174">
        <f t="shared" si="16"/>
        <v>0</v>
      </c>
      <c r="R57" s="174">
        <f t="shared" si="15"/>
        <v>0</v>
      </c>
      <c r="S57" s="165">
        <f t="shared" si="9"/>
        <v>0</v>
      </c>
      <c r="T57" t="b">
        <f t="shared" si="10"/>
        <v>0</v>
      </c>
      <c r="U57" s="176">
        <f t="shared" si="11"/>
        <v>0</v>
      </c>
      <c r="V57" s="165">
        <f>IF(U57&lt;V$5,V$5-U57,IF(U57&gt;=V$5,0))*('Electrical System Specification'!D$16*'Electrical System Specification'!Q$16)</f>
        <v>7516.5876862264913</v>
      </c>
      <c r="W57" s="28">
        <f t="shared" si="12"/>
        <v>3995.432854095533</v>
      </c>
      <c r="X57" s="165">
        <f>IF(U57&gt;V$5,U57-V$5,0)*'Electrical System Specification'!D$17</f>
        <v>0</v>
      </c>
      <c r="Y57">
        <f>(X57*C57)*'Electrical System Specification'!D$17</f>
        <v>0</v>
      </c>
      <c r="Z57" s="165">
        <f t="shared" si="13"/>
        <v>3995.432854095533</v>
      </c>
      <c r="AA57" s="165">
        <f t="shared" si="14"/>
        <v>53270.222067273397</v>
      </c>
      <c r="AB57" s="165"/>
    </row>
    <row r="58" spans="3:28" x14ac:dyDescent="0.2">
      <c r="C58" s="148">
        <v>0.53284877455025448</v>
      </c>
      <c r="D58">
        <f t="shared" si="1"/>
        <v>11.047311143138037</v>
      </c>
      <c r="E58" s="164">
        <v>0</v>
      </c>
      <c r="F58" s="165">
        <f>E58/'Electrical System Specification'!AC$4</f>
        <v>0</v>
      </c>
      <c r="G58" s="146">
        <f>F58/('Electrical System Specification'!X$16*'Electrical System Specification'!J$16*'Electrical System Specification'!D$17)</f>
        <v>0</v>
      </c>
      <c r="H58" s="165"/>
      <c r="I58" s="173">
        <f t="shared" si="2"/>
        <v>6871.6622130335309</v>
      </c>
      <c r="J58" s="173">
        <f t="shared" si="3"/>
        <v>7621.6306710664712</v>
      </c>
      <c r="K58" s="174" t="b">
        <f>IF(E58&gt;I58,'Electrical System Specification'!AC$4*'Electrical System Specification'!J$16*'Electrical System Specification'!D$16*'Electrical System Specification'!D$17*'Electrical System Specification'!X$16)</f>
        <v>0</v>
      </c>
      <c r="L58" s="174">
        <f>IF(E58&lt;I58,'Electrical System Specification'!X$16*'Electrical System Specification'!Q$16*'Electrical System Specification'!AC$4*'Electrical System Specification'!J$16)</f>
        <v>0.83082440000000002</v>
      </c>
      <c r="M58" s="174">
        <f t="shared" si="0"/>
        <v>0.83082440000000002</v>
      </c>
      <c r="N58" s="174">
        <f t="shared" si="4"/>
        <v>0</v>
      </c>
      <c r="O58" s="173">
        <f t="shared" si="5"/>
        <v>-6871.6622130335309</v>
      </c>
      <c r="P58" s="174" t="b">
        <f t="shared" si="6"/>
        <v>0</v>
      </c>
      <c r="Q58" s="174">
        <f t="shared" si="16"/>
        <v>0</v>
      </c>
      <c r="R58" s="174">
        <f t="shared" si="15"/>
        <v>0</v>
      </c>
      <c r="S58" s="165">
        <f t="shared" si="9"/>
        <v>0</v>
      </c>
      <c r="T58" t="b">
        <f t="shared" si="10"/>
        <v>0</v>
      </c>
      <c r="U58" s="176">
        <f t="shared" si="11"/>
        <v>0</v>
      </c>
      <c r="V58" s="165">
        <f>IF(U58&lt;V$5,V$5-U58,IF(U58&gt;=V$5,0))*('Electrical System Specification'!D$16*'Electrical System Specification'!Q$16)</f>
        <v>7516.5876862264913</v>
      </c>
      <c r="W58" s="28">
        <f t="shared" si="12"/>
        <v>4005.2045374053187</v>
      </c>
      <c r="X58" s="165">
        <f>IF(U58&gt;V$5,U58-V$5,0)*'Electrical System Specification'!D$17</f>
        <v>0</v>
      </c>
      <c r="Y58">
        <f>(X58*C58)*'Electrical System Specification'!D$17</f>
        <v>0</v>
      </c>
      <c r="Z58" s="165">
        <f t="shared" si="13"/>
        <v>4005.2045374053187</v>
      </c>
      <c r="AA58" s="165">
        <f t="shared" si="14"/>
        <v>57275.426604678716</v>
      </c>
      <c r="AB58" s="165"/>
    </row>
    <row r="59" spans="3:28" x14ac:dyDescent="0.2">
      <c r="C59" s="148">
        <v>0.46416716992322971</v>
      </c>
      <c r="D59">
        <f t="shared" si="1"/>
        <v>11.511478313061266</v>
      </c>
      <c r="E59" s="164">
        <v>7970.8397222377944</v>
      </c>
      <c r="F59" s="165">
        <f>E59/'Electrical System Specification'!AC$4</f>
        <v>8133.5099206508112</v>
      </c>
      <c r="G59" s="146">
        <f>F59/('Electrical System Specification'!X$16*'Electrical System Specification'!J$16*'Electrical System Specification'!D$17)</f>
        <v>10126.886200322242</v>
      </c>
      <c r="H59" s="165"/>
      <c r="I59" s="173">
        <f t="shared" si="2"/>
        <v>6871.6622130335309</v>
      </c>
      <c r="J59" s="173">
        <f t="shared" si="3"/>
        <v>7621.6306710664712</v>
      </c>
      <c r="K59" s="174">
        <f>IF(E59&gt;I59,'Electrical System Specification'!AC$4*'Electrical System Specification'!J$16*'Electrical System Specification'!D$16*'Electrical System Specification'!D$17*'Electrical System Specification'!X$16)</f>
        <v>0.70838712000000004</v>
      </c>
      <c r="L59" s="174" t="b">
        <f>IF(E59&lt;I59,'Electrical System Specification'!X$16*'Electrical System Specification'!Q$16*'Electrical System Specification'!AC$4*'Electrical System Specification'!J$16)</f>
        <v>0</v>
      </c>
      <c r="M59" s="174">
        <f t="shared" si="0"/>
        <v>0.70838712000000004</v>
      </c>
      <c r="N59" s="174">
        <f t="shared" si="4"/>
        <v>5646.440194817631</v>
      </c>
      <c r="O59" s="173">
        <f t="shared" si="5"/>
        <v>1099.1775092042635</v>
      </c>
      <c r="P59" s="174">
        <f t="shared" si="6"/>
        <v>1551.6621888950542</v>
      </c>
      <c r="Q59" s="174">
        <f t="shared" si="16"/>
        <v>8270.8960076684452</v>
      </c>
      <c r="R59" s="174">
        <f t="shared" si="15"/>
        <v>0</v>
      </c>
      <c r="S59" s="165" t="b">
        <f t="shared" si="9"/>
        <v>0</v>
      </c>
      <c r="T59">
        <f t="shared" si="10"/>
        <v>9822.5581965634992</v>
      </c>
      <c r="U59" s="176">
        <f t="shared" si="11"/>
        <v>9822.5581965634992</v>
      </c>
      <c r="V59" s="165">
        <f>IF(U59&lt;V$5,V$5-U59,IF(U59&gt;=V$5,0))*('Electrical System Specification'!D$16*'Electrical System Specification'!Q$16)</f>
        <v>0</v>
      </c>
      <c r="W59" s="28">
        <f t="shared" si="12"/>
        <v>0</v>
      </c>
      <c r="X59" s="165">
        <f>IF(U59&gt;V$5,U59-V$5,0)*'Electrical System Specification'!D$17</f>
        <v>928.10481245821063</v>
      </c>
      <c r="Y59">
        <f>(X59*C59)*'Electrical System Specification'!D$17</f>
        <v>387.71620577177174</v>
      </c>
      <c r="Z59" s="165">
        <f t="shared" si="13"/>
        <v>-387.71620577177174</v>
      </c>
      <c r="AA59" s="165">
        <f t="shared" si="14"/>
        <v>56887.710398906944</v>
      </c>
      <c r="AB59" s="165"/>
    </row>
    <row r="60" spans="3:28" x14ac:dyDescent="0.2">
      <c r="C60" s="148">
        <v>0.41599559055826751</v>
      </c>
      <c r="D60">
        <f t="shared" si="1"/>
        <v>11.927473903619534</v>
      </c>
      <c r="E60" s="164">
        <v>8802.8904684587615</v>
      </c>
      <c r="F60" s="165">
        <f>E60/'Electrical System Specification'!AC$4</f>
        <v>8982.5412943456759</v>
      </c>
      <c r="G60" s="146">
        <f>F60/('Electrical System Specification'!X$16*'Electrical System Specification'!J$16*'Electrical System Specification'!D$17)</f>
        <v>11183.999818648434</v>
      </c>
      <c r="H60" s="165"/>
      <c r="I60" s="173">
        <f t="shared" si="2"/>
        <v>6871.6622130335309</v>
      </c>
      <c r="J60" s="173">
        <f t="shared" si="3"/>
        <v>7621.6306710664712</v>
      </c>
      <c r="K60" s="174">
        <f>IF(E60&gt;I60,'Electrical System Specification'!AC$4*'Electrical System Specification'!J$16*'Electrical System Specification'!D$16*'Electrical System Specification'!D$17*'Electrical System Specification'!X$16)</f>
        <v>0.70838712000000004</v>
      </c>
      <c r="L60" s="174" t="b">
        <f>IF(E60&lt;I60,'Electrical System Specification'!X$16*'Electrical System Specification'!Q$16*'Electrical System Specification'!AC$4*'Electrical System Specification'!J$16)</f>
        <v>0</v>
      </c>
      <c r="M60" s="174">
        <f t="shared" si="0"/>
        <v>0.70838712000000004</v>
      </c>
      <c r="N60" s="174">
        <f t="shared" si="4"/>
        <v>6235.8542266269533</v>
      </c>
      <c r="O60" s="173">
        <f t="shared" si="5"/>
        <v>1931.2282554252306</v>
      </c>
      <c r="P60" s="174">
        <f t="shared" si="6"/>
        <v>2726.2328759241564</v>
      </c>
      <c r="Q60" s="174">
        <f t="shared" si="16"/>
        <v>8270.8960076684452</v>
      </c>
      <c r="R60" s="174">
        <f t="shared" si="15"/>
        <v>0</v>
      </c>
      <c r="S60" s="165" t="b">
        <f t="shared" si="9"/>
        <v>0</v>
      </c>
      <c r="T60">
        <f t="shared" si="10"/>
        <v>10997.128883592603</v>
      </c>
      <c r="U60" s="176">
        <f t="shared" si="11"/>
        <v>10997.128883592603</v>
      </c>
      <c r="V60" s="165">
        <f>IF(U60&lt;V$5,V$5-U60,IF(U60&gt;=V$5,0))*('Electrical System Specification'!D$16*'Electrical System Specification'!Q$16)</f>
        <v>0</v>
      </c>
      <c r="W60" s="28">
        <f t="shared" si="12"/>
        <v>0</v>
      </c>
      <c r="X60" s="165">
        <f>IF(U60&gt;V$5,U60-V$5,0)*'Electrical System Specification'!D$17</f>
        <v>1985.2184307844036</v>
      </c>
      <c r="Y60">
        <f>(X60*C60)*'Electrical System Specification'!D$17</f>
        <v>743.25790215118366</v>
      </c>
      <c r="Z60" s="165">
        <f t="shared" si="13"/>
        <v>-743.25790215118366</v>
      </c>
      <c r="AA60" s="165">
        <f t="shared" si="14"/>
        <v>56144.452496755759</v>
      </c>
      <c r="AB60" s="165"/>
    </row>
    <row r="61" spans="3:28" x14ac:dyDescent="0.2">
      <c r="C61" s="148">
        <v>0.37929907907664134</v>
      </c>
      <c r="D61">
        <f t="shared" si="1"/>
        <v>12.306772982696176</v>
      </c>
      <c r="E61" s="164">
        <v>9570.9429818575609</v>
      </c>
      <c r="F61" s="165">
        <f>E61/'Electrical System Specification'!AC$4</f>
        <v>9766.2683488342464</v>
      </c>
      <c r="G61" s="146">
        <f>F61/('Electrical System Specification'!X$16*'Electrical System Specification'!J$16*'Electrical System Specification'!D$17)</f>
        <v>12159.804209415617</v>
      </c>
      <c r="H61" s="165"/>
      <c r="I61" s="173">
        <f t="shared" si="2"/>
        <v>6871.6622130335309</v>
      </c>
      <c r="J61" s="173">
        <f t="shared" si="3"/>
        <v>7621.6306710664712</v>
      </c>
      <c r="K61" s="174">
        <f>IF(E61&gt;I61,'Electrical System Specification'!AC$4*'Electrical System Specification'!J$16*'Electrical System Specification'!D$16*'Electrical System Specification'!D$17*'Electrical System Specification'!X$16)</f>
        <v>0.70838712000000004</v>
      </c>
      <c r="L61" s="174" t="b">
        <f>IF(E61&lt;I61,'Electrical System Specification'!X$16*'Electrical System Specification'!Q$16*'Electrical System Specification'!AC$4*'Electrical System Specification'!J$16)</f>
        <v>0</v>
      </c>
      <c r="M61" s="174">
        <f t="shared" si="0"/>
        <v>0.70838712000000004</v>
      </c>
      <c r="N61" s="174">
        <f t="shared" si="4"/>
        <v>6779.9327346022901</v>
      </c>
      <c r="O61" s="173">
        <f t="shared" si="5"/>
        <v>2699.28076882403</v>
      </c>
      <c r="P61" s="174">
        <f t="shared" si="6"/>
        <v>3810.4599767765822</v>
      </c>
      <c r="Q61" s="174">
        <f t="shared" si="16"/>
        <v>8270.8960076684452</v>
      </c>
      <c r="R61" s="174">
        <f t="shared" si="15"/>
        <v>0</v>
      </c>
      <c r="S61" s="165" t="b">
        <f t="shared" si="9"/>
        <v>0</v>
      </c>
      <c r="T61">
        <f t="shared" si="10"/>
        <v>12081.355984445028</v>
      </c>
      <c r="U61" s="176">
        <f t="shared" si="11"/>
        <v>12081.355984445028</v>
      </c>
      <c r="V61" s="165">
        <f>IF(U61&lt;V$5,V$5-U61,IF(U61&gt;=V$5,0))*('Electrical System Specification'!D$16*'Electrical System Specification'!Q$16)</f>
        <v>0</v>
      </c>
      <c r="W61" s="28">
        <f t="shared" si="12"/>
        <v>0</v>
      </c>
      <c r="X61" s="165">
        <f>IF(U61&gt;V$5,U61-V$5,0)*'Electrical System Specification'!D$17</f>
        <v>2961.0228215515867</v>
      </c>
      <c r="Y61">
        <f>(X61*C61)*'Electrical System Specification'!D$17</f>
        <v>1010.8019064054915</v>
      </c>
      <c r="Z61" s="165">
        <f t="shared" si="13"/>
        <v>-1010.8019064054915</v>
      </c>
      <c r="AA61" s="165">
        <f t="shared" si="14"/>
        <v>55133.650590350269</v>
      </c>
      <c r="AB61" s="165"/>
    </row>
    <row r="62" spans="3:28" x14ac:dyDescent="0.2">
      <c r="C62" s="148">
        <v>0.35095383440558814</v>
      </c>
      <c r="D62">
        <f t="shared" si="1"/>
        <v>12.657726817101764</v>
      </c>
      <c r="E62" s="164">
        <v>10289.329949739194</v>
      </c>
      <c r="F62" s="165">
        <f>E62/'Electrical System Specification'!AC$4</f>
        <v>10499.316275244077</v>
      </c>
      <c r="G62" s="146">
        <f>F62/('Electrical System Specification'!X$16*'Electrical System Specification'!J$16*'Electrical System Specification'!D$17)</f>
        <v>13072.508933766718</v>
      </c>
      <c r="H62" s="165"/>
      <c r="I62" s="173">
        <f t="shared" si="2"/>
        <v>6871.6622130335309</v>
      </c>
      <c r="J62" s="173">
        <f t="shared" si="3"/>
        <v>7621.6306710664712</v>
      </c>
      <c r="K62" s="174">
        <f>IF(E62&gt;I62,'Electrical System Specification'!AC$4*'Electrical System Specification'!J$16*'Electrical System Specification'!D$16*'Electrical System Specification'!D$17*'Electrical System Specification'!X$16)</f>
        <v>0.70838712000000004</v>
      </c>
      <c r="L62" s="174" t="b">
        <f>IF(E62&lt;I62,'Electrical System Specification'!X$16*'Electrical System Specification'!Q$16*'Electrical System Specification'!AC$4*'Electrical System Specification'!J$16)</f>
        <v>0</v>
      </c>
      <c r="M62" s="174">
        <f t="shared" si="0"/>
        <v>0.70838712000000004</v>
      </c>
      <c r="N62" s="174">
        <f t="shared" si="4"/>
        <v>7288.8288098254934</v>
      </c>
      <c r="O62" s="173">
        <f t="shared" si="5"/>
        <v>3417.6677367056636</v>
      </c>
      <c r="P62" s="174">
        <f t="shared" si="6"/>
        <v>4824.5763371666944</v>
      </c>
      <c r="Q62" s="174">
        <f t="shared" si="16"/>
        <v>8270.8960076684452</v>
      </c>
      <c r="R62" s="174">
        <f t="shared" si="15"/>
        <v>0</v>
      </c>
      <c r="S62" s="165" t="b">
        <f t="shared" si="9"/>
        <v>0</v>
      </c>
      <c r="T62">
        <f t="shared" si="10"/>
        <v>13095.47234483514</v>
      </c>
      <c r="U62" s="176">
        <f t="shared" si="11"/>
        <v>13095.47234483514</v>
      </c>
      <c r="V62" s="165">
        <f>IF(U62&lt;V$5,V$5-U62,IF(U62&gt;=V$5,0))*('Electrical System Specification'!D$16*'Electrical System Specification'!Q$16)</f>
        <v>0</v>
      </c>
      <c r="W62" s="28">
        <f t="shared" si="12"/>
        <v>0</v>
      </c>
      <c r="X62" s="165">
        <f>IF(U62&gt;V$5,U62-V$5,0)*'Electrical System Specification'!D$17</f>
        <v>3873.7275459026873</v>
      </c>
      <c r="Y62">
        <f>(X62*C62)*'Electrical System Specification'!D$17</f>
        <v>1223.5495821093875</v>
      </c>
      <c r="Z62" s="165">
        <f t="shared" si="13"/>
        <v>-1223.5495821093875</v>
      </c>
      <c r="AA62" s="165">
        <f t="shared" si="14"/>
        <v>53910.101008240883</v>
      </c>
      <c r="AB62" s="165"/>
    </row>
    <row r="63" spans="3:28" x14ac:dyDescent="0.2">
      <c r="C63" s="148">
        <v>0.32867242653214035</v>
      </c>
      <c r="D63">
        <f t="shared" si="1"/>
        <v>12.986399243633905</v>
      </c>
      <c r="E63" s="164">
        <v>10968.697297398066</v>
      </c>
      <c r="F63" s="165">
        <f>E63/'Electrical System Specification'!AC$4</f>
        <v>11192.548262651087</v>
      </c>
      <c r="G63" s="146">
        <f>F63/('Electrical System Specification'!X$16*'Electrical System Specification'!J$16*'Electrical System Specification'!D$17)</f>
        <v>13935.639552083132</v>
      </c>
      <c r="H63" s="165"/>
      <c r="I63" s="173">
        <f t="shared" si="2"/>
        <v>6871.6622130335309</v>
      </c>
      <c r="J63" s="173">
        <f t="shared" si="3"/>
        <v>7621.6306710664712</v>
      </c>
      <c r="K63" s="174">
        <f>IF(E63&gt;I63,'Electrical System Specification'!AC$4*'Electrical System Specification'!J$16*'Electrical System Specification'!D$16*'Electrical System Specification'!D$17*'Electrical System Specification'!X$16)</f>
        <v>0.70838712000000004</v>
      </c>
      <c r="L63" s="174" t="b">
        <f>IF(E63&lt;I63,'Electrical System Specification'!X$16*'Electrical System Specification'!Q$16*'Electrical System Specification'!AC$4*'Electrical System Specification'!J$16)</f>
        <v>0</v>
      </c>
      <c r="M63" s="174">
        <f t="shared" si="0"/>
        <v>0.70838712000000004</v>
      </c>
      <c r="N63" s="174">
        <f t="shared" si="4"/>
        <v>7770.0838886556003</v>
      </c>
      <c r="O63" s="173">
        <f t="shared" si="5"/>
        <v>4097.0350843645356</v>
      </c>
      <c r="P63" s="174">
        <f t="shared" si="6"/>
        <v>5783.6103575182669</v>
      </c>
      <c r="Q63" s="174">
        <f t="shared" si="16"/>
        <v>8270.8960076684452</v>
      </c>
      <c r="R63" s="174">
        <f t="shared" si="15"/>
        <v>0</v>
      </c>
      <c r="S63" s="165" t="b">
        <f t="shared" si="9"/>
        <v>0</v>
      </c>
      <c r="T63">
        <f t="shared" si="10"/>
        <v>14054.506365186713</v>
      </c>
      <c r="U63" s="176">
        <f t="shared" si="11"/>
        <v>14054.506365186713</v>
      </c>
      <c r="V63" s="165">
        <f>IF(U63&lt;V$5,V$5-U63,IF(U63&gt;=V$5,0))*('Electrical System Specification'!D$16*'Electrical System Specification'!Q$16)</f>
        <v>0</v>
      </c>
      <c r="W63" s="28">
        <f t="shared" si="12"/>
        <v>0</v>
      </c>
      <c r="X63" s="165">
        <f>IF(U63&gt;V$5,U63-V$5,0)*'Electrical System Specification'!D$17</f>
        <v>4736.8581642191029</v>
      </c>
      <c r="Y63">
        <f>(X63*C63)*'Electrical System Specification'!D$17</f>
        <v>1401.1872002752252</v>
      </c>
      <c r="Z63" s="165">
        <f t="shared" si="13"/>
        <v>-1401.1872002752252</v>
      </c>
      <c r="AA63" s="165">
        <f t="shared" si="14"/>
        <v>52508.913807965655</v>
      </c>
      <c r="AB63" s="165"/>
    </row>
    <row r="64" spans="3:28" x14ac:dyDescent="0.2">
      <c r="C64" s="148">
        <v>0.31067108477666411</v>
      </c>
      <c r="D64">
        <f t="shared" si="1"/>
        <v>13.29707032841057</v>
      </c>
      <c r="E64" s="164">
        <v>11616.458483151024</v>
      </c>
      <c r="F64" s="165">
        <f>E64/'Electrical System Specification'!AC$4</f>
        <v>11853.529064439821</v>
      </c>
      <c r="G64" s="146">
        <f>F64/('Electrical System Specification'!X$16*'Electrical System Specification'!J$16*'Electrical System Specification'!D$17)</f>
        <v>14758.614802081554</v>
      </c>
      <c r="H64" s="165"/>
      <c r="I64" s="173">
        <f t="shared" si="2"/>
        <v>6871.6622130335309</v>
      </c>
      <c r="J64" s="173">
        <f t="shared" si="3"/>
        <v>7621.6306710664712</v>
      </c>
      <c r="K64" s="174">
        <f>IF(E64&gt;I64,'Electrical System Specification'!AC$4*'Electrical System Specification'!J$16*'Electrical System Specification'!D$16*'Electrical System Specification'!D$17*'Electrical System Specification'!X$16)</f>
        <v>0.70838712000000004</v>
      </c>
      <c r="L64" s="174" t="b">
        <f>IF(E64&lt;I64,'Electrical System Specification'!X$16*'Electrical System Specification'!Q$16*'Electrical System Specification'!AC$4*'Electrical System Specification'!J$16)</f>
        <v>0</v>
      </c>
      <c r="M64" s="174">
        <f t="shared" si="0"/>
        <v>0.70838712000000004</v>
      </c>
      <c r="N64" s="174">
        <f t="shared" si="4"/>
        <v>8228.9495694789221</v>
      </c>
      <c r="O64" s="173">
        <f t="shared" si="5"/>
        <v>4744.7962701174929</v>
      </c>
      <c r="P64" s="174">
        <f t="shared" si="6"/>
        <v>6698.0273019609567</v>
      </c>
      <c r="Q64" s="174">
        <f t="shared" si="16"/>
        <v>8270.8960076684452</v>
      </c>
      <c r="R64" s="174">
        <f t="shared" si="15"/>
        <v>0</v>
      </c>
      <c r="S64" s="165" t="b">
        <f t="shared" si="9"/>
        <v>0</v>
      </c>
      <c r="T64">
        <f t="shared" si="10"/>
        <v>14968.923309629401</v>
      </c>
      <c r="U64" s="176">
        <f t="shared" si="11"/>
        <v>14968.923309629401</v>
      </c>
      <c r="V64" s="165">
        <f>IF(U64&lt;V$5,V$5-U64,IF(U64&gt;=V$5,0))*('Electrical System Specification'!D$16*'Electrical System Specification'!Q$16)</f>
        <v>0</v>
      </c>
      <c r="W64" s="28">
        <f t="shared" si="12"/>
        <v>0</v>
      </c>
      <c r="X64" s="165">
        <f>IF(U64&gt;V$5,U64-V$5,0)*'Electrical System Specification'!D$17</f>
        <v>5559.8334142175227</v>
      </c>
      <c r="Y64">
        <f>(X64*C64)*'Electrical System Specification'!D$17</f>
        <v>1554.5515301752516</v>
      </c>
      <c r="Z64" s="165">
        <f t="shared" si="13"/>
        <v>-1554.5515301752516</v>
      </c>
      <c r="AA64" s="165">
        <f t="shared" si="14"/>
        <v>50954.362277790402</v>
      </c>
      <c r="AB64" s="165"/>
    </row>
    <row r="65" spans="3:28" x14ac:dyDescent="0.2">
      <c r="C65" s="148">
        <v>0.29544311937467999</v>
      </c>
      <c r="D65">
        <f t="shared" si="1"/>
        <v>13.592513447785249</v>
      </c>
      <c r="E65" s="164">
        <v>12237.082902366214</v>
      </c>
      <c r="F65" s="165">
        <f>E65/'Electrical System Specification'!AC$4</f>
        <v>12486.819288128791</v>
      </c>
      <c r="G65" s="146">
        <f>F65/('Electrical System Specification'!X$16*'Electrical System Specification'!J$16*'Electrical System Specification'!D$17)</f>
        <v>15547.113013756649</v>
      </c>
      <c r="H65" s="165"/>
      <c r="I65" s="173">
        <f t="shared" si="2"/>
        <v>6871.6622130335309</v>
      </c>
      <c r="J65" s="173">
        <f t="shared" si="3"/>
        <v>7621.6306710664712</v>
      </c>
      <c r="K65" s="174">
        <f>IF(E65&gt;I65,'Electrical System Specification'!AC$4*'Electrical System Specification'!J$16*'Electrical System Specification'!D$16*'Electrical System Specification'!D$17*'Electrical System Specification'!X$16)</f>
        <v>0.70838712000000004</v>
      </c>
      <c r="L65" s="174" t="b">
        <f>IF(E65&lt;I65,'Electrical System Specification'!X$16*'Electrical System Specification'!Q$16*'Electrical System Specification'!AC$4*'Electrical System Specification'!J$16)</f>
        <v>0</v>
      </c>
      <c r="M65" s="174">
        <f t="shared" si="0"/>
        <v>0.70838712000000004</v>
      </c>
      <c r="N65" s="174">
        <f t="shared" si="4"/>
        <v>8668.5919144084437</v>
      </c>
      <c r="O65" s="173">
        <f t="shared" si="5"/>
        <v>5365.4206893326827</v>
      </c>
      <c r="P65" s="174">
        <f t="shared" si="6"/>
        <v>7574.1364260443961</v>
      </c>
      <c r="Q65" s="174">
        <f t="shared" si="16"/>
        <v>8270.8960076684452</v>
      </c>
      <c r="R65" s="174">
        <f t="shared" si="15"/>
        <v>0</v>
      </c>
      <c r="S65" s="165" t="b">
        <f t="shared" si="9"/>
        <v>0</v>
      </c>
      <c r="T65">
        <f t="shared" si="10"/>
        <v>15845.03243371284</v>
      </c>
      <c r="U65" s="176">
        <f t="shared" si="11"/>
        <v>15845.03243371284</v>
      </c>
      <c r="V65" s="165">
        <f>IF(U65&lt;V$5,V$5-U65,IF(U65&gt;=V$5,0))*('Electrical System Specification'!D$16*'Electrical System Specification'!Q$16)</f>
        <v>0</v>
      </c>
      <c r="W65" s="28">
        <f t="shared" si="12"/>
        <v>0</v>
      </c>
      <c r="X65" s="165">
        <f>IF(U65&gt;V$5,U65-V$5,0)*'Electrical System Specification'!D$17</f>
        <v>6348.3316258926179</v>
      </c>
      <c r="Y65">
        <f>(X65*C65)*'Electrical System Specification'!D$17</f>
        <v>1688.0138085407841</v>
      </c>
      <c r="Z65" s="165">
        <f t="shared" si="13"/>
        <v>-1688.0138085407841</v>
      </c>
      <c r="AA65" s="165">
        <f t="shared" si="14"/>
        <v>49266.34846924962</v>
      </c>
      <c r="AB65" s="165"/>
    </row>
    <row r="66" spans="3:28" x14ac:dyDescent="0.2">
      <c r="C66" s="148">
        <v>0.28228402743501052</v>
      </c>
      <c r="D66">
        <f t="shared" si="1"/>
        <v>13.874797475220261</v>
      </c>
      <c r="E66" s="164">
        <v>8556.1860892176264</v>
      </c>
      <c r="F66" s="165">
        <f>E66/'Electrical System Specification'!AC$4</f>
        <v>8730.8021318547217</v>
      </c>
      <c r="G66" s="146">
        <f>F66/('Electrical System Specification'!X$16*'Electrical System Specification'!J$16*'Electrical System Specification'!D$17)</f>
        <v>10870.563937266201</v>
      </c>
      <c r="H66" s="165"/>
      <c r="I66" s="173">
        <f t="shared" si="2"/>
        <v>6871.6622130335309</v>
      </c>
      <c r="J66" s="173">
        <f t="shared" si="3"/>
        <v>7621.6306710664712</v>
      </c>
      <c r="K66" s="174">
        <f>IF(E66&gt;I66,'Electrical System Specification'!AC$4*'Electrical System Specification'!J$16*'Electrical System Specification'!D$16*'Electrical System Specification'!D$17*'Electrical System Specification'!X$16)</f>
        <v>0.70838712000000004</v>
      </c>
      <c r="L66" s="174" t="b">
        <f>IF(E66&lt;I66,'Electrical System Specification'!X$16*'Electrical System Specification'!Q$16*'Electrical System Specification'!AC$4*'Electrical System Specification'!J$16)</f>
        <v>0</v>
      </c>
      <c r="M66" s="174">
        <f t="shared" si="0"/>
        <v>0.70838712000000004</v>
      </c>
      <c r="N66" s="174">
        <f t="shared" si="4"/>
        <v>6061.0920219249374</v>
      </c>
      <c r="O66" s="173">
        <f t="shared" si="5"/>
        <v>1684.5238761840956</v>
      </c>
      <c r="P66" s="174">
        <f t="shared" si="6"/>
        <v>2377.9707854994531</v>
      </c>
      <c r="Q66" s="174">
        <f t="shared" si="16"/>
        <v>8270.8960076684452</v>
      </c>
      <c r="R66" s="174">
        <f t="shared" si="15"/>
        <v>0</v>
      </c>
      <c r="S66" s="165" t="b">
        <f t="shared" si="9"/>
        <v>0</v>
      </c>
      <c r="T66">
        <f t="shared" si="10"/>
        <v>10648.866793167897</v>
      </c>
      <c r="U66" s="176">
        <f t="shared" si="11"/>
        <v>10648.866793167897</v>
      </c>
      <c r="V66" s="165">
        <f>IF(U66&lt;V$5,V$5-U66,IF(U66&gt;=V$5,0))*('Electrical System Specification'!D$16*'Electrical System Specification'!Q$16)</f>
        <v>0</v>
      </c>
      <c r="W66" s="28">
        <f t="shared" si="12"/>
        <v>0</v>
      </c>
      <c r="X66" s="165">
        <f>IF(U66&gt;V$5,U66-V$5,0)*'Electrical System Specification'!D$17</f>
        <v>1671.782549402169</v>
      </c>
      <c r="Y66">
        <f>(X66*C66)*'Electrical System Specification'!D$17</f>
        <v>424.72575993673235</v>
      </c>
      <c r="Z66" s="165">
        <f t="shared" si="13"/>
        <v>-424.72575993673235</v>
      </c>
      <c r="AA66" s="165">
        <f t="shared" si="14"/>
        <v>48841.622709312891</v>
      </c>
      <c r="AB66" s="165"/>
    </row>
    <row r="67" spans="3:28" x14ac:dyDescent="0.2">
      <c r="C67" s="148">
        <v>0.27078685091094579</v>
      </c>
      <c r="D67">
        <f t="shared" si="1"/>
        <v>14.145584326131207</v>
      </c>
      <c r="E67" s="164">
        <v>8940.7693850955457</v>
      </c>
      <c r="F67" s="165">
        <f>E67/'Electrical System Specification'!AC$4</f>
        <v>9123.2340664240255</v>
      </c>
      <c r="G67" s="146">
        <f>F67/('Electrical System Specification'!X$16*'Electrical System Specification'!J$16*'Electrical System Specification'!D$17)</f>
        <v>11359.173846337</v>
      </c>
      <c r="H67" s="165"/>
      <c r="I67" s="173">
        <f t="shared" si="2"/>
        <v>6871.6622130335309</v>
      </c>
      <c r="J67" s="173">
        <f t="shared" si="3"/>
        <v>7621.6306710664712</v>
      </c>
      <c r="K67" s="174">
        <f>IF(E67&gt;I67,'Electrical System Specification'!AC$4*'Electrical System Specification'!J$16*'Electrical System Specification'!D$16*'Electrical System Specification'!D$17*'Electrical System Specification'!X$16)</f>
        <v>0.70838712000000004</v>
      </c>
      <c r="L67" s="174" t="b">
        <f>IF(E67&lt;I67,'Electrical System Specification'!X$16*'Electrical System Specification'!Q$16*'Electrical System Specification'!AC$4*'Electrical System Specification'!J$16)</f>
        <v>0</v>
      </c>
      <c r="M67" s="174">
        <f t="shared" si="0"/>
        <v>0.70838712000000004</v>
      </c>
      <c r="N67" s="174">
        <f t="shared" si="4"/>
        <v>6333.5258752920045</v>
      </c>
      <c r="O67" s="173">
        <f t="shared" si="5"/>
        <v>2069.1071720620148</v>
      </c>
      <c r="P67" s="174">
        <f t="shared" si="6"/>
        <v>2920.870684467011</v>
      </c>
      <c r="Q67" s="174">
        <f t="shared" si="16"/>
        <v>8270.8960076684452</v>
      </c>
      <c r="R67" s="174">
        <f t="shared" si="15"/>
        <v>0</v>
      </c>
      <c r="S67" s="165" t="b">
        <f t="shared" si="9"/>
        <v>0</v>
      </c>
      <c r="T67">
        <f t="shared" si="10"/>
        <v>11191.766692135456</v>
      </c>
      <c r="U67" s="176">
        <f t="shared" si="11"/>
        <v>11191.766692135456</v>
      </c>
      <c r="V67" s="165">
        <f>IF(U67&lt;V$5,V$5-U67,IF(U67&gt;=V$5,0))*('Electrical System Specification'!D$16*'Electrical System Specification'!Q$16)</f>
        <v>0</v>
      </c>
      <c r="W67" s="28">
        <f t="shared" si="12"/>
        <v>0</v>
      </c>
      <c r="X67" s="165">
        <f>IF(U67&gt;V$5,U67-V$5,0)*'Electrical System Specification'!D$17</f>
        <v>2160.3924584729716</v>
      </c>
      <c r="Y67">
        <f>(X67*C67)*'Electrical System Specification'!D$17</f>
        <v>526.505283505487</v>
      </c>
      <c r="Z67" s="165">
        <f t="shared" si="13"/>
        <v>-526.505283505487</v>
      </c>
      <c r="AA67" s="165">
        <f t="shared" si="14"/>
        <v>48315.117425807402</v>
      </c>
      <c r="AB67" s="165"/>
    </row>
    <row r="68" spans="3:28" x14ac:dyDescent="0.2">
      <c r="C68" s="148">
        <v>0.26068661612446226</v>
      </c>
      <c r="D68">
        <f t="shared" si="1"/>
        <v>14.406270942255668</v>
      </c>
      <c r="E68" s="164">
        <v>9313.5857019940322</v>
      </c>
      <c r="F68" s="165">
        <f>E68/'Electrical System Specification'!AC$4</f>
        <v>9503.6588795857479</v>
      </c>
      <c r="G68" s="146">
        <f>F68/('Electrical System Specification'!X$16*'Electrical System Specification'!J$16*'Electrical System Specification'!D$17)</f>
        <v>11832.833905555242</v>
      </c>
      <c r="H68" s="165"/>
      <c r="I68" s="173">
        <f t="shared" si="2"/>
        <v>6871.6622130335309</v>
      </c>
      <c r="J68" s="173">
        <f t="shared" si="3"/>
        <v>7621.6306710664712</v>
      </c>
      <c r="K68" s="174">
        <f>IF(E68&gt;I68,'Electrical System Specification'!AC$4*'Electrical System Specification'!J$16*'Electrical System Specification'!D$16*'Electrical System Specification'!D$17*'Electrical System Specification'!X$16)</f>
        <v>0.70838712000000004</v>
      </c>
      <c r="L68" s="174" t="b">
        <f>IF(E68&lt;I68,'Electrical System Specification'!X$16*'Electrical System Specification'!Q$16*'Electrical System Specification'!AC$4*'Electrical System Specification'!J$16)</f>
        <v>0</v>
      </c>
      <c r="M68" s="174">
        <f t="shared" si="0"/>
        <v>0.70838712000000004</v>
      </c>
      <c r="N68" s="174">
        <f t="shared" si="4"/>
        <v>6597.624152308731</v>
      </c>
      <c r="O68" s="173">
        <f t="shared" si="5"/>
        <v>2441.9234889605013</v>
      </c>
      <c r="P68" s="174">
        <f t="shared" si="6"/>
        <v>3447.1596391539433</v>
      </c>
      <c r="Q68" s="174">
        <f t="shared" si="16"/>
        <v>8270.8960076684452</v>
      </c>
      <c r="R68" s="174">
        <f t="shared" si="15"/>
        <v>0</v>
      </c>
      <c r="S68" s="165" t="b">
        <f t="shared" si="9"/>
        <v>0</v>
      </c>
      <c r="T68">
        <f t="shared" si="10"/>
        <v>11718.055646822388</v>
      </c>
      <c r="U68" s="176">
        <f t="shared" si="11"/>
        <v>11718.055646822388</v>
      </c>
      <c r="V68" s="165">
        <f>IF(U68&lt;V$5,V$5-U68,IF(U68&gt;=V$5,0))*('Electrical System Specification'!D$16*'Electrical System Specification'!Q$16)</f>
        <v>0</v>
      </c>
      <c r="W68" s="28">
        <f t="shared" si="12"/>
        <v>0</v>
      </c>
      <c r="X68" s="165">
        <f>IF(U68&gt;V$5,U68-V$5,0)*'Electrical System Specification'!D$17</f>
        <v>2634.0525176912101</v>
      </c>
      <c r="Y68">
        <f>(X68*C68)*'Electrical System Specification'!D$17</f>
        <v>617.99601377793761</v>
      </c>
      <c r="Z68" s="165">
        <f t="shared" si="13"/>
        <v>-617.99601377793761</v>
      </c>
      <c r="AA68" s="165">
        <f t="shared" si="14"/>
        <v>47697.121412029468</v>
      </c>
      <c r="AB68" s="165"/>
    </row>
    <row r="69" spans="3:28" x14ac:dyDescent="0.2">
      <c r="C69" s="148">
        <v>0.25182717500835627</v>
      </c>
      <c r="D69">
        <f t="shared" si="1"/>
        <v>14.658098117264025</v>
      </c>
      <c r="E69" s="164">
        <v>9676.2649706273605</v>
      </c>
      <c r="F69" s="165">
        <f>E69/'Electrical System Specification'!AC$4</f>
        <v>9873.7397659462858</v>
      </c>
      <c r="G69" s="146">
        <f>F69/('Electrical System Specification'!X$16*'Electrical System Specification'!J$16*'Electrical System Specification'!D$17)</f>
        <v>12293.614928465418</v>
      </c>
      <c r="H69" s="165"/>
      <c r="I69" s="173">
        <f t="shared" si="2"/>
        <v>6871.6622130335309</v>
      </c>
      <c r="J69" s="173">
        <f t="shared" si="3"/>
        <v>7621.6306710664712</v>
      </c>
      <c r="K69" s="174">
        <f>IF(E69&gt;I69,'Electrical System Specification'!AC$4*'Electrical System Specification'!J$16*'Electrical System Specification'!D$16*'Electrical System Specification'!D$17*'Electrical System Specification'!X$16)</f>
        <v>0.70838712000000004</v>
      </c>
      <c r="L69" s="174" t="b">
        <f>IF(E69&lt;I69,'Electrical System Specification'!X$16*'Electrical System Specification'!Q$16*'Electrical System Specification'!AC$4*'Electrical System Specification'!J$16)</f>
        <v>0</v>
      </c>
      <c r="M69" s="174">
        <f t="shared" si="0"/>
        <v>0.70838712000000004</v>
      </c>
      <c r="N69" s="174">
        <f t="shared" si="4"/>
        <v>6854.5414748996009</v>
      </c>
      <c r="O69" s="173">
        <f t="shared" si="5"/>
        <v>2804.6027575938297</v>
      </c>
      <c r="P69" s="174">
        <f t="shared" si="6"/>
        <v>3959.1385534985866</v>
      </c>
      <c r="Q69" s="174">
        <f t="shared" si="16"/>
        <v>8270.8960076684452</v>
      </c>
      <c r="R69" s="174">
        <f t="shared" si="15"/>
        <v>0</v>
      </c>
      <c r="S69" s="165" t="b">
        <f t="shared" si="9"/>
        <v>0</v>
      </c>
      <c r="T69">
        <f t="shared" si="10"/>
        <v>12230.034561167031</v>
      </c>
      <c r="U69" s="176">
        <f t="shared" si="11"/>
        <v>12230.034561167031</v>
      </c>
      <c r="V69" s="165">
        <f>IF(U69&lt;V$5,V$5-U69,IF(U69&gt;=V$5,0))*('Electrical System Specification'!D$16*'Electrical System Specification'!Q$16)</f>
        <v>0</v>
      </c>
      <c r="W69" s="28">
        <f t="shared" si="12"/>
        <v>0</v>
      </c>
      <c r="X69" s="165">
        <f>IF(U69&gt;V$5,U69-V$5,0)*'Electrical System Specification'!D$17</f>
        <v>3094.8335406013894</v>
      </c>
      <c r="Y69">
        <f>(X69*C69)*'Electrical System Specification'!D$17</f>
        <v>701.42686888568119</v>
      </c>
      <c r="Z69" s="165">
        <f t="shared" si="13"/>
        <v>-701.42686888568119</v>
      </c>
      <c r="AA69" s="165">
        <f t="shared" si="14"/>
        <v>46995.694543143785</v>
      </c>
      <c r="AB69" s="165"/>
    </row>
    <row r="70" spans="3:28" x14ac:dyDescent="0.2">
      <c r="C70" s="148">
        <v>0.24387437232881651</v>
      </c>
      <c r="D70">
        <f t="shared" si="1"/>
        <v>14.901972489592842</v>
      </c>
      <c r="E70" s="164">
        <v>10029.851872881636</v>
      </c>
      <c r="F70" s="165">
        <f>E70/'Electrical System Specification'!AC$4</f>
        <v>10234.542727430242</v>
      </c>
      <c r="G70" s="146">
        <f>F70/('Electrical System Specification'!X$16*'Electrical System Specification'!J$16*'Electrical System Specification'!D$17)</f>
        <v>12742.844174797354</v>
      </c>
      <c r="H70" s="165"/>
      <c r="I70" s="173">
        <f t="shared" si="2"/>
        <v>6871.6622130335309</v>
      </c>
      <c r="J70" s="173">
        <f t="shared" si="3"/>
        <v>7621.6306710664712</v>
      </c>
      <c r="K70" s="174">
        <f>IF(E70&gt;I70,'Electrical System Specification'!AC$4*'Electrical System Specification'!J$16*'Electrical System Specification'!D$16*'Electrical System Specification'!D$17*'Electrical System Specification'!X$16)</f>
        <v>0.70838712000000004</v>
      </c>
      <c r="L70" s="174" t="b">
        <f>IF(E70&lt;I70,'Electrical System Specification'!X$16*'Electrical System Specification'!Q$16*'Electrical System Specification'!AC$4*'Electrical System Specification'!J$16)</f>
        <v>0</v>
      </c>
      <c r="M70" s="174">
        <f t="shared" si="0"/>
        <v>0.70838712000000004</v>
      </c>
      <c r="N70" s="174">
        <f t="shared" si="4"/>
        <v>7105.0178822572288</v>
      </c>
      <c r="O70" s="173">
        <f t="shared" si="5"/>
        <v>3158.1896598481053</v>
      </c>
      <c r="P70" s="174">
        <f t="shared" si="6"/>
        <v>4458.2821605340669</v>
      </c>
      <c r="Q70" s="174">
        <f t="shared" si="16"/>
        <v>8270.8960076684452</v>
      </c>
      <c r="R70" s="174">
        <f t="shared" si="15"/>
        <v>0</v>
      </c>
      <c r="S70" s="165" t="b">
        <f t="shared" si="9"/>
        <v>0</v>
      </c>
      <c r="T70">
        <f t="shared" si="10"/>
        <v>12729.178168202512</v>
      </c>
      <c r="U70" s="176">
        <f t="shared" si="11"/>
        <v>12729.178168202512</v>
      </c>
      <c r="V70" s="165">
        <f>IF(U70&lt;V$5,V$5-U70,IF(U70&gt;=V$5,0))*('Electrical System Specification'!D$16*'Electrical System Specification'!Q$16)</f>
        <v>0</v>
      </c>
      <c r="W70" s="28">
        <f t="shared" si="12"/>
        <v>0</v>
      </c>
      <c r="X70" s="165">
        <f>IF(U70&gt;V$5,U70-V$5,0)*'Electrical System Specification'!D$17</f>
        <v>3544.0627869333225</v>
      </c>
      <c r="Y70">
        <f>(X70*C70)*'Electrical System Specification'!D$17</f>
        <v>777.87547889155212</v>
      </c>
      <c r="Z70" s="165">
        <f t="shared" si="13"/>
        <v>-777.87547889155212</v>
      </c>
      <c r="AA70" s="165">
        <f t="shared" si="14"/>
        <v>46217.819064252231</v>
      </c>
      <c r="AB70" s="165"/>
    </row>
    <row r="71" spans="3:28" x14ac:dyDescent="0.2">
      <c r="C71" s="148">
        <v>0.23678067220953181</v>
      </c>
      <c r="D71">
        <f t="shared" si="1"/>
        <v>15.138753161802374</v>
      </c>
      <c r="E71" s="164">
        <v>10375.50228952287</v>
      </c>
      <c r="F71" s="165">
        <f>E71/'Electrical System Specification'!AC$4</f>
        <v>10587.24723420701</v>
      </c>
      <c r="G71" s="146">
        <f>F71/('Electrical System Specification'!X$16*'Electrical System Specification'!J$16*'Electrical System Specification'!D$17)</f>
        <v>13181.990181541674</v>
      </c>
      <c r="H71" s="165"/>
      <c r="I71" s="173">
        <f t="shared" si="2"/>
        <v>6871.6622130335309</v>
      </c>
      <c r="J71" s="173">
        <f t="shared" si="3"/>
        <v>7621.6306710664712</v>
      </c>
      <c r="K71" s="174">
        <f>IF(E71&gt;I71,'Electrical System Specification'!AC$4*'Electrical System Specification'!J$16*'Electrical System Specification'!D$16*'Electrical System Specification'!D$17*'Electrical System Specification'!X$16)</f>
        <v>0.70838712000000004</v>
      </c>
      <c r="L71" s="174" t="b">
        <f>IF(E71&lt;I71,'Electrical System Specification'!X$16*'Electrical System Specification'!Q$16*'Electrical System Specification'!AC$4*'Electrical System Specification'!J$16)</f>
        <v>0</v>
      </c>
      <c r="M71" s="174">
        <f t="shared" si="0"/>
        <v>0.70838712000000004</v>
      </c>
      <c r="N71" s="174">
        <f t="shared" si="4"/>
        <v>7349.8721854285122</v>
      </c>
      <c r="O71" s="173">
        <f t="shared" si="5"/>
        <v>3503.8400764893395</v>
      </c>
      <c r="P71" s="174">
        <f t="shared" si="6"/>
        <v>4946.222168027758</v>
      </c>
      <c r="Q71" s="174">
        <f t="shared" si="16"/>
        <v>8270.8960076684452</v>
      </c>
      <c r="R71" s="174">
        <f t="shared" si="15"/>
        <v>0</v>
      </c>
      <c r="S71" s="165" t="b">
        <f t="shared" si="9"/>
        <v>0</v>
      </c>
      <c r="T71">
        <f t="shared" si="10"/>
        <v>13217.118175696203</v>
      </c>
      <c r="U71" s="176">
        <f t="shared" si="11"/>
        <v>13217.118175696203</v>
      </c>
      <c r="V71" s="165">
        <f>IF(U71&lt;V$5,V$5-U71,IF(U71&gt;=V$5,0))*('Electrical System Specification'!D$16*'Electrical System Specification'!Q$16)</f>
        <v>0</v>
      </c>
      <c r="W71" s="28">
        <f t="shared" si="12"/>
        <v>0</v>
      </c>
      <c r="X71" s="165">
        <f>IF(U71&gt;V$5,U71-V$5,0)*'Electrical System Specification'!D$17</f>
        <v>3983.2087936776443</v>
      </c>
      <c r="Y71">
        <f>(X71*C71)*'Electrical System Specification'!D$17</f>
        <v>848.83217014611978</v>
      </c>
      <c r="Z71" s="165">
        <f t="shared" si="13"/>
        <v>-848.83217014611978</v>
      </c>
      <c r="AA71" s="165">
        <f t="shared" si="14"/>
        <v>45368.986894106114</v>
      </c>
      <c r="AB71" s="165"/>
    </row>
    <row r="72" spans="3:28" x14ac:dyDescent="0.2">
      <c r="C72" s="148">
        <v>0.23042193466630828</v>
      </c>
      <c r="D72">
        <f t="shared" si="1"/>
        <v>15.369175096468682</v>
      </c>
      <c r="E72" s="164">
        <v>10714.155133457705</v>
      </c>
      <c r="F72" s="165">
        <f>E72/'Electrical System Specification'!AC$4</f>
        <v>10932.811360671129</v>
      </c>
      <c r="G72" s="146">
        <f>F72/('Electrical System Specification'!X$16*'Electrical System Specification'!J$16*'Electrical System Specification'!D$17)</f>
        <v>13612.245829811156</v>
      </c>
      <c r="H72" s="165"/>
      <c r="I72" s="173">
        <f t="shared" si="2"/>
        <v>6871.6622130335309</v>
      </c>
      <c r="J72" s="173">
        <f t="shared" si="3"/>
        <v>7621.6306710664712</v>
      </c>
      <c r="K72" s="174">
        <f>IF(E72&gt;I72,'Electrical System Specification'!AC$4*'Electrical System Specification'!J$16*'Electrical System Specification'!D$16*'Electrical System Specification'!D$17*'Electrical System Specification'!X$16)</f>
        <v>0.70838712000000004</v>
      </c>
      <c r="L72" s="174" t="b">
        <f>IF(E72&lt;I72,'Electrical System Specification'!X$16*'Electrical System Specification'!Q$16*'Electrical System Specification'!AC$4*'Electrical System Specification'!J$16)</f>
        <v>0</v>
      </c>
      <c r="M72" s="174">
        <f t="shared" si="0"/>
        <v>0.70838712000000004</v>
      </c>
      <c r="N72" s="174">
        <f t="shared" si="4"/>
        <v>7589.7694982233197</v>
      </c>
      <c r="O72" s="173">
        <f t="shared" si="5"/>
        <v>3842.4929204241744</v>
      </c>
      <c r="P72" s="174">
        <f t="shared" si="6"/>
        <v>5424.283999438293</v>
      </c>
      <c r="Q72" s="174">
        <f t="shared" si="16"/>
        <v>8270.8960076684452</v>
      </c>
      <c r="R72" s="174">
        <f t="shared" si="15"/>
        <v>0</v>
      </c>
      <c r="S72" s="165" t="b">
        <f t="shared" si="9"/>
        <v>0</v>
      </c>
      <c r="T72">
        <f t="shared" si="10"/>
        <v>13695.180007106737</v>
      </c>
      <c r="U72" s="176">
        <f t="shared" si="11"/>
        <v>13695.180007106737</v>
      </c>
      <c r="V72" s="165">
        <f>IF(U72&lt;V$5,V$5-U72,IF(U72&gt;=V$5,0))*('Electrical System Specification'!D$16*'Electrical System Specification'!Q$16)</f>
        <v>0</v>
      </c>
      <c r="W72" s="28">
        <f t="shared" si="12"/>
        <v>0</v>
      </c>
      <c r="X72" s="165">
        <f>IF(U72&gt;V$5,U72-V$5,0)*'Electrical System Specification'!D$17</f>
        <v>4413.4644419471251</v>
      </c>
      <c r="Y72">
        <f>(X72*C72)*'Electrical System Specification'!D$17</f>
        <v>915.2631137649737</v>
      </c>
      <c r="Z72" s="165">
        <f t="shared" si="13"/>
        <v>-915.2631137649737</v>
      </c>
      <c r="AA72" s="165">
        <f t="shared" si="14"/>
        <v>44453.723780341141</v>
      </c>
      <c r="AB72" s="165"/>
    </row>
    <row r="73" spans="3:28" x14ac:dyDescent="0.2">
      <c r="C73" s="148">
        <v>0.22462694847929174</v>
      </c>
      <c r="D73">
        <f t="shared" si="1"/>
        <v>15.593802044947974</v>
      </c>
      <c r="E73" s="164">
        <v>11046.476654276556</v>
      </c>
      <c r="F73" s="165">
        <f>E73/'Electrical System Specification'!AC$4</f>
        <v>11271.914953343425</v>
      </c>
      <c r="G73" s="146">
        <f>F73/('Electrical System Specification'!X$16*'Electrical System Specification'!J$16*'Electrical System Specification'!D$17)</f>
        <v>14034.457584221605</v>
      </c>
      <c r="H73" s="165"/>
      <c r="I73" s="173">
        <f t="shared" si="2"/>
        <v>6871.6622130335309</v>
      </c>
      <c r="J73" s="173">
        <f t="shared" si="3"/>
        <v>7621.6306710664712</v>
      </c>
      <c r="K73" s="174">
        <f>IF(E73&gt;I73,'Electrical System Specification'!AC$4*'Electrical System Specification'!J$16*'Electrical System Specification'!D$16*'Electrical System Specification'!D$17*'Electrical System Specification'!X$16)</f>
        <v>0.70838712000000004</v>
      </c>
      <c r="L73" s="174" t="b">
        <f>IF(E73&lt;I73,'Electrical System Specification'!X$16*'Electrical System Specification'!Q$16*'Electrical System Specification'!AC$4*'Electrical System Specification'!J$16)</f>
        <v>0</v>
      </c>
      <c r="M73" s="174">
        <f t="shared" si="0"/>
        <v>0.70838712000000004</v>
      </c>
      <c r="N73" s="174">
        <f t="shared" si="4"/>
        <v>7825.1817832702054</v>
      </c>
      <c r="O73" s="173">
        <f t="shared" si="5"/>
        <v>4174.8144412430247</v>
      </c>
      <c r="P73" s="174">
        <f t="shared" si="6"/>
        <v>5893.4081710054588</v>
      </c>
      <c r="Q73" s="174">
        <f t="shared" si="16"/>
        <v>8270.8960076684452</v>
      </c>
      <c r="R73" s="174">
        <f t="shared" si="15"/>
        <v>0</v>
      </c>
      <c r="S73" s="165" t="b">
        <f t="shared" si="9"/>
        <v>0</v>
      </c>
      <c r="T73">
        <f t="shared" si="10"/>
        <v>14164.304178673905</v>
      </c>
      <c r="U73" s="176">
        <f t="shared" si="11"/>
        <v>14164.304178673905</v>
      </c>
      <c r="V73" s="165">
        <f>IF(U73&lt;V$5,V$5-U73,IF(U73&gt;=V$5,0))*('Electrical System Specification'!D$16*'Electrical System Specification'!Q$16)</f>
        <v>0</v>
      </c>
      <c r="W73" s="28">
        <f t="shared" si="12"/>
        <v>0</v>
      </c>
      <c r="X73" s="165">
        <f>IF(U73&gt;V$5,U73-V$5,0)*'Electrical System Specification'!D$17</f>
        <v>4835.6761963575764</v>
      </c>
      <c r="Y73">
        <f>(X73*C73)*'Electrical System Specification'!D$17</f>
        <v>977.60086903957574</v>
      </c>
      <c r="Z73" s="165">
        <f t="shared" si="13"/>
        <v>-977.60086903957574</v>
      </c>
      <c r="AA73" s="165">
        <f t="shared" si="14"/>
        <v>43476.122911301565</v>
      </c>
      <c r="AB73" s="165"/>
    </row>
    <row r="74" spans="3:28" x14ac:dyDescent="0.2">
      <c r="C74" s="148">
        <v>0.21935196075392716</v>
      </c>
      <c r="D74">
        <f t="shared" ref="D74:D137" si="17">C74+D73</f>
        <v>15.813154005701902</v>
      </c>
      <c r="E74" s="164">
        <v>11373.151098409191</v>
      </c>
      <c r="F74" s="165">
        <f>E74/'Electrical System Specification'!AC$4</f>
        <v>11605.256222866521</v>
      </c>
      <c r="G74" s="146">
        <f>F74/('Electrical System Specification'!X$16*'Electrical System Specification'!J$16*'Electrical System Specification'!D$17)</f>
        <v>14449.494774224962</v>
      </c>
      <c r="H74" s="165"/>
      <c r="I74" s="173">
        <f t="shared" ref="I74:I137" si="18">J$5</f>
        <v>6871.6622130335309</v>
      </c>
      <c r="J74" s="173">
        <f t="shared" ref="J74:J137" si="19">J$7</f>
        <v>7621.6306710664712</v>
      </c>
      <c r="K74" s="174">
        <f>IF(E74&gt;I74,'Electrical System Specification'!AC$4*'Electrical System Specification'!J$16*'Electrical System Specification'!D$16*'Electrical System Specification'!D$17*'Electrical System Specification'!X$16)</f>
        <v>0.70838712000000004</v>
      </c>
      <c r="L74" s="174" t="b">
        <f>IF(E74&lt;I74,'Electrical System Specification'!X$16*'Electrical System Specification'!Q$16*'Electrical System Specification'!AC$4*'Electrical System Specification'!J$16)</f>
        <v>0</v>
      </c>
      <c r="M74" s="174">
        <f t="shared" ref="M74:M137" si="20">IF(I74&gt;E74,L74,IF(I74&lt;E74,K74))</f>
        <v>0.70838712000000004</v>
      </c>
      <c r="N74" s="174">
        <f t="shared" ref="N74:N137" si="21">M74*E74</f>
        <v>8056.5937519269237</v>
      </c>
      <c r="O74" s="173">
        <f t="shared" ref="O74:O137" si="22">E74-I74</f>
        <v>4501.4888853756602</v>
      </c>
      <c r="P74" s="174">
        <f t="shared" ref="P74:P137" si="23">IF(O74&gt;0,O74/K74)</f>
        <v>6354.5606043425241</v>
      </c>
      <c r="Q74" s="174">
        <f t="shared" si="16"/>
        <v>8270.8960076684452</v>
      </c>
      <c r="R74" s="174">
        <f t="shared" si="15"/>
        <v>0</v>
      </c>
      <c r="S74" s="165" t="b">
        <f t="shared" ref="S74:S137" si="24">IF(P74=FALSE,R74,IF(R74=FALSE,P74))</f>
        <v>0</v>
      </c>
      <c r="T74">
        <f t="shared" ref="T74:T137" si="25">IF(O74&gt;0,(I74/P$4)+(O74/Q$4))</f>
        <v>14625.45661201097</v>
      </c>
      <c r="U74" s="176">
        <f t="shared" ref="U74:U137" si="26">IF(T74=FALSE,S74,T74)</f>
        <v>14625.45661201097</v>
      </c>
      <c r="V74" s="165">
        <f>IF(U74&lt;V$5,V$5-U74,IF(U74&gt;=V$5,0))*('Electrical System Specification'!D$16*'Electrical System Specification'!Q$16)</f>
        <v>0</v>
      </c>
      <c r="W74" s="28">
        <f t="shared" ref="W74:W137" si="27">V74*C74</f>
        <v>0</v>
      </c>
      <c r="X74" s="165">
        <f>IF(U74&gt;V$5,U74-V$5,0)*'Electrical System Specification'!D$17</f>
        <v>5250.7133863609351</v>
      </c>
      <c r="Y74">
        <f>(X74*C74)*'Electrical System Specification'!D$17</f>
        <v>1036.5788489896474</v>
      </c>
      <c r="Z74" s="165">
        <f t="shared" ref="Z74:Z137" si="28">(W74-Y74)</f>
        <v>-1036.5788489896474</v>
      </c>
      <c r="AA74" s="165">
        <f t="shared" ref="AA74:AA137" si="29">Z74+AA73</f>
        <v>42439.544062311921</v>
      </c>
      <c r="AB74" s="165"/>
    </row>
    <row r="75" spans="3:28" x14ac:dyDescent="0.2">
      <c r="C75" s="148">
        <v>0.21440025276423144</v>
      </c>
      <c r="D75">
        <f t="shared" si="17"/>
        <v>16.027554258466132</v>
      </c>
      <c r="E75" s="164">
        <v>11694.483505927245</v>
      </c>
      <c r="F75" s="165">
        <f>E75/'Electrical System Specification'!AC$4</f>
        <v>11933.146434619637</v>
      </c>
      <c r="G75" s="146">
        <f>F75/('Electrical System Specification'!X$16*'Electrical System Specification'!J$16*'Electrical System Specification'!D$17)</f>
        <v>14857.744950719205</v>
      </c>
      <c r="H75" s="165"/>
      <c r="I75" s="173">
        <f t="shared" si="18"/>
        <v>6871.6622130335309</v>
      </c>
      <c r="J75" s="173">
        <f t="shared" si="19"/>
        <v>7621.6306710664712</v>
      </c>
      <c r="K75" s="174">
        <f>IF(E75&gt;I75,'Electrical System Specification'!AC$4*'Electrical System Specification'!J$16*'Electrical System Specification'!D$16*'Electrical System Specification'!D$17*'Electrical System Specification'!X$16)</f>
        <v>0.70838712000000004</v>
      </c>
      <c r="L75" s="174" t="b">
        <f>IF(E75&lt;I75,'Electrical System Specification'!X$16*'Electrical System Specification'!Q$16*'Electrical System Specification'!AC$4*'Electrical System Specification'!J$16)</f>
        <v>0</v>
      </c>
      <c r="M75" s="174">
        <f t="shared" si="20"/>
        <v>0.70838712000000004</v>
      </c>
      <c r="N75" s="174">
        <f t="shared" si="21"/>
        <v>8284.2214906513036</v>
      </c>
      <c r="O75" s="173">
        <f t="shared" si="22"/>
        <v>4822.8212928937137</v>
      </c>
      <c r="P75" s="174">
        <f t="shared" si="23"/>
        <v>6808.1719115583492</v>
      </c>
      <c r="Q75" s="174">
        <f t="shared" si="16"/>
        <v>8270.8960076684452</v>
      </c>
      <c r="R75" s="174">
        <f t="shared" si="15"/>
        <v>0</v>
      </c>
      <c r="S75" s="165" t="b">
        <f t="shared" si="24"/>
        <v>0</v>
      </c>
      <c r="T75">
        <f t="shared" si="25"/>
        <v>15079.067919226794</v>
      </c>
      <c r="U75" s="176">
        <f t="shared" si="26"/>
        <v>15079.067919226794</v>
      </c>
      <c r="V75" s="165">
        <f>IF(U75&lt;V$5,V$5-U75,IF(U75&gt;=V$5,0))*('Electrical System Specification'!D$16*'Electrical System Specification'!Q$16)</f>
        <v>0</v>
      </c>
      <c r="W75" s="28">
        <f t="shared" si="27"/>
        <v>0</v>
      </c>
      <c r="X75" s="165">
        <f>IF(U75&gt;V$5,U75-V$5,0)*'Electrical System Specification'!D$17</f>
        <v>5658.9635628551769</v>
      </c>
      <c r="Y75">
        <f>(X75*C75)*'Electrical System Specification'!D$17</f>
        <v>1091.954896433753</v>
      </c>
      <c r="Z75" s="165">
        <f t="shared" si="28"/>
        <v>-1091.954896433753</v>
      </c>
      <c r="AA75" s="165">
        <f t="shared" si="29"/>
        <v>41347.589165878169</v>
      </c>
      <c r="AB75" s="165"/>
    </row>
    <row r="76" spans="3:28" x14ac:dyDescent="0.2">
      <c r="C76" s="148">
        <v>0.20995477772256416</v>
      </c>
      <c r="D76">
        <f t="shared" si="17"/>
        <v>16.237509036188698</v>
      </c>
      <c r="E76" s="164">
        <v>0</v>
      </c>
      <c r="F76" s="165">
        <f>E76/'Electrical System Specification'!AC$4</f>
        <v>0</v>
      </c>
      <c r="G76" s="146">
        <f>F76/('Electrical System Specification'!X$16*'Electrical System Specification'!J$16*'Electrical System Specification'!D$17)</f>
        <v>0</v>
      </c>
      <c r="H76" s="165"/>
      <c r="I76" s="173">
        <f t="shared" si="18"/>
        <v>6871.6622130335309</v>
      </c>
      <c r="J76" s="173">
        <f t="shared" si="19"/>
        <v>7621.6306710664712</v>
      </c>
      <c r="K76" s="174" t="b">
        <f>IF(E76&gt;I76,'Electrical System Specification'!AC$4*'Electrical System Specification'!J$16*'Electrical System Specification'!D$16*'Electrical System Specification'!D$17*'Electrical System Specification'!X$16)</f>
        <v>0</v>
      </c>
      <c r="L76" s="174">
        <f>IF(E76&lt;I76,'Electrical System Specification'!X$16*'Electrical System Specification'!Q$16*'Electrical System Specification'!AC$4*'Electrical System Specification'!J$16)</f>
        <v>0.83082440000000002</v>
      </c>
      <c r="M76" s="174">
        <f t="shared" si="20"/>
        <v>0.83082440000000002</v>
      </c>
      <c r="N76" s="174">
        <f t="shared" si="21"/>
        <v>0</v>
      </c>
      <c r="O76" s="173">
        <f t="shared" si="22"/>
        <v>-6871.6622130335309</v>
      </c>
      <c r="P76" s="174" t="b">
        <f t="shared" si="23"/>
        <v>0</v>
      </c>
      <c r="Q76" s="174">
        <f t="shared" si="16"/>
        <v>0</v>
      </c>
      <c r="R76" s="174">
        <f t="shared" si="15"/>
        <v>0</v>
      </c>
      <c r="S76" s="165">
        <f t="shared" si="24"/>
        <v>0</v>
      </c>
      <c r="T76" t="b">
        <f t="shared" si="25"/>
        <v>0</v>
      </c>
      <c r="U76" s="176">
        <f t="shared" si="26"/>
        <v>0</v>
      </c>
      <c r="V76" s="165">
        <f>IF(U76&lt;V$5,V$5-U76,IF(U76&gt;=V$5,0))*('Electrical System Specification'!D$16*'Electrical System Specification'!Q$16)</f>
        <v>7516.5876862264913</v>
      </c>
      <c r="W76" s="28">
        <f t="shared" si="27"/>
        <v>1578.1434968938458</v>
      </c>
      <c r="X76" s="165">
        <f>IF(U76&gt;V$5,U76-V$5,0)*'Electrical System Specification'!D$17</f>
        <v>0</v>
      </c>
      <c r="Y76">
        <f>(X76*C76)*'Electrical System Specification'!D$17</f>
        <v>0</v>
      </c>
      <c r="Z76" s="165">
        <f t="shared" si="28"/>
        <v>1578.1434968938458</v>
      </c>
      <c r="AA76" s="165">
        <f t="shared" si="29"/>
        <v>42925.732662772018</v>
      </c>
      <c r="AB76" s="165"/>
    </row>
    <row r="77" spans="3:28" x14ac:dyDescent="0.2">
      <c r="C77" s="148">
        <v>0.23204346509976082</v>
      </c>
      <c r="D77">
        <f t="shared" si="17"/>
        <v>16.469552501288458</v>
      </c>
      <c r="E77" s="164">
        <v>0</v>
      </c>
      <c r="F77" s="165">
        <f>E77/'Electrical System Specification'!AC$4</f>
        <v>0</v>
      </c>
      <c r="G77" s="146">
        <f>F77/('Electrical System Specification'!X$16*'Electrical System Specification'!J$16*'Electrical System Specification'!D$17)</f>
        <v>0</v>
      </c>
      <c r="H77" s="165"/>
      <c r="I77" s="173">
        <f t="shared" si="18"/>
        <v>6871.6622130335309</v>
      </c>
      <c r="J77" s="173">
        <f t="shared" si="19"/>
        <v>7621.6306710664712</v>
      </c>
      <c r="K77" s="174" t="b">
        <f>IF(E77&gt;I77,'Electrical System Specification'!AC$4*'Electrical System Specification'!J$16*'Electrical System Specification'!D$16*'Electrical System Specification'!D$17*'Electrical System Specification'!X$16)</f>
        <v>0</v>
      </c>
      <c r="L77" s="174">
        <f>IF(E77&lt;I77,'Electrical System Specification'!X$16*'Electrical System Specification'!Q$16*'Electrical System Specification'!AC$4*'Electrical System Specification'!J$16)</f>
        <v>0.83082440000000002</v>
      </c>
      <c r="M77" s="174">
        <f t="shared" si="20"/>
        <v>0.83082440000000002</v>
      </c>
      <c r="N77" s="174">
        <f t="shared" si="21"/>
        <v>0</v>
      </c>
      <c r="O77" s="173">
        <f t="shared" si="22"/>
        <v>-6871.6622130335309</v>
      </c>
      <c r="P77" s="174" t="b">
        <f t="shared" si="23"/>
        <v>0</v>
      </c>
      <c r="Q77" s="174">
        <f t="shared" si="16"/>
        <v>0</v>
      </c>
      <c r="R77" s="174">
        <f t="shared" si="15"/>
        <v>0</v>
      </c>
      <c r="S77" s="165">
        <f t="shared" si="24"/>
        <v>0</v>
      </c>
      <c r="T77" t="b">
        <f t="shared" si="25"/>
        <v>0</v>
      </c>
      <c r="U77" s="176">
        <f t="shared" si="26"/>
        <v>0</v>
      </c>
      <c r="V77" s="165">
        <f>IF(U77&lt;V$5,V$5-U77,IF(U77&gt;=V$5,0))*('Electrical System Specification'!D$16*'Electrical System Specification'!Q$16)</f>
        <v>7516.5876862264913</v>
      </c>
      <c r="W77" s="28">
        <f t="shared" si="27"/>
        <v>1744.1750524381887</v>
      </c>
      <c r="X77" s="165">
        <f>IF(U77&gt;V$5,U77-V$5,0)*'Electrical System Specification'!D$17</f>
        <v>0</v>
      </c>
      <c r="Y77">
        <f>(X77*C77)*'Electrical System Specification'!D$17</f>
        <v>0</v>
      </c>
      <c r="Z77" s="165">
        <f t="shared" si="28"/>
        <v>1744.1750524381887</v>
      </c>
      <c r="AA77" s="165">
        <f t="shared" si="29"/>
        <v>44669.907715210204</v>
      </c>
      <c r="AB77" s="165"/>
    </row>
    <row r="78" spans="3:28" x14ac:dyDescent="0.2">
      <c r="C78" s="148">
        <v>0.2627395929837979</v>
      </c>
      <c r="D78">
        <f t="shared" si="17"/>
        <v>16.732292094272257</v>
      </c>
      <c r="E78" s="164">
        <v>0</v>
      </c>
      <c r="F78" s="165">
        <f>E78/'Electrical System Specification'!AC$4</f>
        <v>0</v>
      </c>
      <c r="G78" s="146">
        <f>F78/('Electrical System Specification'!X$16*'Electrical System Specification'!J$16*'Electrical System Specification'!D$17)</f>
        <v>0</v>
      </c>
      <c r="H78" s="165"/>
      <c r="I78" s="173">
        <f t="shared" si="18"/>
        <v>6871.6622130335309</v>
      </c>
      <c r="J78" s="173">
        <f t="shared" si="19"/>
        <v>7621.6306710664712</v>
      </c>
      <c r="K78" s="174" t="b">
        <f>IF(E78&gt;I78,'Electrical System Specification'!AC$4*'Electrical System Specification'!J$16*'Electrical System Specification'!D$16*'Electrical System Specification'!D$17*'Electrical System Specification'!X$16)</f>
        <v>0</v>
      </c>
      <c r="L78" s="174">
        <f>IF(E78&lt;I78,'Electrical System Specification'!X$16*'Electrical System Specification'!Q$16*'Electrical System Specification'!AC$4*'Electrical System Specification'!J$16)</f>
        <v>0.83082440000000002</v>
      </c>
      <c r="M78" s="174">
        <f t="shared" si="20"/>
        <v>0.83082440000000002</v>
      </c>
      <c r="N78" s="174">
        <f t="shared" si="21"/>
        <v>0</v>
      </c>
      <c r="O78" s="173">
        <f t="shared" si="22"/>
        <v>-6871.6622130335309</v>
      </c>
      <c r="P78" s="174" t="b">
        <f t="shared" si="23"/>
        <v>0</v>
      </c>
      <c r="Q78" s="174">
        <f t="shared" si="16"/>
        <v>0</v>
      </c>
      <c r="R78" s="174">
        <f t="shared" si="15"/>
        <v>0</v>
      </c>
      <c r="S78" s="165">
        <f t="shared" si="24"/>
        <v>0</v>
      </c>
      <c r="T78" t="b">
        <f t="shared" si="25"/>
        <v>0</v>
      </c>
      <c r="U78" s="176">
        <f t="shared" si="26"/>
        <v>0</v>
      </c>
      <c r="V78" s="165">
        <f>IF(U78&lt;V$5,V$5-U78,IF(U78&gt;=V$5,0))*('Electrical System Specification'!D$16*'Electrical System Specification'!Q$16)</f>
        <v>7516.5876862264913</v>
      </c>
      <c r="W78" s="28">
        <f t="shared" si="27"/>
        <v>1974.9051893061755</v>
      </c>
      <c r="X78" s="165">
        <f>IF(U78&gt;V$5,U78-V$5,0)*'Electrical System Specification'!D$17</f>
        <v>0</v>
      </c>
      <c r="Y78">
        <f>(X78*C78)*'Electrical System Specification'!D$17</f>
        <v>0</v>
      </c>
      <c r="Z78" s="165">
        <f t="shared" si="28"/>
        <v>1974.9051893061755</v>
      </c>
      <c r="AA78" s="165">
        <f t="shared" si="29"/>
        <v>46644.812904516381</v>
      </c>
      <c r="AB78" s="165"/>
    </row>
    <row r="79" spans="3:28" x14ac:dyDescent="0.2">
      <c r="C79" s="148">
        <v>0.30942816614971064</v>
      </c>
      <c r="D79">
        <f t="shared" si="17"/>
        <v>17.041720260421968</v>
      </c>
      <c r="E79" s="164">
        <v>0</v>
      </c>
      <c r="F79" s="165">
        <f>E79/'Electrical System Specification'!AC$4</f>
        <v>0</v>
      </c>
      <c r="G79" s="146">
        <f>F79/('Electrical System Specification'!X$16*'Electrical System Specification'!J$16*'Electrical System Specification'!D$17)</f>
        <v>0</v>
      </c>
      <c r="H79" s="165"/>
      <c r="I79" s="173">
        <f t="shared" si="18"/>
        <v>6871.6622130335309</v>
      </c>
      <c r="J79" s="173">
        <f t="shared" si="19"/>
        <v>7621.6306710664712</v>
      </c>
      <c r="K79" s="174" t="b">
        <f>IF(E79&gt;I79,'Electrical System Specification'!AC$4*'Electrical System Specification'!J$16*'Electrical System Specification'!D$16*'Electrical System Specification'!D$17*'Electrical System Specification'!X$16)</f>
        <v>0</v>
      </c>
      <c r="L79" s="174">
        <f>IF(E79&lt;I79,'Electrical System Specification'!X$16*'Electrical System Specification'!Q$16*'Electrical System Specification'!AC$4*'Electrical System Specification'!J$16)</f>
        <v>0.83082440000000002</v>
      </c>
      <c r="M79" s="174">
        <f t="shared" si="20"/>
        <v>0.83082440000000002</v>
      </c>
      <c r="N79" s="174">
        <f t="shared" si="21"/>
        <v>0</v>
      </c>
      <c r="O79" s="173">
        <f t="shared" si="22"/>
        <v>-6871.6622130335309</v>
      </c>
      <c r="P79" s="174" t="b">
        <f t="shared" si="23"/>
        <v>0</v>
      </c>
      <c r="Q79" s="174">
        <f t="shared" si="16"/>
        <v>0</v>
      </c>
      <c r="R79" s="174">
        <f t="shared" si="15"/>
        <v>0</v>
      </c>
      <c r="S79" s="165">
        <f t="shared" si="24"/>
        <v>0</v>
      </c>
      <c r="T79" t="b">
        <f t="shared" si="25"/>
        <v>0</v>
      </c>
      <c r="U79" s="176">
        <f t="shared" si="26"/>
        <v>0</v>
      </c>
      <c r="V79" s="165">
        <f>IF(U79&lt;V$5,V$5-U79,IF(U79&gt;=V$5,0))*('Electrical System Specification'!D$16*'Electrical System Specification'!Q$16)</f>
        <v>7516.5876862264913</v>
      </c>
      <c r="W79" s="28">
        <f t="shared" si="27"/>
        <v>2325.8439434525599</v>
      </c>
      <c r="X79" s="165">
        <f>IF(U79&gt;V$5,U79-V$5,0)*'Electrical System Specification'!D$17</f>
        <v>0</v>
      </c>
      <c r="Y79">
        <f>(X79*C79)*'Electrical System Specification'!D$17</f>
        <v>0</v>
      </c>
      <c r="Z79" s="165">
        <f t="shared" si="28"/>
        <v>2325.8439434525599</v>
      </c>
      <c r="AA79" s="165">
        <f t="shared" si="29"/>
        <v>48970.656847968938</v>
      </c>
      <c r="AB79" s="165"/>
    </row>
    <row r="80" spans="3:28" x14ac:dyDescent="0.2">
      <c r="C80" s="148">
        <v>0.50540713216277156</v>
      </c>
      <c r="D80">
        <f t="shared" si="17"/>
        <v>17.547127392584741</v>
      </c>
      <c r="E80" s="164">
        <v>0</v>
      </c>
      <c r="F80" s="165">
        <f>E80/'Electrical System Specification'!AC$4</f>
        <v>0</v>
      </c>
      <c r="G80" s="146">
        <f>F80/('Electrical System Specification'!X$16*'Electrical System Specification'!J$16*'Electrical System Specification'!D$17)</f>
        <v>0</v>
      </c>
      <c r="H80" s="165"/>
      <c r="I80" s="173">
        <f t="shared" si="18"/>
        <v>6871.6622130335309</v>
      </c>
      <c r="J80" s="173">
        <f t="shared" si="19"/>
        <v>7621.6306710664712</v>
      </c>
      <c r="K80" s="174" t="b">
        <f>IF(E80&gt;I80,'Electrical System Specification'!AC$4*'Electrical System Specification'!J$16*'Electrical System Specification'!D$16*'Electrical System Specification'!D$17*'Electrical System Specification'!X$16)</f>
        <v>0</v>
      </c>
      <c r="L80" s="174">
        <f>IF(E80&lt;I80,'Electrical System Specification'!X$16*'Electrical System Specification'!Q$16*'Electrical System Specification'!AC$4*'Electrical System Specification'!J$16)</f>
        <v>0.83082440000000002</v>
      </c>
      <c r="M80" s="174">
        <f t="shared" si="20"/>
        <v>0.83082440000000002</v>
      </c>
      <c r="N80" s="174">
        <f t="shared" si="21"/>
        <v>0</v>
      </c>
      <c r="O80" s="173">
        <f t="shared" si="22"/>
        <v>-6871.6622130335309</v>
      </c>
      <c r="P80" s="174" t="b">
        <f t="shared" si="23"/>
        <v>0</v>
      </c>
      <c r="Q80" s="174">
        <f t="shared" si="16"/>
        <v>0</v>
      </c>
      <c r="R80" s="174">
        <f t="shared" si="15"/>
        <v>0</v>
      </c>
      <c r="S80" s="165">
        <f t="shared" si="24"/>
        <v>0</v>
      </c>
      <c r="T80" t="b">
        <f t="shared" si="25"/>
        <v>0</v>
      </c>
      <c r="U80" s="176">
        <f t="shared" si="26"/>
        <v>0</v>
      </c>
      <c r="V80" s="165">
        <f>IF(U80&lt;V$5,V$5-U80,IF(U80&gt;=V$5,0))*('Electrical System Specification'!D$16*'Electrical System Specification'!Q$16)</f>
        <v>7516.5876862264913</v>
      </c>
      <c r="W80" s="28">
        <f t="shared" si="27"/>
        <v>3798.9370261457334</v>
      </c>
      <c r="X80" s="165">
        <f>IF(U80&gt;V$5,U80-V$5,0)*'Electrical System Specification'!D$17</f>
        <v>0</v>
      </c>
      <c r="Y80">
        <f>(X80*C80)*'Electrical System Specification'!D$17</f>
        <v>0</v>
      </c>
      <c r="Z80" s="165">
        <f t="shared" si="28"/>
        <v>3798.9370261457334</v>
      </c>
      <c r="AA80" s="165">
        <f t="shared" si="29"/>
        <v>52769.593874114667</v>
      </c>
      <c r="AB80" s="165"/>
    </row>
    <row r="81" spans="3:28" x14ac:dyDescent="0.2">
      <c r="C81" s="148">
        <v>0.56189079216566773</v>
      </c>
      <c r="D81">
        <f t="shared" si="17"/>
        <v>18.109018184750408</v>
      </c>
      <c r="E81" s="164">
        <v>0</v>
      </c>
      <c r="F81" s="165">
        <f>E81/'Electrical System Specification'!AC$4</f>
        <v>0</v>
      </c>
      <c r="G81" s="146">
        <f>F81/('Electrical System Specification'!X$16*'Electrical System Specification'!J$16*'Electrical System Specification'!D$17)</f>
        <v>0</v>
      </c>
      <c r="H81" s="165"/>
      <c r="I81" s="173">
        <f t="shared" si="18"/>
        <v>6871.6622130335309</v>
      </c>
      <c r="J81" s="173">
        <f t="shared" si="19"/>
        <v>7621.6306710664712</v>
      </c>
      <c r="K81" s="174" t="b">
        <f>IF(E81&gt;I81,'Electrical System Specification'!AC$4*'Electrical System Specification'!J$16*'Electrical System Specification'!D$16*'Electrical System Specification'!D$17*'Electrical System Specification'!X$16)</f>
        <v>0</v>
      </c>
      <c r="L81" s="174">
        <f>IF(E81&lt;I81,'Electrical System Specification'!X$16*'Electrical System Specification'!Q$16*'Electrical System Specification'!AC$4*'Electrical System Specification'!J$16)</f>
        <v>0.83082440000000002</v>
      </c>
      <c r="M81" s="174">
        <f t="shared" si="20"/>
        <v>0.83082440000000002</v>
      </c>
      <c r="N81" s="174">
        <f t="shared" si="21"/>
        <v>0</v>
      </c>
      <c r="O81" s="173">
        <f t="shared" si="22"/>
        <v>-6871.6622130335309</v>
      </c>
      <c r="P81" s="174" t="b">
        <f t="shared" si="23"/>
        <v>0</v>
      </c>
      <c r="Q81" s="174">
        <f t="shared" si="16"/>
        <v>0</v>
      </c>
      <c r="R81" s="174">
        <f t="shared" si="15"/>
        <v>0</v>
      </c>
      <c r="S81" s="165">
        <f t="shared" si="24"/>
        <v>0</v>
      </c>
      <c r="T81" t="b">
        <f t="shared" si="25"/>
        <v>0</v>
      </c>
      <c r="U81" s="176">
        <f t="shared" si="26"/>
        <v>0</v>
      </c>
      <c r="V81" s="165">
        <f>IF(U81&lt;V$5,V$5-U81,IF(U81&gt;=V$5,0))*('Electrical System Specification'!D$16*'Electrical System Specification'!Q$16)</f>
        <v>7516.5876862264913</v>
      </c>
      <c r="W81" s="28">
        <f t="shared" si="27"/>
        <v>4223.5014093965065</v>
      </c>
      <c r="X81" s="165">
        <f>IF(U81&gt;V$5,U81-V$5,0)*'Electrical System Specification'!D$17</f>
        <v>0</v>
      </c>
      <c r="Y81">
        <f>(X81*C81)*'Electrical System Specification'!D$17</f>
        <v>0</v>
      </c>
      <c r="Z81" s="165">
        <f t="shared" si="28"/>
        <v>4223.5014093965065</v>
      </c>
      <c r="AA81" s="165">
        <f t="shared" si="29"/>
        <v>56993.095283511175</v>
      </c>
      <c r="AB81" s="165"/>
    </row>
    <row r="82" spans="3:28" x14ac:dyDescent="0.2">
      <c r="C82" s="148">
        <v>0.48737240659556991</v>
      </c>
      <c r="D82">
        <f t="shared" si="17"/>
        <v>18.596390591345976</v>
      </c>
      <c r="E82" s="164">
        <v>0</v>
      </c>
      <c r="F82" s="165">
        <f>E82/'Electrical System Specification'!AC$4</f>
        <v>0</v>
      </c>
      <c r="G82" s="146">
        <f>F82/('Electrical System Specification'!X$16*'Electrical System Specification'!J$16*'Electrical System Specification'!D$17)</f>
        <v>0</v>
      </c>
      <c r="H82" s="165"/>
      <c r="I82" s="173">
        <f t="shared" si="18"/>
        <v>6871.6622130335309</v>
      </c>
      <c r="J82" s="173">
        <f t="shared" si="19"/>
        <v>7621.6306710664712</v>
      </c>
      <c r="K82" s="174" t="b">
        <f>IF(E82&gt;I82,'Electrical System Specification'!AC$4*'Electrical System Specification'!J$16*'Electrical System Specification'!D$16*'Electrical System Specification'!D$17*'Electrical System Specification'!X$16)</f>
        <v>0</v>
      </c>
      <c r="L82" s="174">
        <f>IF(E82&lt;I82,'Electrical System Specification'!X$16*'Electrical System Specification'!Q$16*'Electrical System Specification'!AC$4*'Electrical System Specification'!J$16)</f>
        <v>0.83082440000000002</v>
      </c>
      <c r="M82" s="174">
        <f t="shared" si="20"/>
        <v>0.83082440000000002</v>
      </c>
      <c r="N82" s="174">
        <f t="shared" si="21"/>
        <v>0</v>
      </c>
      <c r="O82" s="173">
        <f t="shared" si="22"/>
        <v>-6871.6622130335309</v>
      </c>
      <c r="P82" s="174" t="b">
        <f t="shared" si="23"/>
        <v>0</v>
      </c>
      <c r="Q82" s="174">
        <f t="shared" si="16"/>
        <v>0</v>
      </c>
      <c r="R82" s="174">
        <f t="shared" si="15"/>
        <v>0</v>
      </c>
      <c r="S82" s="165">
        <f t="shared" si="24"/>
        <v>0</v>
      </c>
      <c r="T82" t="b">
        <f t="shared" si="25"/>
        <v>0</v>
      </c>
      <c r="U82" s="176">
        <f t="shared" si="26"/>
        <v>0</v>
      </c>
      <c r="V82" s="165">
        <f>IF(U82&lt;V$5,V$5-U82,IF(U82&gt;=V$5,0))*('Electrical System Specification'!D$16*'Electrical System Specification'!Q$16)</f>
        <v>7516.5876862264913</v>
      </c>
      <c r="W82" s="28">
        <f t="shared" si="27"/>
        <v>3663.3774300228315</v>
      </c>
      <c r="X82" s="165">
        <f>IF(U82&gt;V$5,U82-V$5,0)*'Electrical System Specification'!D$17</f>
        <v>0</v>
      </c>
      <c r="Y82">
        <f>(X82*C82)*'Electrical System Specification'!D$17</f>
        <v>0</v>
      </c>
      <c r="Z82" s="165">
        <f t="shared" si="28"/>
        <v>3663.3774300228315</v>
      </c>
      <c r="AA82" s="165">
        <f t="shared" si="29"/>
        <v>60656.472713534007</v>
      </c>
      <c r="AB82" s="165"/>
    </row>
    <row r="83" spans="3:28" x14ac:dyDescent="0.2">
      <c r="C83" s="148">
        <v>0.43677976217071318</v>
      </c>
      <c r="D83">
        <f t="shared" si="17"/>
        <v>19.033170353516688</v>
      </c>
      <c r="E83" s="164">
        <v>0</v>
      </c>
      <c r="F83" s="165">
        <f>E83/'Electrical System Specification'!AC$4</f>
        <v>0</v>
      </c>
      <c r="G83" s="146">
        <f>F83/('Electrical System Specification'!X$16*'Electrical System Specification'!J$16*'Electrical System Specification'!D$17)</f>
        <v>0</v>
      </c>
      <c r="H83" s="165"/>
      <c r="I83" s="173">
        <f t="shared" si="18"/>
        <v>6871.6622130335309</v>
      </c>
      <c r="J83" s="173">
        <f t="shared" si="19"/>
        <v>7621.6306710664712</v>
      </c>
      <c r="K83" s="174" t="b">
        <f>IF(E83&gt;I83,'Electrical System Specification'!AC$4*'Electrical System Specification'!J$16*'Electrical System Specification'!D$16*'Electrical System Specification'!D$17*'Electrical System Specification'!X$16)</f>
        <v>0</v>
      </c>
      <c r="L83" s="174">
        <f>IF(E83&lt;I83,'Electrical System Specification'!X$16*'Electrical System Specification'!Q$16*'Electrical System Specification'!AC$4*'Electrical System Specification'!J$16)</f>
        <v>0.83082440000000002</v>
      </c>
      <c r="M83" s="174">
        <f t="shared" si="20"/>
        <v>0.83082440000000002</v>
      </c>
      <c r="N83" s="174">
        <f t="shared" si="21"/>
        <v>0</v>
      </c>
      <c r="O83" s="173">
        <f t="shared" si="22"/>
        <v>-6871.6622130335309</v>
      </c>
      <c r="P83" s="174" t="b">
        <f t="shared" si="23"/>
        <v>0</v>
      </c>
      <c r="Q83" s="174">
        <f t="shared" si="16"/>
        <v>0</v>
      </c>
      <c r="R83" s="174">
        <f t="shared" si="15"/>
        <v>0</v>
      </c>
      <c r="S83" s="165">
        <f t="shared" si="24"/>
        <v>0</v>
      </c>
      <c r="T83" t="b">
        <f t="shared" si="25"/>
        <v>0</v>
      </c>
      <c r="U83" s="176">
        <f t="shared" si="26"/>
        <v>0</v>
      </c>
      <c r="V83" s="165">
        <f>IF(U83&lt;V$5,V$5-U83,IF(U83&gt;=V$5,0))*('Electrical System Specification'!D$16*'Electrical System Specification'!Q$16)</f>
        <v>7516.5876862264913</v>
      </c>
      <c r="W83" s="28">
        <f t="shared" si="27"/>
        <v>3283.0933819253182</v>
      </c>
      <c r="X83" s="165">
        <f>IF(U83&gt;V$5,U83-V$5,0)*'Electrical System Specification'!D$17</f>
        <v>0</v>
      </c>
      <c r="Y83">
        <f>(X83*C83)*'Electrical System Specification'!D$17</f>
        <v>0</v>
      </c>
      <c r="Z83" s="165">
        <f t="shared" si="28"/>
        <v>3283.0933819253182</v>
      </c>
      <c r="AA83" s="165">
        <f t="shared" si="29"/>
        <v>63939.566095459326</v>
      </c>
      <c r="AB83" s="165"/>
    </row>
    <row r="84" spans="3:28" x14ac:dyDescent="0.2">
      <c r="C84" s="148">
        <v>0.39964247376994338</v>
      </c>
      <c r="D84">
        <f t="shared" si="17"/>
        <v>19.432812827286632</v>
      </c>
      <c r="E84" s="164">
        <v>0</v>
      </c>
      <c r="F84" s="165">
        <f>E84/'Electrical System Specification'!AC$4</f>
        <v>0</v>
      </c>
      <c r="G84" s="146">
        <f>F84/('Electrical System Specification'!X$16*'Electrical System Specification'!J$16*'Electrical System Specification'!D$17)</f>
        <v>0</v>
      </c>
      <c r="H84" s="165"/>
      <c r="I84" s="173">
        <f t="shared" si="18"/>
        <v>6871.6622130335309</v>
      </c>
      <c r="J84" s="173">
        <f t="shared" si="19"/>
        <v>7621.6306710664712</v>
      </c>
      <c r="K84" s="174" t="b">
        <f>IF(E84&gt;I84,'Electrical System Specification'!AC$4*'Electrical System Specification'!J$16*'Electrical System Specification'!D$16*'Electrical System Specification'!D$17*'Electrical System Specification'!X$16)</f>
        <v>0</v>
      </c>
      <c r="L84" s="174">
        <f>IF(E84&lt;I84,'Electrical System Specification'!X$16*'Electrical System Specification'!Q$16*'Electrical System Specification'!AC$4*'Electrical System Specification'!J$16)</f>
        <v>0.83082440000000002</v>
      </c>
      <c r="M84" s="174">
        <f t="shared" si="20"/>
        <v>0.83082440000000002</v>
      </c>
      <c r="N84" s="174">
        <f t="shared" si="21"/>
        <v>0</v>
      </c>
      <c r="O84" s="173">
        <f t="shared" si="22"/>
        <v>-6871.6622130335309</v>
      </c>
      <c r="P84" s="174" t="b">
        <f t="shared" si="23"/>
        <v>0</v>
      </c>
      <c r="Q84" s="174">
        <f t="shared" si="16"/>
        <v>0</v>
      </c>
      <c r="R84" s="174">
        <f t="shared" si="15"/>
        <v>0</v>
      </c>
      <c r="S84" s="165">
        <f t="shared" si="24"/>
        <v>0</v>
      </c>
      <c r="T84" t="b">
        <f t="shared" si="25"/>
        <v>0</v>
      </c>
      <c r="U84" s="176">
        <f t="shared" si="26"/>
        <v>0</v>
      </c>
      <c r="V84" s="165">
        <f>IF(U84&lt;V$5,V$5-U84,IF(U84&gt;=V$5,0))*('Electrical System Specification'!D$16*'Electrical System Specification'!Q$16)</f>
        <v>7516.5876862264913</v>
      </c>
      <c r="W84" s="28">
        <f t="shared" si="27"/>
        <v>3003.94769723225</v>
      </c>
      <c r="X84" s="165">
        <f>IF(U84&gt;V$5,U84-V$5,0)*'Electrical System Specification'!D$17</f>
        <v>0</v>
      </c>
      <c r="Y84">
        <f>(X84*C84)*'Electrical System Specification'!D$17</f>
        <v>0</v>
      </c>
      <c r="Z84" s="165">
        <f t="shared" si="28"/>
        <v>3003.94769723225</v>
      </c>
      <c r="AA84" s="165">
        <f t="shared" si="29"/>
        <v>66943.513792691578</v>
      </c>
      <c r="AB84" s="165"/>
    </row>
    <row r="85" spans="3:28" x14ac:dyDescent="0.2">
      <c r="C85" s="148">
        <v>0.37092058966140862</v>
      </c>
      <c r="D85">
        <f t="shared" si="17"/>
        <v>19.803733416948042</v>
      </c>
      <c r="E85" s="164">
        <v>0</v>
      </c>
      <c r="F85" s="165">
        <f>E85/'Electrical System Specification'!AC$4</f>
        <v>0</v>
      </c>
      <c r="G85" s="146">
        <f>F85/('Electrical System Specification'!X$16*'Electrical System Specification'!J$16*'Electrical System Specification'!D$17)</f>
        <v>0</v>
      </c>
      <c r="H85" s="165"/>
      <c r="I85" s="173">
        <f t="shared" si="18"/>
        <v>6871.6622130335309</v>
      </c>
      <c r="J85" s="173">
        <f t="shared" si="19"/>
        <v>7621.6306710664712</v>
      </c>
      <c r="K85" s="174" t="b">
        <f>IF(E85&gt;I85,'Electrical System Specification'!AC$4*'Electrical System Specification'!J$16*'Electrical System Specification'!D$16*'Electrical System Specification'!D$17*'Electrical System Specification'!X$16)</f>
        <v>0</v>
      </c>
      <c r="L85" s="174">
        <f>IF(E85&lt;I85,'Electrical System Specification'!X$16*'Electrical System Specification'!Q$16*'Electrical System Specification'!AC$4*'Electrical System Specification'!J$16)</f>
        <v>0.83082440000000002</v>
      </c>
      <c r="M85" s="174">
        <f t="shared" si="20"/>
        <v>0.83082440000000002</v>
      </c>
      <c r="N85" s="174">
        <f t="shared" si="21"/>
        <v>0</v>
      </c>
      <c r="O85" s="173">
        <f t="shared" si="22"/>
        <v>-6871.6622130335309</v>
      </c>
      <c r="P85" s="174" t="b">
        <f t="shared" si="23"/>
        <v>0</v>
      </c>
      <c r="Q85" s="174">
        <f t="shared" si="16"/>
        <v>0</v>
      </c>
      <c r="R85" s="174">
        <f t="shared" ref="R85:R148" si="30">IF(Q85&gt;I85,0,Q85/L85)</f>
        <v>0</v>
      </c>
      <c r="S85" s="165">
        <f t="shared" si="24"/>
        <v>0</v>
      </c>
      <c r="T85" t="b">
        <f t="shared" si="25"/>
        <v>0</v>
      </c>
      <c r="U85" s="176">
        <f t="shared" si="26"/>
        <v>0</v>
      </c>
      <c r="V85" s="165">
        <f>IF(U85&lt;V$5,V$5-U85,IF(U85&gt;=V$5,0))*('Electrical System Specification'!D$16*'Electrical System Specification'!Q$16)</f>
        <v>7516.5876862264913</v>
      </c>
      <c r="W85" s="28">
        <f t="shared" si="27"/>
        <v>2788.057136816813</v>
      </c>
      <c r="X85" s="165">
        <f>IF(U85&gt;V$5,U85-V$5,0)*'Electrical System Specification'!D$17</f>
        <v>0</v>
      </c>
      <c r="Y85">
        <f>(X85*C85)*'Electrical System Specification'!D$17</f>
        <v>0</v>
      </c>
      <c r="Z85" s="165">
        <f t="shared" si="28"/>
        <v>2788.057136816813</v>
      </c>
      <c r="AA85" s="165">
        <f t="shared" si="29"/>
        <v>69731.570929508394</v>
      </c>
      <c r="AB85" s="165"/>
    </row>
    <row r="86" spans="3:28" x14ac:dyDescent="0.2">
      <c r="C86" s="148">
        <v>0.34775406992621971</v>
      </c>
      <c r="D86">
        <f t="shared" si="17"/>
        <v>20.151487486874263</v>
      </c>
      <c r="E86" s="164">
        <v>1999.368177363827</v>
      </c>
      <c r="F86" s="165">
        <f>E86/'Electrical System Specification'!AC$4</f>
        <v>2040.1716095549257</v>
      </c>
      <c r="G86" s="146">
        <f>F86/('Electrical System Specification'!X$16*'Electrical System Specification'!J$16*'Electrical System Specification'!D$17)</f>
        <v>2540.1807977923772</v>
      </c>
      <c r="H86" s="165"/>
      <c r="I86" s="173">
        <f t="shared" si="18"/>
        <v>6871.6622130335309</v>
      </c>
      <c r="J86" s="173">
        <f t="shared" si="19"/>
        <v>7621.6306710664712</v>
      </c>
      <c r="K86" s="174" t="b">
        <f>IF(E86&gt;I86,'Electrical System Specification'!AC$4*'Electrical System Specification'!J$16*'Electrical System Specification'!D$16*'Electrical System Specification'!D$17*'Electrical System Specification'!X$16)</f>
        <v>0</v>
      </c>
      <c r="L86" s="174">
        <f>IF(E86&lt;I86,'Electrical System Specification'!X$16*'Electrical System Specification'!Q$16*'Electrical System Specification'!AC$4*'Electrical System Specification'!J$16)</f>
        <v>0.83082440000000002</v>
      </c>
      <c r="M86" s="174">
        <f t="shared" si="20"/>
        <v>0.83082440000000002</v>
      </c>
      <c r="N86" s="174">
        <f t="shared" si="21"/>
        <v>1661.1238663373952</v>
      </c>
      <c r="O86" s="173">
        <f t="shared" si="22"/>
        <v>-4872.2940356697036</v>
      </c>
      <c r="P86" s="174" t="b">
        <f t="shared" si="23"/>
        <v>0</v>
      </c>
      <c r="Q86" s="174">
        <f t="shared" si="16"/>
        <v>1999.3681773638273</v>
      </c>
      <c r="R86" s="174">
        <f t="shared" si="30"/>
        <v>2406.4870715927786</v>
      </c>
      <c r="S86" s="165">
        <f t="shared" si="24"/>
        <v>2406.4870715927786</v>
      </c>
      <c r="T86" t="b">
        <f t="shared" si="25"/>
        <v>0</v>
      </c>
      <c r="U86" s="176">
        <f t="shared" si="26"/>
        <v>2406.4870715927786</v>
      </c>
      <c r="V86" s="165">
        <f>IF(U86&lt;V$5,V$5-U86,IF(U86&gt;=V$5,0))*('Electrical System Specification'!D$16*'Electrical System Specification'!Q$16)</f>
        <v>5459.0412400146652</v>
      </c>
      <c r="W86" s="28">
        <f t="shared" si="27"/>
        <v>1898.403809110177</v>
      </c>
      <c r="X86" s="165">
        <f>IF(U86&gt;V$5,U86-V$5,0)*'Electrical System Specification'!D$17</f>
        <v>0</v>
      </c>
      <c r="Y86">
        <f>(X86*C86)*'Electrical System Specification'!D$17</f>
        <v>0</v>
      </c>
      <c r="Z86" s="165">
        <f t="shared" si="28"/>
        <v>1898.403809110177</v>
      </c>
      <c r="AA86" s="165">
        <f t="shared" si="29"/>
        <v>71629.974738618577</v>
      </c>
      <c r="AB86" s="165"/>
    </row>
    <row r="87" spans="3:28" x14ac:dyDescent="0.2">
      <c r="C87" s="148">
        <v>0.32865404749073185</v>
      </c>
      <c r="D87">
        <f t="shared" si="17"/>
        <v>20.480141534364996</v>
      </c>
      <c r="E87" s="164">
        <v>11908.052888301743</v>
      </c>
      <c r="F87" s="165">
        <f>E87/'Electrical System Specification'!AC$4</f>
        <v>12151.074375818105</v>
      </c>
      <c r="G87" s="146">
        <f>F87/('Electrical System Specification'!X$16*'Electrical System Specification'!J$16*'Electrical System Specification'!D$17)</f>
        <v>15129.083091560966</v>
      </c>
      <c r="H87" s="165"/>
      <c r="I87" s="173">
        <f t="shared" si="18"/>
        <v>6871.6622130335309</v>
      </c>
      <c r="J87" s="173">
        <f t="shared" si="19"/>
        <v>7621.6306710664712</v>
      </c>
      <c r="K87" s="174">
        <f>IF(E87&gt;I87,'Electrical System Specification'!AC$4*'Electrical System Specification'!J$16*'Electrical System Specification'!D$16*'Electrical System Specification'!D$17*'Electrical System Specification'!X$16)</f>
        <v>0.70838712000000004</v>
      </c>
      <c r="L87" s="174" t="b">
        <f>IF(E87&lt;I87,'Electrical System Specification'!X$16*'Electrical System Specification'!Q$16*'Electrical System Specification'!AC$4*'Electrical System Specification'!J$16)</f>
        <v>0</v>
      </c>
      <c r="M87" s="174">
        <f t="shared" si="20"/>
        <v>0.70838712000000004</v>
      </c>
      <c r="N87" s="174">
        <f t="shared" si="21"/>
        <v>8435.5112903517547</v>
      </c>
      <c r="O87" s="173">
        <f t="shared" si="22"/>
        <v>5036.3906752682124</v>
      </c>
      <c r="P87" s="174">
        <f t="shared" si="23"/>
        <v>7109.6587347158602</v>
      </c>
      <c r="Q87" s="174">
        <f t="shared" si="16"/>
        <v>8270.8960076684452</v>
      </c>
      <c r="R87" s="174">
        <f t="shared" si="30"/>
        <v>0</v>
      </c>
      <c r="S87" s="165" t="b">
        <f t="shared" si="24"/>
        <v>0</v>
      </c>
      <c r="T87">
        <f t="shared" si="25"/>
        <v>15380.554742384305</v>
      </c>
      <c r="U87" s="176">
        <f t="shared" si="26"/>
        <v>15380.554742384305</v>
      </c>
      <c r="V87" s="165">
        <f>IF(U87&lt;V$5,V$5-U87,IF(U87&gt;=V$5,0))*('Electrical System Specification'!D$16*'Electrical System Specification'!Q$16)</f>
        <v>0</v>
      </c>
      <c r="W87" s="28">
        <f t="shared" si="27"/>
        <v>0</v>
      </c>
      <c r="X87" s="165">
        <f>IF(U87&gt;V$5,U87-V$5,0)*'Electrical System Specification'!D$17</f>
        <v>5930.3017036969368</v>
      </c>
      <c r="Y87">
        <f>(X87*C87)*'Electrical System Specification'!D$17</f>
        <v>1754.1158919850629</v>
      </c>
      <c r="Z87" s="165">
        <f t="shared" si="28"/>
        <v>-1754.1158919850629</v>
      </c>
      <c r="AA87" s="165">
        <f t="shared" si="29"/>
        <v>69875.85884663352</v>
      </c>
      <c r="AB87" s="165"/>
    </row>
    <row r="88" spans="3:28" x14ac:dyDescent="0.2">
      <c r="C88" s="148">
        <v>0.31263514895777883</v>
      </c>
      <c r="D88">
        <f t="shared" si="17"/>
        <v>20.792776683322774</v>
      </c>
      <c r="E88" s="164">
        <v>8378.3266339833608</v>
      </c>
      <c r="F88" s="165">
        <f>E88/'Electrical System Specification'!AC$4</f>
        <v>8549.3128918197563</v>
      </c>
      <c r="G88" s="146">
        <f>F88/('Electrical System Specification'!X$16*'Electrical System Specification'!J$16*'Electrical System Specification'!D$17)</f>
        <v>10644.594964664271</v>
      </c>
      <c r="H88" s="165"/>
      <c r="I88" s="173">
        <f t="shared" si="18"/>
        <v>6871.6622130335309</v>
      </c>
      <c r="J88" s="173">
        <f t="shared" si="19"/>
        <v>7621.6306710664712</v>
      </c>
      <c r="K88" s="174">
        <f>IF(E88&gt;I88,'Electrical System Specification'!AC$4*'Electrical System Specification'!J$16*'Electrical System Specification'!D$16*'Electrical System Specification'!D$17*'Electrical System Specification'!X$16)</f>
        <v>0.70838712000000004</v>
      </c>
      <c r="L88" s="174" t="b">
        <f>IF(E88&lt;I88,'Electrical System Specification'!X$16*'Electrical System Specification'!Q$16*'Electrical System Specification'!AC$4*'Electrical System Specification'!J$16)</f>
        <v>0</v>
      </c>
      <c r="M88" s="174">
        <f t="shared" si="20"/>
        <v>0.70838712000000004</v>
      </c>
      <c r="N88" s="174">
        <f t="shared" si="21"/>
        <v>5935.0986746667677</v>
      </c>
      <c r="O88" s="173">
        <f t="shared" si="22"/>
        <v>1506.6644209498299</v>
      </c>
      <c r="P88" s="174">
        <f t="shared" si="23"/>
        <v>2126.8941492750882</v>
      </c>
      <c r="Q88" s="174">
        <f t="shared" si="16"/>
        <v>8270.8960076684452</v>
      </c>
      <c r="R88" s="174">
        <f t="shared" si="30"/>
        <v>0</v>
      </c>
      <c r="S88" s="165" t="b">
        <f t="shared" si="24"/>
        <v>0</v>
      </c>
      <c r="T88">
        <f t="shared" si="25"/>
        <v>10397.790156943534</v>
      </c>
      <c r="U88" s="176">
        <f t="shared" si="26"/>
        <v>10397.790156943534</v>
      </c>
      <c r="V88" s="165">
        <f>IF(U88&lt;V$5,V$5-U88,IF(U88&gt;=V$5,0))*('Electrical System Specification'!D$16*'Electrical System Specification'!Q$16)</f>
        <v>0</v>
      </c>
      <c r="W88" s="28">
        <f t="shared" si="27"/>
        <v>0</v>
      </c>
      <c r="X88" s="165">
        <f>IF(U88&gt;V$5,U88-V$5,0)*'Electrical System Specification'!D$17</f>
        <v>1445.8135768002423</v>
      </c>
      <c r="Y88">
        <f>(X88*C88)*'Electrical System Specification'!D$17</f>
        <v>406.8109286533105</v>
      </c>
      <c r="Z88" s="165">
        <f t="shared" si="28"/>
        <v>-406.8109286533105</v>
      </c>
      <c r="AA88" s="165">
        <f t="shared" si="29"/>
        <v>69469.047917980206</v>
      </c>
      <c r="AB88" s="165"/>
    </row>
    <row r="89" spans="3:28" x14ac:dyDescent="0.2">
      <c r="C89" s="148">
        <v>0.29871509196421142</v>
      </c>
      <c r="D89">
        <f t="shared" si="17"/>
        <v>21.091491775286986</v>
      </c>
      <c r="E89" s="164">
        <v>8801.5101170810576</v>
      </c>
      <c r="F89" s="165">
        <f>E89/'Electrical System Specification'!AC$4</f>
        <v>8981.1327725316914</v>
      </c>
      <c r="G89" s="146">
        <f>F89/('Electrical System Specification'!X$16*'Electrical System Specification'!J$16*'Electrical System Specification'!D$17)</f>
        <v>11182.246093594915</v>
      </c>
      <c r="H89" s="165"/>
      <c r="I89" s="173">
        <f t="shared" si="18"/>
        <v>6871.6622130335309</v>
      </c>
      <c r="J89" s="173">
        <f t="shared" si="19"/>
        <v>7621.6306710664712</v>
      </c>
      <c r="K89" s="174">
        <f>IF(E89&gt;I89,'Electrical System Specification'!AC$4*'Electrical System Specification'!J$16*'Electrical System Specification'!D$16*'Electrical System Specification'!D$17*'Electrical System Specification'!X$16)</f>
        <v>0.70838712000000004</v>
      </c>
      <c r="L89" s="174" t="b">
        <f>IF(E89&lt;I89,'Electrical System Specification'!X$16*'Electrical System Specification'!Q$16*'Electrical System Specification'!AC$4*'Electrical System Specification'!J$16)</f>
        <v>0</v>
      </c>
      <c r="M89" s="174">
        <f t="shared" si="20"/>
        <v>0.70838712000000004</v>
      </c>
      <c r="N89" s="174">
        <f t="shared" si="21"/>
        <v>6234.8764034899132</v>
      </c>
      <c r="O89" s="173">
        <f t="shared" si="22"/>
        <v>1929.8479040475268</v>
      </c>
      <c r="P89" s="174">
        <f t="shared" si="23"/>
        <v>2724.2842925313585</v>
      </c>
      <c r="Q89" s="174">
        <f t="shared" si="16"/>
        <v>8270.8960076684452</v>
      </c>
      <c r="R89" s="174">
        <f t="shared" si="30"/>
        <v>0</v>
      </c>
      <c r="S89" s="165" t="b">
        <f t="shared" si="24"/>
        <v>0</v>
      </c>
      <c r="T89">
        <f t="shared" si="25"/>
        <v>10995.180300199803</v>
      </c>
      <c r="U89" s="176">
        <f t="shared" si="26"/>
        <v>10995.180300199803</v>
      </c>
      <c r="V89" s="165">
        <f>IF(U89&lt;V$5,V$5-U89,IF(U89&gt;=V$5,0))*('Electrical System Specification'!D$16*'Electrical System Specification'!Q$16)</f>
        <v>0</v>
      </c>
      <c r="W89" s="28">
        <f t="shared" si="27"/>
        <v>0</v>
      </c>
      <c r="X89" s="165">
        <f>IF(U89&gt;V$5,U89-V$5,0)*'Electrical System Specification'!D$17</f>
        <v>1983.4647057308844</v>
      </c>
      <c r="Y89">
        <f>(X89*C89)*'Electrical System Specification'!D$17</f>
        <v>533.24175778215181</v>
      </c>
      <c r="Z89" s="165">
        <f t="shared" si="28"/>
        <v>-533.24175778215181</v>
      </c>
      <c r="AA89" s="165">
        <f t="shared" si="29"/>
        <v>68935.806160198059</v>
      </c>
      <c r="AB89" s="165"/>
    </row>
    <row r="90" spans="3:28" x14ac:dyDescent="0.2">
      <c r="C90" s="148">
        <v>0.28665718534544959</v>
      </c>
      <c r="D90">
        <f t="shared" si="17"/>
        <v>21.378148960632437</v>
      </c>
      <c r="E90" s="164">
        <v>9210.7175187768444</v>
      </c>
      <c r="F90" s="165">
        <f>E90/'Electrical System Specification'!AC$4</f>
        <v>9398.6913456906568</v>
      </c>
      <c r="G90" s="146">
        <f>F90/('Electrical System Specification'!X$16*'Electrical System Specification'!J$16*'Electrical System Specification'!D$17)</f>
        <v>11702.140726244656</v>
      </c>
      <c r="H90" s="165"/>
      <c r="I90" s="173">
        <f t="shared" si="18"/>
        <v>6871.6622130335309</v>
      </c>
      <c r="J90" s="173">
        <f t="shared" si="19"/>
        <v>7621.6306710664712</v>
      </c>
      <c r="K90" s="174">
        <f>IF(E90&gt;I90,'Electrical System Specification'!AC$4*'Electrical System Specification'!J$16*'Electrical System Specification'!D$16*'Electrical System Specification'!D$17*'Electrical System Specification'!X$16)</f>
        <v>0.70838712000000004</v>
      </c>
      <c r="L90" s="174" t="b">
        <f>IF(E90&lt;I90,'Electrical System Specification'!X$16*'Electrical System Specification'!Q$16*'Electrical System Specification'!AC$4*'Electrical System Specification'!J$16)</f>
        <v>0</v>
      </c>
      <c r="M90" s="174">
        <f t="shared" si="20"/>
        <v>0.70838712000000004</v>
      </c>
      <c r="N90" s="174">
        <f t="shared" si="21"/>
        <v>6524.7536562598752</v>
      </c>
      <c r="O90" s="173">
        <f t="shared" si="22"/>
        <v>2339.0553057433135</v>
      </c>
      <c r="P90" s="174">
        <f t="shared" si="23"/>
        <v>3301.9449954755155</v>
      </c>
      <c r="Q90" s="174">
        <f t="shared" si="16"/>
        <v>8270.8960076684452</v>
      </c>
      <c r="R90" s="174">
        <f t="shared" si="30"/>
        <v>0</v>
      </c>
      <c r="S90" s="165" t="b">
        <f t="shared" si="24"/>
        <v>0</v>
      </c>
      <c r="T90">
        <f t="shared" si="25"/>
        <v>11572.84100314396</v>
      </c>
      <c r="U90" s="176">
        <f t="shared" si="26"/>
        <v>11572.84100314396</v>
      </c>
      <c r="V90" s="165">
        <f>IF(U90&lt;V$5,V$5-U90,IF(U90&gt;=V$5,0))*('Electrical System Specification'!D$16*'Electrical System Specification'!Q$16)</f>
        <v>0</v>
      </c>
      <c r="W90" s="28">
        <f t="shared" si="27"/>
        <v>0</v>
      </c>
      <c r="X90" s="165">
        <f>IF(U90&gt;V$5,U90-V$5,0)*'Electrical System Specification'!D$17</f>
        <v>2503.3593383806251</v>
      </c>
      <c r="Y90">
        <f>(X90*C90)*'Electrical System Specification'!D$17</f>
        <v>645.84534766359332</v>
      </c>
      <c r="Z90" s="165">
        <f t="shared" si="28"/>
        <v>-645.84534766359332</v>
      </c>
      <c r="AA90" s="165">
        <f t="shared" si="29"/>
        <v>68289.960812534468</v>
      </c>
      <c r="AB90" s="165"/>
    </row>
    <row r="91" spans="3:28" x14ac:dyDescent="0.2">
      <c r="C91" s="148">
        <v>0.27601653816809235</v>
      </c>
      <c r="D91">
        <f t="shared" si="17"/>
        <v>21.654165498800531</v>
      </c>
      <c r="E91" s="164">
        <v>9607.6469227169309</v>
      </c>
      <c r="F91" s="165">
        <f>E91/'Electrical System Specification'!AC$4</f>
        <v>9803.7213497111534</v>
      </c>
      <c r="G91" s="146">
        <f>F91/('Electrical System Specification'!X$16*'Electrical System Specification'!J$16*'Electrical System Specification'!D$17)</f>
        <v>12206.43626389655</v>
      </c>
      <c r="H91" s="165"/>
      <c r="I91" s="173">
        <f t="shared" si="18"/>
        <v>6871.6622130335309</v>
      </c>
      <c r="J91" s="173">
        <f t="shared" si="19"/>
        <v>7621.6306710664712</v>
      </c>
      <c r="K91" s="174">
        <f>IF(E91&gt;I91,'Electrical System Specification'!AC$4*'Electrical System Specification'!J$16*'Electrical System Specification'!D$16*'Electrical System Specification'!D$17*'Electrical System Specification'!X$16)</f>
        <v>0.70838712000000004</v>
      </c>
      <c r="L91" s="174" t="b">
        <f>IF(E91&lt;I91,'Electrical System Specification'!X$16*'Electrical System Specification'!Q$16*'Electrical System Specification'!AC$4*'Electrical System Specification'!J$16)</f>
        <v>0</v>
      </c>
      <c r="M91" s="174">
        <f t="shared" si="20"/>
        <v>0.70838712000000004</v>
      </c>
      <c r="N91" s="174">
        <f t="shared" si="21"/>
        <v>6805.9333335603096</v>
      </c>
      <c r="O91" s="173">
        <f t="shared" si="22"/>
        <v>2735.9847096834001</v>
      </c>
      <c r="P91" s="174">
        <f t="shared" si="23"/>
        <v>3862.2733706442882</v>
      </c>
      <c r="Q91" s="174">
        <f t="shared" si="16"/>
        <v>8270.8960076684452</v>
      </c>
      <c r="R91" s="174">
        <f t="shared" si="30"/>
        <v>0</v>
      </c>
      <c r="S91" s="165" t="b">
        <f t="shared" si="24"/>
        <v>0</v>
      </c>
      <c r="T91">
        <f t="shared" si="25"/>
        <v>12133.169378312734</v>
      </c>
      <c r="U91" s="176">
        <f t="shared" si="26"/>
        <v>12133.169378312734</v>
      </c>
      <c r="V91" s="165">
        <f>IF(U91&lt;V$5,V$5-U91,IF(U91&gt;=V$5,0))*('Electrical System Specification'!D$16*'Electrical System Specification'!Q$16)</f>
        <v>0</v>
      </c>
      <c r="W91" s="28">
        <f t="shared" si="27"/>
        <v>0</v>
      </c>
      <c r="X91" s="165">
        <f>IF(U91&gt;V$5,U91-V$5,0)*'Electrical System Specification'!D$17</f>
        <v>3007.6548760325218</v>
      </c>
      <c r="Y91">
        <f>(X91*C91)*'Electrical System Specification'!D$17</f>
        <v>747.14623819819167</v>
      </c>
      <c r="Z91" s="165">
        <f t="shared" si="28"/>
        <v>-747.14623819819167</v>
      </c>
      <c r="AA91" s="165">
        <f t="shared" si="29"/>
        <v>67542.814574336269</v>
      </c>
      <c r="AB91" s="165"/>
    </row>
    <row r="92" spans="3:28" x14ac:dyDescent="0.2">
      <c r="C92" s="148">
        <v>0.26657629763372021</v>
      </c>
      <c r="D92">
        <f t="shared" si="17"/>
        <v>21.92074179643425</v>
      </c>
      <c r="E92" s="164">
        <v>9993.827096120589</v>
      </c>
      <c r="F92" s="165">
        <f>E92/'Electrical System Specification'!AC$4</f>
        <v>10197.782751143459</v>
      </c>
      <c r="G92" s="146">
        <f>F92/('Electrical System Specification'!X$16*'Electrical System Specification'!J$16*'Electrical System Specification'!D$17)</f>
        <v>12697.074992708127</v>
      </c>
      <c r="H92" s="165"/>
      <c r="I92" s="173">
        <f t="shared" si="18"/>
        <v>6871.6622130335309</v>
      </c>
      <c r="J92" s="173">
        <f t="shared" si="19"/>
        <v>7621.6306710664712</v>
      </c>
      <c r="K92" s="174">
        <f>IF(E92&gt;I92,'Electrical System Specification'!AC$4*'Electrical System Specification'!J$16*'Electrical System Specification'!D$16*'Electrical System Specification'!D$17*'Electrical System Specification'!X$16)</f>
        <v>0.70838712000000004</v>
      </c>
      <c r="L92" s="174" t="b">
        <f>IF(E92&lt;I92,'Electrical System Specification'!X$16*'Electrical System Specification'!Q$16*'Electrical System Specification'!AC$4*'Electrical System Specification'!J$16)</f>
        <v>0</v>
      </c>
      <c r="M92" s="174">
        <f t="shared" si="20"/>
        <v>0.70838712000000004</v>
      </c>
      <c r="N92" s="174">
        <f t="shared" si="21"/>
        <v>7079.4983943988273</v>
      </c>
      <c r="O92" s="173">
        <f t="shared" si="22"/>
        <v>3122.1648830870581</v>
      </c>
      <c r="P92" s="174">
        <f t="shared" si="23"/>
        <v>4407.4275137682598</v>
      </c>
      <c r="Q92" s="174">
        <f t="shared" si="16"/>
        <v>8270.8960076684452</v>
      </c>
      <c r="R92" s="174">
        <f t="shared" si="30"/>
        <v>0</v>
      </c>
      <c r="S92" s="165" t="b">
        <f t="shared" si="24"/>
        <v>0</v>
      </c>
      <c r="T92">
        <f t="shared" si="25"/>
        <v>12678.323521436705</v>
      </c>
      <c r="U92" s="176">
        <f t="shared" si="26"/>
        <v>12678.323521436705</v>
      </c>
      <c r="V92" s="165">
        <f>IF(U92&lt;V$5,V$5-U92,IF(U92&gt;=V$5,0))*('Electrical System Specification'!D$16*'Electrical System Specification'!Q$16)</f>
        <v>0</v>
      </c>
      <c r="W92" s="28">
        <f t="shared" si="27"/>
        <v>0</v>
      </c>
      <c r="X92" s="165">
        <f>IF(U92&gt;V$5,U92-V$5,0)*'Electrical System Specification'!D$17</f>
        <v>3498.2936048440961</v>
      </c>
      <c r="Y92">
        <f>(X92*C92)*'Electrical System Specification'!D$17</f>
        <v>839.30594149355375</v>
      </c>
      <c r="Z92" s="165">
        <f t="shared" si="28"/>
        <v>-839.30594149355375</v>
      </c>
      <c r="AA92" s="165">
        <f t="shared" si="29"/>
        <v>66703.508632842713</v>
      </c>
      <c r="AB92" s="165"/>
    </row>
    <row r="93" spans="3:28" x14ac:dyDescent="0.2">
      <c r="C93" s="148">
        <v>0.25816545298258897</v>
      </c>
      <c r="D93">
        <f t="shared" si="17"/>
        <v>22.178907249416838</v>
      </c>
      <c r="E93" s="164">
        <v>10370.574736228946</v>
      </c>
      <c r="F93" s="165">
        <f>E93/'Electrical System Specification'!AC$4</f>
        <v>10582.219118600966</v>
      </c>
      <c r="G93" s="146">
        <f>F93/('Electrical System Specification'!X$16*'Electrical System Specification'!J$16*'Electrical System Specification'!D$17)</f>
        <v>13175.729765676784</v>
      </c>
      <c r="H93" s="165"/>
      <c r="I93" s="173">
        <f t="shared" si="18"/>
        <v>6871.6622130335309</v>
      </c>
      <c r="J93" s="173">
        <f t="shared" si="19"/>
        <v>7621.6306710664712</v>
      </c>
      <c r="K93" s="174">
        <f>IF(E93&gt;I93,'Electrical System Specification'!AC$4*'Electrical System Specification'!J$16*'Electrical System Specification'!D$16*'Electrical System Specification'!D$17*'Electrical System Specification'!X$16)</f>
        <v>0.70838712000000004</v>
      </c>
      <c r="L93" s="174" t="b">
        <f>IF(E93&lt;I93,'Electrical System Specification'!X$16*'Electrical System Specification'!Q$16*'Electrical System Specification'!AC$4*'Electrical System Specification'!J$16)</f>
        <v>0</v>
      </c>
      <c r="M93" s="174">
        <f t="shared" si="20"/>
        <v>0.70838712000000004</v>
      </c>
      <c r="N93" s="174">
        <f t="shared" si="21"/>
        <v>7346.3815701419826</v>
      </c>
      <c r="O93" s="173">
        <f t="shared" si="22"/>
        <v>3498.9125231954149</v>
      </c>
      <c r="P93" s="174">
        <f t="shared" si="23"/>
        <v>4939.2661504001017</v>
      </c>
      <c r="Q93" s="174">
        <f t="shared" si="16"/>
        <v>8270.8960076684452</v>
      </c>
      <c r="R93" s="174">
        <f t="shared" si="30"/>
        <v>0</v>
      </c>
      <c r="S93" s="165" t="b">
        <f t="shared" si="24"/>
        <v>0</v>
      </c>
      <c r="T93">
        <f t="shared" si="25"/>
        <v>13210.162158068546</v>
      </c>
      <c r="U93" s="176">
        <f t="shared" si="26"/>
        <v>13210.162158068546</v>
      </c>
      <c r="V93" s="165">
        <f>IF(U93&lt;V$5,V$5-U93,IF(U93&gt;=V$5,0))*('Electrical System Specification'!D$16*'Electrical System Specification'!Q$16)</f>
        <v>0</v>
      </c>
      <c r="W93" s="28">
        <f t="shared" si="27"/>
        <v>0</v>
      </c>
      <c r="X93" s="165">
        <f>IF(U93&gt;V$5,U93-V$5,0)*'Electrical System Specification'!D$17</f>
        <v>3976.9483778127528</v>
      </c>
      <c r="Y93">
        <f>(X93*C93)*'Electrical System Specification'!D$17</f>
        <v>924.03961150176144</v>
      </c>
      <c r="Z93" s="165">
        <f t="shared" si="28"/>
        <v>-924.03961150176144</v>
      </c>
      <c r="AA93" s="165">
        <f t="shared" si="29"/>
        <v>65779.469021340949</v>
      </c>
      <c r="AB93" s="165"/>
    </row>
    <row r="94" spans="3:28" x14ac:dyDescent="0.2">
      <c r="C94" s="148">
        <v>0.25059292935324784</v>
      </c>
      <c r="D94">
        <f t="shared" si="17"/>
        <v>22.429500178770084</v>
      </c>
      <c r="E94" s="164">
        <v>10738.923686345066</v>
      </c>
      <c r="F94" s="165">
        <f>E94/'Electrical System Specification'!AC$4</f>
        <v>10958.08539422966</v>
      </c>
      <c r="G94" s="146">
        <f>F94/('Electrical System Specification'!X$16*'Electrical System Specification'!J$16*'Electrical System Specification'!D$17)</f>
        <v>13643.714072201878</v>
      </c>
      <c r="H94" s="165"/>
      <c r="I94" s="173">
        <f t="shared" si="18"/>
        <v>6871.6622130335309</v>
      </c>
      <c r="J94" s="173">
        <f t="shared" si="19"/>
        <v>7621.6306710664712</v>
      </c>
      <c r="K94" s="174">
        <f>IF(E94&gt;I94,'Electrical System Specification'!AC$4*'Electrical System Specification'!J$16*'Electrical System Specification'!D$16*'Electrical System Specification'!D$17*'Electrical System Specification'!X$16)</f>
        <v>0.70838712000000004</v>
      </c>
      <c r="L94" s="174" t="b">
        <f>IF(E94&lt;I94,'Electrical System Specification'!X$16*'Electrical System Specification'!Q$16*'Electrical System Specification'!AC$4*'Electrical System Specification'!J$16)</f>
        <v>0</v>
      </c>
      <c r="M94" s="174">
        <f t="shared" si="20"/>
        <v>0.70838712000000004</v>
      </c>
      <c r="N94" s="174">
        <f t="shared" si="21"/>
        <v>7607.3152220697648</v>
      </c>
      <c r="O94" s="173">
        <f t="shared" si="22"/>
        <v>3867.2614733115352</v>
      </c>
      <c r="P94" s="174">
        <f t="shared" si="23"/>
        <v>5459.2487132057613</v>
      </c>
      <c r="Q94" s="174">
        <f t="shared" ref="Q94:Q157" si="31">IF(O94&lt;0,I94-(O94*-1),IF(O94&gt;0,I94/L$9))</f>
        <v>8270.8960076684452</v>
      </c>
      <c r="R94" s="174">
        <f t="shared" si="30"/>
        <v>0</v>
      </c>
      <c r="S94" s="165" t="b">
        <f t="shared" si="24"/>
        <v>0</v>
      </c>
      <c r="T94">
        <f t="shared" si="25"/>
        <v>13730.144720874207</v>
      </c>
      <c r="U94" s="176">
        <f t="shared" si="26"/>
        <v>13730.144720874207</v>
      </c>
      <c r="V94" s="165">
        <f>IF(U94&lt;V$5,V$5-U94,IF(U94&gt;=V$5,0))*('Electrical System Specification'!D$16*'Electrical System Specification'!Q$16)</f>
        <v>0</v>
      </c>
      <c r="W94" s="28">
        <f t="shared" si="27"/>
        <v>0</v>
      </c>
      <c r="X94" s="165">
        <f>IF(U94&gt;V$5,U94-V$5,0)*'Electrical System Specification'!D$17</f>
        <v>4444.9326843378476</v>
      </c>
      <c r="Y94">
        <f>(X94*C94)*'Electrical System Specification'!D$17</f>
        <v>1002.4818319315949</v>
      </c>
      <c r="Z94" s="165">
        <f t="shared" si="28"/>
        <v>-1002.4818319315949</v>
      </c>
      <c r="AA94" s="165">
        <f t="shared" si="29"/>
        <v>64776.987189409352</v>
      </c>
      <c r="AB94" s="165"/>
    </row>
    <row r="95" spans="3:28" x14ac:dyDescent="0.2">
      <c r="C95" s="148">
        <v>0.24380013653244489</v>
      </c>
      <c r="D95">
        <f t="shared" si="17"/>
        <v>22.67330031530253</v>
      </c>
      <c r="E95" s="164">
        <v>11099.911744161562</v>
      </c>
      <c r="F95" s="165">
        <f>E95/'Electrical System Specification'!AC$4</f>
        <v>11326.4405552669</v>
      </c>
      <c r="G95" s="146">
        <f>F95/('Electrical System Specification'!X$16*'Electrical System Specification'!J$16*'Electrical System Specification'!D$17)</f>
        <v>14102.346425702101</v>
      </c>
      <c r="H95" s="165"/>
      <c r="I95" s="173">
        <f t="shared" si="18"/>
        <v>6871.6622130335309</v>
      </c>
      <c r="J95" s="173">
        <f t="shared" si="19"/>
        <v>7621.6306710664712</v>
      </c>
      <c r="K95" s="174">
        <f>IF(E95&gt;I95,'Electrical System Specification'!AC$4*'Electrical System Specification'!J$16*'Electrical System Specification'!D$16*'Electrical System Specification'!D$17*'Electrical System Specification'!X$16)</f>
        <v>0.70838712000000004</v>
      </c>
      <c r="L95" s="174" t="b">
        <f>IF(E95&lt;I95,'Electrical System Specification'!X$16*'Electrical System Specification'!Q$16*'Electrical System Specification'!AC$4*'Electrical System Specification'!J$16)</f>
        <v>0</v>
      </c>
      <c r="M95" s="174">
        <f t="shared" si="20"/>
        <v>0.70838712000000004</v>
      </c>
      <c r="N95" s="174">
        <f t="shared" si="21"/>
        <v>7863.0345127007859</v>
      </c>
      <c r="O95" s="173">
        <f t="shared" si="22"/>
        <v>4228.2495311280309</v>
      </c>
      <c r="P95" s="174">
        <f t="shared" si="23"/>
        <v>5968.8402170948993</v>
      </c>
      <c r="Q95" s="174">
        <f t="shared" si="31"/>
        <v>8270.8960076684452</v>
      </c>
      <c r="R95" s="174">
        <f t="shared" si="30"/>
        <v>0</v>
      </c>
      <c r="S95" s="165" t="b">
        <f t="shared" si="24"/>
        <v>0</v>
      </c>
      <c r="T95">
        <f t="shared" si="25"/>
        <v>14239.736224763345</v>
      </c>
      <c r="U95" s="176">
        <f t="shared" si="26"/>
        <v>14239.736224763345</v>
      </c>
      <c r="V95" s="165">
        <f>IF(U95&lt;V$5,V$5-U95,IF(U95&gt;=V$5,0))*('Electrical System Specification'!D$16*'Electrical System Specification'!Q$16)</f>
        <v>0</v>
      </c>
      <c r="W95" s="28">
        <f t="shared" si="27"/>
        <v>0</v>
      </c>
      <c r="X95" s="165">
        <f>IF(U95&gt;V$5,U95-V$5,0)*'Electrical System Specification'!D$17</f>
        <v>4903.5650378380715</v>
      </c>
      <c r="Y95">
        <f>(X95*C95)*'Electrical System Specification'!D$17</f>
        <v>1075.9408431485806</v>
      </c>
      <c r="Z95" s="165">
        <f t="shared" si="28"/>
        <v>-1075.9408431485806</v>
      </c>
      <c r="AA95" s="165">
        <f t="shared" si="29"/>
        <v>63701.046346260773</v>
      </c>
      <c r="AB95" s="165"/>
    </row>
    <row r="96" spans="3:28" x14ac:dyDescent="0.2">
      <c r="C96" s="148">
        <v>0.23742687349284416</v>
      </c>
      <c r="D96">
        <f t="shared" si="17"/>
        <v>22.910727188795374</v>
      </c>
      <c r="E96" s="164">
        <v>11453.866516442013</v>
      </c>
      <c r="F96" s="165">
        <f>E96/'Electrical System Specification'!AC$4</f>
        <v>11687.618894328585</v>
      </c>
      <c r="G96" s="146">
        <f>F96/('Electrical System Specification'!X$16*'Electrical System Specification'!J$16*'Electrical System Specification'!D$17)</f>
        <v>14552.043047871639</v>
      </c>
      <c r="H96" s="165"/>
      <c r="I96" s="173">
        <f t="shared" si="18"/>
        <v>6871.6622130335309</v>
      </c>
      <c r="J96" s="173">
        <f t="shared" si="19"/>
        <v>7621.6306710664712</v>
      </c>
      <c r="K96" s="174">
        <f>IF(E96&gt;I96,'Electrical System Specification'!AC$4*'Electrical System Specification'!J$16*'Electrical System Specification'!D$16*'Electrical System Specification'!D$17*'Electrical System Specification'!X$16)</f>
        <v>0.70838712000000004</v>
      </c>
      <c r="L96" s="174" t="b">
        <f>IF(E96&lt;I96,'Electrical System Specification'!X$16*'Electrical System Specification'!Q$16*'Electrical System Specification'!AC$4*'Electrical System Specification'!J$16)</f>
        <v>0</v>
      </c>
      <c r="M96" s="174">
        <f t="shared" si="20"/>
        <v>0.70838712000000004</v>
      </c>
      <c r="N96" s="174">
        <f t="shared" si="21"/>
        <v>8113.7715144467902</v>
      </c>
      <c r="O96" s="173">
        <f t="shared" si="22"/>
        <v>4582.2043034084818</v>
      </c>
      <c r="P96" s="174">
        <f t="shared" si="23"/>
        <v>6468.5031306166065</v>
      </c>
      <c r="Q96" s="174">
        <f t="shared" si="31"/>
        <v>8270.8960076684452</v>
      </c>
      <c r="R96" s="174">
        <f t="shared" si="30"/>
        <v>0</v>
      </c>
      <c r="S96" s="165" t="b">
        <f t="shared" si="24"/>
        <v>0</v>
      </c>
      <c r="T96">
        <f t="shared" si="25"/>
        <v>14739.399138285051</v>
      </c>
      <c r="U96" s="176">
        <f t="shared" si="26"/>
        <v>14739.399138285051</v>
      </c>
      <c r="V96" s="165">
        <f>IF(U96&lt;V$5,V$5-U96,IF(U96&gt;=V$5,0))*('Electrical System Specification'!D$16*'Electrical System Specification'!Q$16)</f>
        <v>0</v>
      </c>
      <c r="W96" s="28">
        <f t="shared" si="27"/>
        <v>0</v>
      </c>
      <c r="X96" s="165">
        <f>IF(U96&gt;V$5,U96-V$5,0)*'Electrical System Specification'!D$17</f>
        <v>5353.2616600076071</v>
      </c>
      <c r="Y96">
        <f>(X96*C96)*'Electrical System Specification'!D$17</f>
        <v>1143.9073610322471</v>
      </c>
      <c r="Z96" s="165">
        <f t="shared" si="28"/>
        <v>-1143.9073610322471</v>
      </c>
      <c r="AA96" s="165">
        <f t="shared" si="29"/>
        <v>62557.138985228528</v>
      </c>
      <c r="AB96" s="165"/>
    </row>
    <row r="97" spans="3:28" x14ac:dyDescent="0.2">
      <c r="C97" s="148">
        <v>0.23101327513821304</v>
      </c>
      <c r="D97">
        <f t="shared" si="17"/>
        <v>23.141740463933587</v>
      </c>
      <c r="E97" s="164">
        <v>11800.357204354083</v>
      </c>
      <c r="F97" s="165">
        <f>E97/'Electrical System Specification'!AC$4</f>
        <v>12041.180820769472</v>
      </c>
      <c r="G97" s="146">
        <f>F97/('Electrical System Specification'!X$16*'Electrical System Specification'!J$16*'Electrical System Specification'!D$17)</f>
        <v>14992.256612343086</v>
      </c>
      <c r="H97" s="165"/>
      <c r="I97" s="173">
        <f t="shared" si="18"/>
        <v>6871.6622130335309</v>
      </c>
      <c r="J97" s="173">
        <f t="shared" si="19"/>
        <v>7621.6306710664712</v>
      </c>
      <c r="K97" s="174">
        <f>IF(E97&gt;I97,'Electrical System Specification'!AC$4*'Electrical System Specification'!J$16*'Electrical System Specification'!D$16*'Electrical System Specification'!D$17*'Electrical System Specification'!X$16)</f>
        <v>0.70838712000000004</v>
      </c>
      <c r="L97" s="174" t="b">
        <f>IF(E97&lt;I97,'Electrical System Specification'!X$16*'Electrical System Specification'!Q$16*'Electrical System Specification'!AC$4*'Electrical System Specification'!J$16)</f>
        <v>0</v>
      </c>
      <c r="M97" s="174">
        <f t="shared" si="20"/>
        <v>0.70838712000000004</v>
      </c>
      <c r="N97" s="174">
        <f t="shared" si="21"/>
        <v>8359.2210549636402</v>
      </c>
      <c r="O97" s="173">
        <f t="shared" si="22"/>
        <v>4928.6949913205517</v>
      </c>
      <c r="P97" s="174">
        <f t="shared" si="23"/>
        <v>6957.6293133626586</v>
      </c>
      <c r="Q97" s="174">
        <f t="shared" si="31"/>
        <v>8270.8960076684452</v>
      </c>
      <c r="R97" s="174">
        <f t="shared" si="30"/>
        <v>0</v>
      </c>
      <c r="S97" s="165" t="b">
        <f t="shared" si="24"/>
        <v>0</v>
      </c>
      <c r="T97">
        <f t="shared" si="25"/>
        <v>15228.525321031104</v>
      </c>
      <c r="U97" s="176">
        <f t="shared" si="26"/>
        <v>15228.525321031104</v>
      </c>
      <c r="V97" s="165">
        <f>IF(U97&lt;V$5,V$5-U97,IF(U97&gt;=V$5,0))*('Electrical System Specification'!D$16*'Electrical System Specification'!Q$16)</f>
        <v>0</v>
      </c>
      <c r="W97" s="28">
        <f t="shared" si="27"/>
        <v>0</v>
      </c>
      <c r="X97" s="165">
        <f>IF(U97&gt;V$5,U97-V$5,0)*'Electrical System Specification'!D$17</f>
        <v>5793.4752244790552</v>
      </c>
      <c r="Y97">
        <f>(X97*C97)*'Electrical System Specification'!D$17</f>
        <v>1204.5327174351005</v>
      </c>
      <c r="Z97" s="165">
        <f t="shared" si="28"/>
        <v>-1204.5327174351005</v>
      </c>
      <c r="AA97" s="165">
        <f t="shared" si="29"/>
        <v>61352.606267793424</v>
      </c>
      <c r="AB97" s="165"/>
    </row>
    <row r="98" spans="3:28" x14ac:dyDescent="0.2">
      <c r="C98" s="148">
        <v>0.2256580379196616</v>
      </c>
      <c r="D98">
        <f t="shared" si="17"/>
        <v>23.367398501853248</v>
      </c>
      <c r="E98" s="164">
        <v>12141.54452815164</v>
      </c>
      <c r="F98" s="165">
        <f>E98/'Electrical System Specification'!AC$4</f>
        <v>12389.331151175144</v>
      </c>
      <c r="G98" s="146">
        <f>F98/('Electrical System Specification'!X$16*'Electrical System Specification'!J$16*'Electrical System Specification'!D$17)</f>
        <v>15425.732296398157</v>
      </c>
      <c r="H98" s="165"/>
      <c r="I98" s="173">
        <f t="shared" si="18"/>
        <v>6871.6622130335309</v>
      </c>
      <c r="J98" s="173">
        <f t="shared" si="19"/>
        <v>7621.6306710664712</v>
      </c>
      <c r="K98" s="174">
        <f>IF(E98&gt;I98,'Electrical System Specification'!AC$4*'Electrical System Specification'!J$16*'Electrical System Specification'!D$16*'Electrical System Specification'!D$17*'Electrical System Specification'!X$16)</f>
        <v>0.70838712000000004</v>
      </c>
      <c r="L98" s="174" t="b">
        <f>IF(E98&lt;I98,'Electrical System Specification'!X$16*'Electrical System Specification'!Q$16*'Electrical System Specification'!AC$4*'Electrical System Specification'!J$16)</f>
        <v>0</v>
      </c>
      <c r="M98" s="174">
        <f t="shared" si="20"/>
        <v>0.70838712000000004</v>
      </c>
      <c r="N98" s="174">
        <f t="shared" si="21"/>
        <v>8600.9137606491004</v>
      </c>
      <c r="O98" s="173">
        <f t="shared" si="22"/>
        <v>5269.8823151181095</v>
      </c>
      <c r="P98" s="174">
        <f t="shared" si="23"/>
        <v>7439.268962312738</v>
      </c>
      <c r="Q98" s="174">
        <f t="shared" si="31"/>
        <v>8270.8960076684452</v>
      </c>
      <c r="R98" s="174">
        <f t="shared" si="30"/>
        <v>0</v>
      </c>
      <c r="S98" s="165" t="b">
        <f t="shared" si="24"/>
        <v>0</v>
      </c>
      <c r="T98">
        <f t="shared" si="25"/>
        <v>15710.164969981182</v>
      </c>
      <c r="U98" s="176">
        <f t="shared" si="26"/>
        <v>15710.164969981182</v>
      </c>
      <c r="V98" s="165">
        <f>IF(U98&lt;V$5,V$5-U98,IF(U98&gt;=V$5,0))*('Electrical System Specification'!D$16*'Electrical System Specification'!Q$16)</f>
        <v>0</v>
      </c>
      <c r="W98" s="28">
        <f t="shared" si="27"/>
        <v>0</v>
      </c>
      <c r="X98" s="165">
        <f>IF(U98&gt;V$5,U98-V$5,0)*'Electrical System Specification'!D$17</f>
        <v>6226.950908534126</v>
      </c>
      <c r="Y98">
        <f>(X98*C98)*'Electrical System Specification'!D$17</f>
        <v>1264.6453718176786</v>
      </c>
      <c r="Z98" s="165">
        <f t="shared" si="28"/>
        <v>-1264.6453718176786</v>
      </c>
      <c r="AA98" s="165">
        <f t="shared" si="29"/>
        <v>60087.960895975746</v>
      </c>
      <c r="AB98" s="165"/>
    </row>
    <row r="99" spans="3:28" x14ac:dyDescent="0.2">
      <c r="C99" s="148">
        <v>0.22077269141276193</v>
      </c>
      <c r="D99">
        <f t="shared" si="17"/>
        <v>23.58817119326601</v>
      </c>
      <c r="E99" s="164">
        <v>12477.730515246572</v>
      </c>
      <c r="F99" s="165">
        <f>E99/'Electrical System Specification'!AC$4</f>
        <v>12732.378076782217</v>
      </c>
      <c r="G99" s="146">
        <f>F99/('Electrical System Specification'!X$16*'Electrical System Specification'!J$16*'Electrical System Specification'!D$17)</f>
        <v>15852.853823375439</v>
      </c>
      <c r="H99" s="165"/>
      <c r="I99" s="173">
        <f t="shared" si="18"/>
        <v>6871.6622130335309</v>
      </c>
      <c r="J99" s="173">
        <f t="shared" si="19"/>
        <v>7621.6306710664712</v>
      </c>
      <c r="K99" s="174">
        <f>IF(E99&gt;I99,'Electrical System Specification'!AC$4*'Electrical System Specification'!J$16*'Electrical System Specification'!D$16*'Electrical System Specification'!D$17*'Electrical System Specification'!X$16)</f>
        <v>0.70838712000000004</v>
      </c>
      <c r="L99" s="174" t="b">
        <f>IF(E99&lt;I99,'Electrical System Specification'!X$16*'Electrical System Specification'!Q$16*'Electrical System Specification'!AC$4*'Electrical System Specification'!J$16)</f>
        <v>0</v>
      </c>
      <c r="M99" s="174">
        <f t="shared" si="20"/>
        <v>0.70838712000000004</v>
      </c>
      <c r="N99" s="174">
        <f t="shared" si="21"/>
        <v>8839.0635838316357</v>
      </c>
      <c r="O99" s="173">
        <f t="shared" si="22"/>
        <v>5606.0683022130415</v>
      </c>
      <c r="P99" s="174">
        <f t="shared" si="23"/>
        <v>7913.8484367319397</v>
      </c>
      <c r="Q99" s="174">
        <f t="shared" si="31"/>
        <v>8270.8960076684452</v>
      </c>
      <c r="R99" s="174">
        <f t="shared" si="30"/>
        <v>0</v>
      </c>
      <c r="S99" s="165" t="b">
        <f t="shared" si="24"/>
        <v>0</v>
      </c>
      <c r="T99">
        <f t="shared" si="25"/>
        <v>16184.744444400385</v>
      </c>
      <c r="U99" s="176">
        <f t="shared" si="26"/>
        <v>16184.744444400385</v>
      </c>
      <c r="V99" s="165">
        <f>IF(U99&lt;V$5,V$5-U99,IF(U99&gt;=V$5,0))*('Electrical System Specification'!D$16*'Electrical System Specification'!Q$16)</f>
        <v>0</v>
      </c>
      <c r="W99" s="28">
        <f t="shared" si="27"/>
        <v>0</v>
      </c>
      <c r="X99" s="165">
        <f>IF(U99&gt;V$5,U99-V$5,0)*'Electrical System Specification'!D$17</f>
        <v>6654.072435511408</v>
      </c>
      <c r="Y99">
        <f>(X99*C99)*'Electrical System Specification'!D$17</f>
        <v>1322.1337323989926</v>
      </c>
      <c r="Z99" s="165">
        <f t="shared" si="28"/>
        <v>-1322.1337323989926</v>
      </c>
      <c r="AA99" s="165">
        <f t="shared" si="29"/>
        <v>58765.827163576752</v>
      </c>
      <c r="AB99" s="165"/>
    </row>
    <row r="100" spans="3:28" x14ac:dyDescent="0.2">
      <c r="C100" s="148">
        <v>0.21625884916907456</v>
      </c>
      <c r="D100">
        <f t="shared" si="17"/>
        <v>23.804430042435087</v>
      </c>
      <c r="E100" s="164">
        <v>0</v>
      </c>
      <c r="F100" s="165">
        <f>E100/'Electrical System Specification'!AC$4</f>
        <v>0</v>
      </c>
      <c r="G100" s="146">
        <f>F100/('Electrical System Specification'!X$16*'Electrical System Specification'!J$16*'Electrical System Specification'!D$17)</f>
        <v>0</v>
      </c>
      <c r="H100" s="165"/>
      <c r="I100" s="173">
        <f t="shared" si="18"/>
        <v>6871.6622130335309</v>
      </c>
      <c r="J100" s="173">
        <f t="shared" si="19"/>
        <v>7621.6306710664712</v>
      </c>
      <c r="K100" s="174" t="b">
        <f>IF(E100&gt;I100,'Electrical System Specification'!AC$4*'Electrical System Specification'!J$16*'Electrical System Specification'!D$16*'Electrical System Specification'!D$17*'Electrical System Specification'!X$16)</f>
        <v>0</v>
      </c>
      <c r="L100" s="174">
        <f>IF(E100&lt;I100,'Electrical System Specification'!X$16*'Electrical System Specification'!Q$16*'Electrical System Specification'!AC$4*'Electrical System Specification'!J$16)</f>
        <v>0.83082440000000002</v>
      </c>
      <c r="M100" s="174">
        <f t="shared" si="20"/>
        <v>0.83082440000000002</v>
      </c>
      <c r="N100" s="174">
        <f t="shared" si="21"/>
        <v>0</v>
      </c>
      <c r="O100" s="173">
        <f t="shared" si="22"/>
        <v>-6871.6622130335309</v>
      </c>
      <c r="P100" s="174" t="b">
        <f t="shared" si="23"/>
        <v>0</v>
      </c>
      <c r="Q100" s="174">
        <f t="shared" si="31"/>
        <v>0</v>
      </c>
      <c r="R100" s="174">
        <f t="shared" si="30"/>
        <v>0</v>
      </c>
      <c r="S100" s="165">
        <f t="shared" si="24"/>
        <v>0</v>
      </c>
      <c r="T100" t="b">
        <f t="shared" si="25"/>
        <v>0</v>
      </c>
      <c r="U100" s="176">
        <f t="shared" si="26"/>
        <v>0</v>
      </c>
      <c r="V100" s="165">
        <f>IF(U100&lt;V$5,V$5-U100,IF(U100&gt;=V$5,0))*('Electrical System Specification'!D$16*'Electrical System Specification'!Q$16)</f>
        <v>7516.5876862264913</v>
      </c>
      <c r="W100" s="28">
        <f t="shared" si="27"/>
        <v>1625.528602701778</v>
      </c>
      <c r="X100" s="165">
        <f>IF(U100&gt;V$5,U100-V$5,0)*'Electrical System Specification'!D$17</f>
        <v>0</v>
      </c>
      <c r="Y100">
        <f>(X100*C100)*'Electrical System Specification'!D$17</f>
        <v>0</v>
      </c>
      <c r="Z100" s="165">
        <f t="shared" si="28"/>
        <v>1625.528602701778</v>
      </c>
      <c r="AA100" s="165">
        <f t="shared" si="29"/>
        <v>60391.355766278532</v>
      </c>
      <c r="AB100" s="165"/>
    </row>
    <row r="101" spans="3:28" x14ac:dyDescent="0.2">
      <c r="C101" s="148">
        <v>0.21701381393737348</v>
      </c>
      <c r="D101">
        <f t="shared" si="17"/>
        <v>24.021443856372461</v>
      </c>
      <c r="E101" s="164">
        <v>2690.1995849333694</v>
      </c>
      <c r="F101" s="165">
        <f>E101/'Electrical System Specification'!AC$4</f>
        <v>2745.1016172789482</v>
      </c>
      <c r="G101" s="146">
        <f>F101/('Electrical System Specification'!X$16*'Electrical System Specification'!J$16*'Electrical System Specification'!D$17)</f>
        <v>3417.876409780054</v>
      </c>
      <c r="H101" s="165"/>
      <c r="I101" s="173">
        <f t="shared" si="18"/>
        <v>6871.6622130335309</v>
      </c>
      <c r="J101" s="173">
        <f t="shared" si="19"/>
        <v>7621.6306710664712</v>
      </c>
      <c r="K101" s="174" t="b">
        <f>IF(E101&gt;I101,'Electrical System Specification'!AC$4*'Electrical System Specification'!J$16*'Electrical System Specification'!D$16*'Electrical System Specification'!D$17*'Electrical System Specification'!X$16)</f>
        <v>0</v>
      </c>
      <c r="L101" s="174">
        <f>IF(E101&lt;I101,'Electrical System Specification'!X$16*'Electrical System Specification'!Q$16*'Electrical System Specification'!AC$4*'Electrical System Specification'!J$16)</f>
        <v>0.83082440000000002</v>
      </c>
      <c r="M101" s="174">
        <f t="shared" si="20"/>
        <v>0.83082440000000002</v>
      </c>
      <c r="N101" s="174">
        <f t="shared" si="21"/>
        <v>2235.0834560325156</v>
      </c>
      <c r="O101" s="173">
        <f t="shared" si="22"/>
        <v>-4181.462628100162</v>
      </c>
      <c r="P101" s="174" t="b">
        <f t="shared" si="23"/>
        <v>0</v>
      </c>
      <c r="Q101" s="174">
        <f t="shared" si="31"/>
        <v>2690.1995849333689</v>
      </c>
      <c r="R101" s="174">
        <f t="shared" si="30"/>
        <v>3237.9881776863667</v>
      </c>
      <c r="S101" s="165">
        <f t="shared" si="24"/>
        <v>3237.9881776863667</v>
      </c>
      <c r="T101" t="b">
        <f t="shared" si="25"/>
        <v>0</v>
      </c>
      <c r="U101" s="176">
        <f t="shared" si="26"/>
        <v>3237.9881776863667</v>
      </c>
      <c r="V101" s="165">
        <f>IF(U101&lt;V$5,V$5-U101,IF(U101&gt;=V$5,0))*('Electrical System Specification'!D$16*'Electrical System Specification'!Q$16)</f>
        <v>4748.1077943046485</v>
      </c>
      <c r="W101" s="28">
        <f t="shared" si="27"/>
        <v>1030.4049814278219</v>
      </c>
      <c r="X101" s="165">
        <f>IF(U101&gt;V$5,U101-V$5,0)*'Electrical System Specification'!D$17</f>
        <v>0</v>
      </c>
      <c r="Y101">
        <f>(X101*C101)*'Electrical System Specification'!D$17</f>
        <v>0</v>
      </c>
      <c r="Z101" s="165">
        <f t="shared" si="28"/>
        <v>1030.4049814278219</v>
      </c>
      <c r="AA101" s="165">
        <f t="shared" si="29"/>
        <v>61421.76074770635</v>
      </c>
      <c r="AB101" s="165"/>
    </row>
    <row r="102" spans="3:28" x14ac:dyDescent="0.2">
      <c r="C102" s="148">
        <v>0.21539787396776944</v>
      </c>
      <c r="D102">
        <f t="shared" si="17"/>
        <v>24.236841730340231</v>
      </c>
      <c r="E102" s="164">
        <v>7515.6277501859604</v>
      </c>
      <c r="F102" s="165">
        <f>E102/'Electrical System Specification'!AC$4</f>
        <v>7669.0079083530209</v>
      </c>
      <c r="G102" s="146">
        <f>F102/('Electrical System Specification'!X$16*'Electrical System Specification'!J$16*'Electrical System Specification'!D$17)</f>
        <v>9548.5431400381258</v>
      </c>
      <c r="H102" s="165"/>
      <c r="I102" s="173">
        <f t="shared" si="18"/>
        <v>6871.6622130335309</v>
      </c>
      <c r="J102" s="173">
        <f t="shared" si="19"/>
        <v>7621.6306710664712</v>
      </c>
      <c r="K102" s="174">
        <f>IF(E102&gt;I102,'Electrical System Specification'!AC$4*'Electrical System Specification'!J$16*'Electrical System Specification'!D$16*'Electrical System Specification'!D$17*'Electrical System Specification'!X$16)</f>
        <v>0.70838712000000004</v>
      </c>
      <c r="L102" s="174" t="b">
        <f>IF(E102&lt;I102,'Electrical System Specification'!X$16*'Electrical System Specification'!Q$16*'Electrical System Specification'!AC$4*'Electrical System Specification'!J$16)</f>
        <v>0</v>
      </c>
      <c r="M102" s="174">
        <f t="shared" si="20"/>
        <v>0.70838712000000004</v>
      </c>
      <c r="N102" s="174">
        <f t="shared" si="21"/>
        <v>5323.9738969463124</v>
      </c>
      <c r="O102" s="173">
        <f t="shared" si="22"/>
        <v>643.96553715242953</v>
      </c>
      <c r="P102" s="174">
        <f t="shared" si="23"/>
        <v>909.05878857937103</v>
      </c>
      <c r="Q102" s="174">
        <f t="shared" si="31"/>
        <v>8270.8960076684452</v>
      </c>
      <c r="R102" s="174">
        <f t="shared" si="30"/>
        <v>0</v>
      </c>
      <c r="S102" s="165" t="b">
        <f t="shared" si="24"/>
        <v>0</v>
      </c>
      <c r="T102">
        <f t="shared" si="25"/>
        <v>9179.9547962478155</v>
      </c>
      <c r="U102" s="176">
        <f t="shared" si="26"/>
        <v>9179.9547962478155</v>
      </c>
      <c r="V102" s="165">
        <f>IF(U102&lt;V$5,V$5-U102,IF(U102&gt;=V$5,0))*('Electrical System Specification'!D$16*'Electrical System Specification'!Q$16)</f>
        <v>0</v>
      </c>
      <c r="W102" s="28">
        <f t="shared" si="27"/>
        <v>0</v>
      </c>
      <c r="X102" s="165">
        <f>IF(U102&gt;V$5,U102-V$5,0)*'Electrical System Specification'!D$17</f>
        <v>349.76175217409531</v>
      </c>
      <c r="Y102">
        <f>(X102*C102)*'Electrical System Specification'!D$17</f>
        <v>67.804144032187793</v>
      </c>
      <c r="Z102" s="165">
        <f t="shared" si="28"/>
        <v>-67.804144032187793</v>
      </c>
      <c r="AA102" s="165">
        <f t="shared" si="29"/>
        <v>61353.95660367416</v>
      </c>
      <c r="AB102" s="165"/>
    </row>
    <row r="103" spans="3:28" x14ac:dyDescent="0.2">
      <c r="C103" s="148">
        <v>0.21385845407067819</v>
      </c>
      <c r="D103">
        <f t="shared" si="17"/>
        <v>24.450700184410909</v>
      </c>
      <c r="E103" s="164">
        <v>7612.8521633436676</v>
      </c>
      <c r="F103" s="165">
        <f>E103/'Electrical System Specification'!AC$4</f>
        <v>7768.216493207824</v>
      </c>
      <c r="G103" s="146">
        <f>F103/('Electrical System Specification'!X$16*'Electrical System Specification'!J$16*'Electrical System Specification'!D$17)</f>
        <v>9672.065955983644</v>
      </c>
      <c r="H103" s="165"/>
      <c r="I103" s="173">
        <f t="shared" si="18"/>
        <v>6871.6622130335309</v>
      </c>
      <c r="J103" s="173">
        <f t="shared" si="19"/>
        <v>7621.6306710664712</v>
      </c>
      <c r="K103" s="174">
        <f>IF(E103&gt;I103,'Electrical System Specification'!AC$4*'Electrical System Specification'!J$16*'Electrical System Specification'!D$16*'Electrical System Specification'!D$17*'Electrical System Specification'!X$16)</f>
        <v>0.70838712000000004</v>
      </c>
      <c r="L103" s="174" t="b">
        <f>IF(E103&lt;I103,'Electrical System Specification'!X$16*'Electrical System Specification'!Q$16*'Electrical System Specification'!AC$4*'Electrical System Specification'!J$16)</f>
        <v>0</v>
      </c>
      <c r="M103" s="174">
        <f t="shared" si="20"/>
        <v>0.70838712000000004</v>
      </c>
      <c r="N103" s="174">
        <f t="shared" si="21"/>
        <v>5392.8464189767901</v>
      </c>
      <c r="O103" s="173">
        <f t="shared" si="22"/>
        <v>741.18995031013674</v>
      </c>
      <c r="P103" s="174">
        <f t="shared" si="23"/>
        <v>1046.3063618521701</v>
      </c>
      <c r="Q103" s="174">
        <f t="shared" si="31"/>
        <v>8270.8960076684452</v>
      </c>
      <c r="R103" s="174">
        <f t="shared" si="30"/>
        <v>0</v>
      </c>
      <c r="S103" s="165" t="b">
        <f t="shared" si="24"/>
        <v>0</v>
      </c>
      <c r="T103">
        <f t="shared" si="25"/>
        <v>9317.2023695206153</v>
      </c>
      <c r="U103" s="176">
        <f t="shared" si="26"/>
        <v>9317.2023695206153</v>
      </c>
      <c r="V103" s="165">
        <f>IF(U103&lt;V$5,V$5-U103,IF(U103&gt;=V$5,0))*('Electrical System Specification'!D$16*'Electrical System Specification'!Q$16)</f>
        <v>0</v>
      </c>
      <c r="W103" s="28">
        <f t="shared" si="27"/>
        <v>0</v>
      </c>
      <c r="X103" s="165">
        <f>IF(U103&gt;V$5,U103-V$5,0)*'Electrical System Specification'!D$17</f>
        <v>473.28456811961513</v>
      </c>
      <c r="Y103">
        <f>(X103*C103)*'Electrical System Specification'!D$17</f>
        <v>91.094315466212521</v>
      </c>
      <c r="Z103" s="165">
        <f t="shared" si="28"/>
        <v>-91.094315466212521</v>
      </c>
      <c r="AA103" s="165">
        <f t="shared" si="29"/>
        <v>61262.862288207951</v>
      </c>
      <c r="AB103" s="165"/>
    </row>
    <row r="104" spans="3:28" x14ac:dyDescent="0.2">
      <c r="C104" s="148">
        <v>0.21238615585730022</v>
      </c>
      <c r="D104">
        <f t="shared" si="17"/>
        <v>24.663086340268208</v>
      </c>
      <c r="E104" s="164">
        <v>7709.9153934340666</v>
      </c>
      <c r="F104" s="165">
        <f>E104/'Electrical System Specification'!AC$4</f>
        <v>7867.260605544966</v>
      </c>
      <c r="G104" s="146">
        <f>F104/('Electrical System Specification'!X$16*'Electrical System Specification'!J$16*'Electrical System Specification'!D$17)</f>
        <v>9795.3839901700358</v>
      </c>
      <c r="H104" s="165"/>
      <c r="I104" s="173">
        <f t="shared" si="18"/>
        <v>6871.6622130335309</v>
      </c>
      <c r="J104" s="173">
        <f t="shared" si="19"/>
        <v>7621.6306710664712</v>
      </c>
      <c r="K104" s="174">
        <f>IF(E104&gt;I104,'Electrical System Specification'!AC$4*'Electrical System Specification'!J$16*'Electrical System Specification'!D$16*'Electrical System Specification'!D$17*'Electrical System Specification'!X$16)</f>
        <v>0.70838712000000004</v>
      </c>
      <c r="L104" s="174" t="b">
        <f>IF(E104&lt;I104,'Electrical System Specification'!X$16*'Electrical System Specification'!Q$16*'Electrical System Specification'!AC$4*'Electrical System Specification'!J$16)</f>
        <v>0</v>
      </c>
      <c r="M104" s="174">
        <f t="shared" si="20"/>
        <v>0.70838712000000004</v>
      </c>
      <c r="N104" s="174">
        <f t="shared" si="21"/>
        <v>5461.6047609984253</v>
      </c>
      <c r="O104" s="173">
        <f t="shared" si="22"/>
        <v>838.25318040053571</v>
      </c>
      <c r="P104" s="174">
        <f t="shared" si="23"/>
        <v>1183.3263998370492</v>
      </c>
      <c r="Q104" s="174">
        <f t="shared" si="31"/>
        <v>8270.8960076684452</v>
      </c>
      <c r="R104" s="174">
        <f t="shared" si="30"/>
        <v>0</v>
      </c>
      <c r="S104" s="165" t="b">
        <f t="shared" si="24"/>
        <v>0</v>
      </c>
      <c r="T104">
        <f t="shared" si="25"/>
        <v>9454.2224075054946</v>
      </c>
      <c r="U104" s="176">
        <f t="shared" si="26"/>
        <v>9454.2224075054946</v>
      </c>
      <c r="V104" s="165">
        <f>IF(U104&lt;V$5,V$5-U104,IF(U104&gt;=V$5,0))*('Electrical System Specification'!D$16*'Electrical System Specification'!Q$16)</f>
        <v>0</v>
      </c>
      <c r="W104" s="28">
        <f t="shared" si="27"/>
        <v>0</v>
      </c>
      <c r="X104" s="165">
        <f>IF(U104&gt;V$5,U104-V$5,0)*'Electrical System Specification'!D$17</f>
        <v>596.60260230600659</v>
      </c>
      <c r="Y104">
        <f>(X104*C104)*'Electrical System Specification'!D$17</f>
        <v>114.03911995041098</v>
      </c>
      <c r="Z104" s="165">
        <f t="shared" si="28"/>
        <v>-114.03911995041098</v>
      </c>
      <c r="AA104" s="165">
        <f t="shared" si="29"/>
        <v>61148.823168257542</v>
      </c>
      <c r="AB104" s="165"/>
    </row>
    <row r="105" spans="3:28" x14ac:dyDescent="0.2">
      <c r="C105" s="148">
        <v>0.21091814164016282</v>
      </c>
      <c r="D105">
        <f t="shared" si="17"/>
        <v>24.874004481908372</v>
      </c>
      <c r="E105" s="164">
        <v>0</v>
      </c>
      <c r="F105" s="165">
        <f>E105/'Electrical System Specification'!AC$4</f>
        <v>0</v>
      </c>
      <c r="G105" s="146">
        <f>F105/('Electrical System Specification'!X$16*'Electrical System Specification'!J$16*'Electrical System Specification'!D$17)</f>
        <v>0</v>
      </c>
      <c r="H105" s="165"/>
      <c r="I105" s="173">
        <f t="shared" si="18"/>
        <v>6871.6622130335309</v>
      </c>
      <c r="J105" s="173">
        <f t="shared" si="19"/>
        <v>7621.6306710664712</v>
      </c>
      <c r="K105" s="174" t="b">
        <f>IF(E105&gt;I105,'Electrical System Specification'!AC$4*'Electrical System Specification'!J$16*'Electrical System Specification'!D$16*'Electrical System Specification'!D$17*'Electrical System Specification'!X$16)</f>
        <v>0</v>
      </c>
      <c r="L105" s="174">
        <f>IF(E105&lt;I105,'Electrical System Specification'!X$16*'Electrical System Specification'!Q$16*'Electrical System Specification'!AC$4*'Electrical System Specification'!J$16)</f>
        <v>0.83082440000000002</v>
      </c>
      <c r="M105" s="174">
        <f t="shared" si="20"/>
        <v>0.83082440000000002</v>
      </c>
      <c r="N105" s="174">
        <f t="shared" si="21"/>
        <v>0</v>
      </c>
      <c r="O105" s="173">
        <f t="shared" si="22"/>
        <v>-6871.6622130335309</v>
      </c>
      <c r="P105" s="174" t="b">
        <f t="shared" si="23"/>
        <v>0</v>
      </c>
      <c r="Q105" s="174">
        <f t="shared" si="31"/>
        <v>0</v>
      </c>
      <c r="R105" s="174">
        <f t="shared" si="30"/>
        <v>0</v>
      </c>
      <c r="S105" s="165">
        <f t="shared" si="24"/>
        <v>0</v>
      </c>
      <c r="T105" t="b">
        <f t="shared" si="25"/>
        <v>0</v>
      </c>
      <c r="U105" s="176">
        <f t="shared" si="26"/>
        <v>0</v>
      </c>
      <c r="V105" s="165">
        <f>IF(U105&lt;V$5,V$5-U105,IF(U105&gt;=V$5,0))*('Electrical System Specification'!D$16*'Electrical System Specification'!Q$16)</f>
        <v>7516.5876862264913</v>
      </c>
      <c r="W105" s="28">
        <f t="shared" si="27"/>
        <v>1585.3847062542227</v>
      </c>
      <c r="X105" s="165">
        <f>IF(U105&gt;V$5,U105-V$5,0)*'Electrical System Specification'!D$17</f>
        <v>0</v>
      </c>
      <c r="Y105">
        <f>(X105*C105)*'Electrical System Specification'!D$17</f>
        <v>0</v>
      </c>
      <c r="Z105" s="165">
        <f t="shared" si="28"/>
        <v>1585.3847062542227</v>
      </c>
      <c r="AA105" s="165">
        <f t="shared" si="29"/>
        <v>62734.207874511761</v>
      </c>
      <c r="AB105" s="165"/>
    </row>
    <row r="106" spans="3:28" x14ac:dyDescent="0.2">
      <c r="C106" s="148">
        <v>0.20938254140727652</v>
      </c>
      <c r="D106">
        <f t="shared" si="17"/>
        <v>25.083387023315648</v>
      </c>
      <c r="E106" s="164">
        <v>7903.4806713782946</v>
      </c>
      <c r="F106" s="165">
        <f>E106/'Electrical System Specification'!AC$4</f>
        <v>8064.7761952839746</v>
      </c>
      <c r="G106" s="146">
        <f>F106/('Electrical System Specification'!X$16*'Electrical System Specification'!J$16*'Electrical System Specification'!D$17)</f>
        <v>10041.307081134488</v>
      </c>
      <c r="H106" s="165"/>
      <c r="I106" s="173">
        <f t="shared" si="18"/>
        <v>6871.6622130335309</v>
      </c>
      <c r="J106" s="173">
        <f t="shared" si="19"/>
        <v>7621.6306710664712</v>
      </c>
      <c r="K106" s="174">
        <f>IF(E106&gt;I106,'Electrical System Specification'!AC$4*'Electrical System Specification'!J$16*'Electrical System Specification'!D$16*'Electrical System Specification'!D$17*'Electrical System Specification'!X$16)</f>
        <v>0.70838712000000004</v>
      </c>
      <c r="L106" s="174" t="b">
        <f>IF(E106&lt;I106,'Electrical System Specification'!X$16*'Electrical System Specification'!Q$16*'Electrical System Specification'!AC$4*'Electrical System Specification'!J$16)</f>
        <v>0</v>
      </c>
      <c r="M106" s="174">
        <f t="shared" si="20"/>
        <v>0.70838712000000004</v>
      </c>
      <c r="N106" s="174">
        <f t="shared" si="21"/>
        <v>5598.7239107733367</v>
      </c>
      <c r="O106" s="173">
        <f t="shared" si="22"/>
        <v>1031.8184583447637</v>
      </c>
      <c r="P106" s="174">
        <f t="shared" si="23"/>
        <v>1456.5742786864387</v>
      </c>
      <c r="Q106" s="174">
        <f t="shared" si="31"/>
        <v>8270.8960076684452</v>
      </c>
      <c r="R106" s="174">
        <f t="shared" si="30"/>
        <v>0</v>
      </c>
      <c r="S106" s="165" t="b">
        <f t="shared" si="24"/>
        <v>0</v>
      </c>
      <c r="T106">
        <f t="shared" si="25"/>
        <v>9727.4702863548846</v>
      </c>
      <c r="U106" s="176">
        <f t="shared" si="26"/>
        <v>9727.4702863548846</v>
      </c>
      <c r="V106" s="165">
        <f>IF(U106&lt;V$5,V$5-U106,IF(U106&gt;=V$5,0))*('Electrical System Specification'!D$16*'Electrical System Specification'!Q$16)</f>
        <v>0</v>
      </c>
      <c r="W106" s="28">
        <f t="shared" si="27"/>
        <v>0</v>
      </c>
      <c r="X106" s="165">
        <f>IF(U106&gt;V$5,U106-V$5,0)*'Electrical System Specification'!D$17</f>
        <v>842.52569327045751</v>
      </c>
      <c r="Y106">
        <f>(X106*C106)*'Electrical System Specification'!D$17</f>
        <v>158.76915377210634</v>
      </c>
      <c r="Z106" s="165">
        <f t="shared" si="28"/>
        <v>-158.76915377210634</v>
      </c>
      <c r="AA106" s="165">
        <f t="shared" si="29"/>
        <v>62575.438720739658</v>
      </c>
      <c r="AB106" s="165"/>
    </row>
    <row r="107" spans="3:28" x14ac:dyDescent="0.2">
      <c r="C107" s="148">
        <v>0.20765290430244918</v>
      </c>
      <c r="D107">
        <f t="shared" si="17"/>
        <v>25.291039927618097</v>
      </c>
      <c r="E107" s="164">
        <v>7999.8250883819592</v>
      </c>
      <c r="F107" s="165">
        <f>E107/'Electrical System Specification'!AC$4</f>
        <v>8163.0868248795505</v>
      </c>
      <c r="G107" s="146">
        <f>F107/('Electrical System Specification'!X$16*'Electrical System Specification'!J$16*'Electrical System Specification'!D$17)</f>
        <v>10163.711869216035</v>
      </c>
      <c r="H107" s="165"/>
      <c r="I107" s="173">
        <f t="shared" si="18"/>
        <v>6871.6622130335309</v>
      </c>
      <c r="J107" s="173">
        <f t="shared" si="19"/>
        <v>7621.6306710664712</v>
      </c>
      <c r="K107" s="174">
        <f>IF(E107&gt;I107,'Electrical System Specification'!AC$4*'Electrical System Specification'!J$16*'Electrical System Specification'!D$16*'Electrical System Specification'!D$17*'Electrical System Specification'!X$16)</f>
        <v>0.70838712000000004</v>
      </c>
      <c r="L107" s="174" t="b">
        <f>IF(E107&lt;I107,'Electrical System Specification'!X$16*'Electrical System Specification'!Q$16*'Electrical System Specification'!AC$4*'Electrical System Specification'!J$16)</f>
        <v>0</v>
      </c>
      <c r="M107" s="174">
        <f t="shared" si="20"/>
        <v>0.70838712000000004</v>
      </c>
      <c r="N107" s="174">
        <f t="shared" si="21"/>
        <v>5666.9730548626421</v>
      </c>
      <c r="O107" s="173">
        <f t="shared" si="22"/>
        <v>1128.1628753484283</v>
      </c>
      <c r="P107" s="174">
        <f t="shared" si="23"/>
        <v>1592.5795987770475</v>
      </c>
      <c r="Q107" s="174">
        <f t="shared" si="31"/>
        <v>8270.8960076684452</v>
      </c>
      <c r="R107" s="174">
        <f t="shared" si="30"/>
        <v>0</v>
      </c>
      <c r="S107" s="165" t="b">
        <f t="shared" si="24"/>
        <v>0</v>
      </c>
      <c r="T107">
        <f t="shared" si="25"/>
        <v>9863.4756064454923</v>
      </c>
      <c r="U107" s="176">
        <f t="shared" si="26"/>
        <v>9863.4756064454923</v>
      </c>
      <c r="V107" s="165">
        <f>IF(U107&lt;V$5,V$5-U107,IF(U107&gt;=V$5,0))*('Electrical System Specification'!D$16*'Electrical System Specification'!Q$16)</f>
        <v>0</v>
      </c>
      <c r="W107" s="28">
        <f t="shared" si="27"/>
        <v>0</v>
      </c>
      <c r="X107" s="165">
        <f>IF(U107&gt;V$5,U107-V$5,0)*'Electrical System Specification'!D$17</f>
        <v>964.93048135200445</v>
      </c>
      <c r="Y107">
        <f>(X107*C107)*'Electrical System Specification'!D$17</f>
        <v>180.33355521243359</v>
      </c>
      <c r="Z107" s="165">
        <f t="shared" si="28"/>
        <v>-180.33355521243359</v>
      </c>
      <c r="AA107" s="165">
        <f t="shared" si="29"/>
        <v>62395.105165527224</v>
      </c>
      <c r="AB107" s="165"/>
    </row>
    <row r="108" spans="3:28" x14ac:dyDescent="0.2">
      <c r="C108" s="148">
        <v>0.2059211329717956</v>
      </c>
      <c r="D108">
        <f t="shared" si="17"/>
        <v>25.496961060589893</v>
      </c>
      <c r="E108" s="164">
        <v>8095.8552599932673</v>
      </c>
      <c r="F108" s="165">
        <f>E108/'Electrical System Specification'!AC$4</f>
        <v>8261.0767959114983</v>
      </c>
      <c r="G108" s="146">
        <f>F108/('Electrical System Specification'!X$16*'Electrical System Specification'!J$16*'Electrical System Specification'!D$17)</f>
        <v>10285.717411115467</v>
      </c>
      <c r="H108" s="165"/>
      <c r="I108" s="173">
        <f t="shared" si="18"/>
        <v>6871.6622130335309</v>
      </c>
      <c r="J108" s="173">
        <f t="shared" si="19"/>
        <v>7621.6306710664712</v>
      </c>
      <c r="K108" s="174">
        <f>IF(E108&gt;I108,'Electrical System Specification'!AC$4*'Electrical System Specification'!J$16*'Electrical System Specification'!D$16*'Electrical System Specification'!D$17*'Electrical System Specification'!X$16)</f>
        <v>0.70838712000000004</v>
      </c>
      <c r="L108" s="174" t="b">
        <f>IF(E108&lt;I108,'Electrical System Specification'!X$16*'Electrical System Specification'!Q$16*'Electrical System Specification'!AC$4*'Electrical System Specification'!J$16)</f>
        <v>0</v>
      </c>
      <c r="M108" s="174">
        <f t="shared" si="20"/>
        <v>0.70838712000000004</v>
      </c>
      <c r="N108" s="174">
        <f t="shared" si="21"/>
        <v>5734.9995915634818</v>
      </c>
      <c r="O108" s="173">
        <f t="shared" si="22"/>
        <v>1224.1930469597364</v>
      </c>
      <c r="P108" s="174">
        <f t="shared" si="23"/>
        <v>1728.1413119986375</v>
      </c>
      <c r="Q108" s="174">
        <f t="shared" si="31"/>
        <v>8270.8960076684452</v>
      </c>
      <c r="R108" s="174">
        <f t="shared" si="30"/>
        <v>0</v>
      </c>
      <c r="S108" s="165" t="b">
        <f t="shared" si="24"/>
        <v>0</v>
      </c>
      <c r="T108">
        <f t="shared" si="25"/>
        <v>9999.0373196670826</v>
      </c>
      <c r="U108" s="176">
        <f t="shared" si="26"/>
        <v>9999.0373196670826</v>
      </c>
      <c r="V108" s="165">
        <f>IF(U108&lt;V$5,V$5-U108,IF(U108&gt;=V$5,0))*('Electrical System Specification'!D$16*'Electrical System Specification'!Q$16)</f>
        <v>0</v>
      </c>
      <c r="W108" s="28">
        <f t="shared" si="27"/>
        <v>0</v>
      </c>
      <c r="X108" s="165">
        <f>IF(U108&gt;V$5,U108-V$5,0)*'Electrical System Specification'!D$17</f>
        <v>1086.9360232514357</v>
      </c>
      <c r="Y108">
        <f>(X108*C108)*'Electrical System Specification'!D$17</f>
        <v>201.44078763821423</v>
      </c>
      <c r="Z108" s="165">
        <f t="shared" si="28"/>
        <v>-201.44078763821423</v>
      </c>
      <c r="AA108" s="165">
        <f t="shared" si="29"/>
        <v>62193.664377889007</v>
      </c>
      <c r="AB108" s="165"/>
    </row>
    <row r="109" spans="3:28" x14ac:dyDescent="0.2">
      <c r="C109" s="148">
        <v>0.20434206009218425</v>
      </c>
      <c r="D109">
        <f t="shared" si="17"/>
        <v>25.701303120682077</v>
      </c>
      <c r="E109" s="164">
        <v>8191.6550021964167</v>
      </c>
      <c r="F109" s="165">
        <f>E109/'Electrical System Specification'!AC$4</f>
        <v>8358.8316348943026</v>
      </c>
      <c r="G109" s="146">
        <f>F109/('Electrical System Specification'!X$16*'Electrical System Specification'!J$16*'Electrical System Specification'!D$17)</f>
        <v>10407.430194350196</v>
      </c>
      <c r="H109" s="165"/>
      <c r="I109" s="173">
        <f t="shared" si="18"/>
        <v>6871.6622130335309</v>
      </c>
      <c r="J109" s="173">
        <f t="shared" si="19"/>
        <v>7621.6306710664712</v>
      </c>
      <c r="K109" s="174">
        <f>IF(E109&gt;I109,'Electrical System Specification'!AC$4*'Electrical System Specification'!J$16*'Electrical System Specification'!D$16*'Electrical System Specification'!D$17*'Electrical System Specification'!X$16)</f>
        <v>0.70838712000000004</v>
      </c>
      <c r="L109" s="174" t="b">
        <f>IF(E109&lt;I109,'Electrical System Specification'!X$16*'Electrical System Specification'!Q$16*'Electrical System Specification'!AC$4*'Electrical System Specification'!J$16)</f>
        <v>0</v>
      </c>
      <c r="M109" s="174">
        <f t="shared" si="20"/>
        <v>0.70838712000000004</v>
      </c>
      <c r="N109" s="174">
        <f t="shared" si="21"/>
        <v>5802.8628950395132</v>
      </c>
      <c r="O109" s="173">
        <f t="shared" si="22"/>
        <v>1319.9927891628859</v>
      </c>
      <c r="P109" s="174">
        <f t="shared" si="23"/>
        <v>1863.3777378150039</v>
      </c>
      <c r="Q109" s="174">
        <f t="shared" si="31"/>
        <v>8270.8960076684452</v>
      </c>
      <c r="R109" s="174">
        <f t="shared" si="30"/>
        <v>0</v>
      </c>
      <c r="S109" s="165" t="b">
        <f t="shared" si="24"/>
        <v>0</v>
      </c>
      <c r="T109">
        <f t="shared" si="25"/>
        <v>10134.27374548345</v>
      </c>
      <c r="U109" s="176">
        <f t="shared" si="26"/>
        <v>10134.27374548345</v>
      </c>
      <c r="V109" s="165">
        <f>IF(U109&lt;V$5,V$5-U109,IF(U109&gt;=V$5,0))*('Electrical System Specification'!D$16*'Electrical System Specification'!Q$16)</f>
        <v>0</v>
      </c>
      <c r="W109" s="28">
        <f t="shared" si="27"/>
        <v>0</v>
      </c>
      <c r="X109" s="165">
        <f>IF(U109&gt;V$5,U109-V$5,0)*'Electrical System Specification'!D$17</f>
        <v>1208.648806486166</v>
      </c>
      <c r="Y109">
        <f>(X109*C109)*'Electrical System Specification'!D$17</f>
        <v>222.28000834080862</v>
      </c>
      <c r="Z109" s="165">
        <f t="shared" si="28"/>
        <v>-222.28000834080862</v>
      </c>
      <c r="AA109" s="165">
        <f t="shared" si="29"/>
        <v>61971.384369548199</v>
      </c>
      <c r="AB109" s="165"/>
    </row>
    <row r="110" spans="3:28" x14ac:dyDescent="0.2">
      <c r="C110" s="148">
        <v>0.20285604167821009</v>
      </c>
      <c r="D110">
        <f t="shared" si="17"/>
        <v>25.904159162360287</v>
      </c>
      <c r="E110" s="164">
        <v>8287.2547328473865</v>
      </c>
      <c r="F110" s="165">
        <f>E110/'Electrical System Specification'!AC$4</f>
        <v>8456.3823804565163</v>
      </c>
      <c r="G110" s="146">
        <f>F110/('Electrical System Specification'!X$16*'Electrical System Specification'!J$16*'Electrical System Specification'!D$17)</f>
        <v>10528.888864555651</v>
      </c>
      <c r="H110" s="165"/>
      <c r="I110" s="173">
        <f t="shared" si="18"/>
        <v>6871.6622130335309</v>
      </c>
      <c r="J110" s="173">
        <f t="shared" si="19"/>
        <v>7621.6306710664712</v>
      </c>
      <c r="K110" s="174">
        <f>IF(E110&gt;I110,'Electrical System Specification'!AC$4*'Electrical System Specification'!J$16*'Electrical System Specification'!D$16*'Electrical System Specification'!D$17*'Electrical System Specification'!X$16)</f>
        <v>0.70838712000000004</v>
      </c>
      <c r="L110" s="174" t="b">
        <f>IF(E110&lt;I110,'Electrical System Specification'!X$16*'Electrical System Specification'!Q$16*'Electrical System Specification'!AC$4*'Electrical System Specification'!J$16)</f>
        <v>0</v>
      </c>
      <c r="M110" s="174">
        <f t="shared" si="20"/>
        <v>0.70838712000000004</v>
      </c>
      <c r="N110" s="174">
        <f t="shared" si="21"/>
        <v>5870.5845129081299</v>
      </c>
      <c r="O110" s="173">
        <f t="shared" si="22"/>
        <v>1415.5925198138557</v>
      </c>
      <c r="P110" s="174">
        <f t="shared" si="23"/>
        <v>1998.3318158210664</v>
      </c>
      <c r="Q110" s="174">
        <f t="shared" si="31"/>
        <v>8270.8960076684452</v>
      </c>
      <c r="R110" s="174">
        <f t="shared" si="30"/>
        <v>0</v>
      </c>
      <c r="S110" s="165" t="b">
        <f t="shared" si="24"/>
        <v>0</v>
      </c>
      <c r="T110">
        <f t="shared" si="25"/>
        <v>10269.227823489511</v>
      </c>
      <c r="U110" s="176">
        <f t="shared" si="26"/>
        <v>10269.227823489511</v>
      </c>
      <c r="V110" s="165">
        <f>IF(U110&lt;V$5,V$5-U110,IF(U110&gt;=V$5,0))*('Electrical System Specification'!D$16*'Electrical System Specification'!Q$16)</f>
        <v>0</v>
      </c>
      <c r="W110" s="28">
        <f t="shared" si="27"/>
        <v>0</v>
      </c>
      <c r="X110" s="165">
        <f>IF(U110&gt;V$5,U110-V$5,0)*'Electrical System Specification'!D$17</f>
        <v>1330.1074766916215</v>
      </c>
      <c r="Y110">
        <f>(X110*C110)*'Electrical System Specification'!D$17</f>
        <v>242.83830395542896</v>
      </c>
      <c r="Z110" s="165">
        <f t="shared" si="28"/>
        <v>-242.83830395542896</v>
      </c>
      <c r="AA110" s="165">
        <f t="shared" si="29"/>
        <v>61728.546065592767</v>
      </c>
      <c r="AB110" s="165"/>
    </row>
    <row r="111" spans="3:28" x14ac:dyDescent="0.2">
      <c r="C111" s="148">
        <v>0.20141921811625838</v>
      </c>
      <c r="D111">
        <f t="shared" si="17"/>
        <v>26.105578380476544</v>
      </c>
      <c r="E111" s="164">
        <v>8382.6666029687713</v>
      </c>
      <c r="F111" s="165">
        <f>E111/'Electrical System Specification'!AC$4</f>
        <v>8553.7414316007871</v>
      </c>
      <c r="G111" s="146">
        <f>F111/('Electrical System Specification'!X$16*'Electrical System Specification'!J$16*'Electrical System Specification'!D$17)</f>
        <v>10650.108859505935</v>
      </c>
      <c r="H111" s="165"/>
      <c r="I111" s="173">
        <f t="shared" si="18"/>
        <v>6871.6622130335309</v>
      </c>
      <c r="J111" s="173">
        <f t="shared" si="19"/>
        <v>7621.6306710664712</v>
      </c>
      <c r="K111" s="174">
        <f>IF(E111&gt;I111,'Electrical System Specification'!AC$4*'Electrical System Specification'!J$16*'Electrical System Specification'!D$16*'Electrical System Specification'!D$17*'Electrical System Specification'!X$16)</f>
        <v>0.70838712000000004</v>
      </c>
      <c r="L111" s="174" t="b">
        <f>IF(E111&lt;I111,'Electrical System Specification'!X$16*'Electrical System Specification'!Q$16*'Electrical System Specification'!AC$4*'Electrical System Specification'!J$16)</f>
        <v>0</v>
      </c>
      <c r="M111" s="174">
        <f t="shared" si="20"/>
        <v>0.70838712000000004</v>
      </c>
      <c r="N111" s="174">
        <f t="shared" si="21"/>
        <v>5938.1730527972313</v>
      </c>
      <c r="O111" s="173">
        <f t="shared" si="22"/>
        <v>1511.0043899352404</v>
      </c>
      <c r="P111" s="174">
        <f t="shared" si="23"/>
        <v>2133.0206990991596</v>
      </c>
      <c r="Q111" s="174">
        <f t="shared" si="31"/>
        <v>8270.8960076684452</v>
      </c>
      <c r="R111" s="174">
        <f t="shared" si="30"/>
        <v>0</v>
      </c>
      <c r="S111" s="165" t="b">
        <f t="shared" si="24"/>
        <v>0</v>
      </c>
      <c r="T111">
        <f t="shared" si="25"/>
        <v>10403.916706767604</v>
      </c>
      <c r="U111" s="176">
        <f t="shared" si="26"/>
        <v>10403.916706767604</v>
      </c>
      <c r="V111" s="165">
        <f>IF(U111&lt;V$5,V$5-U111,IF(U111&gt;=V$5,0))*('Electrical System Specification'!D$16*'Electrical System Specification'!Q$16)</f>
        <v>0</v>
      </c>
      <c r="W111" s="28">
        <f t="shared" si="27"/>
        <v>0</v>
      </c>
      <c r="X111" s="165">
        <f>IF(U111&gt;V$5,U111-V$5,0)*'Electrical System Specification'!D$17</f>
        <v>1451.3274716419053</v>
      </c>
      <c r="Y111">
        <f>(X111*C111)*'Electrical System Specification'!D$17</f>
        <v>263.09272011188284</v>
      </c>
      <c r="Z111" s="165">
        <f t="shared" si="28"/>
        <v>-263.09272011188284</v>
      </c>
      <c r="AA111" s="165">
        <f t="shared" si="29"/>
        <v>61465.453345480884</v>
      </c>
      <c r="AB111" s="165"/>
    </row>
    <row r="112" spans="3:28" x14ac:dyDescent="0.2">
      <c r="C112" s="148">
        <v>0.20005761420742765</v>
      </c>
      <c r="D112">
        <f t="shared" si="17"/>
        <v>26.305635994683971</v>
      </c>
      <c r="E112" s="164">
        <v>8477.924183232677</v>
      </c>
      <c r="F112" s="165">
        <f>E112/'Electrical System Specification'!AC$4</f>
        <v>8650.9430441149761</v>
      </c>
      <c r="G112" s="146">
        <f>F112/('Electrical System Specification'!X$16*'Electrical System Specification'!J$16*'Electrical System Specification'!D$17)</f>
        <v>10771.13283046339</v>
      </c>
      <c r="H112" s="165"/>
      <c r="I112" s="173">
        <f t="shared" si="18"/>
        <v>6871.6622130335309</v>
      </c>
      <c r="J112" s="173">
        <f t="shared" si="19"/>
        <v>7621.6306710664712</v>
      </c>
      <c r="K112" s="174">
        <f>IF(E112&gt;I112,'Electrical System Specification'!AC$4*'Electrical System Specification'!J$16*'Electrical System Specification'!D$16*'Electrical System Specification'!D$17*'Electrical System Specification'!X$16)</f>
        <v>0.70838712000000004</v>
      </c>
      <c r="L112" s="174" t="b">
        <f>IF(E112&lt;I112,'Electrical System Specification'!X$16*'Electrical System Specification'!Q$16*'Electrical System Specification'!AC$4*'Electrical System Specification'!J$16)</f>
        <v>0</v>
      </c>
      <c r="M112" s="174">
        <f t="shared" si="20"/>
        <v>0.70838712000000004</v>
      </c>
      <c r="N112" s="174">
        <f t="shared" si="21"/>
        <v>6005.6522957385487</v>
      </c>
      <c r="O112" s="173">
        <f t="shared" si="22"/>
        <v>1606.2619701991462</v>
      </c>
      <c r="P112" s="174">
        <f t="shared" si="23"/>
        <v>2267.4917779407765</v>
      </c>
      <c r="Q112" s="174">
        <f t="shared" si="31"/>
        <v>8270.8960076684452</v>
      </c>
      <c r="R112" s="174">
        <f t="shared" si="30"/>
        <v>0</v>
      </c>
      <c r="S112" s="165" t="b">
        <f t="shared" si="24"/>
        <v>0</v>
      </c>
      <c r="T112">
        <f t="shared" si="25"/>
        <v>10538.387785609222</v>
      </c>
      <c r="U112" s="176">
        <f t="shared" si="26"/>
        <v>10538.387785609222</v>
      </c>
      <c r="V112" s="165">
        <f>IF(U112&lt;V$5,V$5-U112,IF(U112&gt;=V$5,0))*('Electrical System Specification'!D$16*'Electrical System Specification'!Q$16)</f>
        <v>0</v>
      </c>
      <c r="W112" s="28">
        <f t="shared" si="27"/>
        <v>0</v>
      </c>
      <c r="X112" s="165">
        <f>IF(U112&gt;V$5,U112-V$5,0)*'Electrical System Specification'!D$17</f>
        <v>1572.3514425993615</v>
      </c>
      <c r="Y112">
        <f>(X112*C112)*'Electrical System Specification'!D$17</f>
        <v>283.10479047183185</v>
      </c>
      <c r="Z112" s="165">
        <f t="shared" si="28"/>
        <v>-283.10479047183185</v>
      </c>
      <c r="AA112" s="165">
        <f t="shared" si="29"/>
        <v>61182.348555009055</v>
      </c>
      <c r="AB112" s="165"/>
    </row>
    <row r="113" spans="3:28" x14ac:dyDescent="0.2">
      <c r="C113" s="148">
        <v>0.19878752494514587</v>
      </c>
      <c r="D113">
        <f t="shared" si="17"/>
        <v>26.504423519629118</v>
      </c>
      <c r="E113" s="164">
        <v>8573.068315101802</v>
      </c>
      <c r="F113" s="165">
        <f>E113/'Electrical System Specification'!AC$4</f>
        <v>8748.0288929610233</v>
      </c>
      <c r="G113" s="146">
        <f>F113/('Electrical System Specification'!X$16*'Electrical System Specification'!J$16*'Electrical System Specification'!D$17)</f>
        <v>10892.012666169909</v>
      </c>
      <c r="H113" s="165"/>
      <c r="I113" s="173">
        <f t="shared" si="18"/>
        <v>6871.6622130335309</v>
      </c>
      <c r="J113" s="173">
        <f t="shared" si="19"/>
        <v>7621.6306710664712</v>
      </c>
      <c r="K113" s="174">
        <f>IF(E113&gt;I113,'Electrical System Specification'!AC$4*'Electrical System Specification'!J$16*'Electrical System Specification'!D$16*'Electrical System Specification'!D$17*'Electrical System Specification'!X$16)</f>
        <v>0.70838712000000004</v>
      </c>
      <c r="L113" s="174" t="b">
        <f>IF(E113&lt;I113,'Electrical System Specification'!X$16*'Electrical System Specification'!Q$16*'Electrical System Specification'!AC$4*'Electrical System Specification'!J$16)</f>
        <v>0</v>
      </c>
      <c r="M113" s="174">
        <f t="shared" si="20"/>
        <v>0.70838712000000004</v>
      </c>
      <c r="N113" s="174">
        <f t="shared" si="21"/>
        <v>6073.0511732982186</v>
      </c>
      <c r="O113" s="173">
        <f t="shared" si="22"/>
        <v>1701.4061020682711</v>
      </c>
      <c r="P113" s="174">
        <f t="shared" si="23"/>
        <v>2401.8027065035726</v>
      </c>
      <c r="Q113" s="174">
        <f t="shared" si="31"/>
        <v>8270.8960076684452</v>
      </c>
      <c r="R113" s="174">
        <f t="shared" si="30"/>
        <v>0</v>
      </c>
      <c r="S113" s="165" t="b">
        <f t="shared" si="24"/>
        <v>0</v>
      </c>
      <c r="T113">
        <f t="shared" si="25"/>
        <v>10672.698714172018</v>
      </c>
      <c r="U113" s="176">
        <f t="shared" si="26"/>
        <v>10672.698714172018</v>
      </c>
      <c r="V113" s="165">
        <f>IF(U113&lt;V$5,V$5-U113,IF(U113&gt;=V$5,0))*('Electrical System Specification'!D$16*'Electrical System Specification'!Q$16)</f>
        <v>0</v>
      </c>
      <c r="W113" s="28">
        <f t="shared" si="27"/>
        <v>0</v>
      </c>
      <c r="X113" s="165">
        <f>IF(U113&gt;V$5,U113-V$5,0)*'Electrical System Specification'!D$17</f>
        <v>1693.2312783058778</v>
      </c>
      <c r="Y113">
        <f>(X113*C113)*'Electrical System Specification'!D$17</f>
        <v>302.93392947671782</v>
      </c>
      <c r="Z113" s="165">
        <f t="shared" si="28"/>
        <v>-302.93392947671782</v>
      </c>
      <c r="AA113" s="165">
        <f t="shared" si="29"/>
        <v>60879.414625532336</v>
      </c>
      <c r="AB113" s="165"/>
    </row>
    <row r="114" spans="3:28" x14ac:dyDescent="0.2">
      <c r="C114" s="148">
        <v>0.19758596401258055</v>
      </c>
      <c r="D114">
        <f t="shared" si="17"/>
        <v>26.702009483641699</v>
      </c>
      <c r="E114" s="164">
        <v>8668.1246373153408</v>
      </c>
      <c r="F114" s="165">
        <f>E114/'Electrical System Specification'!AC$4</f>
        <v>8845.0251401176956</v>
      </c>
      <c r="G114" s="146">
        <f>F114/('Electrical System Specification'!X$16*'Electrical System Specification'!J$16*'Electrical System Specification'!D$17)</f>
        <v>11012.780940432413</v>
      </c>
      <c r="H114" s="165"/>
      <c r="I114" s="173">
        <f t="shared" si="18"/>
        <v>6871.6622130335309</v>
      </c>
      <c r="J114" s="173">
        <f t="shared" si="19"/>
        <v>7621.6306710664712</v>
      </c>
      <c r="K114" s="174">
        <f>IF(E114&gt;I114,'Electrical System Specification'!AC$4*'Electrical System Specification'!J$16*'Electrical System Specification'!D$16*'Electrical System Specification'!D$17*'Electrical System Specification'!X$16)</f>
        <v>0.70838712000000004</v>
      </c>
      <c r="L114" s="174" t="b">
        <f>IF(E114&lt;I114,'Electrical System Specification'!X$16*'Electrical System Specification'!Q$16*'Electrical System Specification'!AC$4*'Electrical System Specification'!J$16)</f>
        <v>0</v>
      </c>
      <c r="M114" s="174">
        <f t="shared" si="20"/>
        <v>0.70838712000000004</v>
      </c>
      <c r="N114" s="174">
        <f t="shared" si="21"/>
        <v>6140.3878476288592</v>
      </c>
      <c r="O114" s="173">
        <f t="shared" si="22"/>
        <v>1796.4624242818099</v>
      </c>
      <c r="P114" s="174">
        <f t="shared" si="23"/>
        <v>2535.9896779063542</v>
      </c>
      <c r="Q114" s="174">
        <f t="shared" si="31"/>
        <v>8270.8960076684452</v>
      </c>
      <c r="R114" s="174">
        <f t="shared" si="30"/>
        <v>0</v>
      </c>
      <c r="S114" s="165" t="b">
        <f t="shared" si="24"/>
        <v>0</v>
      </c>
      <c r="T114">
        <f t="shared" si="25"/>
        <v>10806.8856855748</v>
      </c>
      <c r="U114" s="176">
        <f t="shared" si="26"/>
        <v>10806.8856855748</v>
      </c>
      <c r="V114" s="165">
        <f>IF(U114&lt;V$5,V$5-U114,IF(U114&gt;=V$5,0))*('Electrical System Specification'!D$16*'Electrical System Specification'!Q$16)</f>
        <v>0</v>
      </c>
      <c r="W114" s="28">
        <f t="shared" si="27"/>
        <v>0</v>
      </c>
      <c r="X114" s="165">
        <f>IF(U114&gt;V$5,U114-V$5,0)*'Electrical System Specification'!D$17</f>
        <v>1813.9995525683814</v>
      </c>
      <c r="Y114">
        <f>(X114*C114)*'Electrical System Specification'!D$17</f>
        <v>322.5787652813521</v>
      </c>
      <c r="Z114" s="165">
        <f t="shared" si="28"/>
        <v>-322.5787652813521</v>
      </c>
      <c r="AA114" s="165">
        <f t="shared" si="29"/>
        <v>60556.835860250983</v>
      </c>
      <c r="AB114" s="165"/>
    </row>
    <row r="115" spans="3:28" x14ac:dyDescent="0.2">
      <c r="C115" s="148">
        <v>0.19648376339564305</v>
      </c>
      <c r="D115">
        <f t="shared" si="17"/>
        <v>26.898493247037344</v>
      </c>
      <c r="E115" s="164">
        <v>8763.1409732104275</v>
      </c>
      <c r="F115" s="165">
        <f>E115/'Electrical System Specification'!AC$4</f>
        <v>8941.9805849086006</v>
      </c>
      <c r="G115" s="146">
        <f>F115/('Electrical System Specification'!X$16*'Electrical System Specification'!J$16*'Electrical System Specification'!D$17)</f>
        <v>11133.498412406745</v>
      </c>
      <c r="H115" s="165"/>
      <c r="I115" s="173">
        <f t="shared" si="18"/>
        <v>6871.6622130335309</v>
      </c>
      <c r="J115" s="173">
        <f t="shared" si="19"/>
        <v>7621.6306710664712</v>
      </c>
      <c r="K115" s="174">
        <f>IF(E115&gt;I115,'Electrical System Specification'!AC$4*'Electrical System Specification'!J$16*'Electrical System Specification'!D$16*'Electrical System Specification'!D$17*'Electrical System Specification'!X$16)</f>
        <v>0.70838712000000004</v>
      </c>
      <c r="L115" s="174" t="b">
        <f>IF(E115&lt;I115,'Electrical System Specification'!X$16*'Electrical System Specification'!Q$16*'Electrical System Specification'!AC$4*'Electrical System Specification'!J$16)</f>
        <v>0</v>
      </c>
      <c r="M115" s="174">
        <f t="shared" si="20"/>
        <v>0.70838712000000004</v>
      </c>
      <c r="N115" s="174">
        <f t="shared" si="21"/>
        <v>6207.696196166532</v>
      </c>
      <c r="O115" s="173">
        <f t="shared" si="22"/>
        <v>1891.4787601768967</v>
      </c>
      <c r="P115" s="174">
        <f t="shared" si="23"/>
        <v>2670.1202023222791</v>
      </c>
      <c r="Q115" s="174">
        <f t="shared" si="31"/>
        <v>8270.8960076684452</v>
      </c>
      <c r="R115" s="174">
        <f t="shared" si="30"/>
        <v>0</v>
      </c>
      <c r="S115" s="165" t="b">
        <f t="shared" si="24"/>
        <v>0</v>
      </c>
      <c r="T115">
        <f t="shared" si="25"/>
        <v>10941.016209990725</v>
      </c>
      <c r="U115" s="176">
        <f t="shared" si="26"/>
        <v>10941.016209990725</v>
      </c>
      <c r="V115" s="165">
        <f>IF(U115&lt;V$5,V$5-U115,IF(U115&gt;=V$5,0))*('Electrical System Specification'!D$16*'Electrical System Specification'!Q$16)</f>
        <v>0</v>
      </c>
      <c r="W115" s="28">
        <f t="shared" si="27"/>
        <v>0</v>
      </c>
      <c r="X115" s="165">
        <f>IF(U115&gt;V$5,U115-V$5,0)*'Electrical System Specification'!D$17</f>
        <v>1934.7170245427137</v>
      </c>
      <c r="Y115">
        <f>(X115*C115)*'Electrical System Specification'!D$17</f>
        <v>342.12643387899578</v>
      </c>
      <c r="Z115" s="165">
        <f t="shared" si="28"/>
        <v>-342.12643387899578</v>
      </c>
      <c r="AA115" s="165">
        <f t="shared" si="29"/>
        <v>60214.709426371985</v>
      </c>
      <c r="AB115" s="165"/>
    </row>
    <row r="116" spans="3:28" x14ac:dyDescent="0.2">
      <c r="C116" s="148">
        <v>0.19545854422327735</v>
      </c>
      <c r="D116">
        <f t="shared" si="17"/>
        <v>27.093951791260622</v>
      </c>
      <c r="E116" s="164">
        <v>8858.1485204181117</v>
      </c>
      <c r="F116" s="165">
        <f>E116/'Electrical System Specification'!AC$4</f>
        <v>9038.9270616511349</v>
      </c>
      <c r="G116" s="146">
        <f>F116/('Electrical System Specification'!X$16*'Electrical System Specification'!J$16*'Electrical System Specification'!D$17)</f>
        <v>11254.204718426136</v>
      </c>
      <c r="H116" s="165"/>
      <c r="I116" s="173">
        <f t="shared" si="18"/>
        <v>6871.6622130335309</v>
      </c>
      <c r="J116" s="173">
        <f t="shared" si="19"/>
        <v>7621.6306710664712</v>
      </c>
      <c r="K116" s="174">
        <f>IF(E116&gt;I116,'Electrical System Specification'!AC$4*'Electrical System Specification'!J$16*'Electrical System Specification'!D$16*'Electrical System Specification'!D$17*'Electrical System Specification'!X$16)</f>
        <v>0.70838712000000004</v>
      </c>
      <c r="L116" s="174" t="b">
        <f>IF(E116&lt;I116,'Electrical System Specification'!X$16*'Electrical System Specification'!Q$16*'Electrical System Specification'!AC$4*'Electrical System Specification'!J$16)</f>
        <v>0</v>
      </c>
      <c r="M116" s="174">
        <f t="shared" si="20"/>
        <v>0.70838712000000004</v>
      </c>
      <c r="N116" s="174">
        <f t="shared" si="21"/>
        <v>6274.9983189112481</v>
      </c>
      <c r="O116" s="173">
        <f t="shared" si="22"/>
        <v>1986.4863073845809</v>
      </c>
      <c r="P116" s="174">
        <f t="shared" si="23"/>
        <v>2804.2383201216035</v>
      </c>
      <c r="Q116" s="174">
        <f t="shared" si="31"/>
        <v>8270.8960076684452</v>
      </c>
      <c r="R116" s="174">
        <f t="shared" si="30"/>
        <v>0</v>
      </c>
      <c r="S116" s="165" t="b">
        <f t="shared" si="24"/>
        <v>0</v>
      </c>
      <c r="T116">
        <f t="shared" si="25"/>
        <v>11075.134327790049</v>
      </c>
      <c r="U116" s="176">
        <f t="shared" si="26"/>
        <v>11075.134327790049</v>
      </c>
      <c r="V116" s="165">
        <f>IF(U116&lt;V$5,V$5-U116,IF(U116&gt;=V$5,0))*('Electrical System Specification'!D$16*'Electrical System Specification'!Q$16)</f>
        <v>0</v>
      </c>
      <c r="W116" s="28">
        <f t="shared" si="27"/>
        <v>0</v>
      </c>
      <c r="X116" s="165">
        <f>IF(U116&gt;V$5,U116-V$5,0)*'Electrical System Specification'!D$17</f>
        <v>2055.4233305621051</v>
      </c>
      <c r="Y116">
        <f>(X116*C116)*'Electrical System Specification'!D$17</f>
        <v>361.57504675880637</v>
      </c>
      <c r="Z116" s="165">
        <f t="shared" si="28"/>
        <v>-361.57504675880637</v>
      </c>
      <c r="AA116" s="165">
        <f t="shared" si="29"/>
        <v>59853.134379613177</v>
      </c>
      <c r="AB116" s="165"/>
    </row>
    <row r="117" spans="3:28" x14ac:dyDescent="0.2">
      <c r="C117" s="148">
        <v>0.1944719003765436</v>
      </c>
      <c r="D117">
        <f t="shared" si="17"/>
        <v>27.288423691637167</v>
      </c>
      <c r="E117" s="164">
        <v>8953.1582555833829</v>
      </c>
      <c r="F117" s="165">
        <f>E117/'Electrical System Specification'!AC$4</f>
        <v>9135.8757710034515</v>
      </c>
      <c r="G117" s="146">
        <f>F117/('Electrical System Specification'!X$16*'Electrical System Specification'!J$16*'Electrical System Specification'!D$17)</f>
        <v>11374.913804227615</v>
      </c>
      <c r="H117" s="165"/>
      <c r="I117" s="173">
        <f t="shared" si="18"/>
        <v>6871.6622130335309</v>
      </c>
      <c r="J117" s="173">
        <f t="shared" si="19"/>
        <v>7621.6306710664712</v>
      </c>
      <c r="K117" s="174">
        <f>IF(E117&gt;I117,'Electrical System Specification'!AC$4*'Electrical System Specification'!J$16*'Electrical System Specification'!D$16*'Electrical System Specification'!D$17*'Electrical System Specification'!X$16)</f>
        <v>0.70838712000000004</v>
      </c>
      <c r="L117" s="174" t="b">
        <f>IF(E117&lt;I117,'Electrical System Specification'!X$16*'Electrical System Specification'!Q$16*'Electrical System Specification'!AC$4*'Electrical System Specification'!J$16)</f>
        <v>0</v>
      </c>
      <c r="M117" s="174">
        <f t="shared" si="20"/>
        <v>0.70838712000000004</v>
      </c>
      <c r="N117" s="174">
        <f t="shared" si="21"/>
        <v>6342.3019915769373</v>
      </c>
      <c r="O117" s="173">
        <f t="shared" si="22"/>
        <v>2081.4960425498521</v>
      </c>
      <c r="P117" s="174">
        <f t="shared" si="23"/>
        <v>2938.3595265676936</v>
      </c>
      <c r="Q117" s="174">
        <f t="shared" si="31"/>
        <v>8270.8960076684452</v>
      </c>
      <c r="R117" s="174">
        <f t="shared" si="30"/>
        <v>0</v>
      </c>
      <c r="S117" s="165" t="b">
        <f t="shared" si="24"/>
        <v>0</v>
      </c>
      <c r="T117">
        <f t="shared" si="25"/>
        <v>11209.255534236139</v>
      </c>
      <c r="U117" s="176">
        <f t="shared" si="26"/>
        <v>11209.255534236139</v>
      </c>
      <c r="V117" s="165">
        <f>IF(U117&lt;V$5,V$5-U117,IF(U117&gt;=V$5,0))*('Electrical System Specification'!D$16*'Electrical System Specification'!Q$16)</f>
        <v>0</v>
      </c>
      <c r="W117" s="28">
        <f t="shared" si="27"/>
        <v>0</v>
      </c>
      <c r="X117" s="165">
        <f>IF(U117&gt;V$5,U117-V$5,0)*'Electrical System Specification'!D$17</f>
        <v>2176.1324163635868</v>
      </c>
      <c r="Y117">
        <f>(X117*C117)*'Electrical System Specification'!D$17</f>
        <v>380.87694583310395</v>
      </c>
      <c r="Z117" s="165">
        <f t="shared" si="28"/>
        <v>-380.87694583310395</v>
      </c>
      <c r="AA117" s="165">
        <f t="shared" si="29"/>
        <v>59472.257433780076</v>
      </c>
      <c r="AB117" s="165"/>
    </row>
    <row r="118" spans="3:28" x14ac:dyDescent="0.2">
      <c r="C118" s="148">
        <v>0.19356402560182789</v>
      </c>
      <c r="D118">
        <f t="shared" si="17"/>
        <v>27.481987717238994</v>
      </c>
      <c r="E118" s="164">
        <v>9048.210962185849</v>
      </c>
      <c r="F118" s="165">
        <f>E118/'Electrical System Specification'!AC$4</f>
        <v>9232.8683287610711</v>
      </c>
      <c r="G118" s="146">
        <f>F118/('Electrical System Specification'!X$16*'Electrical System Specification'!J$16*'Electrical System Specification'!D$17)</f>
        <v>11495.677484886039</v>
      </c>
      <c r="H118" s="165"/>
      <c r="I118" s="173">
        <f t="shared" si="18"/>
        <v>6871.6622130335309</v>
      </c>
      <c r="J118" s="173">
        <f t="shared" si="19"/>
        <v>7621.6306710664712</v>
      </c>
      <c r="K118" s="174">
        <f>IF(E118&gt;I118,'Electrical System Specification'!AC$4*'Electrical System Specification'!J$16*'Electrical System Specification'!D$16*'Electrical System Specification'!D$17*'Electrical System Specification'!X$16)</f>
        <v>0.70838712000000004</v>
      </c>
      <c r="L118" s="174" t="b">
        <f>IF(E118&lt;I118,'Electrical System Specification'!X$16*'Electrical System Specification'!Q$16*'Electrical System Specification'!AC$4*'Electrical System Specification'!J$16)</f>
        <v>0</v>
      </c>
      <c r="M118" s="174">
        <f t="shared" si="20"/>
        <v>0.70838712000000004</v>
      </c>
      <c r="N118" s="174">
        <f t="shared" si="21"/>
        <v>6409.6361046552629</v>
      </c>
      <c r="O118" s="173">
        <f t="shared" si="22"/>
        <v>2176.5487491523181</v>
      </c>
      <c r="P118" s="174">
        <f t="shared" si="23"/>
        <v>3072.5413939659406</v>
      </c>
      <c r="Q118" s="174">
        <f t="shared" si="31"/>
        <v>8270.8960076684452</v>
      </c>
      <c r="R118" s="174">
        <f t="shared" si="30"/>
        <v>0</v>
      </c>
      <c r="S118" s="165" t="b">
        <f t="shared" si="24"/>
        <v>0</v>
      </c>
      <c r="T118">
        <f t="shared" si="25"/>
        <v>11343.437401634386</v>
      </c>
      <c r="U118" s="176">
        <f t="shared" si="26"/>
        <v>11343.437401634386</v>
      </c>
      <c r="V118" s="165">
        <f>IF(U118&lt;V$5,V$5-U118,IF(U118&gt;=V$5,0))*('Electrical System Specification'!D$16*'Electrical System Specification'!Q$16)</f>
        <v>0</v>
      </c>
      <c r="W118" s="28">
        <f t="shared" si="27"/>
        <v>0</v>
      </c>
      <c r="X118" s="165">
        <f>IF(U118&gt;V$5,U118-V$5,0)*'Electrical System Specification'!D$17</f>
        <v>2296.8960970220091</v>
      </c>
      <c r="Y118">
        <f>(X118*C118)*'Electrical System Specification'!D$17</f>
        <v>400.13680943583608</v>
      </c>
      <c r="Z118" s="165">
        <f t="shared" si="28"/>
        <v>-400.13680943583608</v>
      </c>
      <c r="AA118" s="165">
        <f t="shared" si="29"/>
        <v>59072.120624344243</v>
      </c>
      <c r="AB118" s="165"/>
    </row>
    <row r="119" spans="3:28" x14ac:dyDescent="0.2">
      <c r="C119" s="148">
        <v>0.19267455677852921</v>
      </c>
      <c r="D119">
        <f t="shared" si="17"/>
        <v>27.674662274017521</v>
      </c>
      <c r="E119" s="164">
        <v>9143.3057731725839</v>
      </c>
      <c r="F119" s="165">
        <f>E119/'Electrical System Specification'!AC$4</f>
        <v>9329.9038501761061</v>
      </c>
      <c r="G119" s="146">
        <f>F119/('Electrical System Specification'!X$16*'Electrical System Specification'!J$16*'Electrical System Specification'!D$17)</f>
        <v>11616.494658817803</v>
      </c>
      <c r="H119" s="165"/>
      <c r="I119" s="173">
        <f t="shared" si="18"/>
        <v>6871.6622130335309</v>
      </c>
      <c r="J119" s="173">
        <f t="shared" si="19"/>
        <v>7621.6306710664712</v>
      </c>
      <c r="K119" s="174">
        <f>IF(E119&gt;I119,'Electrical System Specification'!AC$4*'Electrical System Specification'!J$16*'Electrical System Specification'!D$16*'Electrical System Specification'!D$17*'Electrical System Specification'!X$16)</f>
        <v>0.70838712000000004</v>
      </c>
      <c r="L119" s="174" t="b">
        <f>IF(E119&lt;I119,'Electrical System Specification'!X$16*'Electrical System Specification'!Q$16*'Electrical System Specification'!AC$4*'Electrical System Specification'!J$16)</f>
        <v>0</v>
      </c>
      <c r="M119" s="174">
        <f t="shared" si="20"/>
        <v>0.70838712000000004</v>
      </c>
      <c r="N119" s="174">
        <f t="shared" si="21"/>
        <v>6477.0000439371006</v>
      </c>
      <c r="O119" s="173">
        <f t="shared" si="22"/>
        <v>2271.6435601390531</v>
      </c>
      <c r="P119" s="174">
        <f t="shared" si="23"/>
        <v>3206.7826983345672</v>
      </c>
      <c r="Q119" s="174">
        <f t="shared" si="31"/>
        <v>8270.8960076684452</v>
      </c>
      <c r="R119" s="174">
        <f t="shared" si="30"/>
        <v>0</v>
      </c>
      <c r="S119" s="165" t="b">
        <f t="shared" si="24"/>
        <v>0</v>
      </c>
      <c r="T119">
        <f t="shared" si="25"/>
        <v>11477.678706003013</v>
      </c>
      <c r="U119" s="176">
        <f t="shared" si="26"/>
        <v>11477.678706003013</v>
      </c>
      <c r="V119" s="165">
        <f>IF(U119&lt;V$5,V$5-U119,IF(U119&gt;=V$5,0))*('Electrical System Specification'!D$16*'Electrical System Specification'!Q$16)</f>
        <v>0</v>
      </c>
      <c r="W119" s="28">
        <f t="shared" si="27"/>
        <v>0</v>
      </c>
      <c r="X119" s="165">
        <f>IF(U119&gt;V$5,U119-V$5,0)*'Electrical System Specification'!D$17</f>
        <v>2417.7132709537732</v>
      </c>
      <c r="Y119">
        <f>(X119*C119)*'Electrical System Specification'!D$17</f>
        <v>419.2486496087277</v>
      </c>
      <c r="Z119" s="165">
        <f t="shared" si="28"/>
        <v>-419.2486496087277</v>
      </c>
      <c r="AA119" s="165">
        <f t="shared" si="29"/>
        <v>58652.871974735514</v>
      </c>
      <c r="AB119" s="165"/>
    </row>
    <row r="120" spans="3:28" x14ac:dyDescent="0.2">
      <c r="C120" s="148">
        <v>0.19186845298431526</v>
      </c>
      <c r="D120">
        <f t="shared" si="17"/>
        <v>27.866530727001837</v>
      </c>
      <c r="E120" s="164">
        <v>9238.4897353377983</v>
      </c>
      <c r="F120" s="165">
        <f>E120/'Electrical System Specification'!AC$4</f>
        <v>9427.0303421814278</v>
      </c>
      <c r="G120" s="146">
        <f>F120/('Electrical System Specification'!X$16*'Electrical System Specification'!J$16*'Electrical System Specification'!D$17)</f>
        <v>11737.425098587364</v>
      </c>
      <c r="H120" s="165"/>
      <c r="I120" s="173">
        <f t="shared" si="18"/>
        <v>6871.6622130335309</v>
      </c>
      <c r="J120" s="173">
        <f t="shared" si="19"/>
        <v>7621.6306710664712</v>
      </c>
      <c r="K120" s="174">
        <f>IF(E120&gt;I120,'Electrical System Specification'!AC$4*'Electrical System Specification'!J$16*'Electrical System Specification'!D$16*'Electrical System Specification'!D$17*'Electrical System Specification'!X$16)</f>
        <v>0.70838712000000004</v>
      </c>
      <c r="L120" s="174" t="b">
        <f>IF(E120&lt;I120,'Electrical System Specification'!X$16*'Electrical System Specification'!Q$16*'Electrical System Specification'!AC$4*'Electrical System Specification'!J$16)</f>
        <v>0</v>
      </c>
      <c r="M120" s="174">
        <f t="shared" si="20"/>
        <v>0.70838712000000004</v>
      </c>
      <c r="N120" s="174">
        <f t="shared" si="21"/>
        <v>6544.4271367655056</v>
      </c>
      <c r="O120" s="173">
        <f t="shared" si="22"/>
        <v>2366.8275223042674</v>
      </c>
      <c r="P120" s="174">
        <f t="shared" si="23"/>
        <v>3341.1498536340796</v>
      </c>
      <c r="Q120" s="174">
        <f t="shared" si="31"/>
        <v>8270.8960076684452</v>
      </c>
      <c r="R120" s="174">
        <f t="shared" si="30"/>
        <v>0</v>
      </c>
      <c r="S120" s="165" t="b">
        <f t="shared" si="24"/>
        <v>0</v>
      </c>
      <c r="T120">
        <f t="shared" si="25"/>
        <v>11612.045861302526</v>
      </c>
      <c r="U120" s="176">
        <f t="shared" si="26"/>
        <v>11612.045861302526</v>
      </c>
      <c r="V120" s="165">
        <f>IF(U120&lt;V$5,V$5-U120,IF(U120&gt;=V$5,0))*('Electrical System Specification'!D$16*'Electrical System Specification'!Q$16)</f>
        <v>0</v>
      </c>
      <c r="W120" s="28">
        <f t="shared" si="27"/>
        <v>0</v>
      </c>
      <c r="X120" s="165">
        <f>IF(U120&gt;V$5,U120-V$5,0)*'Electrical System Specification'!D$17</f>
        <v>2538.6437107233346</v>
      </c>
      <c r="Y120">
        <f>(X120*C120)*'Electrical System Specification'!D$17</f>
        <v>438.37707730936296</v>
      </c>
      <c r="Z120" s="165">
        <f t="shared" si="28"/>
        <v>-438.37707730936296</v>
      </c>
      <c r="AA120" s="165">
        <f t="shared" si="29"/>
        <v>58214.49489742615</v>
      </c>
      <c r="AB120" s="165"/>
    </row>
    <row r="121" spans="3:28" x14ac:dyDescent="0.2">
      <c r="C121" s="148">
        <v>0.19120731085716897</v>
      </c>
      <c r="D121">
        <f t="shared" si="17"/>
        <v>28.057738037859007</v>
      </c>
      <c r="E121" s="164">
        <v>2372.952135080252</v>
      </c>
      <c r="F121" s="165">
        <f>E121/'Electrical System Specification'!AC$4</f>
        <v>2421.3797296737266</v>
      </c>
      <c r="G121" s="146">
        <f>F121/('Electrical System Specification'!X$16*'Electrical System Specification'!J$16*'Electrical System Specification'!D$17)</f>
        <v>3014.8161383456927</v>
      </c>
      <c r="H121" s="165"/>
      <c r="I121" s="173">
        <f t="shared" si="18"/>
        <v>6871.6622130335309</v>
      </c>
      <c r="J121" s="173">
        <f t="shared" si="19"/>
        <v>7621.6306710664712</v>
      </c>
      <c r="K121" s="174" t="b">
        <f>IF(E121&gt;I121,'Electrical System Specification'!AC$4*'Electrical System Specification'!J$16*'Electrical System Specification'!D$16*'Electrical System Specification'!D$17*'Electrical System Specification'!X$16)</f>
        <v>0</v>
      </c>
      <c r="L121" s="174">
        <f>IF(E121&lt;I121,'Electrical System Specification'!X$16*'Electrical System Specification'!Q$16*'Electrical System Specification'!AC$4*'Electrical System Specification'!J$16)</f>
        <v>0.83082440000000002</v>
      </c>
      <c r="M121" s="174">
        <f t="shared" si="20"/>
        <v>0.83082440000000002</v>
      </c>
      <c r="N121" s="174">
        <f t="shared" si="21"/>
        <v>1971.5065338567695</v>
      </c>
      <c r="O121" s="173">
        <f t="shared" si="22"/>
        <v>-4498.7100779532793</v>
      </c>
      <c r="P121" s="174" t="b">
        <f t="shared" si="23"/>
        <v>0</v>
      </c>
      <c r="Q121" s="174">
        <f t="shared" si="31"/>
        <v>2372.9521350802515</v>
      </c>
      <c r="R121" s="174">
        <f t="shared" si="30"/>
        <v>2856.1416047485504</v>
      </c>
      <c r="S121" s="165">
        <f t="shared" si="24"/>
        <v>2856.1416047485504</v>
      </c>
      <c r="T121" t="b">
        <f t="shared" si="25"/>
        <v>0</v>
      </c>
      <c r="U121" s="176">
        <f t="shared" si="26"/>
        <v>2856.1416047485504</v>
      </c>
      <c r="V121" s="165">
        <f>IF(U121&lt;V$5,V$5-U121,IF(U121&gt;=V$5,0))*('Electrical System Specification'!D$16*'Electrical System Specification'!Q$16)</f>
        <v>5074.586614166481</v>
      </c>
      <c r="W121" s="28">
        <f t="shared" si="27"/>
        <v>970.29806020655894</v>
      </c>
      <c r="X121" s="165">
        <f>IF(U121&gt;V$5,U121-V$5,0)*'Electrical System Specification'!D$17</f>
        <v>0</v>
      </c>
      <c r="Y121">
        <f>(X121*C121)*'Electrical System Specification'!D$17</f>
        <v>0</v>
      </c>
      <c r="Z121" s="165">
        <f t="shared" si="28"/>
        <v>970.29806020655894</v>
      </c>
      <c r="AA121" s="165">
        <f t="shared" si="29"/>
        <v>59184.792957632708</v>
      </c>
      <c r="AB121" s="165"/>
    </row>
    <row r="122" spans="3:28" x14ac:dyDescent="0.2">
      <c r="C122" s="148">
        <v>0.20536906741797573</v>
      </c>
      <c r="D122">
        <f t="shared" si="17"/>
        <v>28.263107105276983</v>
      </c>
      <c r="E122" s="164">
        <v>2220.2703330576473</v>
      </c>
      <c r="F122" s="165">
        <f>E122/'Electrical System Specification'!AC$4</f>
        <v>2265.5819725078036</v>
      </c>
      <c r="G122" s="146">
        <f>F122/('Electrical System Specification'!X$16*'Electrical System Specification'!J$16*'Electrical System Specification'!D$17)</f>
        <v>2820.8351667261859</v>
      </c>
      <c r="H122" s="165"/>
      <c r="I122" s="173">
        <f t="shared" si="18"/>
        <v>6871.6622130335309</v>
      </c>
      <c r="J122" s="173">
        <f t="shared" si="19"/>
        <v>7621.6306710664712</v>
      </c>
      <c r="K122" s="174" t="b">
        <f>IF(E122&gt;I122,'Electrical System Specification'!AC$4*'Electrical System Specification'!J$16*'Electrical System Specification'!D$16*'Electrical System Specification'!D$17*'Electrical System Specification'!X$16)</f>
        <v>0</v>
      </c>
      <c r="L122" s="174">
        <f>IF(E122&lt;I122,'Electrical System Specification'!X$16*'Electrical System Specification'!Q$16*'Electrical System Specification'!AC$4*'Electrical System Specification'!J$16)</f>
        <v>0.83082440000000002</v>
      </c>
      <c r="M122" s="174">
        <f t="shared" si="20"/>
        <v>0.83082440000000002</v>
      </c>
      <c r="N122" s="174">
        <f t="shared" si="21"/>
        <v>1844.65476730042</v>
      </c>
      <c r="O122" s="173">
        <f t="shared" si="22"/>
        <v>-4651.3918799758831</v>
      </c>
      <c r="P122" s="174" t="b">
        <f t="shared" si="23"/>
        <v>0</v>
      </c>
      <c r="Q122" s="174">
        <f t="shared" si="31"/>
        <v>2220.2703330576478</v>
      </c>
      <c r="R122" s="174">
        <f t="shared" si="30"/>
        <v>2672.3701579511239</v>
      </c>
      <c r="S122" s="165">
        <f t="shared" si="24"/>
        <v>2672.3701579511239</v>
      </c>
      <c r="T122" t="b">
        <f t="shared" si="25"/>
        <v>0</v>
      </c>
      <c r="U122" s="176">
        <f t="shared" si="26"/>
        <v>2672.3701579511239</v>
      </c>
      <c r="V122" s="165">
        <f>IF(U122&lt;V$5,V$5-U122,IF(U122&gt;=V$5,0))*('Electrical System Specification'!D$16*'Electrical System Specification'!Q$16)</f>
        <v>5231.711201178281</v>
      </c>
      <c r="W122" s="28">
        <f t="shared" si="27"/>
        <v>1074.4316503861612</v>
      </c>
      <c r="X122" s="165">
        <f>IF(U122&gt;V$5,U122-V$5,0)*'Electrical System Specification'!D$17</f>
        <v>0</v>
      </c>
      <c r="Y122">
        <f>(X122*C122)*'Electrical System Specification'!D$17</f>
        <v>0</v>
      </c>
      <c r="Z122" s="165">
        <f t="shared" si="28"/>
        <v>1074.4316503861612</v>
      </c>
      <c r="AA122" s="165">
        <f t="shared" si="29"/>
        <v>60259.224608018871</v>
      </c>
      <c r="AB122" s="165"/>
    </row>
    <row r="123" spans="3:28" x14ac:dyDescent="0.2">
      <c r="C123" s="148">
        <v>0.22292049633244504</v>
      </c>
      <c r="D123">
        <f t="shared" si="17"/>
        <v>28.486027601609429</v>
      </c>
      <c r="E123" s="164">
        <v>2055.4497412090664</v>
      </c>
      <c r="F123" s="165">
        <f>E123/'Electrical System Specification'!AC$4</f>
        <v>2097.3976951112923</v>
      </c>
      <c r="G123" s="146">
        <f>F123/('Electrical System Specification'!X$16*'Electrical System Specification'!J$16*'Electrical System Specification'!D$17)</f>
        <v>2611.4319626367005</v>
      </c>
      <c r="H123" s="165"/>
      <c r="I123" s="173">
        <f t="shared" si="18"/>
        <v>6871.6622130335309</v>
      </c>
      <c r="J123" s="173">
        <f t="shared" si="19"/>
        <v>7621.6306710664712</v>
      </c>
      <c r="K123" s="174" t="b">
        <f>IF(E123&gt;I123,'Electrical System Specification'!AC$4*'Electrical System Specification'!J$16*'Electrical System Specification'!D$16*'Electrical System Specification'!D$17*'Electrical System Specification'!X$16)</f>
        <v>0</v>
      </c>
      <c r="L123" s="174">
        <f>IF(E123&lt;I123,'Electrical System Specification'!X$16*'Electrical System Specification'!Q$16*'Electrical System Specification'!AC$4*'Electrical System Specification'!J$16)</f>
        <v>0.83082440000000002</v>
      </c>
      <c r="M123" s="174">
        <f t="shared" si="20"/>
        <v>0.83082440000000002</v>
      </c>
      <c r="N123" s="174">
        <f t="shared" si="21"/>
        <v>1707.7177979701778</v>
      </c>
      <c r="O123" s="173">
        <f t="shared" si="22"/>
        <v>-4816.212471824465</v>
      </c>
      <c r="P123" s="174" t="b">
        <f t="shared" si="23"/>
        <v>0</v>
      </c>
      <c r="Q123" s="174">
        <f t="shared" si="31"/>
        <v>2055.4497412090659</v>
      </c>
      <c r="R123" s="174">
        <f t="shared" si="30"/>
        <v>2473.9881751295047</v>
      </c>
      <c r="S123" s="165">
        <f t="shared" si="24"/>
        <v>2473.9881751295047</v>
      </c>
      <c r="T123" t="b">
        <f t="shared" si="25"/>
        <v>0</v>
      </c>
      <c r="U123" s="176">
        <f t="shared" si="26"/>
        <v>2473.9881751295047</v>
      </c>
      <c r="V123" s="165">
        <f>IF(U123&lt;V$5,V$5-U123,IF(U123&gt;=V$5,0))*('Electrical System Specification'!D$16*'Electrical System Specification'!Q$16)</f>
        <v>5401.3277964907647</v>
      </c>
      <c r="W123" s="28">
        <f t="shared" si="27"/>
        <v>1204.0666732479531</v>
      </c>
      <c r="X123" s="165">
        <f>IF(U123&gt;V$5,U123-V$5,0)*'Electrical System Specification'!D$17</f>
        <v>0</v>
      </c>
      <c r="Y123">
        <f>(X123*C123)*'Electrical System Specification'!D$17</f>
        <v>0</v>
      </c>
      <c r="Z123" s="165">
        <f t="shared" si="28"/>
        <v>1204.0666732479531</v>
      </c>
      <c r="AA123" s="165">
        <f t="shared" si="29"/>
        <v>61463.291281266822</v>
      </c>
      <c r="AB123" s="165"/>
    </row>
    <row r="124" spans="3:28" x14ac:dyDescent="0.2">
      <c r="C124" s="148">
        <v>0.24547319863160597</v>
      </c>
      <c r="D124">
        <f t="shared" si="17"/>
        <v>28.731500800241037</v>
      </c>
      <c r="E124" s="164">
        <v>2794.4884308553883</v>
      </c>
      <c r="F124" s="165">
        <f>E124/'Electrical System Specification'!AC$4</f>
        <v>2851.5188069952942</v>
      </c>
      <c r="G124" s="146">
        <f>F124/('Electrical System Specification'!X$16*'Electrical System Specification'!J$16*'Electrical System Specification'!D$17)</f>
        <v>3550.3745293531729</v>
      </c>
      <c r="H124" s="165"/>
      <c r="I124" s="173">
        <f t="shared" si="18"/>
        <v>6871.6622130335309</v>
      </c>
      <c r="J124" s="173">
        <f t="shared" si="19"/>
        <v>7621.6306710664712</v>
      </c>
      <c r="K124" s="174" t="b">
        <f>IF(E124&gt;I124,'Electrical System Specification'!AC$4*'Electrical System Specification'!J$16*'Electrical System Specification'!D$16*'Electrical System Specification'!D$17*'Electrical System Specification'!X$16)</f>
        <v>0</v>
      </c>
      <c r="L124" s="174">
        <f>IF(E124&lt;I124,'Electrical System Specification'!X$16*'Electrical System Specification'!Q$16*'Electrical System Specification'!AC$4*'Electrical System Specification'!J$16)</f>
        <v>0.83082440000000002</v>
      </c>
      <c r="M124" s="174">
        <f t="shared" si="20"/>
        <v>0.83082440000000002</v>
      </c>
      <c r="N124" s="174">
        <f t="shared" si="21"/>
        <v>2321.7291738723693</v>
      </c>
      <c r="O124" s="173">
        <f t="shared" si="22"/>
        <v>-4077.1737821781426</v>
      </c>
      <c r="P124" s="174" t="b">
        <f t="shared" si="23"/>
        <v>0</v>
      </c>
      <c r="Q124" s="174">
        <f t="shared" si="31"/>
        <v>2794.4884308553883</v>
      </c>
      <c r="R124" s="174">
        <f t="shared" si="30"/>
        <v>3363.5127120187949</v>
      </c>
      <c r="S124" s="165">
        <f t="shared" si="24"/>
        <v>3363.5127120187949</v>
      </c>
      <c r="T124" t="b">
        <f t="shared" si="25"/>
        <v>0</v>
      </c>
      <c r="U124" s="176">
        <f t="shared" si="26"/>
        <v>3363.5127120187949</v>
      </c>
      <c r="V124" s="165">
        <f>IF(U124&lt;V$5,V$5-U124,IF(U124&gt;=V$5,0))*('Electrical System Specification'!D$16*'Electrical System Specification'!Q$16)</f>
        <v>4640.7843174504214</v>
      </c>
      <c r="W124" s="28">
        <f t="shared" si="27"/>
        <v>1139.1881705639491</v>
      </c>
      <c r="X124" s="165">
        <f>IF(U124&gt;V$5,U124-V$5,0)*'Electrical System Specification'!D$17</f>
        <v>0</v>
      </c>
      <c r="Y124">
        <f>(X124*C124)*'Electrical System Specification'!D$17</f>
        <v>0</v>
      </c>
      <c r="Z124" s="165">
        <f t="shared" si="28"/>
        <v>1139.1881705639491</v>
      </c>
      <c r="AA124" s="165">
        <f t="shared" si="29"/>
        <v>62602.479451830768</v>
      </c>
      <c r="AB124" s="165"/>
    </row>
    <row r="125" spans="3:28" x14ac:dyDescent="0.2">
      <c r="C125" s="148">
        <v>0.23986314235079065</v>
      </c>
      <c r="D125">
        <f t="shared" si="17"/>
        <v>28.971363942591829</v>
      </c>
      <c r="E125" s="164">
        <v>2872.0081585203379</v>
      </c>
      <c r="F125" s="165">
        <f>E125/'Electrical System Specification'!AC$4</f>
        <v>2930.6205699187121</v>
      </c>
      <c r="G125" s="146">
        <f>F125/('Electrical System Specification'!X$16*'Electrical System Specification'!J$16*'Electrical System Specification'!D$17)</f>
        <v>3648.862704714767</v>
      </c>
      <c r="H125" s="165"/>
      <c r="I125" s="173">
        <f t="shared" si="18"/>
        <v>6871.6622130335309</v>
      </c>
      <c r="J125" s="173">
        <f t="shared" si="19"/>
        <v>7621.6306710664712</v>
      </c>
      <c r="K125" s="174" t="b">
        <f>IF(E125&gt;I125,'Electrical System Specification'!AC$4*'Electrical System Specification'!J$16*'Electrical System Specification'!D$16*'Electrical System Specification'!D$17*'Electrical System Specification'!X$16)</f>
        <v>0</v>
      </c>
      <c r="L125" s="174">
        <f>IF(E125&lt;I125,'Electrical System Specification'!X$16*'Electrical System Specification'!Q$16*'Electrical System Specification'!AC$4*'Electrical System Specification'!J$16)</f>
        <v>0.83082440000000002</v>
      </c>
      <c r="M125" s="174">
        <f t="shared" si="20"/>
        <v>0.83082440000000002</v>
      </c>
      <c r="N125" s="174">
        <f t="shared" si="21"/>
        <v>2386.1344550977647</v>
      </c>
      <c r="O125" s="173">
        <f t="shared" si="22"/>
        <v>-3999.6540545131929</v>
      </c>
      <c r="P125" s="174" t="b">
        <f t="shared" si="23"/>
        <v>0</v>
      </c>
      <c r="Q125" s="174">
        <f t="shared" si="31"/>
        <v>2872.0081585203379</v>
      </c>
      <c r="R125" s="174">
        <f t="shared" si="30"/>
        <v>3456.8172992034633</v>
      </c>
      <c r="S125" s="165">
        <f t="shared" si="24"/>
        <v>3456.8172992034633</v>
      </c>
      <c r="T125" t="b">
        <f t="shared" si="25"/>
        <v>0</v>
      </c>
      <c r="U125" s="176">
        <f t="shared" si="26"/>
        <v>3456.8172992034633</v>
      </c>
      <c r="V125" s="165">
        <f>IF(U125&lt;V$5,V$5-U125,IF(U125&gt;=V$5,0))*('Electrical System Specification'!D$16*'Electrical System Specification'!Q$16)</f>
        <v>4561.0088954075309</v>
      </c>
      <c r="W125" s="28">
        <f t="shared" si="27"/>
        <v>1094.0179259423589</v>
      </c>
      <c r="X125" s="165">
        <f>IF(U125&gt;V$5,U125-V$5,0)*'Electrical System Specification'!D$17</f>
        <v>0</v>
      </c>
      <c r="Y125">
        <f>(X125*C125)*'Electrical System Specification'!D$17</f>
        <v>0</v>
      </c>
      <c r="Z125" s="165">
        <f t="shared" si="28"/>
        <v>1094.0179259423589</v>
      </c>
      <c r="AA125" s="165">
        <f t="shared" si="29"/>
        <v>63696.497377773128</v>
      </c>
      <c r="AB125" s="165"/>
    </row>
    <row r="126" spans="3:28" x14ac:dyDescent="0.2">
      <c r="C126" s="148">
        <v>0.23453190418698897</v>
      </c>
      <c r="D126">
        <f t="shared" si="17"/>
        <v>29.205895846778819</v>
      </c>
      <c r="E126" s="164">
        <v>1978.182179047456</v>
      </c>
      <c r="F126" s="165">
        <f>E126/'Electrical System Specification'!AC$4</f>
        <v>2018.5532439259755</v>
      </c>
      <c r="G126" s="146">
        <f>F126/('Electrical System Specification'!X$16*'Electrical System Specification'!J$16*'Electrical System Specification'!D$17)</f>
        <v>2513.264161469664</v>
      </c>
      <c r="H126" s="165"/>
      <c r="I126" s="173">
        <f t="shared" si="18"/>
        <v>6871.6622130335309</v>
      </c>
      <c r="J126" s="173">
        <f t="shared" si="19"/>
        <v>7621.6306710664712</v>
      </c>
      <c r="K126" s="174" t="b">
        <f>IF(E126&gt;I126,'Electrical System Specification'!AC$4*'Electrical System Specification'!J$16*'Electrical System Specification'!D$16*'Electrical System Specification'!D$17*'Electrical System Specification'!X$16)</f>
        <v>0</v>
      </c>
      <c r="L126" s="174">
        <f>IF(E126&lt;I126,'Electrical System Specification'!X$16*'Electrical System Specification'!Q$16*'Electrical System Specification'!AC$4*'Electrical System Specification'!J$16)</f>
        <v>0.83082440000000002</v>
      </c>
      <c r="M126" s="174">
        <f t="shared" si="20"/>
        <v>0.83082440000000002</v>
      </c>
      <c r="N126" s="174">
        <f t="shared" si="21"/>
        <v>1643.5220219977953</v>
      </c>
      <c r="O126" s="173">
        <f t="shared" si="22"/>
        <v>-4893.4800339860749</v>
      </c>
      <c r="P126" s="174" t="b">
        <f t="shared" si="23"/>
        <v>0</v>
      </c>
      <c r="Q126" s="174">
        <f t="shared" si="31"/>
        <v>1978.182179047456</v>
      </c>
      <c r="R126" s="174">
        <f t="shared" si="30"/>
        <v>2380.987100339682</v>
      </c>
      <c r="S126" s="165">
        <f t="shared" si="24"/>
        <v>2380.987100339682</v>
      </c>
      <c r="T126" t="b">
        <f t="shared" si="25"/>
        <v>0</v>
      </c>
      <c r="U126" s="176">
        <f t="shared" si="26"/>
        <v>2380.987100339682</v>
      </c>
      <c r="V126" s="165">
        <f>IF(U126&lt;V$5,V$5-U126,IF(U126&gt;=V$5,0))*('Electrical System Specification'!D$16*'Electrical System Specification'!Q$16)</f>
        <v>5480.8437154360636</v>
      </c>
      <c r="W126" s="28">
        <f t="shared" si="27"/>
        <v>1285.4327131325115</v>
      </c>
      <c r="X126" s="165">
        <f>IF(U126&gt;V$5,U126-V$5,0)*'Electrical System Specification'!D$17</f>
        <v>0</v>
      </c>
      <c r="Y126">
        <f>(X126*C126)*'Electrical System Specification'!D$17</f>
        <v>0</v>
      </c>
      <c r="Z126" s="165">
        <f t="shared" si="28"/>
        <v>1285.4327131325115</v>
      </c>
      <c r="AA126" s="165">
        <f t="shared" si="29"/>
        <v>64981.93009090564</v>
      </c>
      <c r="AB126" s="165"/>
    </row>
    <row r="127" spans="3:28" x14ac:dyDescent="0.2">
      <c r="C127" s="148">
        <v>0.23528460166036375</v>
      </c>
      <c r="D127">
        <f t="shared" si="17"/>
        <v>29.441180448439184</v>
      </c>
      <c r="E127" s="164">
        <v>1978.182179047456</v>
      </c>
      <c r="F127" s="165">
        <f>E127/'Electrical System Specification'!AC$4</f>
        <v>2018.5532439259755</v>
      </c>
      <c r="G127" s="146">
        <f>F127/('Electrical System Specification'!X$16*'Electrical System Specification'!J$16*'Electrical System Specification'!D$17)</f>
        <v>2513.264161469664</v>
      </c>
      <c r="H127" s="165"/>
      <c r="I127" s="173">
        <f t="shared" si="18"/>
        <v>6871.6622130335309</v>
      </c>
      <c r="J127" s="173">
        <f t="shared" si="19"/>
        <v>7621.6306710664712</v>
      </c>
      <c r="K127" s="174" t="b">
        <f>IF(E127&gt;I127,'Electrical System Specification'!AC$4*'Electrical System Specification'!J$16*'Electrical System Specification'!D$16*'Electrical System Specification'!D$17*'Electrical System Specification'!X$16)</f>
        <v>0</v>
      </c>
      <c r="L127" s="174">
        <f>IF(E127&lt;I127,'Electrical System Specification'!X$16*'Electrical System Specification'!Q$16*'Electrical System Specification'!AC$4*'Electrical System Specification'!J$16)</f>
        <v>0.83082440000000002</v>
      </c>
      <c r="M127" s="174">
        <f t="shared" si="20"/>
        <v>0.83082440000000002</v>
      </c>
      <c r="N127" s="174">
        <f t="shared" si="21"/>
        <v>1643.5220219977953</v>
      </c>
      <c r="O127" s="173">
        <f t="shared" si="22"/>
        <v>-4893.4800339860749</v>
      </c>
      <c r="P127" s="174" t="b">
        <f t="shared" si="23"/>
        <v>0</v>
      </c>
      <c r="Q127" s="174">
        <f t="shared" si="31"/>
        <v>1978.182179047456</v>
      </c>
      <c r="R127" s="174">
        <f t="shared" si="30"/>
        <v>2380.987100339682</v>
      </c>
      <c r="S127" s="165">
        <f t="shared" si="24"/>
        <v>2380.987100339682</v>
      </c>
      <c r="T127" t="b">
        <f t="shared" si="25"/>
        <v>0</v>
      </c>
      <c r="U127" s="176">
        <f t="shared" si="26"/>
        <v>2380.987100339682</v>
      </c>
      <c r="V127" s="165">
        <f>IF(U127&lt;V$5,V$5-U127,IF(U127&gt;=V$5,0))*('Electrical System Specification'!D$16*'Electrical System Specification'!Q$16)</f>
        <v>5480.8437154360636</v>
      </c>
      <c r="W127" s="28">
        <f t="shared" si="27"/>
        <v>1289.5581303490821</v>
      </c>
      <c r="X127" s="165">
        <f>IF(U127&gt;V$5,U127-V$5,0)*'Electrical System Specification'!D$17</f>
        <v>0</v>
      </c>
      <c r="Y127">
        <f>(X127*C127)*'Electrical System Specification'!D$17</f>
        <v>0</v>
      </c>
      <c r="Z127" s="165">
        <f t="shared" si="28"/>
        <v>1289.5581303490821</v>
      </c>
      <c r="AA127" s="165">
        <f t="shared" si="29"/>
        <v>66271.488221254724</v>
      </c>
      <c r="AB127" s="165"/>
    </row>
    <row r="128" spans="3:28" x14ac:dyDescent="0.2">
      <c r="C128" s="148">
        <v>0.23334206265608037</v>
      </c>
      <c r="D128">
        <f t="shared" si="17"/>
        <v>29.674522511095265</v>
      </c>
      <c r="E128" s="164">
        <v>2001.7974241419406</v>
      </c>
      <c r="F128" s="165">
        <f>E128/'Electrical System Specification'!AC$4</f>
        <v>2042.6504327978987</v>
      </c>
      <c r="G128" s="146">
        <f>F128/('Electrical System Specification'!X$16*'Electrical System Specification'!J$16*'Electrical System Specification'!D$17)</f>
        <v>2543.2671358109201</v>
      </c>
      <c r="H128" s="165"/>
      <c r="I128" s="173">
        <f t="shared" si="18"/>
        <v>6871.6622130335309</v>
      </c>
      <c r="J128" s="173">
        <f t="shared" si="19"/>
        <v>7621.6306710664712</v>
      </c>
      <c r="K128" s="174" t="b">
        <f>IF(E128&gt;I128,'Electrical System Specification'!AC$4*'Electrical System Specification'!J$16*'Electrical System Specification'!D$16*'Electrical System Specification'!D$17*'Electrical System Specification'!X$16)</f>
        <v>0</v>
      </c>
      <c r="L128" s="174">
        <f>IF(E128&lt;I128,'Electrical System Specification'!X$16*'Electrical System Specification'!Q$16*'Electrical System Specification'!AC$4*'Electrical System Specification'!J$16)</f>
        <v>0.83082440000000002</v>
      </c>
      <c r="M128" s="174">
        <f t="shared" si="20"/>
        <v>0.83082440000000002</v>
      </c>
      <c r="N128" s="174">
        <f t="shared" si="21"/>
        <v>1663.1421438342734</v>
      </c>
      <c r="O128" s="173">
        <f t="shared" si="22"/>
        <v>-4869.8647888915903</v>
      </c>
      <c r="P128" s="174" t="b">
        <f t="shared" si="23"/>
        <v>0</v>
      </c>
      <c r="Q128" s="174">
        <f t="shared" si="31"/>
        <v>2001.7974241419406</v>
      </c>
      <c r="R128" s="174">
        <f t="shared" si="30"/>
        <v>2409.4109707682401</v>
      </c>
      <c r="S128" s="165">
        <f t="shared" si="24"/>
        <v>2409.4109707682401</v>
      </c>
      <c r="T128" t="b">
        <f t="shared" si="25"/>
        <v>0</v>
      </c>
      <c r="U128" s="176">
        <f t="shared" si="26"/>
        <v>2409.4109707682401</v>
      </c>
      <c r="V128" s="165">
        <f>IF(U128&lt;V$5,V$5-U128,IF(U128&gt;=V$5,0))*('Electrical System Specification'!D$16*'Electrical System Specification'!Q$16)</f>
        <v>5456.5413062196467</v>
      </c>
      <c r="W128" s="28">
        <f t="shared" si="27"/>
        <v>1273.2406033613954</v>
      </c>
      <c r="X128" s="165">
        <f>IF(U128&gt;V$5,U128-V$5,0)*'Electrical System Specification'!D$17</f>
        <v>0</v>
      </c>
      <c r="Y128">
        <f>(X128*C128)*'Electrical System Specification'!D$17</f>
        <v>0</v>
      </c>
      <c r="Z128" s="165">
        <f t="shared" si="28"/>
        <v>1273.2406033613954</v>
      </c>
      <c r="AA128" s="165">
        <f t="shared" si="29"/>
        <v>67544.728824616119</v>
      </c>
      <c r="AB128" s="165"/>
    </row>
    <row r="129" spans="3:28" x14ac:dyDescent="0.2">
      <c r="C129" s="148">
        <v>0.23131289005833622</v>
      </c>
      <c r="D129">
        <f t="shared" si="17"/>
        <v>29.905835401153603</v>
      </c>
      <c r="E129" s="164">
        <v>2025.2044926203205</v>
      </c>
      <c r="F129" s="165">
        <f>E129/'Electrical System Specification'!AC$4</f>
        <v>2066.5351965513473</v>
      </c>
      <c r="G129" s="146">
        <f>F129/('Electrical System Specification'!X$16*'Electrical System Specification'!J$16*'Electrical System Specification'!D$17)</f>
        <v>2573.005623476452</v>
      </c>
      <c r="H129" s="165"/>
      <c r="I129" s="173">
        <f t="shared" si="18"/>
        <v>6871.6622130335309</v>
      </c>
      <c r="J129" s="173">
        <f t="shared" si="19"/>
        <v>7621.6306710664712</v>
      </c>
      <c r="K129" s="174" t="b">
        <f>IF(E129&gt;I129,'Electrical System Specification'!AC$4*'Electrical System Specification'!J$16*'Electrical System Specification'!D$16*'Electrical System Specification'!D$17*'Electrical System Specification'!X$16)</f>
        <v>0</v>
      </c>
      <c r="L129" s="174">
        <f>IF(E129&lt;I129,'Electrical System Specification'!X$16*'Electrical System Specification'!Q$16*'Electrical System Specification'!AC$4*'Electrical System Specification'!J$16)</f>
        <v>0.83082440000000002</v>
      </c>
      <c r="M129" s="174">
        <f t="shared" si="20"/>
        <v>0.83082440000000002</v>
      </c>
      <c r="N129" s="174">
        <f t="shared" si="21"/>
        <v>1682.5893074585822</v>
      </c>
      <c r="O129" s="173">
        <f t="shared" si="22"/>
        <v>-4846.4577204132102</v>
      </c>
      <c r="P129" s="174" t="b">
        <f t="shared" si="23"/>
        <v>0</v>
      </c>
      <c r="Q129" s="174">
        <f t="shared" si="31"/>
        <v>2025.2044926203207</v>
      </c>
      <c r="R129" s="174">
        <f t="shared" si="30"/>
        <v>2437.5842748724285</v>
      </c>
      <c r="S129" s="165">
        <f t="shared" si="24"/>
        <v>2437.5842748724285</v>
      </c>
      <c r="T129" t="b">
        <f t="shared" si="25"/>
        <v>0</v>
      </c>
      <c r="U129" s="176">
        <f t="shared" si="26"/>
        <v>2437.5842748724285</v>
      </c>
      <c r="V129" s="165">
        <f>IF(U129&lt;V$5,V$5-U129,IF(U129&gt;=V$5,0))*('Electrical System Specification'!D$16*'Electrical System Specification'!Q$16)</f>
        <v>5432.4531312105655</v>
      </c>
      <c r="W129" s="28">
        <f t="shared" si="27"/>
        <v>1256.5964338867739</v>
      </c>
      <c r="X129" s="165">
        <f>IF(U129&gt;V$5,U129-V$5,0)*'Electrical System Specification'!D$17</f>
        <v>0</v>
      </c>
      <c r="Y129">
        <f>(X129*C129)*'Electrical System Specification'!D$17</f>
        <v>0</v>
      </c>
      <c r="Z129" s="165">
        <f t="shared" si="28"/>
        <v>1256.5964338867739</v>
      </c>
      <c r="AA129" s="165">
        <f t="shared" si="29"/>
        <v>68801.325258502897</v>
      </c>
      <c r="AB129" s="165"/>
    </row>
    <row r="130" spans="3:28" x14ac:dyDescent="0.2">
      <c r="C130" s="148">
        <v>0.22922466147666815</v>
      </c>
      <c r="D130">
        <f t="shared" si="17"/>
        <v>30.13506006263027</v>
      </c>
      <c r="E130" s="164">
        <v>2048.3975033110037</v>
      </c>
      <c r="F130" s="165">
        <f>E130/'Electrical System Specification'!AC$4</f>
        <v>2090.2015339908203</v>
      </c>
      <c r="G130" s="146">
        <f>F130/('Electrical System Specification'!X$16*'Electrical System Specification'!J$16*'Electrical System Specification'!D$17)</f>
        <v>2602.4721524862048</v>
      </c>
      <c r="H130" s="165"/>
      <c r="I130" s="173">
        <f t="shared" si="18"/>
        <v>6871.6622130335309</v>
      </c>
      <c r="J130" s="173">
        <f t="shared" si="19"/>
        <v>7621.6306710664712</v>
      </c>
      <c r="K130" s="174" t="b">
        <f>IF(E130&gt;I130,'Electrical System Specification'!AC$4*'Electrical System Specification'!J$16*'Electrical System Specification'!D$16*'Electrical System Specification'!D$17*'Electrical System Specification'!X$16)</f>
        <v>0</v>
      </c>
      <c r="L130" s="174">
        <f>IF(E130&lt;I130,'Electrical System Specification'!X$16*'Electrical System Specification'!Q$16*'Electrical System Specification'!AC$4*'Electrical System Specification'!J$16)</f>
        <v>0.83082440000000002</v>
      </c>
      <c r="M130" s="174">
        <f t="shared" si="20"/>
        <v>0.83082440000000002</v>
      </c>
      <c r="N130" s="174">
        <f t="shared" si="21"/>
        <v>1701.8586266498626</v>
      </c>
      <c r="O130" s="173">
        <f t="shared" si="22"/>
        <v>-4823.2647097225272</v>
      </c>
      <c r="P130" s="174" t="b">
        <f t="shared" si="23"/>
        <v>0</v>
      </c>
      <c r="Q130" s="174">
        <f t="shared" si="31"/>
        <v>2048.3975033110037</v>
      </c>
      <c r="R130" s="174">
        <f t="shared" si="30"/>
        <v>2465.499933934299</v>
      </c>
      <c r="S130" s="165">
        <f t="shared" si="24"/>
        <v>2465.499933934299</v>
      </c>
      <c r="T130" t="b">
        <f t="shared" si="25"/>
        <v>0</v>
      </c>
      <c r="U130" s="176">
        <f t="shared" si="26"/>
        <v>2465.499933934299</v>
      </c>
      <c r="V130" s="165">
        <f>IF(U130&lt;V$5,V$5-U130,IF(U130&gt;=V$5,0))*('Electrical System Specification'!D$16*'Electrical System Specification'!Q$16)</f>
        <v>5408.5852427126656</v>
      </c>
      <c r="W130" s="28">
        <f t="shared" si="27"/>
        <v>1239.7811213285138</v>
      </c>
      <c r="X130" s="165">
        <f>IF(U130&gt;V$5,U130-V$5,0)*'Electrical System Specification'!D$17</f>
        <v>0</v>
      </c>
      <c r="Y130">
        <f>(X130*C130)*'Electrical System Specification'!D$17</f>
        <v>0</v>
      </c>
      <c r="Z130" s="165">
        <f t="shared" si="28"/>
        <v>1239.7811213285138</v>
      </c>
      <c r="AA130" s="165">
        <f t="shared" si="29"/>
        <v>70041.106379831414</v>
      </c>
      <c r="AB130" s="165"/>
    </row>
    <row r="131" spans="3:28" x14ac:dyDescent="0.2">
      <c r="C131" s="148">
        <v>0.22681457778134079</v>
      </c>
      <c r="D131">
        <f t="shared" si="17"/>
        <v>30.36187464041161</v>
      </c>
      <c r="E131" s="164">
        <v>2071.3438397193931</v>
      </c>
      <c r="F131" s="165">
        <f>E131/'Electrical System Specification'!AC$4</f>
        <v>2113.6161629789726</v>
      </c>
      <c r="G131" s="146">
        <f>F131/('Electrical System Specification'!X$16*'Electrical System Specification'!J$16*'Electrical System Specification'!D$17)</f>
        <v>2631.6252838524983</v>
      </c>
      <c r="H131" s="165"/>
      <c r="I131" s="173">
        <f t="shared" si="18"/>
        <v>6871.6622130335309</v>
      </c>
      <c r="J131" s="173">
        <f t="shared" si="19"/>
        <v>7621.6306710664712</v>
      </c>
      <c r="K131" s="174" t="b">
        <f>IF(E131&gt;I131,'Electrical System Specification'!AC$4*'Electrical System Specification'!J$16*'Electrical System Specification'!D$16*'Electrical System Specification'!D$17*'Electrical System Specification'!X$16)</f>
        <v>0</v>
      </c>
      <c r="L131" s="174">
        <f>IF(E131&lt;I131,'Electrical System Specification'!X$16*'Electrical System Specification'!Q$16*'Electrical System Specification'!AC$4*'Electrical System Specification'!J$16)</f>
        <v>0.83082440000000002</v>
      </c>
      <c r="M131" s="174">
        <f t="shared" si="20"/>
        <v>0.83082440000000002</v>
      </c>
      <c r="N131" s="174">
        <f t="shared" si="21"/>
        <v>1720.923002828561</v>
      </c>
      <c r="O131" s="173">
        <f t="shared" si="22"/>
        <v>-4800.3183733141377</v>
      </c>
      <c r="P131" s="174" t="b">
        <f t="shared" si="23"/>
        <v>0</v>
      </c>
      <c r="Q131" s="174">
        <f t="shared" si="31"/>
        <v>2071.3438397193931</v>
      </c>
      <c r="R131" s="174">
        <f t="shared" si="30"/>
        <v>2493.1186899655249</v>
      </c>
      <c r="S131" s="165">
        <f t="shared" si="24"/>
        <v>2493.1186899655249</v>
      </c>
      <c r="T131" t="b">
        <f t="shared" si="25"/>
        <v>0</v>
      </c>
      <c r="U131" s="176">
        <f t="shared" si="26"/>
        <v>2493.1186899655249</v>
      </c>
      <c r="V131" s="165">
        <f>IF(U131&lt;V$5,V$5-U131,IF(U131&gt;=V$5,0))*('Electrical System Specification'!D$16*'Electrical System Specification'!Q$16)</f>
        <v>5384.9712063059678</v>
      </c>
      <c r="W131" s="28">
        <f t="shared" si="27"/>
        <v>1221.3899705229655</v>
      </c>
      <c r="X131" s="165">
        <f>IF(U131&gt;V$5,U131-V$5,0)*'Electrical System Specification'!D$17</f>
        <v>0</v>
      </c>
      <c r="Y131">
        <f>(X131*C131)*'Electrical System Specification'!D$17</f>
        <v>0</v>
      </c>
      <c r="Z131" s="165">
        <f t="shared" si="28"/>
        <v>1221.3899705229655</v>
      </c>
      <c r="AA131" s="165">
        <f t="shared" si="29"/>
        <v>71262.496350354384</v>
      </c>
      <c r="AB131" s="165"/>
    </row>
    <row r="132" spans="3:28" x14ac:dyDescent="0.2">
      <c r="C132" s="148">
        <v>0.22457727954983103</v>
      </c>
      <c r="D132">
        <f t="shared" si="17"/>
        <v>30.586451919961441</v>
      </c>
      <c r="E132" s="164">
        <v>2094.0612119863395</v>
      </c>
      <c r="F132" s="165">
        <f>E132/'Electrical System Specification'!AC$4</f>
        <v>2136.7971550881016</v>
      </c>
      <c r="G132" s="146">
        <f>F132/('Electrical System Specification'!X$16*'Electrical System Specification'!J$16*'Electrical System Specification'!D$17)</f>
        <v>2660.4875181633815</v>
      </c>
      <c r="H132" s="165"/>
      <c r="I132" s="173">
        <f t="shared" si="18"/>
        <v>6871.6622130335309</v>
      </c>
      <c r="J132" s="173">
        <f t="shared" si="19"/>
        <v>7621.6306710664712</v>
      </c>
      <c r="K132" s="174" t="b">
        <f>IF(E132&gt;I132,'Electrical System Specification'!AC$4*'Electrical System Specification'!J$16*'Electrical System Specification'!D$16*'Electrical System Specification'!D$17*'Electrical System Specification'!X$16)</f>
        <v>0</v>
      </c>
      <c r="L132" s="174">
        <f>IF(E132&lt;I132,'Electrical System Specification'!X$16*'Electrical System Specification'!Q$16*'Electrical System Specification'!AC$4*'Electrical System Specification'!J$16)</f>
        <v>0.83082440000000002</v>
      </c>
      <c r="M132" s="174">
        <f t="shared" si="20"/>
        <v>0.83082440000000002</v>
      </c>
      <c r="N132" s="174">
        <f t="shared" si="21"/>
        <v>1739.7971500118233</v>
      </c>
      <c r="O132" s="173">
        <f t="shared" si="22"/>
        <v>-4777.6010010471909</v>
      </c>
      <c r="P132" s="174" t="b">
        <f t="shared" si="23"/>
        <v>0</v>
      </c>
      <c r="Q132" s="174">
        <f t="shared" si="31"/>
        <v>2094.0612119863399</v>
      </c>
      <c r="R132" s="174">
        <f t="shared" si="30"/>
        <v>2520.4618593126779</v>
      </c>
      <c r="S132" s="165">
        <f t="shared" si="24"/>
        <v>2520.4618593126779</v>
      </c>
      <c r="T132" t="b">
        <f t="shared" si="25"/>
        <v>0</v>
      </c>
      <c r="U132" s="176">
        <f t="shared" si="26"/>
        <v>2520.4618593126779</v>
      </c>
      <c r="V132" s="165">
        <f>IF(U132&lt;V$5,V$5-U132,IF(U132&gt;=V$5,0))*('Electrical System Specification'!D$16*'Electrical System Specification'!Q$16)</f>
        <v>5361.5927965141518</v>
      </c>
      <c r="W132" s="28">
        <f t="shared" si="27"/>
        <v>1204.091924295119</v>
      </c>
      <c r="X132" s="165">
        <f>IF(U132&gt;V$5,U132-V$5,0)*'Electrical System Specification'!D$17</f>
        <v>0</v>
      </c>
      <c r="Y132">
        <f>(X132*C132)*'Electrical System Specification'!D$17</f>
        <v>0</v>
      </c>
      <c r="Z132" s="165">
        <f t="shared" si="28"/>
        <v>1204.091924295119</v>
      </c>
      <c r="AA132" s="165">
        <f t="shared" si="29"/>
        <v>72466.588274649504</v>
      </c>
      <c r="AB132" s="165"/>
    </row>
    <row r="133" spans="3:28" x14ac:dyDescent="0.2">
      <c r="C133" s="148">
        <v>0.22250556798164386</v>
      </c>
      <c r="D133">
        <f t="shared" si="17"/>
        <v>30.808957487943083</v>
      </c>
      <c r="E133" s="164">
        <v>2116.5665795357104</v>
      </c>
      <c r="F133" s="165">
        <f>E133/'Electrical System Specification'!AC$4</f>
        <v>2159.7618158527657</v>
      </c>
      <c r="G133" s="146">
        <f>F133/('Electrical System Specification'!X$16*'Electrical System Specification'!J$16*'Electrical System Specification'!D$17)</f>
        <v>2689.08040222716</v>
      </c>
      <c r="H133" s="165"/>
      <c r="I133" s="173">
        <f t="shared" si="18"/>
        <v>6871.6622130335309</v>
      </c>
      <c r="J133" s="173">
        <f t="shared" si="19"/>
        <v>7621.6306710664712</v>
      </c>
      <c r="K133" s="174" t="b">
        <f>IF(E133&gt;I133,'Electrical System Specification'!AC$4*'Electrical System Specification'!J$16*'Electrical System Specification'!D$16*'Electrical System Specification'!D$17*'Electrical System Specification'!X$16)</f>
        <v>0</v>
      </c>
      <c r="L133" s="174">
        <f>IF(E133&lt;I133,'Electrical System Specification'!X$16*'Electrical System Specification'!Q$16*'Electrical System Specification'!AC$4*'Electrical System Specification'!J$16)</f>
        <v>0.83082440000000002</v>
      </c>
      <c r="M133" s="174">
        <f t="shared" si="20"/>
        <v>0.83082440000000002</v>
      </c>
      <c r="N133" s="174">
        <f t="shared" si="21"/>
        <v>1758.4951585028089</v>
      </c>
      <c r="O133" s="173">
        <f t="shared" si="22"/>
        <v>-4755.09563349782</v>
      </c>
      <c r="P133" s="174" t="b">
        <f t="shared" si="23"/>
        <v>0</v>
      </c>
      <c r="Q133" s="174">
        <f t="shared" si="31"/>
        <v>2116.5665795357108</v>
      </c>
      <c r="R133" s="174">
        <f t="shared" si="30"/>
        <v>2547.5498547415204</v>
      </c>
      <c r="S133" s="165">
        <f t="shared" si="24"/>
        <v>2547.5498547415204</v>
      </c>
      <c r="T133" t="b">
        <f t="shared" si="25"/>
        <v>0</v>
      </c>
      <c r="U133" s="176">
        <f t="shared" si="26"/>
        <v>2547.5498547415204</v>
      </c>
      <c r="V133" s="165">
        <f>IF(U133&lt;V$5,V$5-U133,IF(U133&gt;=V$5,0))*('Electrical System Specification'!D$16*'Electrical System Specification'!Q$16)</f>
        <v>5338.4325604224914</v>
      </c>
      <c r="W133" s="28">
        <f t="shared" si="27"/>
        <v>1187.8309689885077</v>
      </c>
      <c r="X133" s="165">
        <f>IF(U133&gt;V$5,U133-V$5,0)*'Electrical System Specification'!D$17</f>
        <v>0</v>
      </c>
      <c r="Y133">
        <f>(X133*C133)*'Electrical System Specification'!D$17</f>
        <v>0</v>
      </c>
      <c r="Z133" s="165">
        <f t="shared" si="28"/>
        <v>1187.8309689885077</v>
      </c>
      <c r="AA133" s="165">
        <f t="shared" si="29"/>
        <v>73654.419243638011</v>
      </c>
      <c r="AB133" s="165"/>
    </row>
    <row r="134" spans="3:28" x14ac:dyDescent="0.2">
      <c r="C134" s="148">
        <v>0.22037432799821227</v>
      </c>
      <c r="D134">
        <f t="shared" si="17"/>
        <v>31.029331815941294</v>
      </c>
      <c r="E134" s="164">
        <v>2138.8539995083329</v>
      </c>
      <c r="F134" s="165">
        <f>E134/'Electrical System Specification'!AC$4</f>
        <v>2182.5040811309518</v>
      </c>
      <c r="G134" s="146">
        <f>F134/('Electrical System Specification'!X$16*'Electrical System Specification'!J$16*'Electrical System Specification'!D$17)</f>
        <v>2717.3963856902133</v>
      </c>
      <c r="H134" s="165"/>
      <c r="I134" s="173">
        <f t="shared" si="18"/>
        <v>6871.6622130335309</v>
      </c>
      <c r="J134" s="173">
        <f t="shared" si="19"/>
        <v>7621.6306710664712</v>
      </c>
      <c r="K134" s="174" t="b">
        <f>IF(E134&gt;I134,'Electrical System Specification'!AC$4*'Electrical System Specification'!J$16*'Electrical System Specification'!D$16*'Electrical System Specification'!D$17*'Electrical System Specification'!X$16)</f>
        <v>0</v>
      </c>
      <c r="L134" s="174">
        <f>IF(E134&lt;I134,'Electrical System Specification'!X$16*'Electrical System Specification'!Q$16*'Electrical System Specification'!AC$4*'Electrical System Specification'!J$16)</f>
        <v>0.83082440000000002</v>
      </c>
      <c r="M134" s="174">
        <f t="shared" si="20"/>
        <v>0.83082440000000002</v>
      </c>
      <c r="N134" s="174">
        <f t="shared" si="21"/>
        <v>1777.012090829111</v>
      </c>
      <c r="O134" s="173">
        <f t="shared" si="22"/>
        <v>-4732.808213525198</v>
      </c>
      <c r="P134" s="174" t="b">
        <f t="shared" si="23"/>
        <v>0</v>
      </c>
      <c r="Q134" s="174">
        <f t="shared" si="31"/>
        <v>2138.8539995083329</v>
      </c>
      <c r="R134" s="174">
        <f t="shared" si="30"/>
        <v>2574.3755232854655</v>
      </c>
      <c r="S134" s="165">
        <f t="shared" si="24"/>
        <v>2574.3755232854655</v>
      </c>
      <c r="T134" t="b">
        <f t="shared" si="25"/>
        <v>0</v>
      </c>
      <c r="U134" s="176">
        <f t="shared" si="26"/>
        <v>2574.3755232854655</v>
      </c>
      <c r="V134" s="165">
        <f>IF(U134&lt;V$5,V$5-U134,IF(U134&gt;=V$5,0))*('Electrical System Specification'!D$16*'Electrical System Specification'!Q$16)</f>
        <v>5315.4966138174186</v>
      </c>
      <c r="W134" s="28">
        <f t="shared" si="27"/>
        <v>1171.3989942467865</v>
      </c>
      <c r="X134" s="165">
        <f>IF(U134&gt;V$5,U134-V$5,0)*'Electrical System Specification'!D$17</f>
        <v>0</v>
      </c>
      <c r="Y134">
        <f>(X134*C134)*'Electrical System Specification'!D$17</f>
        <v>0</v>
      </c>
      <c r="Z134" s="165">
        <f t="shared" si="28"/>
        <v>1171.3989942467865</v>
      </c>
      <c r="AA134" s="165">
        <f t="shared" si="29"/>
        <v>74825.8182378848</v>
      </c>
      <c r="AB134" s="165"/>
    </row>
    <row r="135" spans="3:28" x14ac:dyDescent="0.2">
      <c r="C135" s="148">
        <v>0.21829411626969089</v>
      </c>
      <c r="D135">
        <f t="shared" si="17"/>
        <v>31.247625932210983</v>
      </c>
      <c r="E135" s="164">
        <v>2160.9287656539364</v>
      </c>
      <c r="F135" s="165">
        <f>E135/'Electrical System Specification'!AC$4</f>
        <v>2205.0293527080985</v>
      </c>
      <c r="G135" s="146">
        <f>F135/('Electrical System Specification'!X$16*'Electrical System Specification'!J$16*'Electrical System Specification'!D$17)</f>
        <v>2745.4421942179624</v>
      </c>
      <c r="H135" s="165"/>
      <c r="I135" s="173">
        <f t="shared" si="18"/>
        <v>6871.6622130335309</v>
      </c>
      <c r="J135" s="173">
        <f t="shared" si="19"/>
        <v>7621.6306710664712</v>
      </c>
      <c r="K135" s="174" t="b">
        <f>IF(E135&gt;I135,'Electrical System Specification'!AC$4*'Electrical System Specification'!J$16*'Electrical System Specification'!D$16*'Electrical System Specification'!D$17*'Electrical System Specification'!X$16)</f>
        <v>0</v>
      </c>
      <c r="L135" s="174">
        <f>IF(E135&lt;I135,'Electrical System Specification'!X$16*'Electrical System Specification'!Q$16*'Electrical System Specification'!AC$4*'Electrical System Specification'!J$16)</f>
        <v>0.83082440000000002</v>
      </c>
      <c r="M135" s="174">
        <f t="shared" si="20"/>
        <v>0.83082440000000002</v>
      </c>
      <c r="N135" s="174">
        <f t="shared" si="21"/>
        <v>1795.3523451671724</v>
      </c>
      <c r="O135" s="173">
        <f t="shared" si="22"/>
        <v>-4710.7334473795945</v>
      </c>
      <c r="P135" s="174" t="b">
        <f t="shared" si="23"/>
        <v>0</v>
      </c>
      <c r="Q135" s="174">
        <f t="shared" si="31"/>
        <v>2160.9287656539364</v>
      </c>
      <c r="R135" s="174">
        <f t="shared" si="30"/>
        <v>2600.9452366275427</v>
      </c>
      <c r="S135" s="165">
        <f t="shared" si="24"/>
        <v>2600.9452366275427</v>
      </c>
      <c r="T135" t="b">
        <f t="shared" si="25"/>
        <v>0</v>
      </c>
      <c r="U135" s="176">
        <f t="shared" si="26"/>
        <v>2600.9452366275427</v>
      </c>
      <c r="V135" s="165">
        <f>IF(U135&lt;V$5,V$5-U135,IF(U135&gt;=V$5,0))*('Electrical System Specification'!D$16*'Electrical System Specification'!Q$16)</f>
        <v>5292.7795089099427</v>
      </c>
      <c r="W135" s="28">
        <f t="shared" si="27"/>
        <v>1155.3826255078245</v>
      </c>
      <c r="X135" s="165">
        <f>IF(U135&gt;V$5,U135-V$5,0)*'Electrical System Specification'!D$17</f>
        <v>0</v>
      </c>
      <c r="Y135">
        <f>(X135*C135)*'Electrical System Specification'!D$17</f>
        <v>0</v>
      </c>
      <c r="Z135" s="165">
        <f t="shared" si="28"/>
        <v>1155.3826255078245</v>
      </c>
      <c r="AA135" s="165">
        <f t="shared" si="29"/>
        <v>75981.200863392631</v>
      </c>
      <c r="AB135" s="165"/>
    </row>
    <row r="136" spans="3:28" x14ac:dyDescent="0.2">
      <c r="C136" s="148">
        <v>0.21642525632307441</v>
      </c>
      <c r="D136">
        <f t="shared" si="17"/>
        <v>31.464051188534057</v>
      </c>
      <c r="E136" s="164">
        <v>2182.8124561955642</v>
      </c>
      <c r="F136" s="165">
        <f>E136/'Electrical System Specification'!AC$4</f>
        <v>2227.3596491791473</v>
      </c>
      <c r="G136" s="146">
        <f>F136/('Electrical System Specification'!X$16*'Electrical System Specification'!J$16*'Electrical System Specification'!D$17)</f>
        <v>2773.2452427650123</v>
      </c>
      <c r="H136" s="165"/>
      <c r="I136" s="173">
        <f t="shared" si="18"/>
        <v>6871.6622130335309</v>
      </c>
      <c r="J136" s="173">
        <f t="shared" si="19"/>
        <v>7621.6306710664712</v>
      </c>
      <c r="K136" s="174" t="b">
        <f>IF(E136&gt;I136,'Electrical System Specification'!AC$4*'Electrical System Specification'!J$16*'Electrical System Specification'!D$16*'Electrical System Specification'!D$17*'Electrical System Specification'!X$16)</f>
        <v>0</v>
      </c>
      <c r="L136" s="174">
        <f>IF(E136&lt;I136,'Electrical System Specification'!X$16*'Electrical System Specification'!Q$16*'Electrical System Specification'!AC$4*'Electrical System Specification'!J$16)</f>
        <v>0.83082440000000002</v>
      </c>
      <c r="M136" s="174">
        <f t="shared" si="20"/>
        <v>0.83082440000000002</v>
      </c>
      <c r="N136" s="174">
        <f t="shared" si="21"/>
        <v>1813.533849231206</v>
      </c>
      <c r="O136" s="173">
        <f t="shared" si="22"/>
        <v>-4688.8497568379662</v>
      </c>
      <c r="P136" s="174" t="b">
        <f t="shared" si="23"/>
        <v>0</v>
      </c>
      <c r="Q136" s="174">
        <f t="shared" si="31"/>
        <v>2182.8124561955647</v>
      </c>
      <c r="R136" s="174">
        <f t="shared" si="30"/>
        <v>2627.2849668300119</v>
      </c>
      <c r="S136" s="165">
        <f t="shared" si="24"/>
        <v>2627.2849668300119</v>
      </c>
      <c r="T136" t="b">
        <f t="shared" si="25"/>
        <v>0</v>
      </c>
      <c r="U136" s="176">
        <f t="shared" si="26"/>
        <v>2627.2849668300119</v>
      </c>
      <c r="V136" s="165">
        <f>IF(U136&lt;V$5,V$5-U136,IF(U136&gt;=V$5,0))*('Electrical System Specification'!D$16*'Electrical System Specification'!Q$16)</f>
        <v>5270.2590395868319</v>
      </c>
      <c r="W136" s="28">
        <f t="shared" si="27"/>
        <v>1140.61716353158</v>
      </c>
      <c r="X136" s="165">
        <f>IF(U136&gt;V$5,U136-V$5,0)*'Electrical System Specification'!D$17</f>
        <v>0</v>
      </c>
      <c r="Y136">
        <f>(X136*C136)*'Electrical System Specification'!D$17</f>
        <v>0</v>
      </c>
      <c r="Z136" s="165">
        <f t="shared" si="28"/>
        <v>1140.61716353158</v>
      </c>
      <c r="AA136" s="165">
        <f t="shared" si="29"/>
        <v>77121.818026924215</v>
      </c>
      <c r="AB136" s="165"/>
    </row>
    <row r="137" spans="3:28" x14ac:dyDescent="0.2">
      <c r="C137" s="148">
        <v>0.21467867996468151</v>
      </c>
      <c r="D137">
        <f t="shared" si="17"/>
        <v>31.678729868498738</v>
      </c>
      <c r="E137" s="164">
        <v>2204.5175827635094</v>
      </c>
      <c r="F137" s="165">
        <f>E137/'Electrical System Specification'!AC$4</f>
        <v>2249.5077375137853</v>
      </c>
      <c r="G137" s="146">
        <f>F137/('Electrical System Specification'!X$16*'Electrical System Specification'!J$16*'Electrical System Specification'!D$17)</f>
        <v>2800.8214272545761</v>
      </c>
      <c r="H137" s="165"/>
      <c r="I137" s="173">
        <f t="shared" si="18"/>
        <v>6871.6622130335309</v>
      </c>
      <c r="J137" s="173">
        <f t="shared" si="19"/>
        <v>7621.6306710664712</v>
      </c>
      <c r="K137" s="174" t="b">
        <f>IF(E137&gt;I137,'Electrical System Specification'!AC$4*'Electrical System Specification'!J$16*'Electrical System Specification'!D$16*'Electrical System Specification'!D$17*'Electrical System Specification'!X$16)</f>
        <v>0</v>
      </c>
      <c r="L137" s="174">
        <f>IF(E137&lt;I137,'Electrical System Specification'!X$16*'Electrical System Specification'!Q$16*'Electrical System Specification'!AC$4*'Electrical System Specification'!J$16)</f>
        <v>0.83082440000000002</v>
      </c>
      <c r="M137" s="174">
        <f t="shared" si="20"/>
        <v>0.83082440000000002</v>
      </c>
      <c r="N137" s="174">
        <f t="shared" si="21"/>
        <v>1831.5669979889431</v>
      </c>
      <c r="O137" s="173">
        <f t="shared" si="22"/>
        <v>-4667.1446302700215</v>
      </c>
      <c r="P137" s="174" t="b">
        <f t="shared" si="23"/>
        <v>0</v>
      </c>
      <c r="Q137" s="174">
        <f t="shared" si="31"/>
        <v>2204.5175827635094</v>
      </c>
      <c r="R137" s="174">
        <f t="shared" si="30"/>
        <v>2653.4097731885454</v>
      </c>
      <c r="S137" s="165">
        <f t="shared" si="24"/>
        <v>2653.4097731885454</v>
      </c>
      <c r="T137" t="b">
        <f t="shared" si="25"/>
        <v>0</v>
      </c>
      <c r="U137" s="176">
        <f t="shared" si="26"/>
        <v>2653.4097731885454</v>
      </c>
      <c r="V137" s="165">
        <f>IF(U137&lt;V$5,V$5-U137,IF(U137&gt;=V$5,0))*('Electrical System Specification'!D$16*'Electrical System Specification'!Q$16)</f>
        <v>5247.9223301502861</v>
      </c>
      <c r="W137" s="28">
        <f t="shared" si="27"/>
        <v>1126.617038393839</v>
      </c>
      <c r="X137" s="165">
        <f>IF(U137&gt;V$5,U137-V$5,0)*'Electrical System Specification'!D$17</f>
        <v>0</v>
      </c>
      <c r="Y137">
        <f>(X137*C137)*'Electrical System Specification'!D$17</f>
        <v>0</v>
      </c>
      <c r="Z137" s="165">
        <f t="shared" si="28"/>
        <v>1126.617038393839</v>
      </c>
      <c r="AA137" s="165">
        <f t="shared" si="29"/>
        <v>78248.435065318059</v>
      </c>
      <c r="AB137" s="165"/>
    </row>
    <row r="138" spans="3:28" x14ac:dyDescent="0.2">
      <c r="C138" s="148">
        <v>0.21302149577967724</v>
      </c>
      <c r="D138">
        <f t="shared" ref="D138:D201" si="32">C138+D137</f>
        <v>31.891751364278417</v>
      </c>
      <c r="E138" s="164">
        <v>2226.0533051998686</v>
      </c>
      <c r="F138" s="165">
        <f>E138/'Electrical System Specification'!AC$4</f>
        <v>2271.4829644896618</v>
      </c>
      <c r="G138" s="146">
        <f>F138/('Electrical System Specification'!X$16*'Electrical System Specification'!J$16*'Electrical System Specification'!D$17)</f>
        <v>2828.1823851905747</v>
      </c>
      <c r="H138" s="165"/>
      <c r="I138" s="173">
        <f t="shared" ref="I138:I201" si="33">J$5</f>
        <v>6871.6622130335309</v>
      </c>
      <c r="J138" s="173">
        <f t="shared" ref="J138:J201" si="34">J$7</f>
        <v>7621.6306710664712</v>
      </c>
      <c r="K138" s="174" t="b">
        <f>IF(E138&gt;I138,'Electrical System Specification'!AC$4*'Electrical System Specification'!J$16*'Electrical System Specification'!D$16*'Electrical System Specification'!D$17*'Electrical System Specification'!X$16)</f>
        <v>0</v>
      </c>
      <c r="L138" s="174">
        <f>IF(E138&lt;I138,'Electrical System Specification'!X$16*'Electrical System Specification'!Q$16*'Electrical System Specification'!AC$4*'Electrical System Specification'!J$16)</f>
        <v>0.83082440000000002</v>
      </c>
      <c r="M138" s="174">
        <f t="shared" ref="M138:M201" si="35">IF(I138&gt;E138,L138,IF(I138&lt;E138,K138))</f>
        <v>0.83082440000000002</v>
      </c>
      <c r="N138" s="174">
        <f t="shared" ref="N138:N201" si="36">M138*E138</f>
        <v>1849.4594016606977</v>
      </c>
      <c r="O138" s="173">
        <f t="shared" ref="O138:O201" si="37">E138-I138</f>
        <v>-4645.6089078336627</v>
      </c>
      <c r="P138" s="174" t="b">
        <f t="shared" ref="P138:P201" si="38">IF(O138&gt;0,O138/K138)</f>
        <v>0</v>
      </c>
      <c r="Q138" s="174">
        <f t="shared" si="31"/>
        <v>2226.0533051998682</v>
      </c>
      <c r="R138" s="174">
        <f t="shared" si="30"/>
        <v>2679.3306807068593</v>
      </c>
      <c r="S138" s="165">
        <f t="shared" ref="S138:S201" si="39">IF(P138=FALSE,R138,IF(R138=FALSE,P138))</f>
        <v>2679.3306807068593</v>
      </c>
      <c r="T138" t="b">
        <f t="shared" ref="T138:T201" si="40">IF(O138&gt;0,(I138/P$4)+(O138/Q$4))</f>
        <v>0</v>
      </c>
      <c r="U138" s="176">
        <f t="shared" ref="U138:U201" si="41">IF(T138=FALSE,S138,T138)</f>
        <v>2679.3306807068593</v>
      </c>
      <c r="V138" s="165">
        <f>IF(U138&lt;V$5,V$5-U138,IF(U138&gt;=V$5,0))*('Electrical System Specification'!D$16*'Electrical System Specification'!Q$16)</f>
        <v>5225.7599542221269</v>
      </c>
      <c r="W138" s="28">
        <f t="shared" ref="W138:W201" si="42">V138*C138</f>
        <v>1113.1992020339351</v>
      </c>
      <c r="X138" s="165">
        <f>IF(U138&gt;V$5,U138-V$5,0)*'Electrical System Specification'!D$17</f>
        <v>0</v>
      </c>
      <c r="Y138">
        <f>(X138*C138)*'Electrical System Specification'!D$17</f>
        <v>0</v>
      </c>
      <c r="Z138" s="165">
        <f t="shared" ref="Z138:Z201" si="43">(W138-Y138)</f>
        <v>1113.1992020339351</v>
      </c>
      <c r="AA138" s="165">
        <f t="shared" ref="AA138:AA201" si="44">Z138+AA137</f>
        <v>79361.634267351998</v>
      </c>
      <c r="AB138" s="165"/>
    </row>
    <row r="139" spans="3:28" x14ac:dyDescent="0.2">
      <c r="C139" s="148">
        <v>0.21144872093435244</v>
      </c>
      <c r="D139">
        <f t="shared" si="32"/>
        <v>32.103200085212769</v>
      </c>
      <c r="E139" s="164">
        <v>8724.6459184876949</v>
      </c>
      <c r="F139" s="165">
        <f>E139/'Electrical System Specification'!AC$4</f>
        <v>8902.6999168241782</v>
      </c>
      <c r="G139" s="146">
        <f>F139/('Electrical System Specification'!X$16*'Electrical System Specification'!J$16*'Electrical System Specification'!D$17)</f>
        <v>11084.590762518275</v>
      </c>
      <c r="H139" s="165"/>
      <c r="I139" s="173">
        <f t="shared" si="33"/>
        <v>6871.6622130335309</v>
      </c>
      <c r="J139" s="173">
        <f t="shared" si="34"/>
        <v>7621.6306710664712</v>
      </c>
      <c r="K139" s="174">
        <f>IF(E139&gt;I139,'Electrical System Specification'!AC$4*'Electrical System Specification'!J$16*'Electrical System Specification'!D$16*'Electrical System Specification'!D$17*'Electrical System Specification'!X$16)</f>
        <v>0.70838712000000004</v>
      </c>
      <c r="L139" s="174" t="b">
        <f>IF(E139&lt;I139,'Electrical System Specification'!X$16*'Electrical System Specification'!Q$16*'Electrical System Specification'!AC$4*'Electrical System Specification'!J$16)</f>
        <v>0</v>
      </c>
      <c r="M139" s="174">
        <f t="shared" si="35"/>
        <v>0.70838712000000004</v>
      </c>
      <c r="N139" s="174">
        <f t="shared" si="36"/>
        <v>6180.4267952172531</v>
      </c>
      <c r="O139" s="173">
        <f t="shared" si="37"/>
        <v>1852.983705454164</v>
      </c>
      <c r="P139" s="174">
        <f t="shared" si="38"/>
        <v>2615.7783691128716</v>
      </c>
      <c r="Q139" s="174">
        <f t="shared" si="31"/>
        <v>8270.8960076684452</v>
      </c>
      <c r="R139" s="174">
        <f t="shared" si="30"/>
        <v>0</v>
      </c>
      <c r="S139" s="165" t="b">
        <f t="shared" si="39"/>
        <v>0</v>
      </c>
      <c r="T139">
        <f t="shared" si="40"/>
        <v>10886.674376781317</v>
      </c>
      <c r="U139" s="176">
        <f t="shared" si="41"/>
        <v>10886.674376781317</v>
      </c>
      <c r="V139" s="165">
        <f>IF(U139&lt;V$5,V$5-U139,IF(U139&gt;=V$5,0))*('Electrical System Specification'!D$16*'Electrical System Specification'!Q$16)</f>
        <v>0</v>
      </c>
      <c r="W139" s="28">
        <f t="shared" si="42"/>
        <v>0</v>
      </c>
      <c r="X139" s="165">
        <f>IF(U139&gt;V$5,U139-V$5,0)*'Electrical System Specification'!D$17</f>
        <v>1885.8093746542465</v>
      </c>
      <c r="Y139">
        <f>(X139*C139)*'Electrical System Specification'!D$17</f>
        <v>358.8767821769863</v>
      </c>
      <c r="Z139" s="165">
        <f t="shared" si="43"/>
        <v>-358.8767821769863</v>
      </c>
      <c r="AA139" s="165">
        <f t="shared" si="44"/>
        <v>79002.757485175011</v>
      </c>
      <c r="AB139" s="165"/>
    </row>
    <row r="140" spans="3:28" x14ac:dyDescent="0.2">
      <c r="C140" s="148">
        <v>0.21002533263708092</v>
      </c>
      <c r="D140">
        <f t="shared" si="32"/>
        <v>32.31322541784985</v>
      </c>
      <c r="E140" s="164">
        <v>8826.5270293351787</v>
      </c>
      <c r="F140" s="165">
        <f>E140/'Electrical System Specification'!AC$4</f>
        <v>9006.6602340154877</v>
      </c>
      <c r="G140" s="146">
        <f>F140/('Electrical System Specification'!X$16*'Electrical System Specification'!J$16*'Electrical System Specification'!D$17)</f>
        <v>11214.029874515025</v>
      </c>
      <c r="H140" s="165"/>
      <c r="I140" s="173">
        <f t="shared" si="33"/>
        <v>6871.6622130335309</v>
      </c>
      <c r="J140" s="173">
        <f t="shared" si="34"/>
        <v>7621.6306710664712</v>
      </c>
      <c r="K140" s="174">
        <f>IF(E140&gt;I140,'Electrical System Specification'!AC$4*'Electrical System Specification'!J$16*'Electrical System Specification'!D$16*'Electrical System Specification'!D$17*'Electrical System Specification'!X$16)</f>
        <v>0.70838712000000004</v>
      </c>
      <c r="L140" s="174" t="b">
        <f>IF(E140&lt;I140,'Electrical System Specification'!X$16*'Electrical System Specification'!Q$16*'Electrical System Specification'!AC$4*'Electrical System Specification'!J$16)</f>
        <v>0</v>
      </c>
      <c r="M140" s="174">
        <f t="shared" si="35"/>
        <v>0.70838712000000004</v>
      </c>
      <c r="N140" s="174">
        <f t="shared" si="36"/>
        <v>6252.5980619129032</v>
      </c>
      <c r="O140" s="173">
        <f t="shared" si="37"/>
        <v>1954.8648163016478</v>
      </c>
      <c r="P140" s="174">
        <f t="shared" si="38"/>
        <v>2759.5996046648161</v>
      </c>
      <c r="Q140" s="174">
        <f t="shared" si="31"/>
        <v>8270.8960076684452</v>
      </c>
      <c r="R140" s="174">
        <f t="shared" si="30"/>
        <v>0</v>
      </c>
      <c r="S140" s="165" t="b">
        <f t="shared" si="39"/>
        <v>0</v>
      </c>
      <c r="T140">
        <f t="shared" si="40"/>
        <v>11030.495612333261</v>
      </c>
      <c r="U140" s="176">
        <f t="shared" si="41"/>
        <v>11030.495612333261</v>
      </c>
      <c r="V140" s="165">
        <f>IF(U140&lt;V$5,V$5-U140,IF(U140&gt;=V$5,0))*('Electrical System Specification'!D$16*'Electrical System Specification'!Q$16)</f>
        <v>0</v>
      </c>
      <c r="W140" s="28">
        <f t="shared" si="42"/>
        <v>0</v>
      </c>
      <c r="X140" s="165">
        <f>IF(U140&gt;V$5,U140-V$5,0)*'Electrical System Specification'!D$17</f>
        <v>2015.2484866509965</v>
      </c>
      <c r="Y140">
        <f>(X140*C140)*'Electrical System Specification'!D$17</f>
        <v>380.92791037972455</v>
      </c>
      <c r="Z140" s="165">
        <f t="shared" si="43"/>
        <v>-380.92791037972455</v>
      </c>
      <c r="AA140" s="165">
        <f t="shared" si="44"/>
        <v>78621.82957479528</v>
      </c>
      <c r="AB140" s="165"/>
    </row>
    <row r="141" spans="3:28" x14ac:dyDescent="0.2">
      <c r="C141" s="148">
        <v>0.20868130007138225</v>
      </c>
      <c r="D141">
        <f t="shared" si="32"/>
        <v>32.521906717921233</v>
      </c>
      <c r="E141" s="164">
        <v>8928.3129194188714</v>
      </c>
      <c r="F141" s="165">
        <f>E141/'Electrical System Specification'!AC$4</f>
        <v>9110.5233871621131</v>
      </c>
      <c r="G141" s="146">
        <f>F141/('Electrical System Specification'!X$16*'Electrical System Specification'!J$16*'Electrical System Specification'!D$17)</f>
        <v>11343.348009315843</v>
      </c>
      <c r="H141" s="165"/>
      <c r="I141" s="173">
        <f t="shared" si="33"/>
        <v>6871.6622130335309</v>
      </c>
      <c r="J141" s="173">
        <f t="shared" si="34"/>
        <v>7621.6306710664712</v>
      </c>
      <c r="K141" s="174">
        <f>IF(E141&gt;I141,'Electrical System Specification'!AC$4*'Electrical System Specification'!J$16*'Electrical System Specification'!D$16*'Electrical System Specification'!D$17*'Electrical System Specification'!X$16)</f>
        <v>0.70838712000000004</v>
      </c>
      <c r="L141" s="174" t="b">
        <f>IF(E141&lt;I141,'Electrical System Specification'!X$16*'Electrical System Specification'!Q$16*'Electrical System Specification'!AC$4*'Electrical System Specification'!J$16)</f>
        <v>0</v>
      </c>
      <c r="M141" s="174">
        <f t="shared" si="35"/>
        <v>0.70838712000000004</v>
      </c>
      <c r="N141" s="174">
        <f t="shared" si="36"/>
        <v>6324.7018754459268</v>
      </c>
      <c r="O141" s="173">
        <f t="shared" si="37"/>
        <v>2056.6507063853405</v>
      </c>
      <c r="P141" s="174">
        <f t="shared" si="38"/>
        <v>2903.2864211101701</v>
      </c>
      <c r="Q141" s="174">
        <f t="shared" si="31"/>
        <v>8270.8960076684452</v>
      </c>
      <c r="R141" s="174">
        <f t="shared" si="30"/>
        <v>0</v>
      </c>
      <c r="S141" s="165" t="b">
        <f t="shared" si="39"/>
        <v>0</v>
      </c>
      <c r="T141">
        <f t="shared" si="40"/>
        <v>11174.182428778615</v>
      </c>
      <c r="U141" s="176">
        <f t="shared" si="41"/>
        <v>11174.182428778615</v>
      </c>
      <c r="V141" s="165">
        <f>IF(U141&lt;V$5,V$5-U141,IF(U141&gt;=V$5,0))*('Electrical System Specification'!D$16*'Electrical System Specification'!Q$16)</f>
        <v>0</v>
      </c>
      <c r="W141" s="28">
        <f t="shared" si="42"/>
        <v>0</v>
      </c>
      <c r="X141" s="165">
        <f>IF(U141&gt;V$5,U141-V$5,0)*'Electrical System Specification'!D$17</f>
        <v>2144.5666214518146</v>
      </c>
      <c r="Y141">
        <f>(X141*C141)*'Electrical System Specification'!D$17</f>
        <v>402.7778555888309</v>
      </c>
      <c r="Z141" s="165">
        <f t="shared" si="43"/>
        <v>-402.7778555888309</v>
      </c>
      <c r="AA141" s="165">
        <f t="shared" si="44"/>
        <v>78219.051719206444</v>
      </c>
      <c r="AB141" s="165"/>
    </row>
    <row r="142" spans="3:28" x14ac:dyDescent="0.2">
      <c r="C142" s="148">
        <v>0.20744260072388851</v>
      </c>
      <c r="D142">
        <f t="shared" si="32"/>
        <v>32.72934931864512</v>
      </c>
      <c r="E142" s="164">
        <v>9030.0534146991595</v>
      </c>
      <c r="F142" s="165">
        <f>E142/'Electrical System Specification'!AC$4</f>
        <v>9214.3402190807756</v>
      </c>
      <c r="G142" s="146">
        <f>F142/('Electrical System Specification'!X$16*'Electrical System Specification'!J$16*'Electrical System Specification'!D$17)</f>
        <v>11472.608470392917</v>
      </c>
      <c r="H142" s="165"/>
      <c r="I142" s="173">
        <f t="shared" si="33"/>
        <v>6871.6622130335309</v>
      </c>
      <c r="J142" s="173">
        <f t="shared" si="34"/>
        <v>7621.6306710664712</v>
      </c>
      <c r="K142" s="174">
        <f>IF(E142&gt;I142,'Electrical System Specification'!AC$4*'Electrical System Specification'!J$16*'Electrical System Specification'!D$16*'Electrical System Specification'!D$17*'Electrical System Specification'!X$16)</f>
        <v>0.70838712000000004</v>
      </c>
      <c r="L142" s="174" t="b">
        <f>IF(E142&lt;I142,'Electrical System Specification'!X$16*'Electrical System Specification'!Q$16*'Electrical System Specification'!AC$4*'Electrical System Specification'!J$16)</f>
        <v>0</v>
      </c>
      <c r="M142" s="174">
        <f t="shared" si="35"/>
        <v>0.70838712000000004</v>
      </c>
      <c r="N142" s="174">
        <f t="shared" si="36"/>
        <v>6396.7735318849036</v>
      </c>
      <c r="O142" s="173">
        <f t="shared" si="37"/>
        <v>2158.3912016656286</v>
      </c>
      <c r="P142" s="174">
        <f t="shared" si="38"/>
        <v>3046.90915564025</v>
      </c>
      <c r="Q142" s="174">
        <f t="shared" si="31"/>
        <v>8270.8960076684452</v>
      </c>
      <c r="R142" s="174">
        <f t="shared" si="30"/>
        <v>0</v>
      </c>
      <c r="S142" s="165" t="b">
        <f t="shared" si="39"/>
        <v>0</v>
      </c>
      <c r="T142">
        <f t="shared" si="40"/>
        <v>11317.805163308694</v>
      </c>
      <c r="U142" s="176">
        <f t="shared" si="41"/>
        <v>11317.805163308694</v>
      </c>
      <c r="V142" s="165">
        <f>IF(U142&lt;V$5,V$5-U142,IF(U142&gt;=V$5,0))*('Electrical System Specification'!D$16*'Electrical System Specification'!Q$16)</f>
        <v>0</v>
      </c>
      <c r="W142" s="28">
        <f t="shared" si="42"/>
        <v>0</v>
      </c>
      <c r="X142" s="165">
        <f>IF(U142&gt;V$5,U142-V$5,0)*'Electrical System Specification'!D$17</f>
        <v>2273.8270825288864</v>
      </c>
      <c r="Y142">
        <f>(X142*C142)*'Electrical System Specification'!D$17</f>
        <v>424.51974323658368</v>
      </c>
      <c r="Z142" s="165">
        <f t="shared" si="43"/>
        <v>-424.51974323658368</v>
      </c>
      <c r="AA142" s="165">
        <f t="shared" si="44"/>
        <v>77794.531975969861</v>
      </c>
      <c r="AB142" s="165"/>
    </row>
    <row r="143" spans="3:28" x14ac:dyDescent="0.2">
      <c r="C143" s="148">
        <v>0.20628735814501351</v>
      </c>
      <c r="D143">
        <f t="shared" si="32"/>
        <v>32.935636676790132</v>
      </c>
      <c r="E143" s="164">
        <v>9131.7825726954215</v>
      </c>
      <c r="F143" s="165">
        <f>E143/'Electrical System Specification'!AC$4</f>
        <v>9318.1454823422664</v>
      </c>
      <c r="G143" s="146">
        <f>F143/('Electrical System Specification'!X$16*'Electrical System Specification'!J$16*'Electrical System Specification'!D$17)</f>
        <v>11601.854527544034</v>
      </c>
      <c r="H143" s="165"/>
      <c r="I143" s="173">
        <f t="shared" si="33"/>
        <v>6871.6622130335309</v>
      </c>
      <c r="J143" s="173">
        <f t="shared" si="34"/>
        <v>7621.6306710664712</v>
      </c>
      <c r="K143" s="174">
        <f>IF(E143&gt;I143,'Electrical System Specification'!AC$4*'Electrical System Specification'!J$16*'Electrical System Specification'!D$16*'Electrical System Specification'!D$17*'Electrical System Specification'!X$16)</f>
        <v>0.70838712000000004</v>
      </c>
      <c r="L143" s="174" t="b">
        <f>IF(E143&lt;I143,'Electrical System Specification'!X$16*'Electrical System Specification'!Q$16*'Electrical System Specification'!AC$4*'Electrical System Specification'!J$16)</f>
        <v>0</v>
      </c>
      <c r="M143" s="174">
        <f t="shared" si="35"/>
        <v>0.70838712000000004</v>
      </c>
      <c r="N143" s="174">
        <f t="shared" si="36"/>
        <v>6468.8371571379002</v>
      </c>
      <c r="O143" s="173">
        <f t="shared" si="37"/>
        <v>2260.1203596618907</v>
      </c>
      <c r="P143" s="174">
        <f t="shared" si="38"/>
        <v>3190.5158858081591</v>
      </c>
      <c r="Q143" s="174">
        <f t="shared" si="31"/>
        <v>8270.8960076684452</v>
      </c>
      <c r="R143" s="174">
        <f t="shared" si="30"/>
        <v>0</v>
      </c>
      <c r="S143" s="165" t="b">
        <f t="shared" si="39"/>
        <v>0</v>
      </c>
      <c r="T143">
        <f t="shared" si="40"/>
        <v>11461.411893476605</v>
      </c>
      <c r="U143" s="176">
        <f t="shared" si="41"/>
        <v>11461.411893476605</v>
      </c>
      <c r="V143" s="165">
        <f>IF(U143&lt;V$5,V$5-U143,IF(U143&gt;=V$5,0))*('Electrical System Specification'!D$16*'Electrical System Specification'!Q$16)</f>
        <v>0</v>
      </c>
      <c r="W143" s="28">
        <f t="shared" si="42"/>
        <v>0</v>
      </c>
      <c r="X143" s="165">
        <f>IF(U143&gt;V$5,U143-V$5,0)*'Electrical System Specification'!D$17</f>
        <v>2403.0731396800056</v>
      </c>
      <c r="Y143">
        <f>(X143*C143)*'Electrical System Specification'!D$17</f>
        <v>446.15124847244829</v>
      </c>
      <c r="Z143" s="165">
        <f t="shared" si="43"/>
        <v>-446.15124847244829</v>
      </c>
      <c r="AA143" s="165">
        <f t="shared" si="44"/>
        <v>77348.38072749741</v>
      </c>
      <c r="AB143" s="165"/>
    </row>
    <row r="144" spans="3:28" x14ac:dyDescent="0.2">
      <c r="C144" s="148">
        <v>0.20518116228667269</v>
      </c>
      <c r="D144">
        <f t="shared" si="32"/>
        <v>33.140817839076803</v>
      </c>
      <c r="E144" s="164">
        <v>9233.516473708587</v>
      </c>
      <c r="F144" s="165">
        <f>E144/'Electrical System Specification'!AC$4</f>
        <v>9421.9555854169248</v>
      </c>
      <c r="G144" s="146">
        <f>F144/('Electrical System Specification'!X$16*'Electrical System Specification'!J$16*'Electrical System Specification'!D$17)</f>
        <v>11731.106610659053</v>
      </c>
      <c r="H144" s="165"/>
      <c r="I144" s="173">
        <f t="shared" si="33"/>
        <v>6871.6622130335309</v>
      </c>
      <c r="J144" s="173">
        <f t="shared" si="34"/>
        <v>7621.6306710664712</v>
      </c>
      <c r="K144" s="174">
        <f>IF(E144&gt;I144,'Electrical System Specification'!AC$4*'Electrical System Specification'!J$16*'Electrical System Specification'!D$16*'Electrical System Specification'!D$17*'Electrical System Specification'!X$16)</f>
        <v>0.70838712000000004</v>
      </c>
      <c r="L144" s="174" t="b">
        <f>IF(E144&lt;I144,'Electrical System Specification'!X$16*'Electrical System Specification'!Q$16*'Electrical System Specification'!AC$4*'Electrical System Specification'!J$16)</f>
        <v>0</v>
      </c>
      <c r="M144" s="174">
        <f t="shared" si="35"/>
        <v>0.70838712000000004</v>
      </c>
      <c r="N144" s="174">
        <f t="shared" si="36"/>
        <v>6540.9041422829823</v>
      </c>
      <c r="O144" s="173">
        <f t="shared" si="37"/>
        <v>2361.8542606750561</v>
      </c>
      <c r="P144" s="174">
        <f t="shared" si="38"/>
        <v>3334.1293114915134</v>
      </c>
      <c r="Q144" s="174">
        <f t="shared" si="31"/>
        <v>8270.8960076684452</v>
      </c>
      <c r="R144" s="174">
        <f t="shared" si="30"/>
        <v>0</v>
      </c>
      <c r="S144" s="165" t="b">
        <f t="shared" si="39"/>
        <v>0</v>
      </c>
      <c r="T144">
        <f t="shared" si="40"/>
        <v>11605.025319159959</v>
      </c>
      <c r="U144" s="176">
        <f t="shared" si="41"/>
        <v>11605.025319159959</v>
      </c>
      <c r="V144" s="165">
        <f>IF(U144&lt;V$5,V$5-U144,IF(U144&gt;=V$5,0))*('Electrical System Specification'!D$16*'Electrical System Specification'!Q$16)</f>
        <v>0</v>
      </c>
      <c r="W144" s="28">
        <f t="shared" si="42"/>
        <v>0</v>
      </c>
      <c r="X144" s="165">
        <f>IF(U144&gt;V$5,U144-V$5,0)*'Electrical System Specification'!D$17</f>
        <v>2532.3252227950243</v>
      </c>
      <c r="Y144">
        <f>(X144*C144)*'Electrical System Specification'!D$17</f>
        <v>467.62688925084643</v>
      </c>
      <c r="Z144" s="165">
        <f t="shared" si="43"/>
        <v>-467.62688925084643</v>
      </c>
      <c r="AA144" s="165">
        <f t="shared" si="44"/>
        <v>76880.753838246557</v>
      </c>
      <c r="AB144" s="165"/>
    </row>
    <row r="145" spans="3:28" x14ac:dyDescent="0.2">
      <c r="C145" s="148">
        <v>0.2040746599071139</v>
      </c>
      <c r="D145">
        <f t="shared" si="32"/>
        <v>33.344892498983917</v>
      </c>
      <c r="E145" s="164">
        <v>2372.9175445362966</v>
      </c>
      <c r="F145" s="165">
        <f>E145/'Electrical System Specification'!AC$4</f>
        <v>2421.3444332003028</v>
      </c>
      <c r="G145" s="146">
        <f>F145/('Electrical System Specification'!X$16*'Electrical System Specification'!J$16*'Electrical System Specification'!D$17)</f>
        <v>3014.7721913445675</v>
      </c>
      <c r="H145" s="165"/>
      <c r="I145" s="173">
        <f t="shared" si="33"/>
        <v>6871.6622130335309</v>
      </c>
      <c r="J145" s="173">
        <f t="shared" si="34"/>
        <v>7621.6306710664712</v>
      </c>
      <c r="K145" s="174" t="b">
        <f>IF(E145&gt;I145,'Electrical System Specification'!AC$4*'Electrical System Specification'!J$16*'Electrical System Specification'!D$16*'Electrical System Specification'!D$17*'Electrical System Specification'!X$16)</f>
        <v>0</v>
      </c>
      <c r="L145" s="174">
        <f>IF(E145&lt;I145,'Electrical System Specification'!X$16*'Electrical System Specification'!Q$16*'Electrical System Specification'!AC$4*'Electrical System Specification'!J$16)</f>
        <v>0.83082440000000002</v>
      </c>
      <c r="M145" s="174">
        <f t="shared" si="35"/>
        <v>0.83082440000000002</v>
      </c>
      <c r="N145" s="174">
        <f t="shared" si="36"/>
        <v>1971.477795188842</v>
      </c>
      <c r="O145" s="173">
        <f t="shared" si="37"/>
        <v>-4498.7446684972347</v>
      </c>
      <c r="P145" s="174" t="b">
        <f t="shared" si="38"/>
        <v>0</v>
      </c>
      <c r="Q145" s="174">
        <f t="shared" si="31"/>
        <v>2372.9175445362962</v>
      </c>
      <c r="R145" s="174">
        <f t="shared" si="30"/>
        <v>2856.0999707474843</v>
      </c>
      <c r="S145" s="165">
        <f t="shared" si="39"/>
        <v>2856.0999707474843</v>
      </c>
      <c r="T145" t="b">
        <f t="shared" si="40"/>
        <v>0</v>
      </c>
      <c r="U145" s="176">
        <f t="shared" si="41"/>
        <v>2856.0999707474843</v>
      </c>
      <c r="V145" s="165">
        <f>IF(U145&lt;V$5,V$5-U145,IF(U145&gt;=V$5,0))*('Electrical System Specification'!D$16*'Electrical System Specification'!Q$16)</f>
        <v>5074.6222112373925</v>
      </c>
      <c r="W145" s="28">
        <f t="shared" si="42"/>
        <v>1035.6018019153573</v>
      </c>
      <c r="X145" s="165">
        <f>IF(U145&gt;V$5,U145-V$5,0)*'Electrical System Specification'!D$17</f>
        <v>0</v>
      </c>
      <c r="Y145">
        <f>(X145*C145)*'Electrical System Specification'!D$17</f>
        <v>0</v>
      </c>
      <c r="Z145" s="165">
        <f t="shared" si="43"/>
        <v>1035.6018019153573</v>
      </c>
      <c r="AA145" s="165">
        <f t="shared" si="44"/>
        <v>77916.355640161913</v>
      </c>
      <c r="AB145" s="165"/>
    </row>
    <row r="146" spans="3:28" x14ac:dyDescent="0.2">
      <c r="C146" s="148">
        <v>0.21991054934497997</v>
      </c>
      <c r="D146">
        <f t="shared" si="32"/>
        <v>33.564803048328898</v>
      </c>
      <c r="E146" s="164">
        <v>2209.8220164112181</v>
      </c>
      <c r="F146" s="165">
        <f>E146/'Electrical System Specification'!AC$4</f>
        <v>2254.9204249094064</v>
      </c>
      <c r="G146" s="146">
        <f>F146/('Electrical System Specification'!X$16*'Electrical System Specification'!J$16*'Electrical System Specification'!D$17)</f>
        <v>2807.5606665040668</v>
      </c>
      <c r="H146" s="165"/>
      <c r="I146" s="173">
        <f t="shared" si="33"/>
        <v>6871.6622130335309</v>
      </c>
      <c r="J146" s="173">
        <f t="shared" si="34"/>
        <v>7621.6306710664712</v>
      </c>
      <c r="K146" s="174" t="b">
        <f>IF(E146&gt;I146,'Electrical System Specification'!AC$4*'Electrical System Specification'!J$16*'Electrical System Specification'!D$16*'Electrical System Specification'!D$17*'Electrical System Specification'!X$16)</f>
        <v>0</v>
      </c>
      <c r="L146" s="174">
        <f>IF(E146&lt;I146,'Electrical System Specification'!X$16*'Electrical System Specification'!Q$16*'Electrical System Specification'!AC$4*'Electrical System Specification'!J$16)</f>
        <v>0.83082440000000002</v>
      </c>
      <c r="M146" s="174">
        <f t="shared" si="35"/>
        <v>0.83082440000000002</v>
      </c>
      <c r="N146" s="174">
        <f t="shared" si="36"/>
        <v>1835.9740508916404</v>
      </c>
      <c r="O146" s="173">
        <f t="shared" si="37"/>
        <v>-4661.8401966223128</v>
      </c>
      <c r="P146" s="174" t="b">
        <f t="shared" si="38"/>
        <v>0</v>
      </c>
      <c r="Q146" s="174">
        <f t="shared" si="31"/>
        <v>2209.8220164112181</v>
      </c>
      <c r="R146" s="174">
        <f t="shared" si="30"/>
        <v>2659.7943156354318</v>
      </c>
      <c r="S146" s="165">
        <f t="shared" si="39"/>
        <v>2659.7943156354318</v>
      </c>
      <c r="T146" t="b">
        <f t="shared" si="40"/>
        <v>0</v>
      </c>
      <c r="U146" s="176">
        <f t="shared" si="41"/>
        <v>2659.7943156354318</v>
      </c>
      <c r="V146" s="165">
        <f>IF(U146&lt;V$5,V$5-U146,IF(U146&gt;=V$5,0))*('Electrical System Specification'!D$16*'Electrical System Specification'!Q$16)</f>
        <v>5242.4635463581972</v>
      </c>
      <c r="W146" s="28">
        <f t="shared" si="42"/>
        <v>1152.8730384006631</v>
      </c>
      <c r="X146" s="165">
        <f>IF(U146&gt;V$5,U146-V$5,0)*'Electrical System Specification'!D$17</f>
        <v>0</v>
      </c>
      <c r="Y146">
        <f>(X146*C146)*'Electrical System Specification'!D$17</f>
        <v>0</v>
      </c>
      <c r="Z146" s="165">
        <f t="shared" si="43"/>
        <v>1152.8730384006631</v>
      </c>
      <c r="AA146" s="165">
        <f t="shared" si="44"/>
        <v>79069.228678562577</v>
      </c>
      <c r="AB146" s="165"/>
    </row>
    <row r="147" spans="3:28" x14ac:dyDescent="0.2">
      <c r="C147" s="148">
        <v>0.23998332921691845</v>
      </c>
      <c r="D147">
        <f t="shared" si="32"/>
        <v>33.804786377545817</v>
      </c>
      <c r="E147" s="164">
        <v>2032.9644853835862</v>
      </c>
      <c r="F147" s="165">
        <f>E147/'Electrical System Specification'!AC$4</f>
        <v>2074.4535565138635</v>
      </c>
      <c r="G147" s="146">
        <f>F147/('Electrical System Specification'!X$16*'Electrical System Specification'!J$16*'Electrical System Specification'!D$17)</f>
        <v>2582.8646303524374</v>
      </c>
      <c r="H147" s="165"/>
      <c r="I147" s="173">
        <f t="shared" si="33"/>
        <v>6871.6622130335309</v>
      </c>
      <c r="J147" s="173">
        <f t="shared" si="34"/>
        <v>7621.6306710664712</v>
      </c>
      <c r="K147" s="174" t="b">
        <f>IF(E147&gt;I147,'Electrical System Specification'!AC$4*'Electrical System Specification'!J$16*'Electrical System Specification'!D$16*'Electrical System Specification'!D$17*'Electrical System Specification'!X$16)</f>
        <v>0</v>
      </c>
      <c r="L147" s="174">
        <f>IF(E147&lt;I147,'Electrical System Specification'!X$16*'Electrical System Specification'!Q$16*'Electrical System Specification'!AC$4*'Electrical System Specification'!J$16)</f>
        <v>0.83082440000000002</v>
      </c>
      <c r="M147" s="174">
        <f t="shared" si="35"/>
        <v>0.83082440000000002</v>
      </c>
      <c r="N147" s="174">
        <f t="shared" si="36"/>
        <v>1689.0364987901269</v>
      </c>
      <c r="O147" s="173">
        <f t="shared" si="37"/>
        <v>-4838.6977276499447</v>
      </c>
      <c r="P147" s="174" t="b">
        <f t="shared" si="38"/>
        <v>0</v>
      </c>
      <c r="Q147" s="174">
        <f t="shared" si="31"/>
        <v>2032.9644853835862</v>
      </c>
      <c r="R147" s="174">
        <f t="shared" si="30"/>
        <v>2446.9243866496772</v>
      </c>
      <c r="S147" s="165">
        <f t="shared" si="39"/>
        <v>2446.9243866496772</v>
      </c>
      <c r="T147" t="b">
        <f t="shared" si="40"/>
        <v>0</v>
      </c>
      <c r="U147" s="176">
        <f t="shared" si="41"/>
        <v>2446.9243866496772</v>
      </c>
      <c r="V147" s="165">
        <f>IF(U147&lt;V$5,V$5-U147,IF(U147&gt;=V$5,0))*('Electrical System Specification'!D$16*'Electrical System Specification'!Q$16)</f>
        <v>5424.4673356410176</v>
      </c>
      <c r="W147" s="28">
        <f t="shared" si="42"/>
        <v>1301.7817304355588</v>
      </c>
      <c r="X147" s="165">
        <f>IF(U147&gt;V$5,U147-V$5,0)*'Electrical System Specification'!D$17</f>
        <v>0</v>
      </c>
      <c r="Y147">
        <f>(X147*C147)*'Electrical System Specification'!D$17</f>
        <v>0</v>
      </c>
      <c r="Z147" s="165">
        <f t="shared" si="43"/>
        <v>1301.7817304355588</v>
      </c>
      <c r="AA147" s="165">
        <f t="shared" si="44"/>
        <v>80371.010408998132</v>
      </c>
      <c r="AB147" s="165"/>
    </row>
    <row r="148" spans="3:28" x14ac:dyDescent="0.2">
      <c r="C148" s="148">
        <v>0.26659531937554304</v>
      </c>
      <c r="D148">
        <f t="shared" si="32"/>
        <v>34.071381696921357</v>
      </c>
      <c r="E148" s="164">
        <v>2739.2531243181511</v>
      </c>
      <c r="F148" s="165">
        <f>E148/'Electrical System Specification'!AC$4</f>
        <v>2795.1562493042356</v>
      </c>
      <c r="G148" s="146">
        <f>F148/('Electrical System Specification'!X$16*'Electrical System Specification'!J$16*'Electrical System Specification'!D$17)</f>
        <v>3480.1985274468793</v>
      </c>
      <c r="H148" s="165"/>
      <c r="I148" s="173">
        <f t="shared" si="33"/>
        <v>6871.6622130335309</v>
      </c>
      <c r="J148" s="173">
        <f t="shared" si="34"/>
        <v>7621.6306710664712</v>
      </c>
      <c r="K148" s="174" t="b">
        <f>IF(E148&gt;I148,'Electrical System Specification'!AC$4*'Electrical System Specification'!J$16*'Electrical System Specification'!D$16*'Electrical System Specification'!D$17*'Electrical System Specification'!X$16)</f>
        <v>0</v>
      </c>
      <c r="L148" s="174">
        <f>IF(E148&lt;I148,'Electrical System Specification'!X$16*'Electrical System Specification'!Q$16*'Electrical System Specification'!AC$4*'Electrical System Specification'!J$16)</f>
        <v>0.83082440000000002</v>
      </c>
      <c r="M148" s="174">
        <f t="shared" si="35"/>
        <v>0.83082440000000002</v>
      </c>
      <c r="N148" s="174">
        <f t="shared" si="36"/>
        <v>2275.8383334597534</v>
      </c>
      <c r="O148" s="173">
        <f t="shared" si="37"/>
        <v>-4132.4090887153798</v>
      </c>
      <c r="P148" s="174" t="b">
        <f t="shared" si="38"/>
        <v>0</v>
      </c>
      <c r="Q148" s="174">
        <f t="shared" si="31"/>
        <v>2739.2531243181511</v>
      </c>
      <c r="R148" s="174">
        <f t="shared" si="30"/>
        <v>3297.0301838970436</v>
      </c>
      <c r="S148" s="165">
        <f t="shared" si="39"/>
        <v>3297.0301838970436</v>
      </c>
      <c r="T148" t="b">
        <f t="shared" si="40"/>
        <v>0</v>
      </c>
      <c r="U148" s="176">
        <f t="shared" si="41"/>
        <v>3297.0301838970436</v>
      </c>
      <c r="V148" s="165">
        <f>IF(U148&lt;V$5,V$5-U148,IF(U148&gt;=V$5,0))*('Electrical System Specification'!D$16*'Electrical System Specification'!Q$16)</f>
        <v>4697.6268789945198</v>
      </c>
      <c r="W148" s="28">
        <f t="shared" si="42"/>
        <v>1252.3653381126794</v>
      </c>
      <c r="X148" s="165">
        <f>IF(U148&gt;V$5,U148-V$5,0)*'Electrical System Specification'!D$17</f>
        <v>0</v>
      </c>
      <c r="Y148">
        <f>(X148*C148)*'Electrical System Specification'!D$17</f>
        <v>0</v>
      </c>
      <c r="Z148" s="165">
        <f t="shared" si="43"/>
        <v>1252.3653381126794</v>
      </c>
      <c r="AA148" s="165">
        <f t="shared" si="44"/>
        <v>81623.375747110811</v>
      </c>
      <c r="AB148" s="165"/>
    </row>
    <row r="149" spans="3:28" x14ac:dyDescent="0.2">
      <c r="C149" s="148">
        <v>0.30398306547070336</v>
      </c>
      <c r="D149">
        <f t="shared" si="32"/>
        <v>34.37536476239206</v>
      </c>
      <c r="E149" s="164">
        <v>2412.9692722319169</v>
      </c>
      <c r="F149" s="165">
        <f>E149/'Electrical System Specification'!AC$4</f>
        <v>2462.2135430937929</v>
      </c>
      <c r="G149" s="146">
        <f>F149/('Electrical System Specification'!X$16*'Electrical System Specification'!J$16*'Electrical System Specification'!D$17)</f>
        <v>3065.6575814206294</v>
      </c>
      <c r="H149" s="165"/>
      <c r="I149" s="173">
        <f t="shared" si="33"/>
        <v>6871.6622130335309</v>
      </c>
      <c r="J149" s="173">
        <f t="shared" si="34"/>
        <v>7621.6306710664712</v>
      </c>
      <c r="K149" s="174" t="b">
        <f>IF(E149&gt;I149,'Electrical System Specification'!AC$4*'Electrical System Specification'!J$16*'Electrical System Specification'!D$16*'Electrical System Specification'!D$17*'Electrical System Specification'!X$16)</f>
        <v>0</v>
      </c>
      <c r="L149" s="174">
        <f>IF(E149&lt;I149,'Electrical System Specification'!X$16*'Electrical System Specification'!Q$16*'Electrical System Specification'!AC$4*'Electrical System Specification'!J$16)</f>
        <v>0.83082440000000002</v>
      </c>
      <c r="M149" s="174">
        <f t="shared" si="35"/>
        <v>0.83082440000000002</v>
      </c>
      <c r="N149" s="174">
        <f t="shared" si="36"/>
        <v>2004.753747820519</v>
      </c>
      <c r="O149" s="173">
        <f t="shared" si="37"/>
        <v>-4458.692940801614</v>
      </c>
      <c r="P149" s="174" t="b">
        <f t="shared" si="38"/>
        <v>0</v>
      </c>
      <c r="Q149" s="174">
        <f t="shared" si="31"/>
        <v>2412.9692722319169</v>
      </c>
      <c r="R149" s="174">
        <f t="shared" ref="R149:R212" si="45">IF(Q149&gt;I149,0,Q149/L149)</f>
        <v>2904.307182398491</v>
      </c>
      <c r="S149" s="165">
        <f t="shared" si="39"/>
        <v>2904.307182398491</v>
      </c>
      <c r="T149" t="b">
        <f t="shared" si="40"/>
        <v>0</v>
      </c>
      <c r="U149" s="176">
        <f t="shared" si="41"/>
        <v>2904.307182398491</v>
      </c>
      <c r="V149" s="165">
        <f>IF(U149&lt;V$5,V$5-U149,IF(U149&gt;=V$5,0))*('Electrical System Specification'!D$16*'Electrical System Specification'!Q$16)</f>
        <v>5033.405045275782</v>
      </c>
      <c r="W149" s="28">
        <f t="shared" si="42"/>
        <v>1530.0698954186366</v>
      </c>
      <c r="X149" s="165">
        <f>IF(U149&gt;V$5,U149-V$5,0)*'Electrical System Specification'!D$17</f>
        <v>0</v>
      </c>
      <c r="Y149">
        <f>(X149*C149)*'Electrical System Specification'!D$17</f>
        <v>0</v>
      </c>
      <c r="Z149" s="165">
        <f t="shared" si="43"/>
        <v>1530.0698954186366</v>
      </c>
      <c r="AA149" s="165">
        <f t="shared" si="44"/>
        <v>83153.445642529448</v>
      </c>
      <c r="AB149" s="165"/>
    </row>
    <row r="150" spans="3:28" x14ac:dyDescent="0.2">
      <c r="C150" s="148">
        <v>0.36204444091070664</v>
      </c>
      <c r="D150">
        <f t="shared" si="32"/>
        <v>34.737409203302768</v>
      </c>
      <c r="E150" s="164">
        <v>2033.4975001964565</v>
      </c>
      <c r="F150" s="165">
        <f>E150/'Electrical System Specification'!AC$4</f>
        <v>2074.9974491800576</v>
      </c>
      <c r="G150" s="146">
        <f>F150/('Electrical System Specification'!X$16*'Electrical System Specification'!J$16*'Electrical System Specification'!D$17)</f>
        <v>2583.5418212810123</v>
      </c>
      <c r="H150" s="165"/>
      <c r="I150" s="173">
        <f t="shared" si="33"/>
        <v>6871.6622130335309</v>
      </c>
      <c r="J150" s="173">
        <f t="shared" si="34"/>
        <v>7621.6306710664712</v>
      </c>
      <c r="K150" s="174" t="b">
        <f>IF(E150&gt;I150,'Electrical System Specification'!AC$4*'Electrical System Specification'!J$16*'Electrical System Specification'!D$16*'Electrical System Specification'!D$17*'Electrical System Specification'!X$16)</f>
        <v>0</v>
      </c>
      <c r="L150" s="174">
        <f>IF(E150&lt;I150,'Electrical System Specification'!X$16*'Electrical System Specification'!Q$16*'Electrical System Specification'!AC$4*'Electrical System Specification'!J$16)</f>
        <v>0.83082440000000002</v>
      </c>
      <c r="M150" s="174">
        <f t="shared" si="35"/>
        <v>0.83082440000000002</v>
      </c>
      <c r="N150" s="174">
        <f t="shared" si="36"/>
        <v>1689.4793405022208</v>
      </c>
      <c r="O150" s="173">
        <f t="shared" si="37"/>
        <v>-4838.1647128370741</v>
      </c>
      <c r="P150" s="174" t="b">
        <f t="shared" si="38"/>
        <v>0</v>
      </c>
      <c r="Q150" s="174">
        <f t="shared" si="31"/>
        <v>2033.4975001964567</v>
      </c>
      <c r="R150" s="174">
        <f t="shared" si="45"/>
        <v>2447.5659359504325</v>
      </c>
      <c r="S150" s="165">
        <f t="shared" si="39"/>
        <v>2447.5659359504325</v>
      </c>
      <c r="T150" t="b">
        <f t="shared" si="40"/>
        <v>0</v>
      </c>
      <c r="U150" s="176">
        <f t="shared" si="41"/>
        <v>2447.5659359504325</v>
      </c>
      <c r="V150" s="165">
        <f>IF(U150&lt;V$5,V$5-U150,IF(U150&gt;=V$5,0))*('Electrical System Specification'!D$16*'Electrical System Specification'!Q$16)</f>
        <v>5423.9188109888719</v>
      </c>
      <c r="W150" s="28">
        <f t="shared" si="42"/>
        <v>1963.6996534695309</v>
      </c>
      <c r="X150" s="165">
        <f>IF(U150&gt;V$5,U150-V$5,0)*'Electrical System Specification'!D$17</f>
        <v>0</v>
      </c>
      <c r="Y150">
        <f>(X150*C150)*'Electrical System Specification'!D$17</f>
        <v>0</v>
      </c>
      <c r="Z150" s="165">
        <f t="shared" si="43"/>
        <v>1963.6996534695309</v>
      </c>
      <c r="AA150" s="165">
        <f t="shared" si="44"/>
        <v>85117.145295998984</v>
      </c>
      <c r="AB150" s="165"/>
    </row>
    <row r="151" spans="3:28" x14ac:dyDescent="0.2">
      <c r="C151" s="148">
        <v>0.34403834257386395</v>
      </c>
      <c r="D151">
        <f t="shared" si="32"/>
        <v>35.081447545876635</v>
      </c>
      <c r="E151" s="164">
        <v>2146.1404473401699</v>
      </c>
      <c r="F151" s="165">
        <f>E151/'Electrical System Specification'!AC$4</f>
        <v>2189.9392319797653</v>
      </c>
      <c r="G151" s="146">
        <f>F151/('Electrical System Specification'!X$16*'Electrical System Specification'!J$16*'Electrical System Specification'!D$17)</f>
        <v>2726.6537576320602</v>
      </c>
      <c r="H151" s="165"/>
      <c r="I151" s="173">
        <f t="shared" si="33"/>
        <v>6871.6622130335309</v>
      </c>
      <c r="J151" s="173">
        <f t="shared" si="34"/>
        <v>7621.6306710664712</v>
      </c>
      <c r="K151" s="174" t="b">
        <f>IF(E151&gt;I151,'Electrical System Specification'!AC$4*'Electrical System Specification'!J$16*'Electrical System Specification'!D$16*'Electrical System Specification'!D$17*'Electrical System Specification'!X$16)</f>
        <v>0</v>
      </c>
      <c r="L151" s="174">
        <f>IF(E151&lt;I151,'Electrical System Specification'!X$16*'Electrical System Specification'!Q$16*'Electrical System Specification'!AC$4*'Electrical System Specification'!J$16)</f>
        <v>0.83082440000000002</v>
      </c>
      <c r="M151" s="174">
        <f t="shared" si="35"/>
        <v>0.83082440000000002</v>
      </c>
      <c r="N151" s="174">
        <f t="shared" si="36"/>
        <v>1783.0658494771283</v>
      </c>
      <c r="O151" s="173">
        <f t="shared" si="37"/>
        <v>-4725.521765693361</v>
      </c>
      <c r="P151" s="174" t="b">
        <f t="shared" si="38"/>
        <v>0</v>
      </c>
      <c r="Q151" s="174">
        <f t="shared" si="31"/>
        <v>2146.1404473401699</v>
      </c>
      <c r="R151" s="174">
        <f t="shared" si="45"/>
        <v>2583.1456651251092</v>
      </c>
      <c r="S151" s="165">
        <f t="shared" si="39"/>
        <v>2583.1456651251092</v>
      </c>
      <c r="T151" t="b">
        <f t="shared" si="40"/>
        <v>0</v>
      </c>
      <c r="U151" s="176">
        <f t="shared" si="41"/>
        <v>2583.1456651251092</v>
      </c>
      <c r="V151" s="165">
        <f>IF(U151&lt;V$5,V$5-U151,IF(U151&gt;=V$5,0))*('Electrical System Specification'!D$16*'Electrical System Specification'!Q$16)</f>
        <v>5307.998142544523</v>
      </c>
      <c r="W151" s="28">
        <f t="shared" si="42"/>
        <v>1826.1548833461661</v>
      </c>
      <c r="X151" s="165">
        <f>IF(U151&gt;V$5,U151-V$5,0)*'Electrical System Specification'!D$17</f>
        <v>0</v>
      </c>
      <c r="Y151">
        <f>(X151*C151)*'Electrical System Specification'!D$17</f>
        <v>0</v>
      </c>
      <c r="Z151" s="165">
        <f t="shared" si="43"/>
        <v>1826.1548833461661</v>
      </c>
      <c r="AA151" s="165">
        <f t="shared" si="44"/>
        <v>86943.300179345155</v>
      </c>
      <c r="AB151" s="165"/>
    </row>
    <row r="152" spans="3:28" x14ac:dyDescent="0.2">
      <c r="C152" s="148">
        <v>0.32845030077115395</v>
      </c>
      <c r="D152">
        <f t="shared" si="32"/>
        <v>35.409897846647787</v>
      </c>
      <c r="E152" s="164">
        <v>2253.4107059150665</v>
      </c>
      <c r="F152" s="165">
        <f>E152/'Electrical System Specification'!AC$4</f>
        <v>2299.3986795051701</v>
      </c>
      <c r="G152" s="146">
        <f>F152/('Electrical System Specification'!X$16*'Electrical System Specification'!J$16*'Electrical System Specification'!D$17)</f>
        <v>2862.9397374186588</v>
      </c>
      <c r="H152" s="165"/>
      <c r="I152" s="173">
        <f t="shared" si="33"/>
        <v>6871.6622130335309</v>
      </c>
      <c r="J152" s="173">
        <f t="shared" si="34"/>
        <v>7621.6306710664712</v>
      </c>
      <c r="K152" s="174" t="b">
        <f>IF(E152&gt;I152,'Electrical System Specification'!AC$4*'Electrical System Specification'!J$16*'Electrical System Specification'!D$16*'Electrical System Specification'!D$17*'Electrical System Specification'!X$16)</f>
        <v>0</v>
      </c>
      <c r="L152" s="174">
        <f>IF(E152&lt;I152,'Electrical System Specification'!X$16*'Electrical System Specification'!Q$16*'Electrical System Specification'!AC$4*'Electrical System Specification'!J$16)</f>
        <v>0.83082440000000002</v>
      </c>
      <c r="M152" s="174">
        <f t="shared" si="35"/>
        <v>0.83082440000000002</v>
      </c>
      <c r="N152" s="174">
        <f t="shared" si="36"/>
        <v>1872.1885976954616</v>
      </c>
      <c r="O152" s="173">
        <f t="shared" si="37"/>
        <v>-4618.2515071184644</v>
      </c>
      <c r="P152" s="174" t="b">
        <f t="shared" si="38"/>
        <v>0</v>
      </c>
      <c r="Q152" s="174">
        <f t="shared" si="31"/>
        <v>2253.4107059150665</v>
      </c>
      <c r="R152" s="174">
        <f t="shared" si="45"/>
        <v>2712.2586986071501</v>
      </c>
      <c r="S152" s="165">
        <f t="shared" si="39"/>
        <v>2712.2586986071501</v>
      </c>
      <c r="T152" t="b">
        <f t="shared" si="40"/>
        <v>0</v>
      </c>
      <c r="U152" s="176">
        <f t="shared" si="41"/>
        <v>2712.2586986071501</v>
      </c>
      <c r="V152" s="165">
        <f>IF(U152&lt;V$5,V$5-U152,IF(U152&gt;=V$5,0))*('Electrical System Specification'!D$16*'Electrical System Specification'!Q$16)</f>
        <v>5197.6064989173783</v>
      </c>
      <c r="W152" s="28">
        <f t="shared" si="42"/>
        <v>1707.1554178595175</v>
      </c>
      <c r="X152" s="165">
        <f>IF(U152&gt;V$5,U152-V$5,0)*'Electrical System Specification'!D$17</f>
        <v>0</v>
      </c>
      <c r="Y152">
        <f>(X152*C152)*'Electrical System Specification'!D$17</f>
        <v>0</v>
      </c>
      <c r="Z152" s="165">
        <f t="shared" si="43"/>
        <v>1707.1554178595175</v>
      </c>
      <c r="AA152" s="165">
        <f t="shared" si="44"/>
        <v>88650.455597204666</v>
      </c>
      <c r="AB152" s="165"/>
    </row>
    <row r="153" spans="3:28" x14ac:dyDescent="0.2">
      <c r="C153" s="148">
        <v>0.31477331618434617</v>
      </c>
      <c r="D153">
        <f t="shared" si="32"/>
        <v>35.724671162832131</v>
      </c>
      <c r="E153" s="164">
        <v>2356.0008278072455</v>
      </c>
      <c r="F153" s="165">
        <f>E153/'Electrical System Specification'!AC$4</f>
        <v>2404.0824773543322</v>
      </c>
      <c r="G153" s="146">
        <f>F153/('Electrical System Specification'!X$16*'Electrical System Specification'!J$16*'Electrical System Specification'!D$17)</f>
        <v>2993.2796421065941</v>
      </c>
      <c r="H153" s="165"/>
      <c r="I153" s="173">
        <f t="shared" si="33"/>
        <v>6871.6622130335309</v>
      </c>
      <c r="J153" s="173">
        <f t="shared" si="34"/>
        <v>7621.6306710664712</v>
      </c>
      <c r="K153" s="174" t="b">
        <f>IF(E153&gt;I153,'Electrical System Specification'!AC$4*'Electrical System Specification'!J$16*'Electrical System Specification'!D$16*'Electrical System Specification'!D$17*'Electrical System Specification'!X$16)</f>
        <v>0</v>
      </c>
      <c r="L153" s="174">
        <f>IF(E153&lt;I153,'Electrical System Specification'!X$16*'Electrical System Specification'!Q$16*'Electrical System Specification'!AC$4*'Electrical System Specification'!J$16)</f>
        <v>0.83082440000000002</v>
      </c>
      <c r="M153" s="174">
        <f t="shared" si="35"/>
        <v>0.83082440000000002</v>
      </c>
      <c r="N153" s="174">
        <f t="shared" si="36"/>
        <v>1957.4229741624581</v>
      </c>
      <c r="O153" s="173">
        <f t="shared" si="37"/>
        <v>-4515.6613852262853</v>
      </c>
      <c r="P153" s="174" t="b">
        <f t="shared" si="38"/>
        <v>0</v>
      </c>
      <c r="Q153" s="174">
        <f t="shared" si="31"/>
        <v>2356.0008278072455</v>
      </c>
      <c r="R153" s="174">
        <f t="shared" si="45"/>
        <v>2835.7386083115102</v>
      </c>
      <c r="S153" s="165">
        <f t="shared" si="39"/>
        <v>2835.7386083115102</v>
      </c>
      <c r="T153" t="b">
        <f t="shared" si="40"/>
        <v>0</v>
      </c>
      <c r="U153" s="176">
        <f t="shared" si="41"/>
        <v>2835.7386083115102</v>
      </c>
      <c r="V153" s="165">
        <f>IF(U153&lt;V$5,V$5-U153,IF(U153&gt;=V$5,0))*('Electrical System Specification'!D$16*'Electrical System Specification'!Q$16)</f>
        <v>5092.0311761201501</v>
      </c>
      <c r="W153" s="28">
        <f t="shared" si="42"/>
        <v>1602.8355394214161</v>
      </c>
      <c r="X153" s="165">
        <f>IF(U153&gt;V$5,U153-V$5,0)*'Electrical System Specification'!D$17</f>
        <v>0</v>
      </c>
      <c r="Y153">
        <f>(X153*C153)*'Electrical System Specification'!D$17</f>
        <v>0</v>
      </c>
      <c r="Z153" s="165">
        <f t="shared" si="43"/>
        <v>1602.8355394214161</v>
      </c>
      <c r="AA153" s="165">
        <f t="shared" si="44"/>
        <v>90253.291136626081</v>
      </c>
      <c r="AB153" s="165"/>
    </row>
    <row r="154" spans="3:28" x14ac:dyDescent="0.2">
      <c r="C154" s="148">
        <v>0.30256156107277221</v>
      </c>
      <c r="D154">
        <f t="shared" si="32"/>
        <v>36.027232723904902</v>
      </c>
      <c r="E154" s="164">
        <v>2454.437924799031</v>
      </c>
      <c r="F154" s="165">
        <f>E154/'Electrical System Specification'!AC$4</f>
        <v>2504.5284946928887</v>
      </c>
      <c r="G154" s="146">
        <f>F154/('Electrical System Specification'!X$16*'Electrical System Specification'!J$16*'Electrical System Specification'!D$17)</f>
        <v>3118.3431628727635</v>
      </c>
      <c r="H154" s="165"/>
      <c r="I154" s="173">
        <f t="shared" si="33"/>
        <v>6871.6622130335309</v>
      </c>
      <c r="J154" s="173">
        <f t="shared" si="34"/>
        <v>7621.6306710664712</v>
      </c>
      <c r="K154" s="174" t="b">
        <f>IF(E154&gt;I154,'Electrical System Specification'!AC$4*'Electrical System Specification'!J$16*'Electrical System Specification'!D$16*'Electrical System Specification'!D$17*'Electrical System Specification'!X$16)</f>
        <v>0</v>
      </c>
      <c r="L154" s="174">
        <f>IF(E154&lt;I154,'Electrical System Specification'!X$16*'Electrical System Specification'!Q$16*'Electrical System Specification'!AC$4*'Electrical System Specification'!J$16)</f>
        <v>0.83082440000000002</v>
      </c>
      <c r="M154" s="174">
        <f t="shared" si="35"/>
        <v>0.83082440000000002</v>
      </c>
      <c r="N154" s="174">
        <f t="shared" si="36"/>
        <v>2039.2069162084001</v>
      </c>
      <c r="O154" s="173">
        <f t="shared" si="37"/>
        <v>-4417.2242882344999</v>
      </c>
      <c r="P154" s="174" t="b">
        <f t="shared" si="38"/>
        <v>0</v>
      </c>
      <c r="Q154" s="174">
        <f t="shared" si="31"/>
        <v>2454.437924799031</v>
      </c>
      <c r="R154" s="174">
        <f t="shared" si="45"/>
        <v>2954.2198385110391</v>
      </c>
      <c r="S154" s="165">
        <f t="shared" si="39"/>
        <v>2954.2198385110391</v>
      </c>
      <c r="T154" t="b">
        <f t="shared" si="40"/>
        <v>0</v>
      </c>
      <c r="U154" s="176">
        <f t="shared" si="41"/>
        <v>2954.2198385110391</v>
      </c>
      <c r="V154" s="165">
        <f>IF(U154&lt;V$5,V$5-U154,IF(U154&gt;=V$5,0))*('Electrical System Specification'!D$16*'Electrical System Specification'!Q$16)</f>
        <v>4990.7297242995537</v>
      </c>
      <c r="W154" s="28">
        <f t="shared" si="42"/>
        <v>1510.002976276359</v>
      </c>
      <c r="X154" s="165">
        <f>IF(U154&gt;V$5,U154-V$5,0)*'Electrical System Specification'!D$17</f>
        <v>0</v>
      </c>
      <c r="Y154">
        <f>(X154*C154)*'Electrical System Specification'!D$17</f>
        <v>0</v>
      </c>
      <c r="Z154" s="165">
        <f t="shared" si="43"/>
        <v>1510.002976276359</v>
      </c>
      <c r="AA154" s="165">
        <f t="shared" si="44"/>
        <v>91763.29411290244</v>
      </c>
      <c r="AB154" s="165"/>
    </row>
    <row r="155" spans="3:28" x14ac:dyDescent="0.2">
      <c r="C155" s="148">
        <v>0.29162283238812298</v>
      </c>
      <c r="D155">
        <f t="shared" si="32"/>
        <v>36.318855556293023</v>
      </c>
      <c r="E155" s="164">
        <v>2549.1739285727554</v>
      </c>
      <c r="F155" s="165">
        <f>E155/'Electrical System Specification'!AC$4</f>
        <v>2601.1978862987298</v>
      </c>
      <c r="G155" s="146">
        <f>F155/('Electrical System Specification'!X$16*'Electrical System Specification'!J$16*'Electrical System Specification'!D$17)</f>
        <v>3238.7044751963867</v>
      </c>
      <c r="H155" s="165"/>
      <c r="I155" s="173">
        <f t="shared" si="33"/>
        <v>6871.6622130335309</v>
      </c>
      <c r="J155" s="173">
        <f t="shared" si="34"/>
        <v>7621.6306710664712</v>
      </c>
      <c r="K155" s="174" t="b">
        <f>IF(E155&gt;I155,'Electrical System Specification'!AC$4*'Electrical System Specification'!J$16*'Electrical System Specification'!D$16*'Electrical System Specification'!D$17*'Electrical System Specification'!X$16)</f>
        <v>0</v>
      </c>
      <c r="L155" s="174">
        <f>IF(E155&lt;I155,'Electrical System Specification'!X$16*'Electrical System Specification'!Q$16*'Electrical System Specification'!AC$4*'Electrical System Specification'!J$16)</f>
        <v>0.83082440000000002</v>
      </c>
      <c r="M155" s="174">
        <f t="shared" si="35"/>
        <v>0.83082440000000002</v>
      </c>
      <c r="N155" s="174">
        <f t="shared" si="36"/>
        <v>2117.9158997021023</v>
      </c>
      <c r="O155" s="173">
        <f t="shared" si="37"/>
        <v>-4322.4882844607755</v>
      </c>
      <c r="P155" s="174" t="b">
        <f t="shared" si="38"/>
        <v>0</v>
      </c>
      <c r="Q155" s="174">
        <f t="shared" si="31"/>
        <v>2549.1739285727554</v>
      </c>
      <c r="R155" s="174">
        <f t="shared" si="45"/>
        <v>3068.2463449228926</v>
      </c>
      <c r="S155" s="165">
        <f t="shared" si="39"/>
        <v>3068.2463449228926</v>
      </c>
      <c r="T155" t="b">
        <f t="shared" si="40"/>
        <v>0</v>
      </c>
      <c r="U155" s="176">
        <f t="shared" si="41"/>
        <v>3068.2463449228926</v>
      </c>
      <c r="V155" s="165">
        <f>IF(U155&lt;V$5,V$5-U155,IF(U155&gt;=V$5,0))*('Electrical System Specification'!D$16*'Electrical System Specification'!Q$16)</f>
        <v>4893.237061317418</v>
      </c>
      <c r="W155" s="28">
        <f t="shared" si="42"/>
        <v>1426.9796513679207</v>
      </c>
      <c r="X155" s="165">
        <f>IF(U155&gt;V$5,U155-V$5,0)*'Electrical System Specification'!D$17</f>
        <v>0</v>
      </c>
      <c r="Y155">
        <f>(X155*C155)*'Electrical System Specification'!D$17</f>
        <v>0</v>
      </c>
      <c r="Z155" s="165">
        <f t="shared" si="43"/>
        <v>1426.9796513679207</v>
      </c>
      <c r="AA155" s="165">
        <f t="shared" si="44"/>
        <v>93190.273764270358</v>
      </c>
      <c r="AB155" s="165"/>
    </row>
    <row r="156" spans="3:28" x14ac:dyDescent="0.2">
      <c r="C156" s="148">
        <v>0.2818285433237912</v>
      </c>
      <c r="D156">
        <f t="shared" si="32"/>
        <v>36.600684099616814</v>
      </c>
      <c r="E156" s="164">
        <v>2640.6100184998704</v>
      </c>
      <c r="F156" s="165">
        <f>E156/'Electrical System Specification'!AC$4</f>
        <v>2694.5000188774188</v>
      </c>
      <c r="G156" s="146">
        <f>F156/('Electrical System Specification'!X$16*'Electrical System Specification'!J$16*'Electrical System Specification'!D$17)</f>
        <v>3354.8732741638264</v>
      </c>
      <c r="H156" s="165"/>
      <c r="I156" s="173">
        <f t="shared" si="33"/>
        <v>6871.6622130335309</v>
      </c>
      <c r="J156" s="173">
        <f t="shared" si="34"/>
        <v>7621.6306710664712</v>
      </c>
      <c r="K156" s="174" t="b">
        <f>IF(E156&gt;I156,'Electrical System Specification'!AC$4*'Electrical System Specification'!J$16*'Electrical System Specification'!D$16*'Electrical System Specification'!D$17*'Electrical System Specification'!X$16)</f>
        <v>0</v>
      </c>
      <c r="L156" s="174">
        <f>IF(E156&lt;I156,'Electrical System Specification'!X$16*'Electrical System Specification'!Q$16*'Electrical System Specification'!AC$4*'Electrical System Specification'!J$16)</f>
        <v>0.83082440000000002</v>
      </c>
      <c r="M156" s="174">
        <f t="shared" si="35"/>
        <v>0.83082440000000002</v>
      </c>
      <c r="N156" s="174">
        <f t="shared" si="36"/>
        <v>2193.8832342541436</v>
      </c>
      <c r="O156" s="173">
        <f t="shared" si="37"/>
        <v>-4231.0521945336604</v>
      </c>
      <c r="P156" s="174" t="b">
        <f t="shared" si="38"/>
        <v>0</v>
      </c>
      <c r="Q156" s="174">
        <f t="shared" si="31"/>
        <v>2640.6100184998704</v>
      </c>
      <c r="R156" s="174">
        <f t="shared" si="45"/>
        <v>3178.3009965762567</v>
      </c>
      <c r="S156" s="165">
        <f t="shared" si="39"/>
        <v>3178.3009965762567</v>
      </c>
      <c r="T156" t="b">
        <f t="shared" si="40"/>
        <v>0</v>
      </c>
      <c r="U156" s="176">
        <f t="shared" si="41"/>
        <v>3178.3009965762567</v>
      </c>
      <c r="V156" s="165">
        <f>IF(U156&lt;V$5,V$5-U156,IF(U156&gt;=V$5,0))*('Electrical System Specification'!D$16*'Electrical System Specification'!Q$16)</f>
        <v>4799.1403341537925</v>
      </c>
      <c r="W156" s="28">
        <f t="shared" si="42"/>
        <v>1352.5347295810159</v>
      </c>
      <c r="X156" s="165">
        <f>IF(U156&gt;V$5,U156-V$5,0)*'Electrical System Specification'!D$17</f>
        <v>0</v>
      </c>
      <c r="Y156">
        <f>(X156*C156)*'Electrical System Specification'!D$17</f>
        <v>0</v>
      </c>
      <c r="Z156" s="165">
        <f t="shared" si="43"/>
        <v>1352.5347295810159</v>
      </c>
      <c r="AA156" s="165">
        <f t="shared" si="44"/>
        <v>94542.808493851378</v>
      </c>
      <c r="AB156" s="165"/>
    </row>
    <row r="157" spans="3:28" x14ac:dyDescent="0.2">
      <c r="C157" s="148">
        <v>0.27297626492553823</v>
      </c>
      <c r="D157">
        <f t="shared" si="32"/>
        <v>36.873660364542353</v>
      </c>
      <c r="E157" s="164">
        <v>2729.074552453832</v>
      </c>
      <c r="F157" s="165">
        <f>E157/'Electrical System Specification'!AC$4</f>
        <v>2784.7699514835022</v>
      </c>
      <c r="G157" s="146">
        <f>F157/('Electrical System Specification'!X$16*'Electrical System Specification'!J$16*'Electrical System Specification'!D$17)</f>
        <v>3467.2667357481723</v>
      </c>
      <c r="H157" s="165"/>
      <c r="I157" s="173">
        <f t="shared" si="33"/>
        <v>6871.6622130335309</v>
      </c>
      <c r="J157" s="173">
        <f t="shared" si="34"/>
        <v>7621.6306710664712</v>
      </c>
      <c r="K157" s="174" t="b">
        <f>IF(E157&gt;I157,'Electrical System Specification'!AC$4*'Electrical System Specification'!J$16*'Electrical System Specification'!D$16*'Electrical System Specification'!D$17*'Electrical System Specification'!X$16)</f>
        <v>0</v>
      </c>
      <c r="L157" s="174">
        <f>IF(E157&lt;I157,'Electrical System Specification'!X$16*'Electrical System Specification'!Q$16*'Electrical System Specification'!AC$4*'Electrical System Specification'!J$16)</f>
        <v>0.83082440000000002</v>
      </c>
      <c r="M157" s="174">
        <f t="shared" si="35"/>
        <v>0.83082440000000002</v>
      </c>
      <c r="N157" s="174">
        <f t="shared" si="36"/>
        <v>2267.3817275977235</v>
      </c>
      <c r="O157" s="173">
        <f t="shared" si="37"/>
        <v>-4142.5876605796984</v>
      </c>
      <c r="P157" s="174" t="b">
        <f t="shared" si="38"/>
        <v>0</v>
      </c>
      <c r="Q157" s="174">
        <f t="shared" si="31"/>
        <v>2729.0745524538324</v>
      </c>
      <c r="R157" s="174">
        <f t="shared" si="45"/>
        <v>3284.7790128140582</v>
      </c>
      <c r="S157" s="165">
        <f t="shared" si="39"/>
        <v>3284.7790128140582</v>
      </c>
      <c r="T157" t="b">
        <f t="shared" si="40"/>
        <v>0</v>
      </c>
      <c r="U157" s="176">
        <f t="shared" si="41"/>
        <v>3284.7790128140582</v>
      </c>
      <c r="V157" s="165">
        <f>IF(U157&lt;V$5,V$5-U157,IF(U157&gt;=V$5,0))*('Electrical System Specification'!D$16*'Electrical System Specification'!Q$16)</f>
        <v>4708.1016302704711</v>
      </c>
      <c r="W157" s="28">
        <f t="shared" si="42"/>
        <v>1285.1999979210705</v>
      </c>
      <c r="X157" s="165">
        <f>IF(U157&gt;V$5,U157-V$5,0)*'Electrical System Specification'!D$17</f>
        <v>0</v>
      </c>
      <c r="Y157">
        <f>(X157*C157)*'Electrical System Specification'!D$17</f>
        <v>0</v>
      </c>
      <c r="Z157" s="165">
        <f t="shared" si="43"/>
        <v>1285.1999979210705</v>
      </c>
      <c r="AA157" s="165">
        <f t="shared" si="44"/>
        <v>95828.008491772445</v>
      </c>
      <c r="AB157" s="165"/>
    </row>
    <row r="158" spans="3:28" x14ac:dyDescent="0.2">
      <c r="C158" s="148">
        <v>0.26498378419399976</v>
      </c>
      <c r="D158">
        <f t="shared" si="32"/>
        <v>37.138644148736354</v>
      </c>
      <c r="E158" s="164">
        <v>2814.8644246326103</v>
      </c>
      <c r="F158" s="165">
        <f>E158/'Electrical System Specification'!AC$4</f>
        <v>2872.3106373802148</v>
      </c>
      <c r="G158" s="146">
        <f>F158/('Electrical System Specification'!X$16*'Electrical System Specification'!J$16*'Electrical System Specification'!D$17)</f>
        <v>3576.2620615820197</v>
      </c>
      <c r="H158" s="165"/>
      <c r="I158" s="173">
        <f t="shared" si="33"/>
        <v>6871.6622130335309</v>
      </c>
      <c r="J158" s="173">
        <f t="shared" si="34"/>
        <v>7621.6306710664712</v>
      </c>
      <c r="K158" s="174" t="b">
        <f>IF(E158&gt;I158,'Electrical System Specification'!AC$4*'Electrical System Specification'!J$16*'Electrical System Specification'!D$16*'Electrical System Specification'!D$17*'Electrical System Specification'!X$16)</f>
        <v>0</v>
      </c>
      <c r="L158" s="174">
        <f>IF(E158&lt;I158,'Electrical System Specification'!X$16*'Electrical System Specification'!Q$16*'Electrical System Specification'!AC$4*'Electrical System Specification'!J$16)</f>
        <v>0.83082440000000002</v>
      </c>
      <c r="M158" s="174">
        <f t="shared" si="35"/>
        <v>0.83082440000000002</v>
      </c>
      <c r="N158" s="174">
        <f t="shared" si="36"/>
        <v>2338.6580466767336</v>
      </c>
      <c r="O158" s="173">
        <f t="shared" si="37"/>
        <v>-4056.7977884009206</v>
      </c>
      <c r="P158" s="174" t="b">
        <f t="shared" si="38"/>
        <v>0</v>
      </c>
      <c r="Q158" s="174">
        <f t="shared" ref="Q158:Q221" si="46">IF(O158&lt;0,I158-(O158*-1),IF(O158&gt;0,I158/L$9))</f>
        <v>2814.8644246326103</v>
      </c>
      <c r="R158" s="174">
        <f t="shared" si="45"/>
        <v>3388.0377425513866</v>
      </c>
      <c r="S158" s="165">
        <f t="shared" si="39"/>
        <v>3388.0377425513866</v>
      </c>
      <c r="T158" t="b">
        <f t="shared" si="40"/>
        <v>0</v>
      </c>
      <c r="U158" s="176">
        <f t="shared" si="41"/>
        <v>3388.0377425513866</v>
      </c>
      <c r="V158" s="165">
        <f>IF(U158&lt;V$5,V$5-U158,IF(U158&gt;=V$5,0))*('Electrical System Specification'!D$16*'Electrical System Specification'!Q$16)</f>
        <v>4619.8154163450554</v>
      </c>
      <c r="W158" s="28">
        <f t="shared" si="42"/>
        <v>1224.1761713008914</v>
      </c>
      <c r="X158" s="165">
        <f>IF(U158&gt;V$5,U158-V$5,0)*'Electrical System Specification'!D$17</f>
        <v>0</v>
      </c>
      <c r="Y158">
        <f>(X158*C158)*'Electrical System Specification'!D$17</f>
        <v>0</v>
      </c>
      <c r="Z158" s="165">
        <f t="shared" si="43"/>
        <v>1224.1761713008914</v>
      </c>
      <c r="AA158" s="165">
        <f t="shared" si="44"/>
        <v>97052.184663073334</v>
      </c>
      <c r="AB158" s="165"/>
    </row>
    <row r="159" spans="3:28" x14ac:dyDescent="0.2">
      <c r="C159" s="148">
        <v>0.25771263953048862</v>
      </c>
      <c r="D159">
        <f t="shared" si="32"/>
        <v>37.396356788266843</v>
      </c>
      <c r="E159" s="164">
        <v>2898.2276818561431</v>
      </c>
      <c r="F159" s="165">
        <f>E159/'Electrical System Specification'!AC$4</f>
        <v>2957.3751855674932</v>
      </c>
      <c r="G159" s="146">
        <f>F159/('Electrical System Specification'!X$16*'Electrical System Specification'!J$16*'Electrical System Specification'!D$17)</f>
        <v>3682.1743931065953</v>
      </c>
      <c r="H159" s="165"/>
      <c r="I159" s="173">
        <f t="shared" si="33"/>
        <v>6871.6622130335309</v>
      </c>
      <c r="J159" s="173">
        <f t="shared" si="34"/>
        <v>7621.6306710664712</v>
      </c>
      <c r="K159" s="174" t="b">
        <f>IF(E159&gt;I159,'Electrical System Specification'!AC$4*'Electrical System Specification'!J$16*'Electrical System Specification'!D$16*'Electrical System Specification'!D$17*'Electrical System Specification'!X$16)</f>
        <v>0</v>
      </c>
      <c r="L159" s="174">
        <f>IF(E159&lt;I159,'Electrical System Specification'!X$16*'Electrical System Specification'!Q$16*'Electrical System Specification'!AC$4*'Electrical System Specification'!J$16)</f>
        <v>0.83082440000000002</v>
      </c>
      <c r="M159" s="174">
        <f t="shared" si="35"/>
        <v>0.83082440000000002</v>
      </c>
      <c r="N159" s="174">
        <f t="shared" si="36"/>
        <v>2407.918274841521</v>
      </c>
      <c r="O159" s="173">
        <f t="shared" si="37"/>
        <v>-3973.4345311773877</v>
      </c>
      <c r="P159" s="174" t="b">
        <f t="shared" si="38"/>
        <v>0</v>
      </c>
      <c r="Q159" s="174">
        <f t="shared" si="46"/>
        <v>2898.2276818561431</v>
      </c>
      <c r="R159" s="174">
        <f t="shared" si="45"/>
        <v>3488.3757408378269</v>
      </c>
      <c r="S159" s="165">
        <f t="shared" si="39"/>
        <v>3488.3757408378269</v>
      </c>
      <c r="T159" t="b">
        <f t="shared" si="40"/>
        <v>0</v>
      </c>
      <c r="U159" s="176">
        <f t="shared" si="41"/>
        <v>3488.3757408378269</v>
      </c>
      <c r="V159" s="165">
        <f>IF(U159&lt;V$5,V$5-U159,IF(U159&gt;=V$5,0))*('Electrical System Specification'!D$16*'Electrical System Specification'!Q$16)</f>
        <v>4534.0264278101495</v>
      </c>
      <c r="W159" s="28">
        <f t="shared" si="42"/>
        <v>1168.4759184119459</v>
      </c>
      <c r="X159" s="165">
        <f>IF(U159&gt;V$5,U159-V$5,0)*'Electrical System Specification'!D$17</f>
        <v>0</v>
      </c>
      <c r="Y159">
        <f>(X159*C159)*'Electrical System Specification'!D$17</f>
        <v>0</v>
      </c>
      <c r="Z159" s="165">
        <f t="shared" si="43"/>
        <v>1168.4759184119459</v>
      </c>
      <c r="AA159" s="165">
        <f t="shared" si="44"/>
        <v>98220.660581485281</v>
      </c>
      <c r="AB159" s="165"/>
    </row>
    <row r="160" spans="3:28" x14ac:dyDescent="0.2">
      <c r="C160" s="148">
        <v>0.25103836535161006</v>
      </c>
      <c r="D160">
        <f t="shared" si="32"/>
        <v>37.647395153618454</v>
      </c>
      <c r="E160" s="164">
        <v>1999.3976228751881</v>
      </c>
      <c r="F160" s="165">
        <f>E160/'Electrical System Specification'!AC$4</f>
        <v>2040.2016559950898</v>
      </c>
      <c r="G160" s="146">
        <f>F160/('Electrical System Specification'!X$16*'Electrical System Specification'!J$16*'Electrical System Specification'!D$17)</f>
        <v>2540.2182080719781</v>
      </c>
      <c r="H160" s="165"/>
      <c r="I160" s="173">
        <f t="shared" si="33"/>
        <v>6871.6622130335309</v>
      </c>
      <c r="J160" s="173">
        <f t="shared" si="34"/>
        <v>7621.6306710664712</v>
      </c>
      <c r="K160" s="174" t="b">
        <f>IF(E160&gt;I160,'Electrical System Specification'!AC$4*'Electrical System Specification'!J$16*'Electrical System Specification'!D$16*'Electrical System Specification'!D$17*'Electrical System Specification'!X$16)</f>
        <v>0</v>
      </c>
      <c r="L160" s="174">
        <f>IF(E160&lt;I160,'Electrical System Specification'!X$16*'Electrical System Specification'!Q$16*'Electrical System Specification'!AC$4*'Electrical System Specification'!J$16)</f>
        <v>0.83082440000000002</v>
      </c>
      <c r="M160" s="174">
        <f t="shared" si="35"/>
        <v>0.83082440000000002</v>
      </c>
      <c r="N160" s="174">
        <f t="shared" si="36"/>
        <v>1661.1483303867044</v>
      </c>
      <c r="O160" s="173">
        <f t="shared" si="37"/>
        <v>-4872.2645901583428</v>
      </c>
      <c r="P160" s="174" t="b">
        <f t="shared" si="38"/>
        <v>0</v>
      </c>
      <c r="Q160" s="174">
        <f t="shared" si="46"/>
        <v>1999.3976228751881</v>
      </c>
      <c r="R160" s="174">
        <f t="shared" si="45"/>
        <v>2406.5225129102951</v>
      </c>
      <c r="S160" s="165">
        <f t="shared" si="39"/>
        <v>2406.5225129102951</v>
      </c>
      <c r="T160" t="b">
        <f t="shared" si="40"/>
        <v>0</v>
      </c>
      <c r="U160" s="176">
        <f t="shared" si="41"/>
        <v>2406.5225129102951</v>
      </c>
      <c r="V160" s="165">
        <f>IF(U160&lt;V$5,V$5-U160,IF(U160&gt;=V$5,0))*('Electrical System Specification'!D$16*'Electrical System Specification'!Q$16)</f>
        <v>5459.0109376881901</v>
      </c>
      <c r="W160" s="28">
        <f t="shared" si="42"/>
        <v>1370.4211822338034</v>
      </c>
      <c r="X160" s="165">
        <f>IF(U160&gt;V$5,U160-V$5,0)*'Electrical System Specification'!D$17</f>
        <v>0</v>
      </c>
      <c r="Y160">
        <f>(X160*C160)*'Electrical System Specification'!D$17</f>
        <v>0</v>
      </c>
      <c r="Z160" s="165">
        <f t="shared" si="43"/>
        <v>1370.4211822338034</v>
      </c>
      <c r="AA160" s="165">
        <f t="shared" si="44"/>
        <v>99591.081763719078</v>
      </c>
      <c r="AB160" s="165"/>
    </row>
    <row r="161" spans="3:28" x14ac:dyDescent="0.2">
      <c r="C161" s="148">
        <v>0.2513942095843924</v>
      </c>
      <c r="D161">
        <f t="shared" si="32"/>
        <v>37.898789363202845</v>
      </c>
      <c r="E161" s="164">
        <v>2762.3287173100171</v>
      </c>
      <c r="F161" s="165">
        <f>E161/'Electrical System Specification'!AC$4</f>
        <v>2818.7027727653235</v>
      </c>
      <c r="G161" s="146">
        <f>F161/('Electrical System Specification'!X$16*'Electrical System Specification'!J$16*'Electrical System Specification'!D$17)</f>
        <v>3509.5158782376157</v>
      </c>
      <c r="H161" s="165"/>
      <c r="I161" s="173">
        <f t="shared" si="33"/>
        <v>6871.6622130335309</v>
      </c>
      <c r="J161" s="173">
        <f t="shared" si="34"/>
        <v>7621.6306710664712</v>
      </c>
      <c r="K161" s="174" t="b">
        <f>IF(E161&gt;I161,'Electrical System Specification'!AC$4*'Electrical System Specification'!J$16*'Electrical System Specification'!D$16*'Electrical System Specification'!D$17*'Electrical System Specification'!X$16)</f>
        <v>0</v>
      </c>
      <c r="L161" s="174">
        <f>IF(E161&lt;I161,'Electrical System Specification'!X$16*'Electrical System Specification'!Q$16*'Electrical System Specification'!AC$4*'Electrical System Specification'!J$16)</f>
        <v>0.83082440000000002</v>
      </c>
      <c r="M161" s="174">
        <f t="shared" si="35"/>
        <v>0.83082440000000002</v>
      </c>
      <c r="N161" s="174">
        <f t="shared" si="36"/>
        <v>2295.0100991618647</v>
      </c>
      <c r="O161" s="173">
        <f t="shared" si="37"/>
        <v>-4109.3334957235138</v>
      </c>
      <c r="P161" s="174" t="b">
        <f t="shared" si="38"/>
        <v>0</v>
      </c>
      <c r="Q161" s="174">
        <f t="shared" si="46"/>
        <v>2762.3287173100171</v>
      </c>
      <c r="R161" s="174">
        <f t="shared" si="45"/>
        <v>3324.8045162251096</v>
      </c>
      <c r="S161" s="165">
        <f t="shared" si="39"/>
        <v>3324.8045162251096</v>
      </c>
      <c r="T161" t="b">
        <f t="shared" si="40"/>
        <v>0</v>
      </c>
      <c r="U161" s="176">
        <f t="shared" si="41"/>
        <v>3324.8045162251096</v>
      </c>
      <c r="V161" s="165">
        <f>IF(U161&lt;V$5,V$5-U161,IF(U161&gt;=V$5,0))*('Electrical System Specification'!D$16*'Electrical System Specification'!Q$16)</f>
        <v>4673.8798248540234</v>
      </c>
      <c r="W161" s="28">
        <f t="shared" si="42"/>
        <v>1174.9863242616157</v>
      </c>
      <c r="X161" s="165">
        <f>IF(U161&gt;V$5,U161-V$5,0)*'Electrical System Specification'!D$17</f>
        <v>0</v>
      </c>
      <c r="Y161">
        <f>(X161*C161)*'Electrical System Specification'!D$17</f>
        <v>0</v>
      </c>
      <c r="Z161" s="165">
        <f t="shared" si="43"/>
        <v>1174.9863242616157</v>
      </c>
      <c r="AA161" s="165">
        <f t="shared" si="44"/>
        <v>100766.06808798069</v>
      </c>
      <c r="AB161" s="165"/>
    </row>
    <row r="162" spans="3:28" x14ac:dyDescent="0.2">
      <c r="C162" s="148">
        <v>0.24858048135480046</v>
      </c>
      <c r="D162">
        <f t="shared" si="32"/>
        <v>38.147369844557645</v>
      </c>
      <c r="E162" s="164">
        <v>7690.3815519892696</v>
      </c>
      <c r="F162" s="165">
        <f>E162/'Electrical System Specification'!AC$4</f>
        <v>7847.3281142747646</v>
      </c>
      <c r="G162" s="146">
        <f>F162/('Electrical System Specification'!X$16*'Electrical System Specification'!J$16*'Electrical System Specification'!D$17)</f>
        <v>9770.5664055415673</v>
      </c>
      <c r="H162" s="165"/>
      <c r="I162" s="173">
        <f t="shared" si="33"/>
        <v>6871.6622130335309</v>
      </c>
      <c r="J162" s="173">
        <f t="shared" si="34"/>
        <v>7621.6306710664712</v>
      </c>
      <c r="K162" s="174">
        <f>IF(E162&gt;I162,'Electrical System Specification'!AC$4*'Electrical System Specification'!J$16*'Electrical System Specification'!D$16*'Electrical System Specification'!D$17*'Electrical System Specification'!X$16)</f>
        <v>0.70838712000000004</v>
      </c>
      <c r="L162" s="174" t="b">
        <f>IF(E162&lt;I162,'Electrical System Specification'!X$16*'Electrical System Specification'!Q$16*'Electrical System Specification'!AC$4*'Electrical System Specification'!J$16)</f>
        <v>0</v>
      </c>
      <c r="M162" s="174">
        <f t="shared" si="35"/>
        <v>0.70838712000000004</v>
      </c>
      <c r="N162" s="174">
        <f t="shared" si="36"/>
        <v>5447.7672393148096</v>
      </c>
      <c r="O162" s="173">
        <f t="shared" si="37"/>
        <v>818.71933895573875</v>
      </c>
      <c r="P162" s="174">
        <f t="shared" si="38"/>
        <v>1155.7513058054171</v>
      </c>
      <c r="Q162" s="174">
        <f t="shared" si="46"/>
        <v>8270.8960076684452</v>
      </c>
      <c r="R162" s="174">
        <f t="shared" si="45"/>
        <v>0</v>
      </c>
      <c r="S162" s="165" t="b">
        <f t="shared" si="39"/>
        <v>0</v>
      </c>
      <c r="T162">
        <f t="shared" si="40"/>
        <v>9426.6473134738626</v>
      </c>
      <c r="U162" s="176">
        <f t="shared" si="41"/>
        <v>9426.6473134738626</v>
      </c>
      <c r="V162" s="165">
        <f>IF(U162&lt;V$5,V$5-U162,IF(U162&gt;=V$5,0))*('Electrical System Specification'!D$16*'Electrical System Specification'!Q$16)</f>
        <v>0</v>
      </c>
      <c r="W162" s="28">
        <f t="shared" si="42"/>
        <v>0</v>
      </c>
      <c r="X162" s="165">
        <f>IF(U162&gt;V$5,U162-V$5,0)*'Electrical System Specification'!D$17</f>
        <v>571.78501767753767</v>
      </c>
      <c r="Y162">
        <f>(X162*C162)*'Electrical System Specification'!D$17</f>
        <v>127.92113543317086</v>
      </c>
      <c r="Z162" s="165">
        <f t="shared" si="43"/>
        <v>-127.92113543317086</v>
      </c>
      <c r="AA162" s="165">
        <f t="shared" si="44"/>
        <v>100638.14695254753</v>
      </c>
      <c r="AB162" s="165"/>
    </row>
    <row r="163" spans="3:28" x14ac:dyDescent="0.2">
      <c r="C163" s="148">
        <v>0.24590235286012219</v>
      </c>
      <c r="D163">
        <f t="shared" si="32"/>
        <v>38.393272197417765</v>
      </c>
      <c r="E163" s="164">
        <v>7803.2243922692078</v>
      </c>
      <c r="F163" s="165">
        <f>E163/'Electrical System Specification'!AC$4</f>
        <v>7962.4738696624572</v>
      </c>
      <c r="G163" s="146">
        <f>F163/('Electrical System Specification'!X$16*'Electrical System Specification'!J$16*'Electrical System Specification'!D$17)</f>
        <v>9913.9323044753946</v>
      </c>
      <c r="H163" s="165"/>
      <c r="I163" s="173">
        <f t="shared" si="33"/>
        <v>6871.6622130335309</v>
      </c>
      <c r="J163" s="173">
        <f t="shared" si="34"/>
        <v>7621.6306710664712</v>
      </c>
      <c r="K163" s="174">
        <f>IF(E163&gt;I163,'Electrical System Specification'!AC$4*'Electrical System Specification'!J$16*'Electrical System Specification'!D$16*'Electrical System Specification'!D$17*'Electrical System Specification'!X$16)</f>
        <v>0.70838712000000004</v>
      </c>
      <c r="L163" s="174" t="b">
        <f>IF(E163&lt;I163,'Electrical System Specification'!X$16*'Electrical System Specification'!Q$16*'Electrical System Specification'!AC$4*'Electrical System Specification'!J$16)</f>
        <v>0</v>
      </c>
      <c r="M163" s="174">
        <f t="shared" si="35"/>
        <v>0.70838712000000004</v>
      </c>
      <c r="N163" s="174">
        <f t="shared" si="36"/>
        <v>5527.7036539533347</v>
      </c>
      <c r="O163" s="173">
        <f t="shared" si="37"/>
        <v>931.56217923567692</v>
      </c>
      <c r="P163" s="174">
        <f t="shared" si="38"/>
        <v>1315.0467490652243</v>
      </c>
      <c r="Q163" s="174">
        <f t="shared" si="46"/>
        <v>8270.8960076684452</v>
      </c>
      <c r="R163" s="174">
        <f t="shared" si="45"/>
        <v>0</v>
      </c>
      <c r="S163" s="165" t="b">
        <f t="shared" si="39"/>
        <v>0</v>
      </c>
      <c r="T163">
        <f t="shared" si="40"/>
        <v>9585.9427567336697</v>
      </c>
      <c r="U163" s="176">
        <f t="shared" si="41"/>
        <v>9585.9427567336697</v>
      </c>
      <c r="V163" s="165">
        <f>IF(U163&lt;V$5,V$5-U163,IF(U163&gt;=V$5,0))*('Electrical System Specification'!D$16*'Electrical System Specification'!Q$16)</f>
        <v>0</v>
      </c>
      <c r="W163" s="28">
        <f t="shared" si="42"/>
        <v>0</v>
      </c>
      <c r="X163" s="165">
        <f>IF(U163&gt;V$5,U163-V$5,0)*'Electrical System Specification'!D$17</f>
        <v>715.1509166113641</v>
      </c>
      <c r="Y163">
        <f>(X163*C163)*'Electrical System Specification'!D$17</f>
        <v>158.27156374032674</v>
      </c>
      <c r="Z163" s="165">
        <f t="shared" si="43"/>
        <v>-158.27156374032674</v>
      </c>
      <c r="AA163" s="165">
        <f t="shared" si="44"/>
        <v>100479.8753888072</v>
      </c>
      <c r="AB163" s="165"/>
    </row>
    <row r="164" spans="3:28" x14ac:dyDescent="0.2">
      <c r="C164" s="148">
        <v>0.2434309387754354</v>
      </c>
      <c r="D164">
        <f t="shared" si="32"/>
        <v>38.636703136193198</v>
      </c>
      <c r="E164" s="164">
        <v>7915.6265880987157</v>
      </c>
      <c r="F164" s="165">
        <f>E164/'Electrical System Specification'!AC$4</f>
        <v>8077.1699878558329</v>
      </c>
      <c r="G164" s="146">
        <f>F164/('Electrical System Specification'!X$16*'Electrical System Specification'!J$16*'Electrical System Specification'!D$17)</f>
        <v>10056.738368265143</v>
      </c>
      <c r="H164" s="165"/>
      <c r="I164" s="173">
        <f t="shared" si="33"/>
        <v>6871.6622130335309</v>
      </c>
      <c r="J164" s="173">
        <f t="shared" si="34"/>
        <v>7621.6306710664712</v>
      </c>
      <c r="K164" s="174">
        <f>IF(E164&gt;I164,'Electrical System Specification'!AC$4*'Electrical System Specification'!J$16*'Electrical System Specification'!D$16*'Electrical System Specification'!D$17*'Electrical System Specification'!X$16)</f>
        <v>0.70838712000000004</v>
      </c>
      <c r="L164" s="174" t="b">
        <f>IF(E164&lt;I164,'Electrical System Specification'!X$16*'Electrical System Specification'!Q$16*'Electrical System Specification'!AC$4*'Electrical System Specification'!J$16)</f>
        <v>0</v>
      </c>
      <c r="M164" s="174">
        <f t="shared" si="35"/>
        <v>0.70838712000000004</v>
      </c>
      <c r="N164" s="174">
        <f t="shared" si="36"/>
        <v>5607.3279217386762</v>
      </c>
      <c r="O164" s="173">
        <f t="shared" si="37"/>
        <v>1043.9643750651849</v>
      </c>
      <c r="P164" s="174">
        <f t="shared" si="38"/>
        <v>1473.7201532760573</v>
      </c>
      <c r="Q164" s="174">
        <f t="shared" si="46"/>
        <v>8270.8960076684452</v>
      </c>
      <c r="R164" s="174">
        <f t="shared" si="45"/>
        <v>0</v>
      </c>
      <c r="S164" s="165" t="b">
        <f t="shared" si="39"/>
        <v>0</v>
      </c>
      <c r="T164">
        <f t="shared" si="40"/>
        <v>9744.6161609445026</v>
      </c>
      <c r="U164" s="176">
        <f t="shared" si="41"/>
        <v>9744.6161609445026</v>
      </c>
      <c r="V164" s="165">
        <f>IF(U164&lt;V$5,V$5-U164,IF(U164&gt;=V$5,0))*('Electrical System Specification'!D$16*'Electrical System Specification'!Q$16)</f>
        <v>0</v>
      </c>
      <c r="W164" s="28">
        <f t="shared" si="42"/>
        <v>0</v>
      </c>
      <c r="X164" s="165">
        <f>IF(U164&gt;V$5,U164-V$5,0)*'Electrical System Specification'!D$17</f>
        <v>857.9569804011137</v>
      </c>
      <c r="Y164">
        <f>(X164*C164)*'Electrical System Specification'!D$17</f>
        <v>187.96794585118286</v>
      </c>
      <c r="Z164" s="165">
        <f t="shared" si="43"/>
        <v>-187.96794585118286</v>
      </c>
      <c r="AA164" s="165">
        <f t="shared" si="44"/>
        <v>100291.90744295601</v>
      </c>
      <c r="AB164" s="165"/>
    </row>
    <row r="165" spans="3:28" x14ac:dyDescent="0.2">
      <c r="C165" s="148">
        <v>0.24100979478279236</v>
      </c>
      <c r="D165">
        <f t="shared" si="32"/>
        <v>38.877712930975989</v>
      </c>
      <c r="E165" s="164">
        <v>8027.5801927544426</v>
      </c>
      <c r="F165" s="165">
        <f>E165/'Electrical System Specification'!AC$4</f>
        <v>8191.4083599535134</v>
      </c>
      <c r="G165" s="146">
        <f>F165/('Electrical System Specification'!X$16*'Electrical System Specification'!J$16*'Electrical System Specification'!D$17)</f>
        <v>10198.974500664268</v>
      </c>
      <c r="H165" s="165"/>
      <c r="I165" s="173">
        <f t="shared" si="33"/>
        <v>6871.6622130335309</v>
      </c>
      <c r="J165" s="173">
        <f t="shared" si="34"/>
        <v>7621.6306710664712</v>
      </c>
      <c r="K165" s="174">
        <f>IF(E165&gt;I165,'Electrical System Specification'!AC$4*'Electrical System Specification'!J$16*'Electrical System Specification'!D$16*'Electrical System Specification'!D$17*'Electrical System Specification'!X$16)</f>
        <v>0.70838712000000004</v>
      </c>
      <c r="L165" s="174" t="b">
        <f>IF(E165&lt;I165,'Electrical System Specification'!X$16*'Electrical System Specification'!Q$16*'Electrical System Specification'!AC$4*'Electrical System Specification'!J$16)</f>
        <v>0</v>
      </c>
      <c r="M165" s="174">
        <f t="shared" si="35"/>
        <v>0.70838712000000004</v>
      </c>
      <c r="N165" s="174">
        <f t="shared" si="36"/>
        <v>5686.6344133143648</v>
      </c>
      <c r="O165" s="173">
        <f t="shared" si="37"/>
        <v>1155.9179797209117</v>
      </c>
      <c r="P165" s="174">
        <f t="shared" si="38"/>
        <v>1631.7603003861952</v>
      </c>
      <c r="Q165" s="174">
        <f t="shared" si="46"/>
        <v>8270.8960076684452</v>
      </c>
      <c r="R165" s="174">
        <f t="shared" si="45"/>
        <v>0</v>
      </c>
      <c r="S165" s="165" t="b">
        <f t="shared" si="39"/>
        <v>0</v>
      </c>
      <c r="T165">
        <f t="shared" si="40"/>
        <v>9902.6563080546402</v>
      </c>
      <c r="U165" s="176">
        <f t="shared" si="41"/>
        <v>9902.6563080546402</v>
      </c>
      <c r="V165" s="165">
        <f>IF(U165&lt;V$5,V$5-U165,IF(U165&gt;=V$5,0))*('Electrical System Specification'!D$16*'Electrical System Specification'!Q$16)</f>
        <v>0</v>
      </c>
      <c r="W165" s="28">
        <f t="shared" si="42"/>
        <v>0</v>
      </c>
      <c r="X165" s="165">
        <f>IF(U165&gt;V$5,U165-V$5,0)*'Electrical System Specification'!D$17</f>
        <v>1000.1931128002376</v>
      </c>
      <c r="Y165">
        <f>(X165*C165)*'Electrical System Specification'!D$17</f>
        <v>216.95070317323282</v>
      </c>
      <c r="Z165" s="165">
        <f t="shared" si="43"/>
        <v>-216.95070317323282</v>
      </c>
      <c r="AA165" s="165">
        <f t="shared" si="44"/>
        <v>100074.95673978278</v>
      </c>
      <c r="AB165" s="165"/>
    </row>
    <row r="166" spans="3:28" x14ac:dyDescent="0.2">
      <c r="C166" s="148">
        <v>0.23868488752533129</v>
      </c>
      <c r="D166">
        <f t="shared" si="32"/>
        <v>39.116397818501319</v>
      </c>
      <c r="E166" s="164">
        <v>8139.1242074811471</v>
      </c>
      <c r="F166" s="165">
        <f>E166/'Electrical System Specification'!AC$4</f>
        <v>8305.2287831440281</v>
      </c>
      <c r="G166" s="146">
        <f>F166/('Electrical System Specification'!X$16*'Electrical System Specification'!J$16*'Electrical System Specification'!D$17)</f>
        <v>10340.690252432925</v>
      </c>
      <c r="H166" s="165"/>
      <c r="I166" s="173">
        <f t="shared" si="33"/>
        <v>6871.6622130335309</v>
      </c>
      <c r="J166" s="173">
        <f t="shared" si="34"/>
        <v>7621.6306710664712</v>
      </c>
      <c r="K166" s="174">
        <f>IF(E166&gt;I166,'Electrical System Specification'!AC$4*'Electrical System Specification'!J$16*'Electrical System Specification'!D$16*'Electrical System Specification'!D$17*'Electrical System Specification'!X$16)</f>
        <v>0.70838712000000004</v>
      </c>
      <c r="L166" s="174" t="b">
        <f>IF(E166&lt;I166,'Electrical System Specification'!X$16*'Electrical System Specification'!Q$16*'Electrical System Specification'!AC$4*'Electrical System Specification'!J$16)</f>
        <v>0</v>
      </c>
      <c r="M166" s="174">
        <f t="shared" si="35"/>
        <v>0.70838712000000004</v>
      </c>
      <c r="N166" s="174">
        <f t="shared" si="36"/>
        <v>5765.650756659853</v>
      </c>
      <c r="O166" s="173">
        <f t="shared" si="37"/>
        <v>1267.4619944476162</v>
      </c>
      <c r="P166" s="174">
        <f t="shared" si="38"/>
        <v>1789.2222467958143</v>
      </c>
      <c r="Q166" s="174">
        <f t="shared" si="46"/>
        <v>8270.8960076684452</v>
      </c>
      <c r="R166" s="174">
        <f t="shared" si="45"/>
        <v>0</v>
      </c>
      <c r="S166" s="165" t="b">
        <f t="shared" si="39"/>
        <v>0</v>
      </c>
      <c r="T166">
        <f t="shared" si="40"/>
        <v>10060.11825446426</v>
      </c>
      <c r="U166" s="176">
        <f t="shared" si="41"/>
        <v>10060.11825446426</v>
      </c>
      <c r="V166" s="165">
        <f>IF(U166&lt;V$5,V$5-U166,IF(U166&gt;=V$5,0))*('Electrical System Specification'!D$16*'Electrical System Specification'!Q$16)</f>
        <v>0</v>
      </c>
      <c r="W166" s="28">
        <f t="shared" si="42"/>
        <v>0</v>
      </c>
      <c r="X166" s="165">
        <f>IF(U166&gt;V$5,U166-V$5,0)*'Electrical System Specification'!D$17</f>
        <v>1141.9088645688951</v>
      </c>
      <c r="Y166">
        <f>(X166*C166)*'Electrical System Specification'!D$17</f>
        <v>245.30075001342496</v>
      </c>
      <c r="Z166" s="165">
        <f t="shared" si="43"/>
        <v>-245.30075001342496</v>
      </c>
      <c r="AA166" s="165">
        <f t="shared" si="44"/>
        <v>99829.655989769351</v>
      </c>
      <c r="AB166" s="165"/>
    </row>
    <row r="167" spans="3:28" x14ac:dyDescent="0.2">
      <c r="C167" s="148">
        <v>0.26178783176807852</v>
      </c>
      <c r="D167">
        <f t="shared" si="32"/>
        <v>39.378185650269401</v>
      </c>
      <c r="E167" s="164">
        <v>12104.503314328093</v>
      </c>
      <c r="F167" s="165">
        <f>E167/'Electrical System Specification'!AC$4</f>
        <v>12351.533994212339</v>
      </c>
      <c r="G167" s="146">
        <f>F167/('Electrical System Specification'!X$16*'Electrical System Specification'!J$16*'Electrical System Specification'!D$17)</f>
        <v>15378.671739394815</v>
      </c>
      <c r="H167" s="165"/>
      <c r="I167" s="173">
        <f t="shared" si="33"/>
        <v>6871.6622130335309</v>
      </c>
      <c r="J167" s="173">
        <f t="shared" si="34"/>
        <v>7621.6306710664712</v>
      </c>
      <c r="K167" s="174">
        <f>IF(E167&gt;I167,'Electrical System Specification'!AC$4*'Electrical System Specification'!J$16*'Electrical System Specification'!D$16*'Electrical System Specification'!D$17*'Electrical System Specification'!X$16)</f>
        <v>0.70838712000000004</v>
      </c>
      <c r="L167" s="174" t="b">
        <f>IF(E167&lt;I167,'Electrical System Specification'!X$16*'Electrical System Specification'!Q$16*'Electrical System Specification'!AC$4*'Electrical System Specification'!J$16)</f>
        <v>0</v>
      </c>
      <c r="M167" s="174">
        <f t="shared" si="35"/>
        <v>0.70838712000000004</v>
      </c>
      <c r="N167" s="174">
        <f t="shared" si="36"/>
        <v>8574.674241867333</v>
      </c>
      <c r="O167" s="173">
        <f t="shared" si="37"/>
        <v>5232.8411012945617</v>
      </c>
      <c r="P167" s="174">
        <f t="shared" si="38"/>
        <v>7386.9794545312479</v>
      </c>
      <c r="Q167" s="174">
        <f t="shared" si="46"/>
        <v>8270.8960076684452</v>
      </c>
      <c r="R167" s="174">
        <f t="shared" si="45"/>
        <v>0</v>
      </c>
      <c r="S167" s="165" t="b">
        <f t="shared" si="39"/>
        <v>0</v>
      </c>
      <c r="T167">
        <f t="shared" si="40"/>
        <v>15657.875462199692</v>
      </c>
      <c r="U167" s="176">
        <f t="shared" si="41"/>
        <v>15657.875462199692</v>
      </c>
      <c r="V167" s="165">
        <f>IF(U167&lt;V$5,V$5-U167,IF(U167&gt;=V$5,0))*('Electrical System Specification'!D$16*'Electrical System Specification'!Q$16)</f>
        <v>0</v>
      </c>
      <c r="W167" s="28">
        <f t="shared" si="42"/>
        <v>0</v>
      </c>
      <c r="X167" s="165">
        <f>IF(U167&gt;V$5,U167-V$5,0)*'Electrical System Specification'!D$17</f>
        <v>6179.8903515307848</v>
      </c>
      <c r="Y167">
        <f>(X167*C167)*'Electrical System Specification'!D$17</f>
        <v>1456.0380861225415</v>
      </c>
      <c r="Z167" s="165">
        <f t="shared" si="43"/>
        <v>-1456.0380861225415</v>
      </c>
      <c r="AA167" s="165">
        <f t="shared" si="44"/>
        <v>98373.617903646809</v>
      </c>
      <c r="AB167" s="165"/>
    </row>
    <row r="168" spans="3:28" x14ac:dyDescent="0.2">
      <c r="C168" s="148">
        <v>0.26816601662425843</v>
      </c>
      <c r="D168">
        <f t="shared" si="32"/>
        <v>39.646351666893658</v>
      </c>
      <c r="E168" s="164">
        <v>0</v>
      </c>
      <c r="F168" s="165">
        <f>E168/'Electrical System Specification'!AC$4</f>
        <v>0</v>
      </c>
      <c r="G168" s="146">
        <f>F168/('Electrical System Specification'!X$16*'Electrical System Specification'!J$16*'Electrical System Specification'!D$17)</f>
        <v>0</v>
      </c>
      <c r="H168" s="165"/>
      <c r="I168" s="173">
        <f t="shared" si="33"/>
        <v>6871.6622130335309</v>
      </c>
      <c r="J168" s="173">
        <f t="shared" si="34"/>
        <v>7621.6306710664712</v>
      </c>
      <c r="K168" s="174" t="b">
        <f>IF(E168&gt;I168,'Electrical System Specification'!AC$4*'Electrical System Specification'!J$16*'Electrical System Specification'!D$16*'Electrical System Specification'!D$17*'Electrical System Specification'!X$16)</f>
        <v>0</v>
      </c>
      <c r="L168" s="174">
        <f>IF(E168&lt;I168,'Electrical System Specification'!X$16*'Electrical System Specification'!Q$16*'Electrical System Specification'!AC$4*'Electrical System Specification'!J$16)</f>
        <v>0.83082440000000002</v>
      </c>
      <c r="M168" s="174">
        <f t="shared" si="35"/>
        <v>0.83082440000000002</v>
      </c>
      <c r="N168" s="174">
        <f t="shared" si="36"/>
        <v>0</v>
      </c>
      <c r="O168" s="173">
        <f t="shared" si="37"/>
        <v>-6871.6622130335309</v>
      </c>
      <c r="P168" s="174" t="b">
        <f t="shared" si="38"/>
        <v>0</v>
      </c>
      <c r="Q168" s="174">
        <f t="shared" si="46"/>
        <v>0</v>
      </c>
      <c r="R168" s="174">
        <f t="shared" si="45"/>
        <v>0</v>
      </c>
      <c r="S168" s="165">
        <f t="shared" si="39"/>
        <v>0</v>
      </c>
      <c r="T168" t="b">
        <f t="shared" si="40"/>
        <v>0</v>
      </c>
      <c r="U168" s="176">
        <f t="shared" si="41"/>
        <v>0</v>
      </c>
      <c r="V168" s="165">
        <f>IF(U168&lt;V$5,V$5-U168,IF(U168&gt;=V$5,0))*('Electrical System Specification'!D$16*'Electrical System Specification'!Q$16)</f>
        <v>7516.5876862264913</v>
      </c>
      <c r="W168" s="28">
        <f t="shared" si="42"/>
        <v>2015.6933784223095</v>
      </c>
      <c r="X168" s="165">
        <f>IF(U168&gt;V$5,U168-V$5,0)*'Electrical System Specification'!D$17</f>
        <v>0</v>
      </c>
      <c r="Y168">
        <f>(X168*C168)*'Electrical System Specification'!D$17</f>
        <v>0</v>
      </c>
      <c r="Z168" s="165">
        <f t="shared" si="43"/>
        <v>2015.6933784223095</v>
      </c>
      <c r="AA168" s="165">
        <f t="shared" si="44"/>
        <v>100389.31128206912</v>
      </c>
      <c r="AB168" s="165"/>
    </row>
    <row r="169" spans="3:28" x14ac:dyDescent="0.2">
      <c r="C169" s="148">
        <v>0.27491618283566183</v>
      </c>
      <c r="D169">
        <f t="shared" si="32"/>
        <v>39.921267849729318</v>
      </c>
      <c r="E169" s="164">
        <v>0</v>
      </c>
      <c r="F169" s="165">
        <f>E169/'Electrical System Specification'!AC$4</f>
        <v>0</v>
      </c>
      <c r="G169" s="146">
        <f>F169/('Electrical System Specification'!X$16*'Electrical System Specification'!J$16*'Electrical System Specification'!D$17)</f>
        <v>0</v>
      </c>
      <c r="H169" s="165"/>
      <c r="I169" s="173">
        <f t="shared" si="33"/>
        <v>6871.6622130335309</v>
      </c>
      <c r="J169" s="173">
        <f t="shared" si="34"/>
        <v>7621.6306710664712</v>
      </c>
      <c r="K169" s="174" t="b">
        <f>IF(E169&gt;I169,'Electrical System Specification'!AC$4*'Electrical System Specification'!J$16*'Electrical System Specification'!D$16*'Electrical System Specification'!D$17*'Electrical System Specification'!X$16)</f>
        <v>0</v>
      </c>
      <c r="L169" s="174">
        <f>IF(E169&lt;I169,'Electrical System Specification'!X$16*'Electrical System Specification'!Q$16*'Electrical System Specification'!AC$4*'Electrical System Specification'!J$16)</f>
        <v>0.83082440000000002</v>
      </c>
      <c r="M169" s="174">
        <f t="shared" si="35"/>
        <v>0.83082440000000002</v>
      </c>
      <c r="N169" s="174">
        <f t="shared" si="36"/>
        <v>0</v>
      </c>
      <c r="O169" s="173">
        <f t="shared" si="37"/>
        <v>-6871.6622130335309</v>
      </c>
      <c r="P169" s="174" t="b">
        <f t="shared" si="38"/>
        <v>0</v>
      </c>
      <c r="Q169" s="174">
        <f t="shared" si="46"/>
        <v>0</v>
      </c>
      <c r="R169" s="174">
        <f t="shared" si="45"/>
        <v>0</v>
      </c>
      <c r="S169" s="165">
        <f t="shared" si="39"/>
        <v>0</v>
      </c>
      <c r="T169" t="b">
        <f t="shared" si="40"/>
        <v>0</v>
      </c>
      <c r="U169" s="176">
        <f t="shared" si="41"/>
        <v>0</v>
      </c>
      <c r="V169" s="165">
        <f>IF(U169&lt;V$5,V$5-U169,IF(U169&gt;=V$5,0))*('Electrical System Specification'!D$16*'Electrical System Specification'!Q$16)</f>
        <v>7516.5876862264913</v>
      </c>
      <c r="W169" s="28">
        <f t="shared" si="42"/>
        <v>2066.4315946469264</v>
      </c>
      <c r="X169" s="165">
        <f>IF(U169&gt;V$5,U169-V$5,0)*'Electrical System Specification'!D$17</f>
        <v>0</v>
      </c>
      <c r="Y169">
        <f>(X169*C169)*'Electrical System Specification'!D$17</f>
        <v>0</v>
      </c>
      <c r="Z169" s="165">
        <f t="shared" si="43"/>
        <v>2066.4315946469264</v>
      </c>
      <c r="AA169" s="165">
        <f t="shared" si="44"/>
        <v>102455.74287671605</v>
      </c>
      <c r="AB169" s="165"/>
    </row>
    <row r="170" spans="3:28" x14ac:dyDescent="0.2">
      <c r="C170" s="148">
        <v>0.27877246300726083</v>
      </c>
      <c r="D170">
        <f t="shared" si="32"/>
        <v>40.200040312736576</v>
      </c>
      <c r="E170" s="164">
        <v>0</v>
      </c>
      <c r="F170" s="165">
        <f>E170/'Electrical System Specification'!AC$4</f>
        <v>0</v>
      </c>
      <c r="G170" s="146">
        <f>F170/('Electrical System Specification'!X$16*'Electrical System Specification'!J$16*'Electrical System Specification'!D$17)</f>
        <v>0</v>
      </c>
      <c r="H170" s="165"/>
      <c r="I170" s="173">
        <f t="shared" si="33"/>
        <v>6871.6622130335309</v>
      </c>
      <c r="J170" s="173">
        <f t="shared" si="34"/>
        <v>7621.6306710664712</v>
      </c>
      <c r="K170" s="174" t="b">
        <f>IF(E170&gt;I170,'Electrical System Specification'!AC$4*'Electrical System Specification'!J$16*'Electrical System Specification'!D$16*'Electrical System Specification'!D$17*'Electrical System Specification'!X$16)</f>
        <v>0</v>
      </c>
      <c r="L170" s="174">
        <f>IF(E170&lt;I170,'Electrical System Specification'!X$16*'Electrical System Specification'!Q$16*'Electrical System Specification'!AC$4*'Electrical System Specification'!J$16)</f>
        <v>0.83082440000000002</v>
      </c>
      <c r="M170" s="174">
        <f t="shared" si="35"/>
        <v>0.83082440000000002</v>
      </c>
      <c r="N170" s="174">
        <f t="shared" si="36"/>
        <v>0</v>
      </c>
      <c r="O170" s="173">
        <f t="shared" si="37"/>
        <v>-6871.6622130335309</v>
      </c>
      <c r="P170" s="174" t="b">
        <f t="shared" si="38"/>
        <v>0</v>
      </c>
      <c r="Q170" s="174">
        <f t="shared" si="46"/>
        <v>0</v>
      </c>
      <c r="R170" s="174">
        <f t="shared" si="45"/>
        <v>0</v>
      </c>
      <c r="S170" s="165">
        <f t="shared" si="39"/>
        <v>0</v>
      </c>
      <c r="T170" t="b">
        <f t="shared" si="40"/>
        <v>0</v>
      </c>
      <c r="U170" s="176">
        <f t="shared" si="41"/>
        <v>0</v>
      </c>
      <c r="V170" s="165">
        <f>IF(U170&lt;V$5,V$5-U170,IF(U170&gt;=V$5,0))*('Electrical System Specification'!D$16*'Electrical System Specification'!Q$16)</f>
        <v>7516.5876862264913</v>
      </c>
      <c r="W170" s="28">
        <f t="shared" si="42"/>
        <v>2095.4176626994067</v>
      </c>
      <c r="X170" s="165">
        <f>IF(U170&gt;V$5,U170-V$5,0)*'Electrical System Specification'!D$17</f>
        <v>0</v>
      </c>
      <c r="Y170">
        <f>(X170*C170)*'Electrical System Specification'!D$17</f>
        <v>0</v>
      </c>
      <c r="Z170" s="165">
        <f t="shared" si="43"/>
        <v>2095.4176626994067</v>
      </c>
      <c r="AA170" s="165">
        <f t="shared" si="44"/>
        <v>104551.16053941545</v>
      </c>
      <c r="AB170" s="165"/>
    </row>
    <row r="171" spans="3:28" x14ac:dyDescent="0.2">
      <c r="C171" s="148">
        <v>0.28283782807831637</v>
      </c>
      <c r="D171">
        <f t="shared" si="32"/>
        <v>40.48287814081489</v>
      </c>
      <c r="E171" s="164">
        <v>13465.906457145509</v>
      </c>
      <c r="F171" s="165">
        <f>E171/'Electrical System Specification'!AC$4</f>
        <v>13740.720874638275</v>
      </c>
      <c r="G171" s="146">
        <f>F171/('Electrical System Specification'!X$16*'Electrical System Specification'!J$16*'Electrical System Specification'!D$17)</f>
        <v>17108.323216592304</v>
      </c>
      <c r="H171" s="165"/>
      <c r="I171" s="173">
        <f t="shared" si="33"/>
        <v>6871.6622130335309</v>
      </c>
      <c r="J171" s="173">
        <f t="shared" si="34"/>
        <v>7621.6306710664712</v>
      </c>
      <c r="K171" s="174">
        <f>IF(E171&gt;I171,'Electrical System Specification'!AC$4*'Electrical System Specification'!J$16*'Electrical System Specification'!D$16*'Electrical System Specification'!D$17*'Electrical System Specification'!X$16)</f>
        <v>0.70838712000000004</v>
      </c>
      <c r="L171" s="174" t="b">
        <f>IF(E171&lt;I171,'Electrical System Specification'!X$16*'Electrical System Specification'!Q$16*'Electrical System Specification'!AC$4*'Electrical System Specification'!J$16)</f>
        <v>0</v>
      </c>
      <c r="M171" s="174">
        <f t="shared" si="35"/>
        <v>0.70838712000000004</v>
      </c>
      <c r="N171" s="174">
        <f t="shared" si="36"/>
        <v>9539.0746933667106</v>
      </c>
      <c r="O171" s="173">
        <f t="shared" si="37"/>
        <v>6594.2442441119783</v>
      </c>
      <c r="P171" s="174">
        <f t="shared" si="38"/>
        <v>9308.8144291951248</v>
      </c>
      <c r="Q171" s="174">
        <f t="shared" si="46"/>
        <v>8270.8960076684452</v>
      </c>
      <c r="R171" s="174">
        <f t="shared" si="45"/>
        <v>0</v>
      </c>
      <c r="S171" s="165" t="b">
        <f t="shared" si="39"/>
        <v>0</v>
      </c>
      <c r="T171">
        <f t="shared" si="40"/>
        <v>17579.71043686357</v>
      </c>
      <c r="U171" s="176">
        <f t="shared" si="41"/>
        <v>17579.71043686357</v>
      </c>
      <c r="V171" s="165">
        <f>IF(U171&lt;V$5,V$5-U171,IF(U171&gt;=V$5,0))*('Electrical System Specification'!D$16*'Electrical System Specification'!Q$16)</f>
        <v>0</v>
      </c>
      <c r="W171" s="28">
        <f t="shared" si="42"/>
        <v>0</v>
      </c>
      <c r="X171" s="165">
        <f>IF(U171&gt;V$5,U171-V$5,0)*'Electrical System Specification'!D$17</f>
        <v>7909.5418287282746</v>
      </c>
      <c r="Y171">
        <f>(X171*C171)*'Electrical System Specification'!D$17</f>
        <v>2013.4058687388899</v>
      </c>
      <c r="Z171" s="165">
        <f t="shared" si="43"/>
        <v>-2013.4058687388899</v>
      </c>
      <c r="AA171" s="165">
        <f t="shared" si="44"/>
        <v>102537.75467067656</v>
      </c>
      <c r="AB171" s="165"/>
    </row>
    <row r="172" spans="3:28" x14ac:dyDescent="0.2">
      <c r="C172" s="148">
        <v>0.28361143520592724</v>
      </c>
      <c r="D172">
        <f t="shared" si="32"/>
        <v>40.766489576020817</v>
      </c>
      <c r="E172" s="164">
        <v>13465.906457145509</v>
      </c>
      <c r="F172" s="165">
        <f>E172/'Electrical System Specification'!AC$4</f>
        <v>13740.720874638275</v>
      </c>
      <c r="G172" s="146">
        <f>F172/('Electrical System Specification'!X$16*'Electrical System Specification'!J$16*'Electrical System Specification'!D$17)</f>
        <v>17108.323216592304</v>
      </c>
      <c r="H172" s="165"/>
      <c r="I172" s="173">
        <f t="shared" si="33"/>
        <v>6871.6622130335309</v>
      </c>
      <c r="J172" s="173">
        <f t="shared" si="34"/>
        <v>7621.6306710664712</v>
      </c>
      <c r="K172" s="174">
        <f>IF(E172&gt;I172,'Electrical System Specification'!AC$4*'Electrical System Specification'!J$16*'Electrical System Specification'!D$16*'Electrical System Specification'!D$17*'Electrical System Specification'!X$16)</f>
        <v>0.70838712000000004</v>
      </c>
      <c r="L172" s="174" t="b">
        <f>IF(E172&lt;I172,'Electrical System Specification'!X$16*'Electrical System Specification'!Q$16*'Electrical System Specification'!AC$4*'Electrical System Specification'!J$16)</f>
        <v>0</v>
      </c>
      <c r="M172" s="174">
        <f t="shared" si="35"/>
        <v>0.70838712000000004</v>
      </c>
      <c r="N172" s="174">
        <f t="shared" si="36"/>
        <v>9539.0746933667106</v>
      </c>
      <c r="O172" s="173">
        <f t="shared" si="37"/>
        <v>6594.2442441119783</v>
      </c>
      <c r="P172" s="174">
        <f t="shared" si="38"/>
        <v>9308.8144291951248</v>
      </c>
      <c r="Q172" s="174">
        <f t="shared" si="46"/>
        <v>8270.8960076684452</v>
      </c>
      <c r="R172" s="174">
        <f t="shared" si="45"/>
        <v>0</v>
      </c>
      <c r="S172" s="165" t="b">
        <f t="shared" si="39"/>
        <v>0</v>
      </c>
      <c r="T172">
        <f t="shared" si="40"/>
        <v>17579.71043686357</v>
      </c>
      <c r="U172" s="176">
        <f t="shared" si="41"/>
        <v>17579.71043686357</v>
      </c>
      <c r="V172" s="165">
        <f>IF(U172&lt;V$5,V$5-U172,IF(U172&gt;=V$5,0))*('Electrical System Specification'!D$16*'Electrical System Specification'!Q$16)</f>
        <v>0</v>
      </c>
      <c r="W172" s="28">
        <f t="shared" si="42"/>
        <v>0</v>
      </c>
      <c r="X172" s="165">
        <f>IF(U172&gt;V$5,U172-V$5,0)*'Electrical System Specification'!D$17</f>
        <v>7909.5418287282746</v>
      </c>
      <c r="Y172">
        <f>(X172*C172)*'Electrical System Specification'!D$17</f>
        <v>2018.9128588802462</v>
      </c>
      <c r="Z172" s="165">
        <f t="shared" si="43"/>
        <v>-2018.9128588802462</v>
      </c>
      <c r="AA172" s="165">
        <f t="shared" si="44"/>
        <v>100518.84181179632</v>
      </c>
      <c r="AB172" s="165"/>
    </row>
    <row r="173" spans="3:28" x14ac:dyDescent="0.2">
      <c r="C173" s="148">
        <v>0.28413344025354037</v>
      </c>
      <c r="D173">
        <f t="shared" si="32"/>
        <v>41.050623016274358</v>
      </c>
      <c r="E173" s="164">
        <v>13465.906457145509</v>
      </c>
      <c r="F173" s="165">
        <f>E173/'Electrical System Specification'!AC$4</f>
        <v>13740.720874638275</v>
      </c>
      <c r="G173" s="146">
        <f>F173/('Electrical System Specification'!X$16*'Electrical System Specification'!J$16*'Electrical System Specification'!D$17)</f>
        <v>17108.323216592304</v>
      </c>
      <c r="H173" s="165"/>
      <c r="I173" s="173">
        <f t="shared" si="33"/>
        <v>6871.6622130335309</v>
      </c>
      <c r="J173" s="173">
        <f t="shared" si="34"/>
        <v>7621.6306710664712</v>
      </c>
      <c r="K173" s="174">
        <f>IF(E173&gt;I173,'Electrical System Specification'!AC$4*'Electrical System Specification'!J$16*'Electrical System Specification'!D$16*'Electrical System Specification'!D$17*'Electrical System Specification'!X$16)</f>
        <v>0.70838712000000004</v>
      </c>
      <c r="L173" s="174" t="b">
        <f>IF(E173&lt;I173,'Electrical System Specification'!X$16*'Electrical System Specification'!Q$16*'Electrical System Specification'!AC$4*'Electrical System Specification'!J$16)</f>
        <v>0</v>
      </c>
      <c r="M173" s="174">
        <f t="shared" si="35"/>
        <v>0.70838712000000004</v>
      </c>
      <c r="N173" s="174">
        <f t="shared" si="36"/>
        <v>9539.0746933667106</v>
      </c>
      <c r="O173" s="173">
        <f t="shared" si="37"/>
        <v>6594.2442441119783</v>
      </c>
      <c r="P173" s="174">
        <f t="shared" si="38"/>
        <v>9308.8144291951248</v>
      </c>
      <c r="Q173" s="174">
        <f t="shared" si="46"/>
        <v>8270.8960076684452</v>
      </c>
      <c r="R173" s="174">
        <f t="shared" si="45"/>
        <v>0</v>
      </c>
      <c r="S173" s="165" t="b">
        <f t="shared" si="39"/>
        <v>0</v>
      </c>
      <c r="T173">
        <f t="shared" si="40"/>
        <v>17579.71043686357</v>
      </c>
      <c r="U173" s="176">
        <f t="shared" si="41"/>
        <v>17579.71043686357</v>
      </c>
      <c r="V173" s="165">
        <f>IF(U173&lt;V$5,V$5-U173,IF(U173&gt;=V$5,0))*('Electrical System Specification'!D$16*'Electrical System Specification'!Q$16)</f>
        <v>0</v>
      </c>
      <c r="W173" s="28">
        <f t="shared" si="42"/>
        <v>0</v>
      </c>
      <c r="X173" s="165">
        <f>IF(U173&gt;V$5,U173-V$5,0)*'Electrical System Specification'!D$17</f>
        <v>7909.5418287282746</v>
      </c>
      <c r="Y173">
        <f>(X173*C173)*'Electrical System Specification'!D$17</f>
        <v>2022.6287975632595</v>
      </c>
      <c r="Z173" s="165">
        <f t="shared" si="43"/>
        <v>-2022.6287975632595</v>
      </c>
      <c r="AA173" s="165">
        <f t="shared" si="44"/>
        <v>98496.213014233057</v>
      </c>
      <c r="AB173" s="165"/>
    </row>
    <row r="174" spans="3:28" x14ac:dyDescent="0.2">
      <c r="C174" s="148">
        <v>0.28449868202897161</v>
      </c>
      <c r="D174">
        <f t="shared" si="32"/>
        <v>41.335121698303332</v>
      </c>
      <c r="E174" s="164">
        <v>13465.906457145509</v>
      </c>
      <c r="F174" s="165">
        <f>E174/'Electrical System Specification'!AC$4</f>
        <v>13740.720874638275</v>
      </c>
      <c r="G174" s="146">
        <f>F174/('Electrical System Specification'!X$16*'Electrical System Specification'!J$16*'Electrical System Specification'!D$17)</f>
        <v>17108.323216592304</v>
      </c>
      <c r="H174" s="165"/>
      <c r="I174" s="173">
        <f t="shared" si="33"/>
        <v>6871.6622130335309</v>
      </c>
      <c r="J174" s="173">
        <f t="shared" si="34"/>
        <v>7621.6306710664712</v>
      </c>
      <c r="K174" s="174">
        <f>IF(E174&gt;I174,'Electrical System Specification'!AC$4*'Electrical System Specification'!J$16*'Electrical System Specification'!D$16*'Electrical System Specification'!D$17*'Electrical System Specification'!X$16)</f>
        <v>0.70838712000000004</v>
      </c>
      <c r="L174" s="174" t="b">
        <f>IF(E174&lt;I174,'Electrical System Specification'!X$16*'Electrical System Specification'!Q$16*'Electrical System Specification'!AC$4*'Electrical System Specification'!J$16)</f>
        <v>0</v>
      </c>
      <c r="M174" s="174">
        <f t="shared" si="35"/>
        <v>0.70838712000000004</v>
      </c>
      <c r="N174" s="174">
        <f t="shared" si="36"/>
        <v>9539.0746933667106</v>
      </c>
      <c r="O174" s="173">
        <f t="shared" si="37"/>
        <v>6594.2442441119783</v>
      </c>
      <c r="P174" s="174">
        <f t="shared" si="38"/>
        <v>9308.8144291951248</v>
      </c>
      <c r="Q174" s="174">
        <f t="shared" si="46"/>
        <v>8270.8960076684452</v>
      </c>
      <c r="R174" s="174">
        <f t="shared" si="45"/>
        <v>0</v>
      </c>
      <c r="S174" s="165" t="b">
        <f t="shared" si="39"/>
        <v>0</v>
      </c>
      <c r="T174">
        <f t="shared" si="40"/>
        <v>17579.71043686357</v>
      </c>
      <c r="U174" s="176">
        <f t="shared" si="41"/>
        <v>17579.71043686357</v>
      </c>
      <c r="V174" s="165">
        <f>IF(U174&lt;V$5,V$5-U174,IF(U174&gt;=V$5,0))*('Electrical System Specification'!D$16*'Electrical System Specification'!Q$16)</f>
        <v>0</v>
      </c>
      <c r="W174" s="28">
        <f t="shared" si="42"/>
        <v>0</v>
      </c>
      <c r="X174" s="165">
        <f>IF(U174&gt;V$5,U174-V$5,0)*'Electrical System Specification'!D$17</f>
        <v>7909.5418287282746</v>
      </c>
      <c r="Y174">
        <f>(X174*C174)*'Electrical System Specification'!D$17</f>
        <v>2025.2288031535945</v>
      </c>
      <c r="Z174" s="165">
        <f t="shared" si="43"/>
        <v>-2025.2288031535945</v>
      </c>
      <c r="AA174" s="165">
        <f t="shared" si="44"/>
        <v>96470.984211079456</v>
      </c>
      <c r="AB174" s="165"/>
    </row>
    <row r="175" spans="3:28" x14ac:dyDescent="0.2">
      <c r="C175" s="148">
        <v>0.28486140101441343</v>
      </c>
      <c r="D175">
        <f t="shared" si="32"/>
        <v>41.619983099317743</v>
      </c>
      <c r="E175" s="164">
        <v>13465.906457145509</v>
      </c>
      <c r="F175" s="165">
        <f>E175/'Electrical System Specification'!AC$4</f>
        <v>13740.720874638275</v>
      </c>
      <c r="G175" s="146">
        <f>F175/('Electrical System Specification'!X$16*'Electrical System Specification'!J$16*'Electrical System Specification'!D$17)</f>
        <v>17108.323216592304</v>
      </c>
      <c r="H175" s="165"/>
      <c r="I175" s="173">
        <f t="shared" si="33"/>
        <v>6871.6622130335309</v>
      </c>
      <c r="J175" s="173">
        <f t="shared" si="34"/>
        <v>7621.6306710664712</v>
      </c>
      <c r="K175" s="174">
        <f>IF(E175&gt;I175,'Electrical System Specification'!AC$4*'Electrical System Specification'!J$16*'Electrical System Specification'!D$16*'Electrical System Specification'!D$17*'Electrical System Specification'!X$16)</f>
        <v>0.70838712000000004</v>
      </c>
      <c r="L175" s="174" t="b">
        <f>IF(E175&lt;I175,'Electrical System Specification'!X$16*'Electrical System Specification'!Q$16*'Electrical System Specification'!AC$4*'Electrical System Specification'!J$16)</f>
        <v>0</v>
      </c>
      <c r="M175" s="174">
        <f t="shared" si="35"/>
        <v>0.70838712000000004</v>
      </c>
      <c r="N175" s="174">
        <f t="shared" si="36"/>
        <v>9539.0746933667106</v>
      </c>
      <c r="O175" s="173">
        <f t="shared" si="37"/>
        <v>6594.2442441119783</v>
      </c>
      <c r="P175" s="174">
        <f t="shared" si="38"/>
        <v>9308.8144291951248</v>
      </c>
      <c r="Q175" s="174">
        <f t="shared" si="46"/>
        <v>8270.8960076684452</v>
      </c>
      <c r="R175" s="174">
        <f t="shared" si="45"/>
        <v>0</v>
      </c>
      <c r="S175" s="165" t="b">
        <f t="shared" si="39"/>
        <v>0</v>
      </c>
      <c r="T175">
        <f t="shared" si="40"/>
        <v>17579.71043686357</v>
      </c>
      <c r="U175" s="176">
        <f t="shared" si="41"/>
        <v>17579.71043686357</v>
      </c>
      <c r="V175" s="165">
        <f>IF(U175&lt;V$5,V$5-U175,IF(U175&gt;=V$5,0))*('Electrical System Specification'!D$16*'Electrical System Specification'!Q$16)</f>
        <v>0</v>
      </c>
      <c r="W175" s="28">
        <f t="shared" si="42"/>
        <v>0</v>
      </c>
      <c r="X175" s="165">
        <f>IF(U175&gt;V$5,U175-V$5,0)*'Electrical System Specification'!D$17</f>
        <v>7909.5418287282746</v>
      </c>
      <c r="Y175">
        <f>(X175*C175)*'Electrical System Specification'!D$17</f>
        <v>2027.8108500422779</v>
      </c>
      <c r="Z175" s="165">
        <f t="shared" si="43"/>
        <v>-2027.8108500422779</v>
      </c>
      <c r="AA175" s="165">
        <f t="shared" si="44"/>
        <v>94443.173361037174</v>
      </c>
      <c r="AB175" s="165"/>
    </row>
    <row r="176" spans="3:28" x14ac:dyDescent="0.2">
      <c r="C176" s="148">
        <v>0.28532252849701367</v>
      </c>
      <c r="D176">
        <f t="shared" si="32"/>
        <v>41.905305627814755</v>
      </c>
      <c r="E176" s="164">
        <v>13465.906457145509</v>
      </c>
      <c r="F176" s="165">
        <f>E176/'Electrical System Specification'!AC$4</f>
        <v>13740.720874638275</v>
      </c>
      <c r="G176" s="146">
        <f>F176/('Electrical System Specification'!X$16*'Electrical System Specification'!J$16*'Electrical System Specification'!D$17)</f>
        <v>17108.323216592304</v>
      </c>
      <c r="H176" s="165"/>
      <c r="I176" s="173">
        <f t="shared" si="33"/>
        <v>6871.6622130335309</v>
      </c>
      <c r="J176" s="173">
        <f t="shared" si="34"/>
        <v>7621.6306710664712</v>
      </c>
      <c r="K176" s="174">
        <f>IF(E176&gt;I176,'Electrical System Specification'!AC$4*'Electrical System Specification'!J$16*'Electrical System Specification'!D$16*'Electrical System Specification'!D$17*'Electrical System Specification'!X$16)</f>
        <v>0.70838712000000004</v>
      </c>
      <c r="L176" s="174" t="b">
        <f>IF(E176&lt;I176,'Electrical System Specification'!X$16*'Electrical System Specification'!Q$16*'Electrical System Specification'!AC$4*'Electrical System Specification'!J$16)</f>
        <v>0</v>
      </c>
      <c r="M176" s="174">
        <f t="shared" si="35"/>
        <v>0.70838712000000004</v>
      </c>
      <c r="N176" s="174">
        <f t="shared" si="36"/>
        <v>9539.0746933667106</v>
      </c>
      <c r="O176" s="173">
        <f t="shared" si="37"/>
        <v>6594.2442441119783</v>
      </c>
      <c r="P176" s="174">
        <f t="shared" si="38"/>
        <v>9308.8144291951248</v>
      </c>
      <c r="Q176" s="174">
        <f t="shared" si="46"/>
        <v>8270.8960076684452</v>
      </c>
      <c r="R176" s="174">
        <f t="shared" si="45"/>
        <v>0</v>
      </c>
      <c r="S176" s="165" t="b">
        <f t="shared" si="39"/>
        <v>0</v>
      </c>
      <c r="T176">
        <f t="shared" si="40"/>
        <v>17579.71043686357</v>
      </c>
      <c r="U176" s="176">
        <f t="shared" si="41"/>
        <v>17579.71043686357</v>
      </c>
      <c r="V176" s="165">
        <f>IF(U176&lt;V$5,V$5-U176,IF(U176&gt;=V$5,0))*('Electrical System Specification'!D$16*'Electrical System Specification'!Q$16)</f>
        <v>0</v>
      </c>
      <c r="W176" s="28">
        <f t="shared" si="42"/>
        <v>0</v>
      </c>
      <c r="X176" s="165">
        <f>IF(U176&gt;V$5,U176-V$5,0)*'Electrical System Specification'!D$17</f>
        <v>7909.5418287282746</v>
      </c>
      <c r="Y176">
        <f>(X176*C176)*'Electrical System Specification'!D$17</f>
        <v>2031.0934264430803</v>
      </c>
      <c r="Z176" s="165">
        <f t="shared" si="43"/>
        <v>-2031.0934264430803</v>
      </c>
      <c r="AA176" s="165">
        <f t="shared" si="44"/>
        <v>92412.07993459409</v>
      </c>
      <c r="AB176" s="165"/>
    </row>
    <row r="177" spans="3:28" x14ac:dyDescent="0.2">
      <c r="C177" s="148">
        <v>0.28574662488255348</v>
      </c>
      <c r="D177">
        <f t="shared" si="32"/>
        <v>42.191052252697311</v>
      </c>
      <c r="E177" s="164">
        <v>13465.906457145509</v>
      </c>
      <c r="F177" s="165">
        <f>E177/'Electrical System Specification'!AC$4</f>
        <v>13740.720874638275</v>
      </c>
      <c r="G177" s="146">
        <f>F177/('Electrical System Specification'!X$16*'Electrical System Specification'!J$16*'Electrical System Specification'!D$17)</f>
        <v>17108.323216592304</v>
      </c>
      <c r="H177" s="165"/>
      <c r="I177" s="173">
        <f t="shared" si="33"/>
        <v>6871.6622130335309</v>
      </c>
      <c r="J177" s="173">
        <f t="shared" si="34"/>
        <v>7621.6306710664712</v>
      </c>
      <c r="K177" s="174">
        <f>IF(E177&gt;I177,'Electrical System Specification'!AC$4*'Electrical System Specification'!J$16*'Electrical System Specification'!D$16*'Electrical System Specification'!D$17*'Electrical System Specification'!X$16)</f>
        <v>0.70838712000000004</v>
      </c>
      <c r="L177" s="174" t="b">
        <f>IF(E177&lt;I177,'Electrical System Specification'!X$16*'Electrical System Specification'!Q$16*'Electrical System Specification'!AC$4*'Electrical System Specification'!J$16)</f>
        <v>0</v>
      </c>
      <c r="M177" s="174">
        <f t="shared" si="35"/>
        <v>0.70838712000000004</v>
      </c>
      <c r="N177" s="174">
        <f t="shared" si="36"/>
        <v>9539.0746933667106</v>
      </c>
      <c r="O177" s="173">
        <f t="shared" si="37"/>
        <v>6594.2442441119783</v>
      </c>
      <c r="P177" s="174">
        <f t="shared" si="38"/>
        <v>9308.8144291951248</v>
      </c>
      <c r="Q177" s="174">
        <f t="shared" si="46"/>
        <v>8270.8960076684452</v>
      </c>
      <c r="R177" s="174">
        <f t="shared" si="45"/>
        <v>0</v>
      </c>
      <c r="S177" s="165" t="b">
        <f t="shared" si="39"/>
        <v>0</v>
      </c>
      <c r="T177">
        <f t="shared" si="40"/>
        <v>17579.71043686357</v>
      </c>
      <c r="U177" s="176">
        <f t="shared" si="41"/>
        <v>17579.71043686357</v>
      </c>
      <c r="V177" s="165">
        <f>IF(U177&lt;V$5,V$5-U177,IF(U177&gt;=V$5,0))*('Electrical System Specification'!D$16*'Electrical System Specification'!Q$16)</f>
        <v>0</v>
      </c>
      <c r="W177" s="28">
        <f t="shared" si="42"/>
        <v>0</v>
      </c>
      <c r="X177" s="165">
        <f>IF(U177&gt;V$5,U177-V$5,0)*'Electrical System Specification'!D$17</f>
        <v>7909.5418287282746</v>
      </c>
      <c r="Y177">
        <f>(X177*C177)*'Electrical System Specification'!D$17</f>
        <v>2034.1123937338359</v>
      </c>
      <c r="Z177" s="165">
        <f t="shared" si="43"/>
        <v>-2034.1123937338359</v>
      </c>
      <c r="AA177" s="165">
        <f t="shared" si="44"/>
        <v>90377.967540860249</v>
      </c>
      <c r="AB177" s="165"/>
    </row>
    <row r="178" spans="3:28" x14ac:dyDescent="0.2">
      <c r="C178" s="148">
        <v>0.28613369017114243</v>
      </c>
      <c r="D178">
        <f t="shared" si="32"/>
        <v>42.477185942868452</v>
      </c>
      <c r="E178" s="164">
        <v>13465.906457145509</v>
      </c>
      <c r="F178" s="165">
        <f>E178/'Electrical System Specification'!AC$4</f>
        <v>13740.720874638275</v>
      </c>
      <c r="G178" s="146">
        <f>F178/('Electrical System Specification'!X$16*'Electrical System Specification'!J$16*'Electrical System Specification'!D$17)</f>
        <v>17108.323216592304</v>
      </c>
      <c r="H178" s="165"/>
      <c r="I178" s="173">
        <f t="shared" si="33"/>
        <v>6871.6622130335309</v>
      </c>
      <c r="J178" s="173">
        <f t="shared" si="34"/>
        <v>7621.6306710664712</v>
      </c>
      <c r="K178" s="174">
        <f>IF(E178&gt;I178,'Electrical System Specification'!AC$4*'Electrical System Specification'!J$16*'Electrical System Specification'!D$16*'Electrical System Specification'!D$17*'Electrical System Specification'!X$16)</f>
        <v>0.70838712000000004</v>
      </c>
      <c r="L178" s="174" t="b">
        <f>IF(E178&lt;I178,'Electrical System Specification'!X$16*'Electrical System Specification'!Q$16*'Electrical System Specification'!AC$4*'Electrical System Specification'!J$16)</f>
        <v>0</v>
      </c>
      <c r="M178" s="174">
        <f t="shared" si="35"/>
        <v>0.70838712000000004</v>
      </c>
      <c r="N178" s="174">
        <f t="shared" si="36"/>
        <v>9539.0746933667106</v>
      </c>
      <c r="O178" s="173">
        <f t="shared" si="37"/>
        <v>6594.2442441119783</v>
      </c>
      <c r="P178" s="174">
        <f t="shared" si="38"/>
        <v>9308.8144291951248</v>
      </c>
      <c r="Q178" s="174">
        <f t="shared" si="46"/>
        <v>8270.8960076684452</v>
      </c>
      <c r="R178" s="174">
        <f t="shared" si="45"/>
        <v>0</v>
      </c>
      <c r="S178" s="165" t="b">
        <f t="shared" si="39"/>
        <v>0</v>
      </c>
      <c r="T178">
        <f t="shared" si="40"/>
        <v>17579.71043686357</v>
      </c>
      <c r="U178" s="176">
        <f t="shared" si="41"/>
        <v>17579.71043686357</v>
      </c>
      <c r="V178" s="165">
        <f>IF(U178&lt;V$5,V$5-U178,IF(U178&gt;=V$5,0))*('Electrical System Specification'!D$16*'Electrical System Specification'!Q$16)</f>
        <v>0</v>
      </c>
      <c r="W178" s="28">
        <f t="shared" si="42"/>
        <v>0</v>
      </c>
      <c r="X178" s="165">
        <f>IF(U178&gt;V$5,U178-V$5,0)*'Electrical System Specification'!D$17</f>
        <v>7909.5418287282746</v>
      </c>
      <c r="Y178">
        <f>(X178*C178)*'Electrical System Specification'!D$17</f>
        <v>2036.8677519153246</v>
      </c>
      <c r="Z178" s="165">
        <f t="shared" si="43"/>
        <v>-2036.8677519153246</v>
      </c>
      <c r="AA178" s="165">
        <f t="shared" si="44"/>
        <v>88341.099788944921</v>
      </c>
      <c r="AB178" s="165"/>
    </row>
    <row r="179" spans="3:28" x14ac:dyDescent="0.2">
      <c r="C179" s="148">
        <v>0.28650350130605889</v>
      </c>
      <c r="D179">
        <f t="shared" si="32"/>
        <v>42.76368944417451</v>
      </c>
      <c r="E179" s="164">
        <v>13465.906457145509</v>
      </c>
      <c r="F179" s="165">
        <f>E179/'Electrical System Specification'!AC$4</f>
        <v>13740.720874638275</v>
      </c>
      <c r="G179" s="146">
        <f>F179/('Electrical System Specification'!X$16*'Electrical System Specification'!J$16*'Electrical System Specification'!D$17)</f>
        <v>17108.323216592304</v>
      </c>
      <c r="H179" s="165"/>
      <c r="I179" s="173">
        <f t="shared" si="33"/>
        <v>6871.6622130335309</v>
      </c>
      <c r="J179" s="173">
        <f t="shared" si="34"/>
        <v>7621.6306710664712</v>
      </c>
      <c r="K179" s="174">
        <f>IF(E179&gt;I179,'Electrical System Specification'!AC$4*'Electrical System Specification'!J$16*'Electrical System Specification'!D$16*'Electrical System Specification'!D$17*'Electrical System Specification'!X$16)</f>
        <v>0.70838712000000004</v>
      </c>
      <c r="L179" s="174" t="b">
        <f>IF(E179&lt;I179,'Electrical System Specification'!X$16*'Electrical System Specification'!Q$16*'Electrical System Specification'!AC$4*'Electrical System Specification'!J$16)</f>
        <v>0</v>
      </c>
      <c r="M179" s="174">
        <f t="shared" si="35"/>
        <v>0.70838712000000004</v>
      </c>
      <c r="N179" s="174">
        <f t="shared" si="36"/>
        <v>9539.0746933667106</v>
      </c>
      <c r="O179" s="173">
        <f t="shared" si="37"/>
        <v>6594.2442441119783</v>
      </c>
      <c r="P179" s="174">
        <f t="shared" si="38"/>
        <v>9308.8144291951248</v>
      </c>
      <c r="Q179" s="174">
        <f t="shared" si="46"/>
        <v>8270.8960076684452</v>
      </c>
      <c r="R179" s="174">
        <f t="shared" si="45"/>
        <v>0</v>
      </c>
      <c r="S179" s="165" t="b">
        <f t="shared" si="39"/>
        <v>0</v>
      </c>
      <c r="T179">
        <f t="shared" si="40"/>
        <v>17579.71043686357</v>
      </c>
      <c r="U179" s="176">
        <f t="shared" si="41"/>
        <v>17579.71043686357</v>
      </c>
      <c r="V179" s="165">
        <f>IF(U179&lt;V$5,V$5-U179,IF(U179&gt;=V$5,0))*('Electrical System Specification'!D$16*'Electrical System Specification'!Q$16)</f>
        <v>0</v>
      </c>
      <c r="W179" s="28">
        <f t="shared" si="42"/>
        <v>0</v>
      </c>
      <c r="X179" s="165">
        <f>IF(U179&gt;V$5,U179-V$5,0)*'Electrical System Specification'!D$17</f>
        <v>7909.5418287282746</v>
      </c>
      <c r="Y179">
        <f>(X179*C179)*'Electrical System Specification'!D$17</f>
        <v>2039.5002848916406</v>
      </c>
      <c r="Z179" s="165">
        <f t="shared" si="43"/>
        <v>-2039.5002848916406</v>
      </c>
      <c r="AA179" s="165">
        <f t="shared" si="44"/>
        <v>86301.599504053287</v>
      </c>
      <c r="AB179" s="165"/>
    </row>
    <row r="180" spans="3:28" x14ac:dyDescent="0.2">
      <c r="C180" s="148">
        <v>0.28687128948626284</v>
      </c>
      <c r="D180">
        <f t="shared" si="32"/>
        <v>43.050560733660774</v>
      </c>
      <c r="E180" s="164">
        <v>13465.906457145509</v>
      </c>
      <c r="F180" s="165">
        <f>E180/'Electrical System Specification'!AC$4</f>
        <v>13740.720874638275</v>
      </c>
      <c r="G180" s="146">
        <f>F180/('Electrical System Specification'!X$16*'Electrical System Specification'!J$16*'Electrical System Specification'!D$17)</f>
        <v>17108.323216592304</v>
      </c>
      <c r="H180" s="165"/>
      <c r="I180" s="173">
        <f t="shared" si="33"/>
        <v>6871.6622130335309</v>
      </c>
      <c r="J180" s="173">
        <f t="shared" si="34"/>
        <v>7621.6306710664712</v>
      </c>
      <c r="K180" s="174">
        <f>IF(E180&gt;I180,'Electrical System Specification'!AC$4*'Electrical System Specification'!J$16*'Electrical System Specification'!D$16*'Electrical System Specification'!D$17*'Electrical System Specification'!X$16)</f>
        <v>0.70838712000000004</v>
      </c>
      <c r="L180" s="174" t="b">
        <f>IF(E180&lt;I180,'Electrical System Specification'!X$16*'Electrical System Specification'!Q$16*'Electrical System Specification'!AC$4*'Electrical System Specification'!J$16)</f>
        <v>0</v>
      </c>
      <c r="M180" s="174">
        <f t="shared" si="35"/>
        <v>0.70838712000000004</v>
      </c>
      <c r="N180" s="174">
        <f t="shared" si="36"/>
        <v>9539.0746933667106</v>
      </c>
      <c r="O180" s="173">
        <f t="shared" si="37"/>
        <v>6594.2442441119783</v>
      </c>
      <c r="P180" s="174">
        <f t="shared" si="38"/>
        <v>9308.8144291951248</v>
      </c>
      <c r="Q180" s="174">
        <f t="shared" si="46"/>
        <v>8270.8960076684452</v>
      </c>
      <c r="R180" s="174">
        <f t="shared" si="45"/>
        <v>0</v>
      </c>
      <c r="S180" s="165" t="b">
        <f t="shared" si="39"/>
        <v>0</v>
      </c>
      <c r="T180">
        <f t="shared" si="40"/>
        <v>17579.71043686357</v>
      </c>
      <c r="U180" s="176">
        <f t="shared" si="41"/>
        <v>17579.71043686357</v>
      </c>
      <c r="V180" s="165">
        <f>IF(U180&lt;V$5,V$5-U180,IF(U180&gt;=V$5,0))*('Electrical System Specification'!D$16*'Electrical System Specification'!Q$16)</f>
        <v>0</v>
      </c>
      <c r="W180" s="28">
        <f t="shared" si="42"/>
        <v>0</v>
      </c>
      <c r="X180" s="165">
        <f>IF(U180&gt;V$5,U180-V$5,0)*'Electrical System Specification'!D$17</f>
        <v>7909.5418287282746</v>
      </c>
      <c r="Y180">
        <f>(X180*C180)*'Electrical System Specification'!D$17</f>
        <v>2042.1184172875323</v>
      </c>
      <c r="Z180" s="165">
        <f t="shared" si="43"/>
        <v>-2042.1184172875323</v>
      </c>
      <c r="AA180" s="165">
        <f t="shared" si="44"/>
        <v>84259.481086765751</v>
      </c>
      <c r="AB180" s="165"/>
    </row>
    <row r="181" spans="3:28" x14ac:dyDescent="0.2">
      <c r="C181" s="148">
        <v>0.28724871622054965</v>
      </c>
      <c r="D181">
        <f t="shared" si="32"/>
        <v>43.337809449881327</v>
      </c>
      <c r="E181" s="164">
        <v>13465.906457145509</v>
      </c>
      <c r="F181" s="165">
        <f>E181/'Electrical System Specification'!AC$4</f>
        <v>13740.720874638275</v>
      </c>
      <c r="G181" s="146">
        <f>F181/('Electrical System Specification'!X$16*'Electrical System Specification'!J$16*'Electrical System Specification'!D$17)</f>
        <v>17108.323216592304</v>
      </c>
      <c r="H181" s="165"/>
      <c r="I181" s="173">
        <f t="shared" si="33"/>
        <v>6871.6622130335309</v>
      </c>
      <c r="J181" s="173">
        <f t="shared" si="34"/>
        <v>7621.6306710664712</v>
      </c>
      <c r="K181" s="174">
        <f>IF(E181&gt;I181,'Electrical System Specification'!AC$4*'Electrical System Specification'!J$16*'Electrical System Specification'!D$16*'Electrical System Specification'!D$17*'Electrical System Specification'!X$16)</f>
        <v>0.70838712000000004</v>
      </c>
      <c r="L181" s="174" t="b">
        <f>IF(E181&lt;I181,'Electrical System Specification'!X$16*'Electrical System Specification'!Q$16*'Electrical System Specification'!AC$4*'Electrical System Specification'!J$16)</f>
        <v>0</v>
      </c>
      <c r="M181" s="174">
        <f t="shared" si="35"/>
        <v>0.70838712000000004</v>
      </c>
      <c r="N181" s="174">
        <f t="shared" si="36"/>
        <v>9539.0746933667106</v>
      </c>
      <c r="O181" s="173">
        <f t="shared" si="37"/>
        <v>6594.2442441119783</v>
      </c>
      <c r="P181" s="174">
        <f t="shared" si="38"/>
        <v>9308.8144291951248</v>
      </c>
      <c r="Q181" s="174">
        <f t="shared" si="46"/>
        <v>8270.8960076684452</v>
      </c>
      <c r="R181" s="174">
        <f t="shared" si="45"/>
        <v>0</v>
      </c>
      <c r="S181" s="165" t="b">
        <f t="shared" si="39"/>
        <v>0</v>
      </c>
      <c r="T181">
        <f t="shared" si="40"/>
        <v>17579.71043686357</v>
      </c>
      <c r="U181" s="176">
        <f t="shared" si="41"/>
        <v>17579.71043686357</v>
      </c>
      <c r="V181" s="165">
        <f>IF(U181&lt;V$5,V$5-U181,IF(U181&gt;=V$5,0))*('Electrical System Specification'!D$16*'Electrical System Specification'!Q$16)</f>
        <v>0</v>
      </c>
      <c r="W181" s="28">
        <f t="shared" si="42"/>
        <v>0</v>
      </c>
      <c r="X181" s="165">
        <f>IF(U181&gt;V$5,U181-V$5,0)*'Electrical System Specification'!D$17</f>
        <v>7909.5418287282746</v>
      </c>
      <c r="Y181">
        <f>(X181*C181)*'Electrical System Specification'!D$17</f>
        <v>2044.8051625754417</v>
      </c>
      <c r="Z181" s="165">
        <f t="shared" si="43"/>
        <v>-2044.8051625754417</v>
      </c>
      <c r="AA181" s="165">
        <f t="shared" si="44"/>
        <v>82214.675924190306</v>
      </c>
      <c r="AB181" s="165"/>
    </row>
    <row r="182" spans="3:28" x14ac:dyDescent="0.2">
      <c r="C182" s="148">
        <v>0.28763730462884834</v>
      </c>
      <c r="D182">
        <f t="shared" si="32"/>
        <v>43.625446754510172</v>
      </c>
      <c r="E182" s="164">
        <v>13465.906457145509</v>
      </c>
      <c r="F182" s="165">
        <f>E182/'Electrical System Specification'!AC$4</f>
        <v>13740.720874638275</v>
      </c>
      <c r="G182" s="146">
        <f>F182/('Electrical System Specification'!X$16*'Electrical System Specification'!J$16*'Electrical System Specification'!D$17)</f>
        <v>17108.323216592304</v>
      </c>
      <c r="H182" s="165"/>
      <c r="I182" s="173">
        <f t="shared" si="33"/>
        <v>6871.6622130335309</v>
      </c>
      <c r="J182" s="173">
        <f t="shared" si="34"/>
        <v>7621.6306710664712</v>
      </c>
      <c r="K182" s="174">
        <f>IF(E182&gt;I182,'Electrical System Specification'!AC$4*'Electrical System Specification'!J$16*'Electrical System Specification'!D$16*'Electrical System Specification'!D$17*'Electrical System Specification'!X$16)</f>
        <v>0.70838712000000004</v>
      </c>
      <c r="L182" s="174" t="b">
        <f>IF(E182&lt;I182,'Electrical System Specification'!X$16*'Electrical System Specification'!Q$16*'Electrical System Specification'!AC$4*'Electrical System Specification'!J$16)</f>
        <v>0</v>
      </c>
      <c r="M182" s="174">
        <f t="shared" si="35"/>
        <v>0.70838712000000004</v>
      </c>
      <c r="N182" s="174">
        <f t="shared" si="36"/>
        <v>9539.0746933667106</v>
      </c>
      <c r="O182" s="173">
        <f t="shared" si="37"/>
        <v>6594.2442441119783</v>
      </c>
      <c r="P182" s="174">
        <f t="shared" si="38"/>
        <v>9308.8144291951248</v>
      </c>
      <c r="Q182" s="174">
        <f t="shared" si="46"/>
        <v>8270.8960076684452</v>
      </c>
      <c r="R182" s="174">
        <f t="shared" si="45"/>
        <v>0</v>
      </c>
      <c r="S182" s="165" t="b">
        <f t="shared" si="39"/>
        <v>0</v>
      </c>
      <c r="T182">
        <f t="shared" si="40"/>
        <v>17579.71043686357</v>
      </c>
      <c r="U182" s="176">
        <f t="shared" si="41"/>
        <v>17579.71043686357</v>
      </c>
      <c r="V182" s="165">
        <f>IF(U182&lt;V$5,V$5-U182,IF(U182&gt;=V$5,0))*('Electrical System Specification'!D$16*'Electrical System Specification'!Q$16)</f>
        <v>0</v>
      </c>
      <c r="W182" s="28">
        <f t="shared" si="42"/>
        <v>0</v>
      </c>
      <c r="X182" s="165">
        <f>IF(U182&gt;V$5,U182-V$5,0)*'Electrical System Specification'!D$17</f>
        <v>7909.5418287282746</v>
      </c>
      <c r="Y182">
        <f>(X182*C182)*'Electrical System Specification'!D$17</f>
        <v>2047.5713632180798</v>
      </c>
      <c r="Z182" s="165">
        <f t="shared" si="43"/>
        <v>-2047.5713632180798</v>
      </c>
      <c r="AA182" s="165">
        <f t="shared" si="44"/>
        <v>80167.10456097222</v>
      </c>
      <c r="AB182" s="165"/>
    </row>
    <row r="183" spans="3:28" x14ac:dyDescent="0.2">
      <c r="C183" s="148">
        <v>0.28805176246033259</v>
      </c>
      <c r="D183">
        <f t="shared" si="32"/>
        <v>43.913498516970506</v>
      </c>
      <c r="E183" s="164">
        <v>13465.906457145509</v>
      </c>
      <c r="F183" s="165">
        <f>E183/'Electrical System Specification'!AC$4</f>
        <v>13740.720874638275</v>
      </c>
      <c r="G183" s="146">
        <f>F183/('Electrical System Specification'!X$16*'Electrical System Specification'!J$16*'Electrical System Specification'!D$17)</f>
        <v>17108.323216592304</v>
      </c>
      <c r="H183" s="165"/>
      <c r="I183" s="173">
        <f t="shared" si="33"/>
        <v>6871.6622130335309</v>
      </c>
      <c r="J183" s="173">
        <f t="shared" si="34"/>
        <v>7621.6306710664712</v>
      </c>
      <c r="K183" s="174">
        <f>IF(E183&gt;I183,'Electrical System Specification'!AC$4*'Electrical System Specification'!J$16*'Electrical System Specification'!D$16*'Electrical System Specification'!D$17*'Electrical System Specification'!X$16)</f>
        <v>0.70838712000000004</v>
      </c>
      <c r="L183" s="174" t="b">
        <f>IF(E183&lt;I183,'Electrical System Specification'!X$16*'Electrical System Specification'!Q$16*'Electrical System Specification'!AC$4*'Electrical System Specification'!J$16)</f>
        <v>0</v>
      </c>
      <c r="M183" s="174">
        <f t="shared" si="35"/>
        <v>0.70838712000000004</v>
      </c>
      <c r="N183" s="174">
        <f t="shared" si="36"/>
        <v>9539.0746933667106</v>
      </c>
      <c r="O183" s="173">
        <f t="shared" si="37"/>
        <v>6594.2442441119783</v>
      </c>
      <c r="P183" s="174">
        <f t="shared" si="38"/>
        <v>9308.8144291951248</v>
      </c>
      <c r="Q183" s="174">
        <f t="shared" si="46"/>
        <v>8270.8960076684452</v>
      </c>
      <c r="R183" s="174">
        <f t="shared" si="45"/>
        <v>0</v>
      </c>
      <c r="S183" s="165" t="b">
        <f t="shared" si="39"/>
        <v>0</v>
      </c>
      <c r="T183">
        <f t="shared" si="40"/>
        <v>17579.71043686357</v>
      </c>
      <c r="U183" s="176">
        <f t="shared" si="41"/>
        <v>17579.71043686357</v>
      </c>
      <c r="V183" s="165">
        <f>IF(U183&lt;V$5,V$5-U183,IF(U183&gt;=V$5,0))*('Electrical System Specification'!D$16*'Electrical System Specification'!Q$16)</f>
        <v>0</v>
      </c>
      <c r="W183" s="28">
        <f t="shared" si="42"/>
        <v>0</v>
      </c>
      <c r="X183" s="165">
        <f>IF(U183&gt;V$5,U183-V$5,0)*'Electrical System Specification'!D$17</f>
        <v>7909.5418287282746</v>
      </c>
      <c r="Y183">
        <f>(X183*C183)*'Electrical System Specification'!D$17</f>
        <v>2050.5217176170117</v>
      </c>
      <c r="Z183" s="165">
        <f t="shared" si="43"/>
        <v>-2050.5217176170117</v>
      </c>
      <c r="AA183" s="165">
        <f t="shared" si="44"/>
        <v>78116.582843355209</v>
      </c>
      <c r="AB183" s="165"/>
    </row>
    <row r="184" spans="3:28" x14ac:dyDescent="0.2">
      <c r="C184" s="148">
        <v>0.28847433572583397</v>
      </c>
      <c r="D184">
        <f t="shared" si="32"/>
        <v>44.201972852696343</v>
      </c>
      <c r="E184" s="164">
        <v>13465.906457145509</v>
      </c>
      <c r="F184" s="165">
        <f>E184/'Electrical System Specification'!AC$4</f>
        <v>13740.720874638275</v>
      </c>
      <c r="G184" s="146">
        <f>F184/('Electrical System Specification'!X$16*'Electrical System Specification'!J$16*'Electrical System Specification'!D$17)</f>
        <v>17108.323216592304</v>
      </c>
      <c r="H184" s="165"/>
      <c r="I184" s="173">
        <f t="shared" si="33"/>
        <v>6871.6622130335309</v>
      </c>
      <c r="J184" s="173">
        <f t="shared" si="34"/>
        <v>7621.6306710664712</v>
      </c>
      <c r="K184" s="174">
        <f>IF(E184&gt;I184,'Electrical System Specification'!AC$4*'Electrical System Specification'!J$16*'Electrical System Specification'!D$16*'Electrical System Specification'!D$17*'Electrical System Specification'!X$16)</f>
        <v>0.70838712000000004</v>
      </c>
      <c r="L184" s="174" t="b">
        <f>IF(E184&lt;I184,'Electrical System Specification'!X$16*'Electrical System Specification'!Q$16*'Electrical System Specification'!AC$4*'Electrical System Specification'!J$16)</f>
        <v>0</v>
      </c>
      <c r="M184" s="174">
        <f t="shared" si="35"/>
        <v>0.70838712000000004</v>
      </c>
      <c r="N184" s="174">
        <f t="shared" si="36"/>
        <v>9539.0746933667106</v>
      </c>
      <c r="O184" s="173">
        <f t="shared" si="37"/>
        <v>6594.2442441119783</v>
      </c>
      <c r="P184" s="174">
        <f t="shared" si="38"/>
        <v>9308.8144291951248</v>
      </c>
      <c r="Q184" s="174">
        <f t="shared" si="46"/>
        <v>8270.8960076684452</v>
      </c>
      <c r="R184" s="174">
        <f t="shared" si="45"/>
        <v>0</v>
      </c>
      <c r="S184" s="165" t="b">
        <f t="shared" si="39"/>
        <v>0</v>
      </c>
      <c r="T184">
        <f t="shared" si="40"/>
        <v>17579.71043686357</v>
      </c>
      <c r="U184" s="176">
        <f t="shared" si="41"/>
        <v>17579.71043686357</v>
      </c>
      <c r="V184" s="165">
        <f>IF(U184&lt;V$5,V$5-U184,IF(U184&gt;=V$5,0))*('Electrical System Specification'!D$16*'Electrical System Specification'!Q$16)</f>
        <v>0</v>
      </c>
      <c r="W184" s="28">
        <f t="shared" si="42"/>
        <v>0</v>
      </c>
      <c r="X184" s="165">
        <f>IF(U184&gt;V$5,U184-V$5,0)*'Electrical System Specification'!D$17</f>
        <v>7909.5418287282746</v>
      </c>
      <c r="Y184">
        <f>(X184*C184)*'Electrical System Specification'!D$17</f>
        <v>2053.5298424442785</v>
      </c>
      <c r="Z184" s="165">
        <f t="shared" si="43"/>
        <v>-2053.5298424442785</v>
      </c>
      <c r="AA184" s="165">
        <f t="shared" si="44"/>
        <v>76063.053000910935</v>
      </c>
      <c r="AB184" s="165"/>
    </row>
    <row r="185" spans="3:28" x14ac:dyDescent="0.2">
      <c r="C185" s="148">
        <v>0.28890147835109453</v>
      </c>
      <c r="D185">
        <f t="shared" si="32"/>
        <v>44.490874331047436</v>
      </c>
      <c r="E185" s="164">
        <v>13465.906457145509</v>
      </c>
      <c r="F185" s="165">
        <f>E185/'Electrical System Specification'!AC$4</f>
        <v>13740.720874638275</v>
      </c>
      <c r="G185" s="146">
        <f>F185/('Electrical System Specification'!X$16*'Electrical System Specification'!J$16*'Electrical System Specification'!D$17)</f>
        <v>17108.323216592304</v>
      </c>
      <c r="H185" s="165"/>
      <c r="I185" s="173">
        <f t="shared" si="33"/>
        <v>6871.6622130335309</v>
      </c>
      <c r="J185" s="173">
        <f t="shared" si="34"/>
        <v>7621.6306710664712</v>
      </c>
      <c r="K185" s="174">
        <f>IF(E185&gt;I185,'Electrical System Specification'!AC$4*'Electrical System Specification'!J$16*'Electrical System Specification'!D$16*'Electrical System Specification'!D$17*'Electrical System Specification'!X$16)</f>
        <v>0.70838712000000004</v>
      </c>
      <c r="L185" s="174" t="b">
        <f>IF(E185&lt;I185,'Electrical System Specification'!X$16*'Electrical System Specification'!Q$16*'Electrical System Specification'!AC$4*'Electrical System Specification'!J$16)</f>
        <v>0</v>
      </c>
      <c r="M185" s="174">
        <f t="shared" si="35"/>
        <v>0.70838712000000004</v>
      </c>
      <c r="N185" s="174">
        <f t="shared" si="36"/>
        <v>9539.0746933667106</v>
      </c>
      <c r="O185" s="173">
        <f t="shared" si="37"/>
        <v>6594.2442441119783</v>
      </c>
      <c r="P185" s="174">
        <f t="shared" si="38"/>
        <v>9308.8144291951248</v>
      </c>
      <c r="Q185" s="174">
        <f t="shared" si="46"/>
        <v>8270.8960076684452</v>
      </c>
      <c r="R185" s="174">
        <f t="shared" si="45"/>
        <v>0</v>
      </c>
      <c r="S185" s="165" t="b">
        <f t="shared" si="39"/>
        <v>0</v>
      </c>
      <c r="T185">
        <f t="shared" si="40"/>
        <v>17579.71043686357</v>
      </c>
      <c r="U185" s="176">
        <f t="shared" si="41"/>
        <v>17579.71043686357</v>
      </c>
      <c r="V185" s="165">
        <f>IF(U185&lt;V$5,V$5-U185,IF(U185&gt;=V$5,0))*('Electrical System Specification'!D$16*'Electrical System Specification'!Q$16)</f>
        <v>0</v>
      </c>
      <c r="W185" s="28">
        <f t="shared" si="42"/>
        <v>0</v>
      </c>
      <c r="X185" s="165">
        <f>IF(U185&gt;V$5,U185-V$5,0)*'Electrical System Specification'!D$17</f>
        <v>7909.5418287282746</v>
      </c>
      <c r="Y185">
        <f>(X185*C185)*'Electrical System Specification'!D$17</f>
        <v>2056.5704946594765</v>
      </c>
      <c r="Z185" s="165">
        <f t="shared" si="43"/>
        <v>-2056.5704946594765</v>
      </c>
      <c r="AA185" s="165">
        <f t="shared" si="44"/>
        <v>74006.482506251457</v>
      </c>
      <c r="AB185" s="165"/>
    </row>
    <row r="186" spans="3:28" x14ac:dyDescent="0.2">
      <c r="C186" s="148">
        <v>0.28934332872528229</v>
      </c>
      <c r="D186">
        <f t="shared" si="32"/>
        <v>44.780217659772717</v>
      </c>
      <c r="E186" s="164">
        <v>13465.906457145509</v>
      </c>
      <c r="F186" s="165">
        <f>E186/'Electrical System Specification'!AC$4</f>
        <v>13740.720874638275</v>
      </c>
      <c r="G186" s="146">
        <f>F186/('Electrical System Specification'!X$16*'Electrical System Specification'!J$16*'Electrical System Specification'!D$17)</f>
        <v>17108.323216592304</v>
      </c>
      <c r="H186" s="165"/>
      <c r="I186" s="173">
        <f t="shared" si="33"/>
        <v>6871.6622130335309</v>
      </c>
      <c r="J186" s="173">
        <f t="shared" si="34"/>
        <v>7621.6306710664712</v>
      </c>
      <c r="K186" s="174">
        <f>IF(E186&gt;I186,'Electrical System Specification'!AC$4*'Electrical System Specification'!J$16*'Electrical System Specification'!D$16*'Electrical System Specification'!D$17*'Electrical System Specification'!X$16)</f>
        <v>0.70838712000000004</v>
      </c>
      <c r="L186" s="174" t="b">
        <f>IF(E186&lt;I186,'Electrical System Specification'!X$16*'Electrical System Specification'!Q$16*'Electrical System Specification'!AC$4*'Electrical System Specification'!J$16)</f>
        <v>0</v>
      </c>
      <c r="M186" s="174">
        <f t="shared" si="35"/>
        <v>0.70838712000000004</v>
      </c>
      <c r="N186" s="174">
        <f t="shared" si="36"/>
        <v>9539.0746933667106</v>
      </c>
      <c r="O186" s="173">
        <f t="shared" si="37"/>
        <v>6594.2442441119783</v>
      </c>
      <c r="P186" s="174">
        <f t="shared" si="38"/>
        <v>9308.8144291951248</v>
      </c>
      <c r="Q186" s="174">
        <f t="shared" si="46"/>
        <v>8270.8960076684452</v>
      </c>
      <c r="R186" s="174">
        <f t="shared" si="45"/>
        <v>0</v>
      </c>
      <c r="S186" s="165" t="b">
        <f t="shared" si="39"/>
        <v>0</v>
      </c>
      <c r="T186">
        <f t="shared" si="40"/>
        <v>17579.71043686357</v>
      </c>
      <c r="U186" s="176">
        <f t="shared" si="41"/>
        <v>17579.71043686357</v>
      </c>
      <c r="V186" s="165">
        <f>IF(U186&lt;V$5,V$5-U186,IF(U186&gt;=V$5,0))*('Electrical System Specification'!D$16*'Electrical System Specification'!Q$16)</f>
        <v>0</v>
      </c>
      <c r="W186" s="28">
        <f t="shared" si="42"/>
        <v>0</v>
      </c>
      <c r="X186" s="165">
        <f>IF(U186&gt;V$5,U186-V$5,0)*'Electrical System Specification'!D$17</f>
        <v>7909.5418287282746</v>
      </c>
      <c r="Y186">
        <f>(X186*C186)*'Electrical System Specification'!D$17</f>
        <v>2059.7158452744861</v>
      </c>
      <c r="Z186" s="165">
        <f t="shared" si="43"/>
        <v>-2059.7158452744861</v>
      </c>
      <c r="AA186" s="165">
        <f t="shared" si="44"/>
        <v>71946.766660976966</v>
      </c>
      <c r="AB186" s="165"/>
    </row>
    <row r="187" spans="3:28" x14ac:dyDescent="0.2">
      <c r="C187" s="148">
        <v>0.28981054868718709</v>
      </c>
      <c r="D187">
        <f t="shared" si="32"/>
        <v>45.070028208459902</v>
      </c>
      <c r="E187" s="164">
        <v>13465.906457145509</v>
      </c>
      <c r="F187" s="165">
        <f>E187/'Electrical System Specification'!AC$4</f>
        <v>13740.720874638275</v>
      </c>
      <c r="G187" s="146">
        <f>F187/('Electrical System Specification'!X$16*'Electrical System Specification'!J$16*'Electrical System Specification'!D$17)</f>
        <v>17108.323216592304</v>
      </c>
      <c r="H187" s="165"/>
      <c r="I187" s="173">
        <f t="shared" si="33"/>
        <v>6871.6622130335309</v>
      </c>
      <c r="J187" s="173">
        <f t="shared" si="34"/>
        <v>7621.6306710664712</v>
      </c>
      <c r="K187" s="174">
        <f>IF(E187&gt;I187,'Electrical System Specification'!AC$4*'Electrical System Specification'!J$16*'Electrical System Specification'!D$16*'Electrical System Specification'!D$17*'Electrical System Specification'!X$16)</f>
        <v>0.70838712000000004</v>
      </c>
      <c r="L187" s="174" t="b">
        <f>IF(E187&lt;I187,'Electrical System Specification'!X$16*'Electrical System Specification'!Q$16*'Electrical System Specification'!AC$4*'Electrical System Specification'!J$16)</f>
        <v>0</v>
      </c>
      <c r="M187" s="174">
        <f t="shared" si="35"/>
        <v>0.70838712000000004</v>
      </c>
      <c r="N187" s="174">
        <f t="shared" si="36"/>
        <v>9539.0746933667106</v>
      </c>
      <c r="O187" s="173">
        <f t="shared" si="37"/>
        <v>6594.2442441119783</v>
      </c>
      <c r="P187" s="174">
        <f t="shared" si="38"/>
        <v>9308.8144291951248</v>
      </c>
      <c r="Q187" s="174">
        <f t="shared" si="46"/>
        <v>8270.8960076684452</v>
      </c>
      <c r="R187" s="174">
        <f t="shared" si="45"/>
        <v>0</v>
      </c>
      <c r="S187" s="165" t="b">
        <f t="shared" si="39"/>
        <v>0</v>
      </c>
      <c r="T187">
        <f t="shared" si="40"/>
        <v>17579.71043686357</v>
      </c>
      <c r="U187" s="176">
        <f t="shared" si="41"/>
        <v>17579.71043686357</v>
      </c>
      <c r="V187" s="165">
        <f>IF(U187&lt;V$5,V$5-U187,IF(U187&gt;=V$5,0))*('Electrical System Specification'!D$16*'Electrical System Specification'!Q$16)</f>
        <v>0</v>
      </c>
      <c r="W187" s="28">
        <f t="shared" si="42"/>
        <v>0</v>
      </c>
      <c r="X187" s="165">
        <f>IF(U187&gt;V$5,U187-V$5,0)*'Electrical System Specification'!D$17</f>
        <v>7909.5418287282746</v>
      </c>
      <c r="Y187">
        <f>(X187*C187)*'Electrical System Specification'!D$17</f>
        <v>2063.0417915231988</v>
      </c>
      <c r="Z187" s="165">
        <f t="shared" si="43"/>
        <v>-2063.0417915231988</v>
      </c>
      <c r="AA187" s="165">
        <f t="shared" si="44"/>
        <v>69883.72486945377</v>
      </c>
      <c r="AB187" s="165"/>
    </row>
    <row r="188" spans="3:28" x14ac:dyDescent="0.2">
      <c r="C188" s="148">
        <v>0.29033255373485506</v>
      </c>
      <c r="D188">
        <f t="shared" si="32"/>
        <v>45.360360762194759</v>
      </c>
      <c r="E188" s="164">
        <v>13465.906457145509</v>
      </c>
      <c r="F188" s="165">
        <f>E188/'Electrical System Specification'!AC$4</f>
        <v>13740.720874638275</v>
      </c>
      <c r="G188" s="146">
        <f>F188/('Electrical System Specification'!X$16*'Electrical System Specification'!J$16*'Electrical System Specification'!D$17)</f>
        <v>17108.323216592304</v>
      </c>
      <c r="H188" s="165"/>
      <c r="I188" s="173">
        <f t="shared" si="33"/>
        <v>6871.6622130335309</v>
      </c>
      <c r="J188" s="173">
        <f t="shared" si="34"/>
        <v>7621.6306710664712</v>
      </c>
      <c r="K188" s="174">
        <f>IF(E188&gt;I188,'Electrical System Specification'!AC$4*'Electrical System Specification'!J$16*'Electrical System Specification'!D$16*'Electrical System Specification'!D$17*'Electrical System Specification'!X$16)</f>
        <v>0.70838712000000004</v>
      </c>
      <c r="L188" s="174" t="b">
        <f>IF(E188&lt;I188,'Electrical System Specification'!X$16*'Electrical System Specification'!Q$16*'Electrical System Specification'!AC$4*'Electrical System Specification'!J$16)</f>
        <v>0</v>
      </c>
      <c r="M188" s="174">
        <f t="shared" si="35"/>
        <v>0.70838712000000004</v>
      </c>
      <c r="N188" s="174">
        <f t="shared" si="36"/>
        <v>9539.0746933667106</v>
      </c>
      <c r="O188" s="173">
        <f t="shared" si="37"/>
        <v>6594.2442441119783</v>
      </c>
      <c r="P188" s="174">
        <f t="shared" si="38"/>
        <v>9308.8144291951248</v>
      </c>
      <c r="Q188" s="174">
        <f t="shared" si="46"/>
        <v>8270.8960076684452</v>
      </c>
      <c r="R188" s="174">
        <f t="shared" si="45"/>
        <v>0</v>
      </c>
      <c r="S188" s="165" t="b">
        <f t="shared" si="39"/>
        <v>0</v>
      </c>
      <c r="T188">
        <f t="shared" si="40"/>
        <v>17579.71043686357</v>
      </c>
      <c r="U188" s="176">
        <f t="shared" si="41"/>
        <v>17579.71043686357</v>
      </c>
      <c r="V188" s="165">
        <f>IF(U188&lt;V$5,V$5-U188,IF(U188&gt;=V$5,0))*('Electrical System Specification'!D$16*'Electrical System Specification'!Q$16)</f>
        <v>0</v>
      </c>
      <c r="W188" s="28">
        <f t="shared" si="42"/>
        <v>0</v>
      </c>
      <c r="X188" s="165">
        <f>IF(U188&gt;V$5,U188-V$5,0)*'Electrical System Specification'!D$17</f>
        <v>7909.5418287282746</v>
      </c>
      <c r="Y188">
        <f>(X188*C188)*'Electrical System Specification'!D$17</f>
        <v>2066.757730206602</v>
      </c>
      <c r="Z188" s="165">
        <f t="shared" si="43"/>
        <v>-2066.757730206602</v>
      </c>
      <c r="AA188" s="165">
        <f t="shared" si="44"/>
        <v>67816.967139247165</v>
      </c>
      <c r="AB188" s="165"/>
    </row>
    <row r="189" spans="3:28" x14ac:dyDescent="0.2">
      <c r="C189" s="148">
        <v>0.29091391322733312</v>
      </c>
      <c r="D189">
        <f t="shared" si="32"/>
        <v>45.651274675422094</v>
      </c>
      <c r="E189" s="164">
        <v>13465.906457145509</v>
      </c>
      <c r="F189" s="165">
        <f>E189/'Electrical System Specification'!AC$4</f>
        <v>13740.720874638275</v>
      </c>
      <c r="G189" s="146">
        <f>F189/('Electrical System Specification'!X$16*'Electrical System Specification'!J$16*'Electrical System Specification'!D$17)</f>
        <v>17108.323216592304</v>
      </c>
      <c r="H189" s="165"/>
      <c r="I189" s="173">
        <f t="shared" si="33"/>
        <v>6871.6622130335309</v>
      </c>
      <c r="J189" s="173">
        <f t="shared" si="34"/>
        <v>7621.6306710664712</v>
      </c>
      <c r="K189" s="174">
        <f>IF(E189&gt;I189,'Electrical System Specification'!AC$4*'Electrical System Specification'!J$16*'Electrical System Specification'!D$16*'Electrical System Specification'!D$17*'Electrical System Specification'!X$16)</f>
        <v>0.70838712000000004</v>
      </c>
      <c r="L189" s="174" t="b">
        <f>IF(E189&lt;I189,'Electrical System Specification'!X$16*'Electrical System Specification'!Q$16*'Electrical System Specification'!AC$4*'Electrical System Specification'!J$16)</f>
        <v>0</v>
      </c>
      <c r="M189" s="174">
        <f t="shared" si="35"/>
        <v>0.70838712000000004</v>
      </c>
      <c r="N189" s="174">
        <f t="shared" si="36"/>
        <v>9539.0746933667106</v>
      </c>
      <c r="O189" s="173">
        <f t="shared" si="37"/>
        <v>6594.2442441119783</v>
      </c>
      <c r="P189" s="174">
        <f t="shared" si="38"/>
        <v>9308.8144291951248</v>
      </c>
      <c r="Q189" s="174">
        <f t="shared" si="46"/>
        <v>8270.8960076684452</v>
      </c>
      <c r="R189" s="174">
        <f t="shared" si="45"/>
        <v>0</v>
      </c>
      <c r="S189" s="165" t="b">
        <f t="shared" si="39"/>
        <v>0</v>
      </c>
      <c r="T189">
        <f t="shared" si="40"/>
        <v>17579.71043686357</v>
      </c>
      <c r="U189" s="176">
        <f t="shared" si="41"/>
        <v>17579.71043686357</v>
      </c>
      <c r="V189" s="165">
        <f>IF(U189&lt;V$5,V$5-U189,IF(U189&gt;=V$5,0))*('Electrical System Specification'!D$16*'Electrical System Specification'!Q$16)</f>
        <v>0</v>
      </c>
      <c r="W189" s="28">
        <f t="shared" si="42"/>
        <v>0</v>
      </c>
      <c r="X189" s="165">
        <f>IF(U189&gt;V$5,U189-V$5,0)*'Electrical System Specification'!D$17</f>
        <v>7909.5418287282746</v>
      </c>
      <c r="Y189">
        <f>(X189*C189)*'Electrical System Specification'!D$17</f>
        <v>2070.896188707557</v>
      </c>
      <c r="Z189" s="165">
        <f t="shared" si="43"/>
        <v>-2070.896188707557</v>
      </c>
      <c r="AA189" s="165">
        <f t="shared" si="44"/>
        <v>65746.070950539608</v>
      </c>
      <c r="AB189" s="165"/>
    </row>
    <row r="190" spans="3:28" x14ac:dyDescent="0.2">
      <c r="C190" s="148">
        <v>0.29151150358888639</v>
      </c>
      <c r="D190">
        <f t="shared" si="32"/>
        <v>45.94278617901098</v>
      </c>
      <c r="E190" s="164">
        <v>13465.906457145509</v>
      </c>
      <c r="F190" s="165">
        <f>E190/'Electrical System Specification'!AC$4</f>
        <v>13740.720874638275</v>
      </c>
      <c r="G190" s="146">
        <f>F190/('Electrical System Specification'!X$16*'Electrical System Specification'!J$16*'Electrical System Specification'!D$17)</f>
        <v>17108.323216592304</v>
      </c>
      <c r="H190" s="165"/>
      <c r="I190" s="173">
        <f t="shared" si="33"/>
        <v>6871.6622130335309</v>
      </c>
      <c r="J190" s="173">
        <f t="shared" si="34"/>
        <v>7621.6306710664712</v>
      </c>
      <c r="K190" s="174">
        <f>IF(E190&gt;I190,'Electrical System Specification'!AC$4*'Electrical System Specification'!J$16*'Electrical System Specification'!D$16*'Electrical System Specification'!D$17*'Electrical System Specification'!X$16)</f>
        <v>0.70838712000000004</v>
      </c>
      <c r="L190" s="174" t="b">
        <f>IF(E190&lt;I190,'Electrical System Specification'!X$16*'Electrical System Specification'!Q$16*'Electrical System Specification'!AC$4*'Electrical System Specification'!J$16)</f>
        <v>0</v>
      </c>
      <c r="M190" s="174">
        <f t="shared" si="35"/>
        <v>0.70838712000000004</v>
      </c>
      <c r="N190" s="174">
        <f t="shared" si="36"/>
        <v>9539.0746933667106</v>
      </c>
      <c r="O190" s="173">
        <f t="shared" si="37"/>
        <v>6594.2442441119783</v>
      </c>
      <c r="P190" s="174">
        <f t="shared" si="38"/>
        <v>9308.8144291951248</v>
      </c>
      <c r="Q190" s="174">
        <f t="shared" si="46"/>
        <v>8270.8960076684452</v>
      </c>
      <c r="R190" s="174">
        <f t="shared" si="45"/>
        <v>0</v>
      </c>
      <c r="S190" s="165" t="b">
        <f t="shared" si="39"/>
        <v>0</v>
      </c>
      <c r="T190">
        <f t="shared" si="40"/>
        <v>17579.71043686357</v>
      </c>
      <c r="U190" s="176">
        <f t="shared" si="41"/>
        <v>17579.71043686357</v>
      </c>
      <c r="V190" s="165">
        <f>IF(U190&lt;V$5,V$5-U190,IF(U190&gt;=V$5,0))*('Electrical System Specification'!D$16*'Electrical System Specification'!Q$16)</f>
        <v>0</v>
      </c>
      <c r="W190" s="28">
        <f t="shared" si="42"/>
        <v>0</v>
      </c>
      <c r="X190" s="165">
        <f>IF(U190&gt;V$5,U190-V$5,0)*'Electrical System Specification'!D$17</f>
        <v>7909.5418287282746</v>
      </c>
      <c r="Y190">
        <f>(X190*C190)*'Electrical System Specification'!D$17</f>
        <v>2075.1501880725923</v>
      </c>
      <c r="Z190" s="165">
        <f t="shared" si="43"/>
        <v>-2075.1501880725923</v>
      </c>
      <c r="AA190" s="165">
        <f t="shared" si="44"/>
        <v>63670.920762467016</v>
      </c>
      <c r="AB190" s="165"/>
    </row>
    <row r="191" spans="3:28" x14ac:dyDescent="0.2">
      <c r="C191" s="148">
        <v>0.28730632375949722</v>
      </c>
      <c r="D191">
        <f t="shared" si="32"/>
        <v>46.230092502770475</v>
      </c>
      <c r="E191" s="164">
        <v>3225.0722167563076</v>
      </c>
      <c r="F191" s="165">
        <f>E191/'Electrical System Specification'!AC$4</f>
        <v>3290.8900170982733</v>
      </c>
      <c r="G191" s="146">
        <f>F191/('Electrical System Specification'!X$16*'Electrical System Specification'!J$16*'Electrical System Specification'!D$17)</f>
        <v>4097.4276820288278</v>
      </c>
      <c r="H191" s="165"/>
      <c r="I191" s="173">
        <f t="shared" si="33"/>
        <v>6871.6622130335309</v>
      </c>
      <c r="J191" s="173">
        <f t="shared" si="34"/>
        <v>7621.6306710664712</v>
      </c>
      <c r="K191" s="174" t="b">
        <f>IF(E191&gt;I191,'Electrical System Specification'!AC$4*'Electrical System Specification'!J$16*'Electrical System Specification'!D$16*'Electrical System Specification'!D$17*'Electrical System Specification'!X$16)</f>
        <v>0</v>
      </c>
      <c r="L191" s="174">
        <f>IF(E191&lt;I191,'Electrical System Specification'!X$16*'Electrical System Specification'!Q$16*'Electrical System Specification'!AC$4*'Electrical System Specification'!J$16)</f>
        <v>0.83082440000000002</v>
      </c>
      <c r="M191" s="174">
        <f t="shared" si="35"/>
        <v>0.83082440000000002</v>
      </c>
      <c r="N191" s="174">
        <f t="shared" si="36"/>
        <v>2679.4686894432293</v>
      </c>
      <c r="O191" s="173">
        <f t="shared" si="37"/>
        <v>-3646.5899962772232</v>
      </c>
      <c r="P191" s="174" t="b">
        <f t="shared" si="38"/>
        <v>0</v>
      </c>
      <c r="Q191" s="174">
        <f t="shared" si="46"/>
        <v>3225.0722167563076</v>
      </c>
      <c r="R191" s="174">
        <f t="shared" si="45"/>
        <v>3881.7735935009946</v>
      </c>
      <c r="S191" s="165">
        <f t="shared" si="39"/>
        <v>3881.7735935009946</v>
      </c>
      <c r="T191" t="b">
        <f t="shared" si="40"/>
        <v>0</v>
      </c>
      <c r="U191" s="176">
        <f t="shared" si="41"/>
        <v>3881.7735935009946</v>
      </c>
      <c r="V191" s="165">
        <f>IF(U191&lt;V$5,V$5-U191,IF(U191&gt;=V$5,0))*('Electrical System Specification'!D$16*'Electrical System Specification'!Q$16)</f>
        <v>4197.6712637831406</v>
      </c>
      <c r="W191" s="28">
        <f t="shared" si="42"/>
        <v>1206.0174991484168</v>
      </c>
      <c r="X191" s="165">
        <f>IF(U191&gt;V$5,U191-V$5,0)*'Electrical System Specification'!D$17</f>
        <v>0</v>
      </c>
      <c r="Y191">
        <f>(X191*C191)*'Electrical System Specification'!D$17</f>
        <v>0</v>
      </c>
      <c r="Z191" s="165">
        <f t="shared" si="43"/>
        <v>1206.0174991484168</v>
      </c>
      <c r="AA191" s="165">
        <f t="shared" si="44"/>
        <v>64876.938261615433</v>
      </c>
      <c r="AB191" s="165"/>
    </row>
    <row r="192" spans="3:28" x14ac:dyDescent="0.2">
      <c r="C192" s="148">
        <v>0.27874103300357755</v>
      </c>
      <c r="D192">
        <f t="shared" si="32"/>
        <v>46.508833535774052</v>
      </c>
      <c r="E192" s="164">
        <v>11746.270514507263</v>
      </c>
      <c r="F192" s="165">
        <f>E192/'Electrical System Specification'!AC$4</f>
        <v>11985.990320925779</v>
      </c>
      <c r="G192" s="146">
        <f>F192/('Electrical System Specification'!X$16*'Electrical System Specification'!J$16*'Electrical System Specification'!D$17)</f>
        <v>14923.539918479231</v>
      </c>
      <c r="H192" s="165"/>
      <c r="I192" s="173">
        <f t="shared" si="33"/>
        <v>6871.6622130335309</v>
      </c>
      <c r="J192" s="173">
        <f t="shared" si="34"/>
        <v>7621.6306710664712</v>
      </c>
      <c r="K192" s="174">
        <f>IF(E192&gt;I192,'Electrical System Specification'!AC$4*'Electrical System Specification'!J$16*'Electrical System Specification'!D$16*'Electrical System Specification'!D$17*'Electrical System Specification'!X$16)</f>
        <v>0.70838712000000004</v>
      </c>
      <c r="L192" s="174" t="b">
        <f>IF(E192&lt;I192,'Electrical System Specification'!X$16*'Electrical System Specification'!Q$16*'Electrical System Specification'!AC$4*'Electrical System Specification'!J$16)</f>
        <v>0</v>
      </c>
      <c r="M192" s="174">
        <f t="shared" si="35"/>
        <v>0.70838712000000004</v>
      </c>
      <c r="N192" s="174">
        <f t="shared" si="36"/>
        <v>8320.9067405127189</v>
      </c>
      <c r="O192" s="173">
        <f t="shared" si="37"/>
        <v>4874.6083014737324</v>
      </c>
      <c r="P192" s="174">
        <f t="shared" si="38"/>
        <v>6881.2774312917099</v>
      </c>
      <c r="Q192" s="174">
        <f t="shared" si="46"/>
        <v>8270.8960076684452</v>
      </c>
      <c r="R192" s="174">
        <f t="shared" si="45"/>
        <v>0</v>
      </c>
      <c r="S192" s="165" t="b">
        <f t="shared" si="39"/>
        <v>0</v>
      </c>
      <c r="T192">
        <f t="shared" si="40"/>
        <v>15152.173438960155</v>
      </c>
      <c r="U192" s="176">
        <f t="shared" si="41"/>
        <v>15152.173438960155</v>
      </c>
      <c r="V192" s="165">
        <f>IF(U192&lt;V$5,V$5-U192,IF(U192&gt;=V$5,0))*('Electrical System Specification'!D$16*'Electrical System Specification'!Q$16)</f>
        <v>0</v>
      </c>
      <c r="W192" s="28">
        <f t="shared" si="42"/>
        <v>0</v>
      </c>
      <c r="X192" s="165">
        <f>IF(U192&gt;V$5,U192-V$5,0)*'Electrical System Specification'!D$17</f>
        <v>5724.7585306152014</v>
      </c>
      <c r="Y192">
        <f>(X192*C192)*'Electrical System Specification'!D$17</f>
        <v>1436.1525958677516</v>
      </c>
      <c r="Z192" s="165">
        <f t="shared" si="43"/>
        <v>-1436.1525958677516</v>
      </c>
      <c r="AA192" s="165">
        <f t="shared" si="44"/>
        <v>63440.78566574768</v>
      </c>
      <c r="AB192" s="165"/>
    </row>
    <row r="193" spans="3:28" x14ac:dyDescent="0.2">
      <c r="C193" s="148">
        <v>0.27096230310228681</v>
      </c>
      <c r="D193">
        <f t="shared" si="32"/>
        <v>46.779795838876339</v>
      </c>
      <c r="E193" s="164">
        <v>8719.2170294856278</v>
      </c>
      <c r="F193" s="165">
        <f>E193/'Electrical System Specification'!AC$4</f>
        <v>8897.1602341690086</v>
      </c>
      <c r="G193" s="146">
        <f>F193/('Electrical System Specification'!X$16*'Electrical System Specification'!J$16*'Electrical System Specification'!D$17)</f>
        <v>11077.693403766383</v>
      </c>
      <c r="H193" s="165"/>
      <c r="I193" s="173">
        <f t="shared" si="33"/>
        <v>6871.6622130335309</v>
      </c>
      <c r="J193" s="173">
        <f t="shared" si="34"/>
        <v>7621.6306710664712</v>
      </c>
      <c r="K193" s="174">
        <f>IF(E193&gt;I193,'Electrical System Specification'!AC$4*'Electrical System Specification'!J$16*'Electrical System Specification'!D$16*'Electrical System Specification'!D$17*'Electrical System Specification'!X$16)</f>
        <v>0.70838712000000004</v>
      </c>
      <c r="L193" s="174" t="b">
        <f>IF(E193&lt;I193,'Electrical System Specification'!X$16*'Electrical System Specification'!Q$16*'Electrical System Specification'!AC$4*'Electrical System Specification'!J$16)</f>
        <v>0</v>
      </c>
      <c r="M193" s="174">
        <f t="shared" si="35"/>
        <v>0.70838712000000004</v>
      </c>
      <c r="N193" s="174">
        <f t="shared" si="36"/>
        <v>6176.5810401722792</v>
      </c>
      <c r="O193" s="173">
        <f t="shared" si="37"/>
        <v>1847.5548164520969</v>
      </c>
      <c r="P193" s="174">
        <f t="shared" si="38"/>
        <v>2608.1146371663235</v>
      </c>
      <c r="Q193" s="174">
        <f t="shared" si="46"/>
        <v>8270.8960076684452</v>
      </c>
      <c r="R193" s="174">
        <f t="shared" si="45"/>
        <v>0</v>
      </c>
      <c r="S193" s="165" t="b">
        <f t="shared" si="39"/>
        <v>0</v>
      </c>
      <c r="T193">
        <f t="shared" si="40"/>
        <v>10879.010644834769</v>
      </c>
      <c r="U193" s="176">
        <f t="shared" si="41"/>
        <v>10879.010644834769</v>
      </c>
      <c r="V193" s="165">
        <f>IF(U193&lt;V$5,V$5-U193,IF(U193&gt;=V$5,0))*('Electrical System Specification'!D$16*'Electrical System Specification'!Q$16)</f>
        <v>0</v>
      </c>
      <c r="W193" s="28">
        <f t="shared" si="42"/>
        <v>0</v>
      </c>
      <c r="X193" s="165">
        <f>IF(U193&gt;V$5,U193-V$5,0)*'Electrical System Specification'!D$17</f>
        <v>1878.9120159023532</v>
      </c>
      <c r="Y193">
        <f>(X193*C193)*'Electrical System Specification'!D$17</f>
        <v>458.20289443991595</v>
      </c>
      <c r="Z193" s="165">
        <f t="shared" si="43"/>
        <v>-458.20289443991595</v>
      </c>
      <c r="AA193" s="165">
        <f t="shared" si="44"/>
        <v>62982.582771307767</v>
      </c>
      <c r="AB193" s="165"/>
    </row>
    <row r="194" spans="3:28" x14ac:dyDescent="0.2">
      <c r="C194" s="148">
        <v>0.26381934930746526</v>
      </c>
      <c r="D194">
        <f t="shared" si="32"/>
        <v>47.043615188183807</v>
      </c>
      <c r="E194" s="164">
        <v>0</v>
      </c>
      <c r="F194" s="165">
        <f>E194/'Electrical System Specification'!AC$4</f>
        <v>0</v>
      </c>
      <c r="G194" s="146">
        <f>F194/('Electrical System Specification'!X$16*'Electrical System Specification'!J$16*'Electrical System Specification'!D$17)</f>
        <v>0</v>
      </c>
      <c r="H194" s="165"/>
      <c r="I194" s="173">
        <f t="shared" si="33"/>
        <v>6871.6622130335309</v>
      </c>
      <c r="J194" s="173">
        <f t="shared" si="34"/>
        <v>7621.6306710664712</v>
      </c>
      <c r="K194" s="174" t="b">
        <f>IF(E194&gt;I194,'Electrical System Specification'!AC$4*'Electrical System Specification'!J$16*'Electrical System Specification'!D$16*'Electrical System Specification'!D$17*'Electrical System Specification'!X$16)</f>
        <v>0</v>
      </c>
      <c r="L194" s="174">
        <f>IF(E194&lt;I194,'Electrical System Specification'!X$16*'Electrical System Specification'!Q$16*'Electrical System Specification'!AC$4*'Electrical System Specification'!J$16)</f>
        <v>0.83082440000000002</v>
      </c>
      <c r="M194" s="174">
        <f t="shared" si="35"/>
        <v>0.83082440000000002</v>
      </c>
      <c r="N194" s="174">
        <f t="shared" si="36"/>
        <v>0</v>
      </c>
      <c r="O194" s="173">
        <f t="shared" si="37"/>
        <v>-6871.6622130335309</v>
      </c>
      <c r="P194" s="174" t="b">
        <f t="shared" si="38"/>
        <v>0</v>
      </c>
      <c r="Q194" s="174">
        <f t="shared" si="46"/>
        <v>0</v>
      </c>
      <c r="R194" s="174">
        <f t="shared" si="45"/>
        <v>0</v>
      </c>
      <c r="S194" s="165">
        <f t="shared" si="39"/>
        <v>0</v>
      </c>
      <c r="T194" t="b">
        <f t="shared" si="40"/>
        <v>0</v>
      </c>
      <c r="U194" s="176">
        <f t="shared" si="41"/>
        <v>0</v>
      </c>
      <c r="V194" s="165">
        <f>IF(U194&lt;V$5,V$5-U194,IF(U194&gt;=V$5,0))*('Electrical System Specification'!D$16*'Electrical System Specification'!Q$16)</f>
        <v>7516.5876862264913</v>
      </c>
      <c r="W194" s="28">
        <f t="shared" si="42"/>
        <v>1983.0212723927787</v>
      </c>
      <c r="X194" s="165">
        <f>IF(U194&gt;V$5,U194-V$5,0)*'Electrical System Specification'!D$17</f>
        <v>0</v>
      </c>
      <c r="Y194">
        <f>(X194*C194)*'Electrical System Specification'!D$17</f>
        <v>0</v>
      </c>
      <c r="Z194" s="165">
        <f t="shared" si="43"/>
        <v>1983.0212723927787</v>
      </c>
      <c r="AA194" s="165">
        <f t="shared" si="44"/>
        <v>64965.604043700543</v>
      </c>
      <c r="AB194" s="165"/>
    </row>
    <row r="195" spans="3:28" x14ac:dyDescent="0.2">
      <c r="C195" s="148">
        <v>0.26433045226732005</v>
      </c>
      <c r="D195">
        <f t="shared" si="32"/>
        <v>47.30794564045113</v>
      </c>
      <c r="E195" s="164">
        <v>0</v>
      </c>
      <c r="F195" s="165">
        <f>E195/'Electrical System Specification'!AC$4</f>
        <v>0</v>
      </c>
      <c r="G195" s="146">
        <f>F195/('Electrical System Specification'!X$16*'Electrical System Specification'!J$16*'Electrical System Specification'!D$17)</f>
        <v>0</v>
      </c>
      <c r="H195" s="165"/>
      <c r="I195" s="173">
        <f t="shared" si="33"/>
        <v>6871.6622130335309</v>
      </c>
      <c r="J195" s="173">
        <f t="shared" si="34"/>
        <v>7621.6306710664712</v>
      </c>
      <c r="K195" s="174" t="b">
        <f>IF(E195&gt;I195,'Electrical System Specification'!AC$4*'Electrical System Specification'!J$16*'Electrical System Specification'!D$16*'Electrical System Specification'!D$17*'Electrical System Specification'!X$16)</f>
        <v>0</v>
      </c>
      <c r="L195" s="174">
        <f>IF(E195&lt;I195,'Electrical System Specification'!X$16*'Electrical System Specification'!Q$16*'Electrical System Specification'!AC$4*'Electrical System Specification'!J$16)</f>
        <v>0.83082440000000002</v>
      </c>
      <c r="M195" s="174">
        <f t="shared" si="35"/>
        <v>0.83082440000000002</v>
      </c>
      <c r="N195" s="174">
        <f t="shared" si="36"/>
        <v>0</v>
      </c>
      <c r="O195" s="173">
        <f t="shared" si="37"/>
        <v>-6871.6622130335309</v>
      </c>
      <c r="P195" s="174" t="b">
        <f t="shared" si="38"/>
        <v>0</v>
      </c>
      <c r="Q195" s="174">
        <f t="shared" si="46"/>
        <v>0</v>
      </c>
      <c r="R195" s="174">
        <f t="shared" si="45"/>
        <v>0</v>
      </c>
      <c r="S195" s="165">
        <f t="shared" si="39"/>
        <v>0</v>
      </c>
      <c r="T195" t="b">
        <f t="shared" si="40"/>
        <v>0</v>
      </c>
      <c r="U195" s="176">
        <f t="shared" si="41"/>
        <v>0</v>
      </c>
      <c r="V195" s="165">
        <f>IF(U195&lt;V$5,V$5-U195,IF(U195&gt;=V$5,0))*('Electrical System Specification'!D$16*'Electrical System Specification'!Q$16)</f>
        <v>7516.5876862264913</v>
      </c>
      <c r="W195" s="28">
        <f t="shared" si="42"/>
        <v>1986.8630226072173</v>
      </c>
      <c r="X195" s="165">
        <f>IF(U195&gt;V$5,U195-V$5,0)*'Electrical System Specification'!D$17</f>
        <v>0</v>
      </c>
      <c r="Y195">
        <f>(X195*C195)*'Electrical System Specification'!D$17</f>
        <v>0</v>
      </c>
      <c r="Z195" s="165">
        <f t="shared" si="43"/>
        <v>1986.8630226072173</v>
      </c>
      <c r="AA195" s="165">
        <f t="shared" si="44"/>
        <v>66952.467066307756</v>
      </c>
      <c r="AB195" s="165"/>
    </row>
    <row r="196" spans="3:28" x14ac:dyDescent="0.2">
      <c r="C196" s="148">
        <v>0.26125709785040441</v>
      </c>
      <c r="D196">
        <f t="shared" si="32"/>
        <v>47.569202738301534</v>
      </c>
      <c r="E196" s="164">
        <v>0</v>
      </c>
      <c r="F196" s="165">
        <f>E196/'Electrical System Specification'!AC$4</f>
        <v>0</v>
      </c>
      <c r="G196" s="146">
        <f>F196/('Electrical System Specification'!X$16*'Electrical System Specification'!J$16*'Electrical System Specification'!D$17)</f>
        <v>0</v>
      </c>
      <c r="H196" s="165"/>
      <c r="I196" s="173">
        <f t="shared" si="33"/>
        <v>6871.6622130335309</v>
      </c>
      <c r="J196" s="173">
        <f t="shared" si="34"/>
        <v>7621.6306710664712</v>
      </c>
      <c r="K196" s="174" t="b">
        <f>IF(E196&gt;I196,'Electrical System Specification'!AC$4*'Electrical System Specification'!J$16*'Electrical System Specification'!D$16*'Electrical System Specification'!D$17*'Electrical System Specification'!X$16)</f>
        <v>0</v>
      </c>
      <c r="L196" s="174">
        <f>IF(E196&lt;I196,'Electrical System Specification'!X$16*'Electrical System Specification'!Q$16*'Electrical System Specification'!AC$4*'Electrical System Specification'!J$16)</f>
        <v>0.83082440000000002</v>
      </c>
      <c r="M196" s="174">
        <f t="shared" si="35"/>
        <v>0.83082440000000002</v>
      </c>
      <c r="N196" s="174">
        <f t="shared" si="36"/>
        <v>0</v>
      </c>
      <c r="O196" s="173">
        <f t="shared" si="37"/>
        <v>-6871.6622130335309</v>
      </c>
      <c r="P196" s="174" t="b">
        <f t="shared" si="38"/>
        <v>0</v>
      </c>
      <c r="Q196" s="174">
        <f t="shared" si="46"/>
        <v>0</v>
      </c>
      <c r="R196" s="174">
        <f t="shared" si="45"/>
        <v>0</v>
      </c>
      <c r="S196" s="165">
        <f t="shared" si="39"/>
        <v>0</v>
      </c>
      <c r="T196" t="b">
        <f t="shared" si="40"/>
        <v>0</v>
      </c>
      <c r="U196" s="176">
        <f t="shared" si="41"/>
        <v>0</v>
      </c>
      <c r="V196" s="165">
        <f>IF(U196&lt;V$5,V$5-U196,IF(U196&gt;=V$5,0))*('Electrical System Specification'!D$16*'Electrical System Specification'!Q$16)</f>
        <v>7516.5876862264913</v>
      </c>
      <c r="W196" s="28">
        <f t="shared" si="42"/>
        <v>1963.7618846416192</v>
      </c>
      <c r="X196" s="165">
        <f>IF(U196&gt;V$5,U196-V$5,0)*'Electrical System Specification'!D$17</f>
        <v>0</v>
      </c>
      <c r="Y196">
        <f>(X196*C196)*'Electrical System Specification'!D$17</f>
        <v>0</v>
      </c>
      <c r="Z196" s="165">
        <f t="shared" si="43"/>
        <v>1963.7618846416192</v>
      </c>
      <c r="AA196" s="165">
        <f t="shared" si="44"/>
        <v>68916.228950949371</v>
      </c>
      <c r="AB196" s="165"/>
    </row>
    <row r="197" spans="3:28" x14ac:dyDescent="0.2">
      <c r="C197" s="148">
        <v>0.25765159319157177</v>
      </c>
      <c r="D197">
        <f t="shared" si="32"/>
        <v>47.826854331493109</v>
      </c>
      <c r="E197" s="164">
        <v>0</v>
      </c>
      <c r="F197" s="165">
        <f>E197/'Electrical System Specification'!AC$4</f>
        <v>0</v>
      </c>
      <c r="G197" s="146">
        <f>F197/('Electrical System Specification'!X$16*'Electrical System Specification'!J$16*'Electrical System Specification'!D$17)</f>
        <v>0</v>
      </c>
      <c r="H197" s="165"/>
      <c r="I197" s="173">
        <f t="shared" si="33"/>
        <v>6871.6622130335309</v>
      </c>
      <c r="J197" s="173">
        <f t="shared" si="34"/>
        <v>7621.6306710664712</v>
      </c>
      <c r="K197" s="174" t="b">
        <f>IF(E197&gt;I197,'Electrical System Specification'!AC$4*'Electrical System Specification'!J$16*'Electrical System Specification'!D$16*'Electrical System Specification'!D$17*'Electrical System Specification'!X$16)</f>
        <v>0</v>
      </c>
      <c r="L197" s="174">
        <f>IF(E197&lt;I197,'Electrical System Specification'!X$16*'Electrical System Specification'!Q$16*'Electrical System Specification'!AC$4*'Electrical System Specification'!J$16)</f>
        <v>0.83082440000000002</v>
      </c>
      <c r="M197" s="174">
        <f t="shared" si="35"/>
        <v>0.83082440000000002</v>
      </c>
      <c r="N197" s="174">
        <f t="shared" si="36"/>
        <v>0</v>
      </c>
      <c r="O197" s="173">
        <f t="shared" si="37"/>
        <v>-6871.6622130335309</v>
      </c>
      <c r="P197" s="174" t="b">
        <f t="shared" si="38"/>
        <v>0</v>
      </c>
      <c r="Q197" s="174">
        <f t="shared" si="46"/>
        <v>0</v>
      </c>
      <c r="R197" s="174">
        <f t="shared" si="45"/>
        <v>0</v>
      </c>
      <c r="S197" s="165">
        <f t="shared" si="39"/>
        <v>0</v>
      </c>
      <c r="T197" t="b">
        <f t="shared" si="40"/>
        <v>0</v>
      </c>
      <c r="U197" s="176">
        <f t="shared" si="41"/>
        <v>0</v>
      </c>
      <c r="V197" s="165">
        <f>IF(U197&lt;V$5,V$5-U197,IF(U197&gt;=V$5,0))*('Electrical System Specification'!D$16*'Electrical System Specification'!Q$16)</f>
        <v>7516.5876862264913</v>
      </c>
      <c r="W197" s="28">
        <f t="shared" si="42"/>
        <v>1936.6607927204057</v>
      </c>
      <c r="X197" s="165">
        <f>IF(U197&gt;V$5,U197-V$5,0)*'Electrical System Specification'!D$17</f>
        <v>0</v>
      </c>
      <c r="Y197">
        <f>(X197*C197)*'Electrical System Specification'!D$17</f>
        <v>0</v>
      </c>
      <c r="Z197" s="165">
        <f t="shared" si="43"/>
        <v>1936.6607927204057</v>
      </c>
      <c r="AA197" s="165">
        <f t="shared" si="44"/>
        <v>70852.889743669773</v>
      </c>
      <c r="AB197" s="165"/>
    </row>
    <row r="198" spans="3:28" x14ac:dyDescent="0.2">
      <c r="C198" s="148">
        <v>0.25219692833237661</v>
      </c>
      <c r="D198">
        <f t="shared" si="32"/>
        <v>48.079051259825484</v>
      </c>
      <c r="E198" s="164">
        <v>0</v>
      </c>
      <c r="F198" s="165">
        <f>E198/'Electrical System Specification'!AC$4</f>
        <v>0</v>
      </c>
      <c r="G198" s="146">
        <f>F198/('Electrical System Specification'!X$16*'Electrical System Specification'!J$16*'Electrical System Specification'!D$17)</f>
        <v>0</v>
      </c>
      <c r="H198" s="165"/>
      <c r="I198" s="173">
        <f t="shared" si="33"/>
        <v>6871.6622130335309</v>
      </c>
      <c r="J198" s="173">
        <f t="shared" si="34"/>
        <v>7621.6306710664712</v>
      </c>
      <c r="K198" s="174" t="b">
        <f>IF(E198&gt;I198,'Electrical System Specification'!AC$4*'Electrical System Specification'!J$16*'Electrical System Specification'!D$16*'Electrical System Specification'!D$17*'Electrical System Specification'!X$16)</f>
        <v>0</v>
      </c>
      <c r="L198" s="174">
        <f>IF(E198&lt;I198,'Electrical System Specification'!X$16*'Electrical System Specification'!Q$16*'Electrical System Specification'!AC$4*'Electrical System Specification'!J$16)</f>
        <v>0.83082440000000002</v>
      </c>
      <c r="M198" s="174">
        <f t="shared" si="35"/>
        <v>0.83082440000000002</v>
      </c>
      <c r="N198" s="174">
        <f t="shared" si="36"/>
        <v>0</v>
      </c>
      <c r="O198" s="173">
        <f t="shared" si="37"/>
        <v>-6871.6622130335309</v>
      </c>
      <c r="P198" s="174" t="b">
        <f t="shared" si="38"/>
        <v>0</v>
      </c>
      <c r="Q198" s="174">
        <f t="shared" si="46"/>
        <v>0</v>
      </c>
      <c r="R198" s="174">
        <f t="shared" si="45"/>
        <v>0</v>
      </c>
      <c r="S198" s="165">
        <f t="shared" si="39"/>
        <v>0</v>
      </c>
      <c r="T198" t="b">
        <f t="shared" si="40"/>
        <v>0</v>
      </c>
      <c r="U198" s="176">
        <f t="shared" si="41"/>
        <v>0</v>
      </c>
      <c r="V198" s="165">
        <f>IF(U198&lt;V$5,V$5-U198,IF(U198&gt;=V$5,0))*('Electrical System Specification'!D$16*'Electrical System Specification'!Q$16)</f>
        <v>7516.5876862264913</v>
      </c>
      <c r="W198" s="28">
        <f t="shared" si="42"/>
        <v>1895.660326007287</v>
      </c>
      <c r="X198" s="165">
        <f>IF(U198&gt;V$5,U198-V$5,0)*'Electrical System Specification'!D$17</f>
        <v>0</v>
      </c>
      <c r="Y198">
        <f>(X198*C198)*'Electrical System Specification'!D$17</f>
        <v>0</v>
      </c>
      <c r="Z198" s="165">
        <f t="shared" si="43"/>
        <v>1895.660326007287</v>
      </c>
      <c r="AA198" s="165">
        <f t="shared" si="44"/>
        <v>72748.550069677061</v>
      </c>
      <c r="AB198" s="165"/>
    </row>
    <row r="199" spans="3:28" x14ac:dyDescent="0.2">
      <c r="C199" s="148">
        <v>0.2455247247924548</v>
      </c>
      <c r="D199">
        <f t="shared" si="32"/>
        <v>48.324575984617937</v>
      </c>
      <c r="E199" s="164">
        <v>0</v>
      </c>
      <c r="F199" s="165">
        <f>E199/'Electrical System Specification'!AC$4</f>
        <v>0</v>
      </c>
      <c r="G199" s="146">
        <f>F199/('Electrical System Specification'!X$16*'Electrical System Specification'!J$16*'Electrical System Specification'!D$17)</f>
        <v>0</v>
      </c>
      <c r="H199" s="165"/>
      <c r="I199" s="173">
        <f t="shared" si="33"/>
        <v>6871.6622130335309</v>
      </c>
      <c r="J199" s="173">
        <f t="shared" si="34"/>
        <v>7621.6306710664712</v>
      </c>
      <c r="K199" s="174" t="b">
        <f>IF(E199&gt;I199,'Electrical System Specification'!AC$4*'Electrical System Specification'!J$16*'Electrical System Specification'!D$16*'Electrical System Specification'!D$17*'Electrical System Specification'!X$16)</f>
        <v>0</v>
      </c>
      <c r="L199" s="174">
        <f>IF(E199&lt;I199,'Electrical System Specification'!X$16*'Electrical System Specification'!Q$16*'Electrical System Specification'!AC$4*'Electrical System Specification'!J$16)</f>
        <v>0.83082440000000002</v>
      </c>
      <c r="M199" s="174">
        <f t="shared" si="35"/>
        <v>0.83082440000000002</v>
      </c>
      <c r="N199" s="174">
        <f t="shared" si="36"/>
        <v>0</v>
      </c>
      <c r="O199" s="173">
        <f t="shared" si="37"/>
        <v>-6871.6622130335309</v>
      </c>
      <c r="P199" s="174" t="b">
        <f t="shared" si="38"/>
        <v>0</v>
      </c>
      <c r="Q199" s="174">
        <f t="shared" si="46"/>
        <v>0</v>
      </c>
      <c r="R199" s="174">
        <f t="shared" si="45"/>
        <v>0</v>
      </c>
      <c r="S199" s="165">
        <f t="shared" si="39"/>
        <v>0</v>
      </c>
      <c r="T199" t="b">
        <f t="shared" si="40"/>
        <v>0</v>
      </c>
      <c r="U199" s="176">
        <f t="shared" si="41"/>
        <v>0</v>
      </c>
      <c r="V199" s="165">
        <f>IF(U199&lt;V$5,V$5-U199,IF(U199&gt;=V$5,0))*('Electrical System Specification'!D$16*'Electrical System Specification'!Q$16)</f>
        <v>7516.5876862264913</v>
      </c>
      <c r="W199" s="28">
        <f t="shared" si="42"/>
        <v>1845.5081230391138</v>
      </c>
      <c r="X199" s="165">
        <f>IF(U199&gt;V$5,U199-V$5,0)*'Electrical System Specification'!D$17</f>
        <v>0</v>
      </c>
      <c r="Y199">
        <f>(X199*C199)*'Electrical System Specification'!D$17</f>
        <v>0</v>
      </c>
      <c r="Z199" s="165">
        <f t="shared" si="43"/>
        <v>1845.5081230391138</v>
      </c>
      <c r="AA199" s="165">
        <f t="shared" si="44"/>
        <v>74594.058192716169</v>
      </c>
      <c r="AB199" s="165"/>
    </row>
    <row r="200" spans="3:28" x14ac:dyDescent="0.2">
      <c r="C200" s="148">
        <v>0.23864764307612391</v>
      </c>
      <c r="D200">
        <f t="shared" si="32"/>
        <v>48.563223627694057</v>
      </c>
      <c r="E200" s="164">
        <v>0</v>
      </c>
      <c r="F200" s="165">
        <f>E200/'Electrical System Specification'!AC$4</f>
        <v>0</v>
      </c>
      <c r="G200" s="146">
        <f>F200/('Electrical System Specification'!X$16*'Electrical System Specification'!J$16*'Electrical System Specification'!D$17)</f>
        <v>0</v>
      </c>
      <c r="H200" s="165"/>
      <c r="I200" s="173">
        <f t="shared" si="33"/>
        <v>6871.6622130335309</v>
      </c>
      <c r="J200" s="173">
        <f t="shared" si="34"/>
        <v>7621.6306710664712</v>
      </c>
      <c r="K200" s="174" t="b">
        <f>IF(E200&gt;I200,'Electrical System Specification'!AC$4*'Electrical System Specification'!J$16*'Electrical System Specification'!D$16*'Electrical System Specification'!D$17*'Electrical System Specification'!X$16)</f>
        <v>0</v>
      </c>
      <c r="L200" s="174">
        <f>IF(E200&lt;I200,'Electrical System Specification'!X$16*'Electrical System Specification'!Q$16*'Electrical System Specification'!AC$4*'Electrical System Specification'!J$16)</f>
        <v>0.83082440000000002</v>
      </c>
      <c r="M200" s="174">
        <f t="shared" si="35"/>
        <v>0.83082440000000002</v>
      </c>
      <c r="N200" s="174">
        <f t="shared" si="36"/>
        <v>0</v>
      </c>
      <c r="O200" s="173">
        <f t="shared" si="37"/>
        <v>-6871.6622130335309</v>
      </c>
      <c r="P200" s="174" t="b">
        <f t="shared" si="38"/>
        <v>0</v>
      </c>
      <c r="Q200" s="174">
        <f t="shared" si="46"/>
        <v>0</v>
      </c>
      <c r="R200" s="174">
        <f t="shared" si="45"/>
        <v>0</v>
      </c>
      <c r="S200" s="165">
        <f t="shared" si="39"/>
        <v>0</v>
      </c>
      <c r="T200" t="b">
        <f t="shared" si="40"/>
        <v>0</v>
      </c>
      <c r="U200" s="176">
        <f t="shared" si="41"/>
        <v>0</v>
      </c>
      <c r="V200" s="165">
        <f>IF(U200&lt;V$5,V$5-U200,IF(U200&gt;=V$5,0))*('Electrical System Specification'!D$16*'Electrical System Specification'!Q$16)</f>
        <v>7516.5876862264913</v>
      </c>
      <c r="W200" s="28">
        <f t="shared" si="42"/>
        <v>1793.8159352929677</v>
      </c>
      <c r="X200" s="165">
        <f>IF(U200&gt;V$5,U200-V$5,0)*'Electrical System Specification'!D$17</f>
        <v>0</v>
      </c>
      <c r="Y200">
        <f>(X200*C200)*'Electrical System Specification'!D$17</f>
        <v>0</v>
      </c>
      <c r="Z200" s="165">
        <f t="shared" si="43"/>
        <v>1793.8159352929677</v>
      </c>
      <c r="AA200" s="165">
        <f t="shared" si="44"/>
        <v>76387.874128009134</v>
      </c>
      <c r="AB200" s="165"/>
    </row>
    <row r="201" spans="3:28" x14ac:dyDescent="0.2">
      <c r="C201" s="148">
        <v>0.23189643678154395</v>
      </c>
      <c r="D201">
        <f t="shared" si="32"/>
        <v>48.795120064475604</v>
      </c>
      <c r="E201" s="164">
        <v>0</v>
      </c>
      <c r="F201" s="165">
        <f>E201/'Electrical System Specification'!AC$4</f>
        <v>0</v>
      </c>
      <c r="G201" s="146">
        <f>F201/('Electrical System Specification'!X$16*'Electrical System Specification'!J$16*'Electrical System Specification'!D$17)</f>
        <v>0</v>
      </c>
      <c r="H201" s="165"/>
      <c r="I201" s="173">
        <f t="shared" si="33"/>
        <v>6871.6622130335309</v>
      </c>
      <c r="J201" s="173">
        <f t="shared" si="34"/>
        <v>7621.6306710664712</v>
      </c>
      <c r="K201" s="174" t="b">
        <f>IF(E201&gt;I201,'Electrical System Specification'!AC$4*'Electrical System Specification'!J$16*'Electrical System Specification'!D$16*'Electrical System Specification'!D$17*'Electrical System Specification'!X$16)</f>
        <v>0</v>
      </c>
      <c r="L201" s="174">
        <f>IF(E201&lt;I201,'Electrical System Specification'!X$16*'Electrical System Specification'!Q$16*'Electrical System Specification'!AC$4*'Electrical System Specification'!J$16)</f>
        <v>0.83082440000000002</v>
      </c>
      <c r="M201" s="174">
        <f t="shared" si="35"/>
        <v>0.83082440000000002</v>
      </c>
      <c r="N201" s="174">
        <f t="shared" si="36"/>
        <v>0</v>
      </c>
      <c r="O201" s="173">
        <f t="shared" si="37"/>
        <v>-6871.6622130335309</v>
      </c>
      <c r="P201" s="174" t="b">
        <f t="shared" si="38"/>
        <v>0</v>
      </c>
      <c r="Q201" s="174">
        <f t="shared" si="46"/>
        <v>0</v>
      </c>
      <c r="R201" s="174">
        <f t="shared" si="45"/>
        <v>0</v>
      </c>
      <c r="S201" s="165">
        <f t="shared" si="39"/>
        <v>0</v>
      </c>
      <c r="T201" t="b">
        <f t="shared" si="40"/>
        <v>0</v>
      </c>
      <c r="U201" s="176">
        <f t="shared" si="41"/>
        <v>0</v>
      </c>
      <c r="V201" s="165">
        <f>IF(U201&lt;V$5,V$5-U201,IF(U201&gt;=V$5,0))*('Electrical System Specification'!D$16*'Electrical System Specification'!Q$16)</f>
        <v>7516.5876862264913</v>
      </c>
      <c r="W201" s="28">
        <f t="shared" si="42"/>
        <v>1743.0699011919532</v>
      </c>
      <c r="X201" s="165">
        <f>IF(U201&gt;V$5,U201-V$5,0)*'Electrical System Specification'!D$17</f>
        <v>0</v>
      </c>
      <c r="Y201">
        <f>(X201*C201)*'Electrical System Specification'!D$17</f>
        <v>0</v>
      </c>
      <c r="Z201" s="165">
        <f t="shared" si="43"/>
        <v>1743.0699011919532</v>
      </c>
      <c r="AA201" s="165">
        <f t="shared" si="44"/>
        <v>78130.944029201084</v>
      </c>
      <c r="AB201" s="165"/>
    </row>
    <row r="202" spans="3:28" x14ac:dyDescent="0.2">
      <c r="C202" s="148">
        <v>0.22546099579466719</v>
      </c>
      <c r="D202">
        <f t="shared" ref="D202:D265" si="47">C202+D201</f>
        <v>49.020581060270274</v>
      </c>
      <c r="E202" s="164">
        <v>0</v>
      </c>
      <c r="F202" s="165">
        <f>E202/'Electrical System Specification'!AC$4</f>
        <v>0</v>
      </c>
      <c r="G202" s="146">
        <f>F202/('Electrical System Specification'!X$16*'Electrical System Specification'!J$16*'Electrical System Specification'!D$17)</f>
        <v>0</v>
      </c>
      <c r="H202" s="165"/>
      <c r="I202" s="173">
        <f t="shared" ref="I202:I265" si="48">J$5</f>
        <v>6871.6622130335309</v>
      </c>
      <c r="J202" s="173">
        <f t="shared" ref="J202:J265" si="49">J$7</f>
        <v>7621.6306710664712</v>
      </c>
      <c r="K202" s="174" t="b">
        <f>IF(E202&gt;I202,'Electrical System Specification'!AC$4*'Electrical System Specification'!J$16*'Electrical System Specification'!D$16*'Electrical System Specification'!D$17*'Electrical System Specification'!X$16)</f>
        <v>0</v>
      </c>
      <c r="L202" s="174">
        <f>IF(E202&lt;I202,'Electrical System Specification'!X$16*'Electrical System Specification'!Q$16*'Electrical System Specification'!AC$4*'Electrical System Specification'!J$16)</f>
        <v>0.83082440000000002</v>
      </c>
      <c r="M202" s="174">
        <f t="shared" ref="M202:M265" si="50">IF(I202&gt;E202,L202,IF(I202&lt;E202,K202))</f>
        <v>0.83082440000000002</v>
      </c>
      <c r="N202" s="174">
        <f t="shared" ref="N202:N265" si="51">M202*E202</f>
        <v>0</v>
      </c>
      <c r="O202" s="173">
        <f t="shared" ref="O202:O265" si="52">E202-I202</f>
        <v>-6871.6622130335309</v>
      </c>
      <c r="P202" s="174" t="b">
        <f t="shared" ref="P202:P265" si="53">IF(O202&gt;0,O202/K202)</f>
        <v>0</v>
      </c>
      <c r="Q202" s="174">
        <f t="shared" si="46"/>
        <v>0</v>
      </c>
      <c r="R202" s="174">
        <f t="shared" si="45"/>
        <v>0</v>
      </c>
      <c r="S202" s="165">
        <f t="shared" ref="S202:S265" si="54">IF(P202=FALSE,R202,IF(R202=FALSE,P202))</f>
        <v>0</v>
      </c>
      <c r="T202" t="b">
        <f t="shared" ref="T202:T265" si="55">IF(O202&gt;0,(I202/P$4)+(O202/Q$4))</f>
        <v>0</v>
      </c>
      <c r="U202" s="176">
        <f t="shared" ref="U202:U265" si="56">IF(T202=FALSE,S202,T202)</f>
        <v>0</v>
      </c>
      <c r="V202" s="165">
        <f>IF(U202&lt;V$5,V$5-U202,IF(U202&gt;=V$5,0))*('Electrical System Specification'!D$16*'Electrical System Specification'!Q$16)</f>
        <v>7516.5876862264913</v>
      </c>
      <c r="W202" s="28">
        <f t="shared" ref="W202:W265" si="57">V202*C202</f>
        <v>1694.6973447145581</v>
      </c>
      <c r="X202" s="165">
        <f>IF(U202&gt;V$5,U202-V$5,0)*'Electrical System Specification'!D$17</f>
        <v>0</v>
      </c>
      <c r="Y202">
        <f>(X202*C202)*'Electrical System Specification'!D$17</f>
        <v>0</v>
      </c>
      <c r="Z202" s="165">
        <f t="shared" ref="Z202:Z265" si="58">(W202-Y202)</f>
        <v>1694.6973447145581</v>
      </c>
      <c r="AA202" s="165">
        <f t="shared" ref="AA202:AA265" si="59">Z202+AA201</f>
        <v>79825.641373915641</v>
      </c>
      <c r="AB202" s="165"/>
    </row>
    <row r="203" spans="3:28" x14ac:dyDescent="0.2">
      <c r="C203" s="148">
        <v>0.21529611892368394</v>
      </c>
      <c r="D203">
        <f t="shared" si="47"/>
        <v>49.235877179193956</v>
      </c>
      <c r="E203" s="164">
        <v>3586.4720281922669</v>
      </c>
      <c r="F203" s="165">
        <f>E203/'Electrical System Specification'!AC$4</f>
        <v>3659.6653348900682</v>
      </c>
      <c r="G203" s="146">
        <f>F203/('Electrical System Specification'!X$16*'Electrical System Specification'!J$16*'Electrical System Specification'!D$17)</f>
        <v>4556.583165110399</v>
      </c>
      <c r="H203" s="165"/>
      <c r="I203" s="173">
        <f t="shared" si="48"/>
        <v>6871.6622130335309</v>
      </c>
      <c r="J203" s="173">
        <f t="shared" si="49"/>
        <v>7621.6306710664712</v>
      </c>
      <c r="K203" s="174" t="b">
        <f>IF(E203&gt;I203,'Electrical System Specification'!AC$4*'Electrical System Specification'!J$16*'Electrical System Specification'!D$16*'Electrical System Specification'!D$17*'Electrical System Specification'!X$16)</f>
        <v>0</v>
      </c>
      <c r="L203" s="174">
        <f>IF(E203&lt;I203,'Electrical System Specification'!X$16*'Electrical System Specification'!Q$16*'Electrical System Specification'!AC$4*'Electrical System Specification'!J$16)</f>
        <v>0.83082440000000002</v>
      </c>
      <c r="M203" s="174">
        <f t="shared" si="50"/>
        <v>0.83082440000000002</v>
      </c>
      <c r="N203" s="174">
        <f t="shared" si="51"/>
        <v>2979.7284709396231</v>
      </c>
      <c r="O203" s="173">
        <f t="shared" si="52"/>
        <v>-3285.190184841264</v>
      </c>
      <c r="P203" s="174" t="b">
        <f t="shared" si="53"/>
        <v>0</v>
      </c>
      <c r="Q203" s="174">
        <f t="shared" si="46"/>
        <v>3586.4720281922669</v>
      </c>
      <c r="R203" s="174">
        <f t="shared" si="45"/>
        <v>4316.7629985256417</v>
      </c>
      <c r="S203" s="165">
        <f t="shared" si="54"/>
        <v>4316.7629985256417</v>
      </c>
      <c r="T203" t="b">
        <f t="shared" si="55"/>
        <v>0</v>
      </c>
      <c r="U203" s="176">
        <f t="shared" si="56"/>
        <v>4316.7629985256417</v>
      </c>
      <c r="V203" s="165">
        <f>IF(U203&lt;V$5,V$5-U203,IF(U203&gt;=V$5,0))*('Electrical System Specification'!D$16*'Electrical System Specification'!Q$16)</f>
        <v>3825.755322487068</v>
      </c>
      <c r="W203" s="28">
        <f t="shared" si="57"/>
        <v>823.67027288309259</v>
      </c>
      <c r="X203" s="165">
        <f>IF(U203&gt;V$5,U203-V$5,0)*'Electrical System Specification'!D$17</f>
        <v>0</v>
      </c>
      <c r="Y203">
        <f>(X203*C203)*'Electrical System Specification'!D$17</f>
        <v>0</v>
      </c>
      <c r="Z203" s="165">
        <f t="shared" si="58"/>
        <v>823.67027288309259</v>
      </c>
      <c r="AA203" s="165">
        <f t="shared" si="59"/>
        <v>80649.311646798727</v>
      </c>
      <c r="AB203" s="165"/>
    </row>
    <row r="204" spans="3:28" x14ac:dyDescent="0.2">
      <c r="C204" s="148">
        <v>0.2094111148869465</v>
      </c>
      <c r="D204">
        <f t="shared" si="47"/>
        <v>49.445288294080903</v>
      </c>
      <c r="E204" s="164">
        <v>3360.752424212963</v>
      </c>
      <c r="F204" s="165">
        <f>E204/'Electrical System Specification'!AC$4</f>
        <v>3429.3392083805747</v>
      </c>
      <c r="G204" s="146">
        <f>F204/('Electrical System Specification'!X$16*'Electrical System Specification'!J$16*'Electrical System Specification'!D$17)</f>
        <v>4269.808267817838</v>
      </c>
      <c r="H204" s="165"/>
      <c r="I204" s="173">
        <f t="shared" si="48"/>
        <v>6871.6622130335309</v>
      </c>
      <c r="J204" s="173">
        <f t="shared" si="49"/>
        <v>7621.6306710664712</v>
      </c>
      <c r="K204" s="174" t="b">
        <f>IF(E204&gt;I204,'Electrical System Specification'!AC$4*'Electrical System Specification'!J$16*'Electrical System Specification'!D$16*'Electrical System Specification'!D$17*'Electrical System Specification'!X$16)</f>
        <v>0</v>
      </c>
      <c r="L204" s="174">
        <f>IF(E204&lt;I204,'Electrical System Specification'!X$16*'Electrical System Specification'!Q$16*'Electrical System Specification'!AC$4*'Electrical System Specification'!J$16)</f>
        <v>0.83082440000000002</v>
      </c>
      <c r="M204" s="174">
        <f t="shared" si="50"/>
        <v>0.83082440000000002</v>
      </c>
      <c r="N204" s="174">
        <f t="shared" si="51"/>
        <v>2792.1951163952804</v>
      </c>
      <c r="O204" s="173">
        <f t="shared" si="52"/>
        <v>-3510.9097888205679</v>
      </c>
      <c r="P204" s="174" t="b">
        <f t="shared" si="53"/>
        <v>0</v>
      </c>
      <c r="Q204" s="174">
        <f t="shared" si="46"/>
        <v>3360.752424212963</v>
      </c>
      <c r="R204" s="174">
        <f t="shared" si="45"/>
        <v>4045.0815168800568</v>
      </c>
      <c r="S204" s="165">
        <f t="shared" si="54"/>
        <v>4045.0815168800568</v>
      </c>
      <c r="T204" t="b">
        <f t="shared" si="55"/>
        <v>0</v>
      </c>
      <c r="U204" s="176">
        <f t="shared" si="56"/>
        <v>4045.0815168800568</v>
      </c>
      <c r="V204" s="165">
        <f>IF(U204&lt;V$5,V$5-U204,IF(U204&gt;=V$5,0))*('Electrical System Specification'!D$16*'Electrical System Specification'!Q$16)</f>
        <v>4058.0429892940433</v>
      </c>
      <c r="W204" s="28">
        <f t="shared" si="57"/>
        <v>849.79930664722269</v>
      </c>
      <c r="X204" s="165">
        <f>IF(U204&gt;V$5,U204-V$5,0)*'Electrical System Specification'!D$17</f>
        <v>0</v>
      </c>
      <c r="Y204">
        <f>(X204*C204)*'Electrical System Specification'!D$17</f>
        <v>0</v>
      </c>
      <c r="Z204" s="165">
        <f t="shared" si="58"/>
        <v>849.79930664722269</v>
      </c>
      <c r="AA204" s="165">
        <f t="shared" si="59"/>
        <v>81499.110953445954</v>
      </c>
      <c r="AB204" s="165"/>
    </row>
    <row r="205" spans="3:28" x14ac:dyDescent="0.2">
      <c r="C205" s="148">
        <v>0.20383641490826632</v>
      </c>
      <c r="D205">
        <f t="shared" si="47"/>
        <v>49.64912470898917</v>
      </c>
      <c r="E205" s="164">
        <v>8936.3363461116351</v>
      </c>
      <c r="F205" s="165">
        <f>E205/'Electrical System Specification'!AC$4</f>
        <v>9118.7105572567707</v>
      </c>
      <c r="G205" s="146">
        <f>F205/('Electrical System Specification'!X$16*'Electrical System Specification'!J$16*'Electrical System Specification'!D$17)</f>
        <v>11353.54170682899</v>
      </c>
      <c r="H205" s="165"/>
      <c r="I205" s="173">
        <f t="shared" si="48"/>
        <v>6871.6622130335309</v>
      </c>
      <c r="J205" s="173">
        <f t="shared" si="49"/>
        <v>7621.6306710664712</v>
      </c>
      <c r="K205" s="174">
        <f>IF(E205&gt;I205,'Electrical System Specification'!AC$4*'Electrical System Specification'!J$16*'Electrical System Specification'!D$16*'Electrical System Specification'!D$17*'Electrical System Specification'!X$16)</f>
        <v>0.70838712000000004</v>
      </c>
      <c r="L205" s="174" t="b">
        <f>IF(E205&lt;I205,'Electrical System Specification'!X$16*'Electrical System Specification'!Q$16*'Electrical System Specification'!AC$4*'Electrical System Specification'!J$16)</f>
        <v>0</v>
      </c>
      <c r="M205" s="174">
        <f t="shared" si="50"/>
        <v>0.70838712000000004</v>
      </c>
      <c r="N205" s="174">
        <f t="shared" si="51"/>
        <v>6330.3855675733448</v>
      </c>
      <c r="O205" s="173">
        <f t="shared" si="52"/>
        <v>2064.6741330781042</v>
      </c>
      <c r="P205" s="174">
        <f t="shared" si="53"/>
        <v>2914.6127516803299</v>
      </c>
      <c r="Q205" s="174">
        <f t="shared" si="46"/>
        <v>8270.8960076684452</v>
      </c>
      <c r="R205" s="174">
        <f t="shared" si="45"/>
        <v>0</v>
      </c>
      <c r="S205" s="165" t="b">
        <f t="shared" si="54"/>
        <v>0</v>
      </c>
      <c r="T205">
        <f t="shared" si="55"/>
        <v>11185.508759348775</v>
      </c>
      <c r="U205" s="176">
        <f t="shared" si="56"/>
        <v>11185.508759348775</v>
      </c>
      <c r="V205" s="165">
        <f>IF(U205&lt;V$5,V$5-U205,IF(U205&gt;=V$5,0))*('Electrical System Specification'!D$16*'Electrical System Specification'!Q$16)</f>
        <v>0</v>
      </c>
      <c r="W205" s="28">
        <f t="shared" si="57"/>
        <v>0</v>
      </c>
      <c r="X205" s="165">
        <f>IF(U205&gt;V$5,U205-V$5,0)*'Electrical System Specification'!D$17</f>
        <v>2154.760318964959</v>
      </c>
      <c r="Y205">
        <f>(X205*C205)*'Electrical System Specification'!D$17</f>
        <v>395.2967565639687</v>
      </c>
      <c r="Z205" s="165">
        <f t="shared" si="58"/>
        <v>-395.2967565639687</v>
      </c>
      <c r="AA205" s="165">
        <f t="shared" si="59"/>
        <v>81103.814196881984</v>
      </c>
      <c r="AB205" s="165"/>
    </row>
    <row r="206" spans="3:28" x14ac:dyDescent="0.2">
      <c r="C206" s="148">
        <v>0.19844103083690764</v>
      </c>
      <c r="D206">
        <f t="shared" si="47"/>
        <v>49.847565739826081</v>
      </c>
      <c r="E206" s="164">
        <v>9033.1602859967606</v>
      </c>
      <c r="F206" s="165">
        <f>E206/'Electrical System Specification'!AC$4</f>
        <v>9217.5104959150613</v>
      </c>
      <c r="G206" s="146">
        <f>F206/('Electrical System Specification'!X$16*'Electrical System Specification'!J$16*'Electrical System Specification'!D$17)</f>
        <v>11476.555724780943</v>
      </c>
      <c r="H206" s="165"/>
      <c r="I206" s="173">
        <f t="shared" si="48"/>
        <v>6871.6622130335309</v>
      </c>
      <c r="J206" s="173">
        <f t="shared" si="49"/>
        <v>7621.6306710664712</v>
      </c>
      <c r="K206" s="174">
        <f>IF(E206&gt;I206,'Electrical System Specification'!AC$4*'Electrical System Specification'!J$16*'Electrical System Specification'!D$16*'Electrical System Specification'!D$17*'Electrical System Specification'!X$16)</f>
        <v>0.70838712000000004</v>
      </c>
      <c r="L206" s="174" t="b">
        <f>IF(E206&lt;I206,'Electrical System Specification'!X$16*'Electrical System Specification'!Q$16*'Electrical System Specification'!AC$4*'Electrical System Specification'!J$16)</f>
        <v>0</v>
      </c>
      <c r="M206" s="174">
        <f t="shared" si="50"/>
        <v>0.70838712000000004</v>
      </c>
      <c r="N206" s="174">
        <f t="shared" si="51"/>
        <v>6398.9743994956216</v>
      </c>
      <c r="O206" s="173">
        <f t="shared" si="52"/>
        <v>2161.4980729632298</v>
      </c>
      <c r="P206" s="174">
        <f t="shared" si="53"/>
        <v>3051.2949938491679</v>
      </c>
      <c r="Q206" s="174">
        <f t="shared" si="46"/>
        <v>8270.8960076684452</v>
      </c>
      <c r="R206" s="174">
        <f t="shared" si="45"/>
        <v>0</v>
      </c>
      <c r="S206" s="165" t="b">
        <f t="shared" si="54"/>
        <v>0</v>
      </c>
      <c r="T206">
        <f t="shared" si="55"/>
        <v>11322.191001517613</v>
      </c>
      <c r="U206" s="176">
        <f t="shared" si="56"/>
        <v>11322.191001517613</v>
      </c>
      <c r="V206" s="165">
        <f>IF(U206&lt;V$5,V$5-U206,IF(U206&gt;=V$5,0))*('Electrical System Specification'!D$16*'Electrical System Specification'!Q$16)</f>
        <v>0</v>
      </c>
      <c r="W206" s="28">
        <f t="shared" si="57"/>
        <v>0</v>
      </c>
      <c r="X206" s="165">
        <f>IF(U206&gt;V$5,U206-V$5,0)*'Electrical System Specification'!D$17</f>
        <v>2277.7743369169129</v>
      </c>
      <c r="Y206">
        <f>(X206*C206)*'Electrical System Specification'!D$17</f>
        <v>406.8034986884814</v>
      </c>
      <c r="Z206" s="165">
        <f t="shared" si="58"/>
        <v>-406.8034986884814</v>
      </c>
      <c r="AA206" s="165">
        <f t="shared" si="59"/>
        <v>80697.010698193495</v>
      </c>
      <c r="AB206" s="165"/>
    </row>
    <row r="207" spans="3:28" x14ac:dyDescent="0.2">
      <c r="C207" s="148">
        <v>0.19308051880974655</v>
      </c>
      <c r="D207">
        <f t="shared" si="47"/>
        <v>50.040646258635824</v>
      </c>
      <c r="E207" s="164">
        <v>3173.5043426934617</v>
      </c>
      <c r="F207" s="165">
        <f>E207/'Electrical System Specification'!AC$4</f>
        <v>3238.2697374423078</v>
      </c>
      <c r="G207" s="146">
        <f>F207/('Electrical System Specification'!X$16*'Electrical System Specification'!J$16*'Electrical System Specification'!D$17)</f>
        <v>4031.9111228675579</v>
      </c>
      <c r="H207" s="165"/>
      <c r="I207" s="173">
        <f t="shared" si="48"/>
        <v>6871.6622130335309</v>
      </c>
      <c r="J207" s="173">
        <f t="shared" si="49"/>
        <v>7621.6306710664712</v>
      </c>
      <c r="K207" s="174" t="b">
        <f>IF(E207&gt;I207,'Electrical System Specification'!AC$4*'Electrical System Specification'!J$16*'Electrical System Specification'!D$16*'Electrical System Specification'!D$17*'Electrical System Specification'!X$16)</f>
        <v>0</v>
      </c>
      <c r="L207" s="174">
        <f>IF(E207&lt;I207,'Electrical System Specification'!X$16*'Electrical System Specification'!Q$16*'Electrical System Specification'!AC$4*'Electrical System Specification'!J$16)</f>
        <v>0.83082440000000002</v>
      </c>
      <c r="M207" s="174">
        <f t="shared" si="50"/>
        <v>0.83082440000000002</v>
      </c>
      <c r="N207" s="174">
        <f t="shared" si="51"/>
        <v>2636.6248414156898</v>
      </c>
      <c r="O207" s="173">
        <f t="shared" si="52"/>
        <v>-3698.1578703400692</v>
      </c>
      <c r="P207" s="174" t="b">
        <f t="shared" si="53"/>
        <v>0</v>
      </c>
      <c r="Q207" s="174">
        <f t="shared" si="46"/>
        <v>3173.5043426934617</v>
      </c>
      <c r="R207" s="174">
        <f t="shared" si="45"/>
        <v>3819.7052742955811</v>
      </c>
      <c r="S207" s="165">
        <f t="shared" si="54"/>
        <v>3819.7052742955811</v>
      </c>
      <c r="T207" t="b">
        <f t="shared" si="55"/>
        <v>0</v>
      </c>
      <c r="U207" s="176">
        <f t="shared" si="56"/>
        <v>3819.7052742955811</v>
      </c>
      <c r="V207" s="165">
        <f>IF(U207&lt;V$5,V$5-U207,IF(U207&gt;=V$5,0))*('Electrical System Specification'!D$16*'Electrical System Specification'!Q$16)</f>
        <v>4250.7396767037699</v>
      </c>
      <c r="W207" s="28">
        <f t="shared" si="57"/>
        <v>820.73502210313825</v>
      </c>
      <c r="X207" s="165">
        <f>IF(U207&gt;V$5,U207-V$5,0)*'Electrical System Specification'!D$17</f>
        <v>0</v>
      </c>
      <c r="Y207">
        <f>(X207*C207)*'Electrical System Specification'!D$17</f>
        <v>0</v>
      </c>
      <c r="Z207" s="165">
        <f t="shared" si="58"/>
        <v>820.73502210313825</v>
      </c>
      <c r="AA207" s="165">
        <f t="shared" si="59"/>
        <v>81517.745720296632</v>
      </c>
      <c r="AB207" s="165"/>
    </row>
    <row r="208" spans="3:28" x14ac:dyDescent="0.2">
      <c r="C208" s="148">
        <v>0.1877620403311743</v>
      </c>
      <c r="D208">
        <f t="shared" si="47"/>
        <v>50.228408298966997</v>
      </c>
      <c r="E208" s="164">
        <v>8253.2119062426591</v>
      </c>
      <c r="F208" s="165">
        <f>E208/'Electrical System Specification'!AC$4</f>
        <v>8421.6448022884269</v>
      </c>
      <c r="G208" s="146">
        <f>F208/('Electrical System Specification'!X$16*'Electrical System Specification'!J$16*'Electrical System Specification'!D$17)</f>
        <v>10485.637733811976</v>
      </c>
      <c r="H208" s="165"/>
      <c r="I208" s="173">
        <f t="shared" si="48"/>
        <v>6871.6622130335309</v>
      </c>
      <c r="J208" s="173">
        <f t="shared" si="49"/>
        <v>7621.6306710664712</v>
      </c>
      <c r="K208" s="174">
        <f>IF(E208&gt;I208,'Electrical System Specification'!AC$4*'Electrical System Specification'!J$16*'Electrical System Specification'!D$16*'Electrical System Specification'!D$17*'Electrical System Specification'!X$16)</f>
        <v>0.70838712000000004</v>
      </c>
      <c r="L208" s="174" t="b">
        <f>IF(E208&lt;I208,'Electrical System Specification'!X$16*'Electrical System Specification'!Q$16*'Electrical System Specification'!AC$4*'Electrical System Specification'!J$16)</f>
        <v>0</v>
      </c>
      <c r="M208" s="174">
        <f t="shared" si="50"/>
        <v>0.70838712000000004</v>
      </c>
      <c r="N208" s="174">
        <f t="shared" si="51"/>
        <v>5846.4690130129475</v>
      </c>
      <c r="O208" s="173">
        <f t="shared" si="52"/>
        <v>1381.5496932091282</v>
      </c>
      <c r="P208" s="174">
        <f t="shared" si="53"/>
        <v>1950.2750038836507</v>
      </c>
      <c r="Q208" s="174">
        <f t="shared" si="46"/>
        <v>8270.8960076684452</v>
      </c>
      <c r="R208" s="174">
        <f t="shared" si="45"/>
        <v>0</v>
      </c>
      <c r="S208" s="165" t="b">
        <f t="shared" si="54"/>
        <v>0</v>
      </c>
      <c r="T208">
        <f t="shared" si="55"/>
        <v>10221.171011552096</v>
      </c>
      <c r="U208" s="176">
        <f t="shared" si="56"/>
        <v>10221.171011552096</v>
      </c>
      <c r="V208" s="165">
        <f>IF(U208&lt;V$5,V$5-U208,IF(U208&gt;=V$5,0))*('Electrical System Specification'!D$16*'Electrical System Specification'!Q$16)</f>
        <v>0</v>
      </c>
      <c r="W208" s="28">
        <f t="shared" si="57"/>
        <v>0</v>
      </c>
      <c r="X208" s="165">
        <f>IF(U208&gt;V$5,U208-V$5,0)*'Electrical System Specification'!D$17</f>
        <v>1286.8563459479481</v>
      </c>
      <c r="Y208">
        <f>(X208*C208)*'Electrical System Specification'!D$17</f>
        <v>217.46049581547561</v>
      </c>
      <c r="Z208" s="165">
        <f t="shared" si="58"/>
        <v>-217.46049581547561</v>
      </c>
      <c r="AA208" s="165">
        <f t="shared" si="59"/>
        <v>81300.285224481151</v>
      </c>
      <c r="AB208" s="165"/>
    </row>
    <row r="209" spans="3:28" x14ac:dyDescent="0.2">
      <c r="C209" s="148">
        <v>0.18285203829198374</v>
      </c>
      <c r="D209">
        <f t="shared" si="47"/>
        <v>50.41126033725898</v>
      </c>
      <c r="E209" s="164">
        <v>3014.721736766166</v>
      </c>
      <c r="F209" s="165">
        <f>E209/'Electrical System Specification'!AC$4</f>
        <v>3076.2466701695571</v>
      </c>
      <c r="G209" s="146">
        <f>F209/('Electrical System Specification'!X$16*'Electrical System Specification'!J$16*'Electrical System Specification'!D$17)</f>
        <v>3830.1791301478625</v>
      </c>
      <c r="H209" s="165"/>
      <c r="I209" s="173">
        <f t="shared" si="48"/>
        <v>6871.6622130335309</v>
      </c>
      <c r="J209" s="173">
        <f t="shared" si="49"/>
        <v>7621.6306710664712</v>
      </c>
      <c r="K209" s="174" t="b">
        <f>IF(E209&gt;I209,'Electrical System Specification'!AC$4*'Electrical System Specification'!J$16*'Electrical System Specification'!D$16*'Electrical System Specification'!D$17*'Electrical System Specification'!X$16)</f>
        <v>0</v>
      </c>
      <c r="L209" s="174">
        <f>IF(E209&lt;I209,'Electrical System Specification'!X$16*'Electrical System Specification'!Q$16*'Electrical System Specification'!AC$4*'Electrical System Specification'!J$16)</f>
        <v>0.83082440000000002</v>
      </c>
      <c r="M209" s="174">
        <f t="shared" si="50"/>
        <v>0.83082440000000002</v>
      </c>
      <c r="N209" s="174">
        <f t="shared" si="51"/>
        <v>2504.7043781157081</v>
      </c>
      <c r="O209" s="173">
        <f t="shared" si="52"/>
        <v>-3856.9404762673648</v>
      </c>
      <c r="P209" s="174" t="b">
        <f t="shared" si="53"/>
        <v>0</v>
      </c>
      <c r="Q209" s="174">
        <f t="shared" si="46"/>
        <v>3014.721736766166</v>
      </c>
      <c r="R209" s="174">
        <f t="shared" si="45"/>
        <v>3628.5907548769223</v>
      </c>
      <c r="S209" s="165">
        <f t="shared" si="54"/>
        <v>3628.5907548769223</v>
      </c>
      <c r="T209" t="b">
        <f t="shared" si="55"/>
        <v>0</v>
      </c>
      <c r="U209" s="176">
        <f t="shared" si="56"/>
        <v>3628.5907548769223</v>
      </c>
      <c r="V209" s="165">
        <f>IF(U209&lt;V$5,V$5-U209,IF(U209&gt;=V$5,0))*('Electrical System Specification'!D$16*'Electrical System Specification'!Q$16)</f>
        <v>4414.1425908067222</v>
      </c>
      <c r="W209" s="28">
        <f t="shared" si="57"/>
        <v>807.13497004046701</v>
      </c>
      <c r="X209" s="165">
        <f>IF(U209&gt;V$5,U209-V$5,0)*'Electrical System Specification'!D$17</f>
        <v>0</v>
      </c>
      <c r="Y209">
        <f>(X209*C209)*'Electrical System Specification'!D$17</f>
        <v>0</v>
      </c>
      <c r="Z209" s="165">
        <f t="shared" si="58"/>
        <v>807.13497004046701</v>
      </c>
      <c r="AA209" s="165">
        <f t="shared" si="59"/>
        <v>82107.420194521619</v>
      </c>
      <c r="AB209" s="165"/>
    </row>
    <row r="210" spans="3:28" x14ac:dyDescent="0.2">
      <c r="C210" s="148">
        <v>0.17799713121697103</v>
      </c>
      <c r="D210">
        <f t="shared" si="47"/>
        <v>50.58925746847595</v>
      </c>
      <c r="E210" s="164">
        <v>0</v>
      </c>
      <c r="F210" s="165">
        <f>E210/'Electrical System Specification'!AC$4</f>
        <v>0</v>
      </c>
      <c r="G210" s="146">
        <f>F210/('Electrical System Specification'!X$16*'Electrical System Specification'!J$16*'Electrical System Specification'!D$17)</f>
        <v>0</v>
      </c>
      <c r="H210" s="165"/>
      <c r="I210" s="173">
        <f t="shared" si="48"/>
        <v>6871.6622130335309</v>
      </c>
      <c r="J210" s="173">
        <f t="shared" si="49"/>
        <v>7621.6306710664712</v>
      </c>
      <c r="K210" s="174" t="b">
        <f>IF(E210&gt;I210,'Electrical System Specification'!AC$4*'Electrical System Specification'!J$16*'Electrical System Specification'!D$16*'Electrical System Specification'!D$17*'Electrical System Specification'!X$16)</f>
        <v>0</v>
      </c>
      <c r="L210" s="174">
        <f>IF(E210&lt;I210,'Electrical System Specification'!X$16*'Electrical System Specification'!Q$16*'Electrical System Specification'!AC$4*'Electrical System Specification'!J$16)</f>
        <v>0.83082440000000002</v>
      </c>
      <c r="M210" s="174">
        <f t="shared" si="50"/>
        <v>0.83082440000000002</v>
      </c>
      <c r="N210" s="174">
        <f t="shared" si="51"/>
        <v>0</v>
      </c>
      <c r="O210" s="173">
        <f t="shared" si="52"/>
        <v>-6871.6622130335309</v>
      </c>
      <c r="P210" s="174" t="b">
        <f t="shared" si="53"/>
        <v>0</v>
      </c>
      <c r="Q210" s="174">
        <f t="shared" si="46"/>
        <v>0</v>
      </c>
      <c r="R210" s="174">
        <f t="shared" si="45"/>
        <v>0</v>
      </c>
      <c r="S210" s="165">
        <f t="shared" si="54"/>
        <v>0</v>
      </c>
      <c r="T210" t="b">
        <f t="shared" si="55"/>
        <v>0</v>
      </c>
      <c r="U210" s="176">
        <f t="shared" si="56"/>
        <v>0</v>
      </c>
      <c r="V210" s="165">
        <f>IF(U210&lt;V$5,V$5-U210,IF(U210&gt;=V$5,0))*('Electrical System Specification'!D$16*'Electrical System Specification'!Q$16)</f>
        <v>7516.5876862264913</v>
      </c>
      <c r="W210" s="28">
        <f t="shared" si="57"/>
        <v>1337.9310446891254</v>
      </c>
      <c r="X210" s="165">
        <f>IF(U210&gt;V$5,U210-V$5,0)*'Electrical System Specification'!D$17</f>
        <v>0</v>
      </c>
      <c r="Y210">
        <f>(X210*C210)*'Electrical System Specification'!D$17</f>
        <v>0</v>
      </c>
      <c r="Z210" s="165">
        <f t="shared" si="58"/>
        <v>1337.9310446891254</v>
      </c>
      <c r="AA210" s="165">
        <f t="shared" si="59"/>
        <v>83445.351239210751</v>
      </c>
      <c r="AB210" s="165"/>
    </row>
    <row r="211" spans="3:28" x14ac:dyDescent="0.2">
      <c r="C211" s="148">
        <v>0.17311132767403248</v>
      </c>
      <c r="D211">
        <f t="shared" si="47"/>
        <v>50.762368796149985</v>
      </c>
      <c r="E211" s="164">
        <v>2795.128700768385</v>
      </c>
      <c r="F211" s="165">
        <f>E211/'Electrical System Specification'!AC$4</f>
        <v>2852.172143641209</v>
      </c>
      <c r="G211" s="146">
        <f>F211/('Electrical System Specification'!X$16*'Electrical System Specification'!J$16*'Electrical System Specification'!D$17)</f>
        <v>3551.1879870028502</v>
      </c>
      <c r="H211" s="165"/>
      <c r="I211" s="173">
        <f t="shared" si="48"/>
        <v>6871.6622130335309</v>
      </c>
      <c r="J211" s="173">
        <f t="shared" si="49"/>
        <v>7621.6306710664712</v>
      </c>
      <c r="K211" s="174" t="b">
        <f>IF(E211&gt;I211,'Electrical System Specification'!AC$4*'Electrical System Specification'!J$16*'Electrical System Specification'!D$16*'Electrical System Specification'!D$17*'Electrical System Specification'!X$16)</f>
        <v>0</v>
      </c>
      <c r="L211" s="174">
        <f>IF(E211&lt;I211,'Electrical System Specification'!X$16*'Electrical System Specification'!Q$16*'Electrical System Specification'!AC$4*'Electrical System Specification'!J$16)</f>
        <v>0.83082440000000002</v>
      </c>
      <c r="M211" s="174">
        <f t="shared" si="50"/>
        <v>0.83082440000000002</v>
      </c>
      <c r="N211" s="174">
        <f t="shared" si="51"/>
        <v>2322.2611257386729</v>
      </c>
      <c r="O211" s="173">
        <f t="shared" si="52"/>
        <v>-4076.5335122651459</v>
      </c>
      <c r="P211" s="174" t="b">
        <f t="shared" si="53"/>
        <v>0</v>
      </c>
      <c r="Q211" s="174">
        <f t="shared" si="46"/>
        <v>2795.128700768385</v>
      </c>
      <c r="R211" s="174">
        <f t="shared" si="45"/>
        <v>3364.2833561079633</v>
      </c>
      <c r="S211" s="165">
        <f t="shared" si="54"/>
        <v>3364.2833561079633</v>
      </c>
      <c r="T211" t="b">
        <f t="shared" si="55"/>
        <v>0</v>
      </c>
      <c r="U211" s="176">
        <f t="shared" si="56"/>
        <v>3364.2833561079633</v>
      </c>
      <c r="V211" s="165">
        <f>IF(U211&lt;V$5,V$5-U211,IF(U211&gt;=V$5,0))*('Electrical System Specification'!D$16*'Electrical System Specification'!Q$16)</f>
        <v>4640.1254167541829</v>
      </c>
      <c r="W211" s="28">
        <f t="shared" si="57"/>
        <v>803.2582714683399</v>
      </c>
      <c r="X211" s="165">
        <f>IF(U211&gt;V$5,U211-V$5,0)*'Electrical System Specification'!D$17</f>
        <v>0</v>
      </c>
      <c r="Y211">
        <f>(X211*C211)*'Electrical System Specification'!D$17</f>
        <v>0</v>
      </c>
      <c r="Z211" s="165">
        <f t="shared" si="58"/>
        <v>803.2582714683399</v>
      </c>
      <c r="AA211" s="165">
        <f t="shared" si="59"/>
        <v>84248.609510679089</v>
      </c>
      <c r="AB211" s="165"/>
    </row>
    <row r="212" spans="3:28" x14ac:dyDescent="0.2">
      <c r="C212" s="148">
        <v>0.17794227536991716</v>
      </c>
      <c r="D212">
        <f t="shared" si="47"/>
        <v>50.940311071519901</v>
      </c>
      <c r="E212" s="164">
        <v>0</v>
      </c>
      <c r="F212" s="165">
        <f>E212/'Electrical System Specification'!AC$4</f>
        <v>0</v>
      </c>
      <c r="G212" s="146">
        <f>F212/('Electrical System Specification'!X$16*'Electrical System Specification'!J$16*'Electrical System Specification'!D$17)</f>
        <v>0</v>
      </c>
      <c r="H212" s="165"/>
      <c r="I212" s="173">
        <f t="shared" si="48"/>
        <v>6871.6622130335309</v>
      </c>
      <c r="J212" s="173">
        <f t="shared" si="49"/>
        <v>7621.6306710664712</v>
      </c>
      <c r="K212" s="174" t="b">
        <f>IF(E212&gt;I212,'Electrical System Specification'!AC$4*'Electrical System Specification'!J$16*'Electrical System Specification'!D$16*'Electrical System Specification'!D$17*'Electrical System Specification'!X$16)</f>
        <v>0</v>
      </c>
      <c r="L212" s="174">
        <f>IF(E212&lt;I212,'Electrical System Specification'!X$16*'Electrical System Specification'!Q$16*'Electrical System Specification'!AC$4*'Electrical System Specification'!J$16)</f>
        <v>0.83082440000000002</v>
      </c>
      <c r="M212" s="174">
        <f t="shared" si="50"/>
        <v>0.83082440000000002</v>
      </c>
      <c r="N212" s="174">
        <f t="shared" si="51"/>
        <v>0</v>
      </c>
      <c r="O212" s="173">
        <f t="shared" si="52"/>
        <v>-6871.6622130335309</v>
      </c>
      <c r="P212" s="174" t="b">
        <f t="shared" si="53"/>
        <v>0</v>
      </c>
      <c r="Q212" s="174">
        <f t="shared" si="46"/>
        <v>0</v>
      </c>
      <c r="R212" s="174">
        <f t="shared" si="45"/>
        <v>0</v>
      </c>
      <c r="S212" s="165">
        <f t="shared" si="54"/>
        <v>0</v>
      </c>
      <c r="T212" t="b">
        <f t="shared" si="55"/>
        <v>0</v>
      </c>
      <c r="U212" s="176">
        <f t="shared" si="56"/>
        <v>0</v>
      </c>
      <c r="V212" s="165">
        <f>IF(U212&lt;V$5,V$5-U212,IF(U212&gt;=V$5,0))*('Electrical System Specification'!D$16*'Electrical System Specification'!Q$16)</f>
        <v>7516.5876862264913</v>
      </c>
      <c r="W212" s="28">
        <f t="shared" si="57"/>
        <v>1337.5187159046429</v>
      </c>
      <c r="X212" s="165">
        <f>IF(U212&gt;V$5,U212-V$5,0)*'Electrical System Specification'!D$17</f>
        <v>0</v>
      </c>
      <c r="Y212">
        <f>(X212*C212)*'Electrical System Specification'!D$17</f>
        <v>0</v>
      </c>
      <c r="Z212" s="165">
        <f t="shared" si="58"/>
        <v>1337.5187159046429</v>
      </c>
      <c r="AA212" s="165">
        <f t="shared" si="59"/>
        <v>85586.128226583736</v>
      </c>
      <c r="AB212" s="165"/>
    </row>
    <row r="213" spans="3:28" x14ac:dyDescent="0.2">
      <c r="C213" s="148">
        <v>0.1772163886984415</v>
      </c>
      <c r="D213">
        <f t="shared" si="47"/>
        <v>51.117527460218341</v>
      </c>
      <c r="E213" s="164">
        <v>0</v>
      </c>
      <c r="F213" s="165">
        <f>E213/'Electrical System Specification'!AC$4</f>
        <v>0</v>
      </c>
      <c r="G213" s="146">
        <f>F213/('Electrical System Specification'!X$16*'Electrical System Specification'!J$16*'Electrical System Specification'!D$17)</f>
        <v>0</v>
      </c>
      <c r="H213" s="165"/>
      <c r="I213" s="173">
        <f t="shared" si="48"/>
        <v>6871.6622130335309</v>
      </c>
      <c r="J213" s="173">
        <f t="shared" si="49"/>
        <v>7621.6306710664712</v>
      </c>
      <c r="K213" s="174" t="b">
        <f>IF(E213&gt;I213,'Electrical System Specification'!AC$4*'Electrical System Specification'!J$16*'Electrical System Specification'!D$16*'Electrical System Specification'!D$17*'Electrical System Specification'!X$16)</f>
        <v>0</v>
      </c>
      <c r="L213" s="174">
        <f>IF(E213&lt;I213,'Electrical System Specification'!X$16*'Electrical System Specification'!Q$16*'Electrical System Specification'!AC$4*'Electrical System Specification'!J$16)</f>
        <v>0.83082440000000002</v>
      </c>
      <c r="M213" s="174">
        <f t="shared" si="50"/>
        <v>0.83082440000000002</v>
      </c>
      <c r="N213" s="174">
        <f t="shared" si="51"/>
        <v>0</v>
      </c>
      <c r="O213" s="173">
        <f t="shared" si="52"/>
        <v>-6871.6622130335309</v>
      </c>
      <c r="P213" s="174" t="b">
        <f t="shared" si="53"/>
        <v>0</v>
      </c>
      <c r="Q213" s="174">
        <f t="shared" si="46"/>
        <v>0</v>
      </c>
      <c r="R213" s="174">
        <f t="shared" ref="R213:R276" si="60">IF(Q213&gt;I213,0,Q213/L213)</f>
        <v>0</v>
      </c>
      <c r="S213" s="165">
        <f t="shared" si="54"/>
        <v>0</v>
      </c>
      <c r="T213" t="b">
        <f t="shared" si="55"/>
        <v>0</v>
      </c>
      <c r="U213" s="176">
        <f t="shared" si="56"/>
        <v>0</v>
      </c>
      <c r="V213" s="165">
        <f>IF(U213&lt;V$5,V$5-U213,IF(U213&gt;=V$5,0))*('Electrical System Specification'!D$16*'Electrical System Specification'!Q$16)</f>
        <v>7516.5876862264913</v>
      </c>
      <c r="W213" s="28">
        <f t="shared" si="57"/>
        <v>1332.0625250882329</v>
      </c>
      <c r="X213" s="165">
        <f>IF(U213&gt;V$5,U213-V$5,0)*'Electrical System Specification'!D$17</f>
        <v>0</v>
      </c>
      <c r="Y213">
        <f>(X213*C213)*'Electrical System Specification'!D$17</f>
        <v>0</v>
      </c>
      <c r="Z213" s="165">
        <f t="shared" si="58"/>
        <v>1332.0625250882329</v>
      </c>
      <c r="AA213" s="165">
        <f t="shared" si="59"/>
        <v>86918.190751671966</v>
      </c>
      <c r="AB213" s="165"/>
    </row>
    <row r="214" spans="3:28" x14ac:dyDescent="0.2">
      <c r="C214" s="148">
        <v>0.17872657901177719</v>
      </c>
      <c r="D214">
        <f t="shared" si="47"/>
        <v>51.296254039230121</v>
      </c>
      <c r="E214" s="164">
        <v>0</v>
      </c>
      <c r="F214" s="165">
        <f>E214/'Electrical System Specification'!AC$4</f>
        <v>0</v>
      </c>
      <c r="G214" s="146">
        <f>F214/('Electrical System Specification'!X$16*'Electrical System Specification'!J$16*'Electrical System Specification'!D$17)</f>
        <v>0</v>
      </c>
      <c r="H214" s="165"/>
      <c r="I214" s="173">
        <f t="shared" si="48"/>
        <v>6871.6622130335309</v>
      </c>
      <c r="J214" s="173">
        <f t="shared" si="49"/>
        <v>7621.6306710664712</v>
      </c>
      <c r="K214" s="174" t="b">
        <f>IF(E214&gt;I214,'Electrical System Specification'!AC$4*'Electrical System Specification'!J$16*'Electrical System Specification'!D$16*'Electrical System Specification'!D$17*'Electrical System Specification'!X$16)</f>
        <v>0</v>
      </c>
      <c r="L214" s="174">
        <f>IF(E214&lt;I214,'Electrical System Specification'!X$16*'Electrical System Specification'!Q$16*'Electrical System Specification'!AC$4*'Electrical System Specification'!J$16)</f>
        <v>0.83082440000000002</v>
      </c>
      <c r="M214" s="174">
        <f t="shared" si="50"/>
        <v>0.83082440000000002</v>
      </c>
      <c r="N214" s="174">
        <f t="shared" si="51"/>
        <v>0</v>
      </c>
      <c r="O214" s="173">
        <f t="shared" si="52"/>
        <v>-6871.6622130335309</v>
      </c>
      <c r="P214" s="174" t="b">
        <f t="shared" si="53"/>
        <v>0</v>
      </c>
      <c r="Q214" s="174">
        <f t="shared" si="46"/>
        <v>0</v>
      </c>
      <c r="R214" s="174">
        <f t="shared" si="60"/>
        <v>0</v>
      </c>
      <c r="S214" s="165">
        <f t="shared" si="54"/>
        <v>0</v>
      </c>
      <c r="T214" t="b">
        <f t="shared" si="55"/>
        <v>0</v>
      </c>
      <c r="U214" s="176">
        <f t="shared" si="56"/>
        <v>0</v>
      </c>
      <c r="V214" s="165">
        <f>IF(U214&lt;V$5,V$5-U214,IF(U214&gt;=V$5,0))*('Electrical System Specification'!D$16*'Electrical System Specification'!Q$16)</f>
        <v>7516.5876862264913</v>
      </c>
      <c r="W214" s="28">
        <f t="shared" si="57"/>
        <v>1343.4140030013104</v>
      </c>
      <c r="X214" s="165">
        <f>IF(U214&gt;V$5,U214-V$5,0)*'Electrical System Specification'!D$17</f>
        <v>0</v>
      </c>
      <c r="Y214">
        <f>(X214*C214)*'Electrical System Specification'!D$17</f>
        <v>0</v>
      </c>
      <c r="Z214" s="165">
        <f t="shared" si="58"/>
        <v>1343.4140030013104</v>
      </c>
      <c r="AA214" s="165">
        <f t="shared" si="59"/>
        <v>88261.604754673273</v>
      </c>
      <c r="AB214" s="165"/>
    </row>
    <row r="215" spans="3:28" x14ac:dyDescent="0.2">
      <c r="C215" s="148">
        <v>0.18419838473276909</v>
      </c>
      <c r="D215">
        <f t="shared" si="47"/>
        <v>51.480452423962888</v>
      </c>
      <c r="E215" s="164">
        <v>0</v>
      </c>
      <c r="F215" s="165">
        <f>E215/'Electrical System Specification'!AC$4</f>
        <v>0</v>
      </c>
      <c r="G215" s="146">
        <f>F215/('Electrical System Specification'!X$16*'Electrical System Specification'!J$16*'Electrical System Specification'!D$17)</f>
        <v>0</v>
      </c>
      <c r="H215" s="165"/>
      <c r="I215" s="173">
        <f t="shared" si="48"/>
        <v>6871.6622130335309</v>
      </c>
      <c r="J215" s="173">
        <f t="shared" si="49"/>
        <v>7621.6306710664712</v>
      </c>
      <c r="K215" s="174" t="b">
        <f>IF(E215&gt;I215,'Electrical System Specification'!AC$4*'Electrical System Specification'!J$16*'Electrical System Specification'!D$16*'Electrical System Specification'!D$17*'Electrical System Specification'!X$16)</f>
        <v>0</v>
      </c>
      <c r="L215" s="174">
        <f>IF(E215&lt;I215,'Electrical System Specification'!X$16*'Electrical System Specification'!Q$16*'Electrical System Specification'!AC$4*'Electrical System Specification'!J$16)</f>
        <v>0.83082440000000002</v>
      </c>
      <c r="M215" s="174">
        <f t="shared" si="50"/>
        <v>0.83082440000000002</v>
      </c>
      <c r="N215" s="174">
        <f t="shared" si="51"/>
        <v>0</v>
      </c>
      <c r="O215" s="173">
        <f t="shared" si="52"/>
        <v>-6871.6622130335309</v>
      </c>
      <c r="P215" s="174" t="b">
        <f t="shared" si="53"/>
        <v>0</v>
      </c>
      <c r="Q215" s="174">
        <f t="shared" si="46"/>
        <v>0</v>
      </c>
      <c r="R215" s="174">
        <f t="shared" si="60"/>
        <v>0</v>
      </c>
      <c r="S215" s="165">
        <f t="shared" si="54"/>
        <v>0</v>
      </c>
      <c r="T215" t="b">
        <f t="shared" si="55"/>
        <v>0</v>
      </c>
      <c r="U215" s="176">
        <f t="shared" si="56"/>
        <v>0</v>
      </c>
      <c r="V215" s="165">
        <f>IF(U215&lt;V$5,V$5-U215,IF(U215&gt;=V$5,0))*('Electrical System Specification'!D$16*'Electrical System Specification'!Q$16)</f>
        <v>7516.5876862264913</v>
      </c>
      <c r="W215" s="28">
        <f t="shared" si="57"/>
        <v>1384.5433105051418</v>
      </c>
      <c r="X215" s="165">
        <f>IF(U215&gt;V$5,U215-V$5,0)*'Electrical System Specification'!D$17</f>
        <v>0</v>
      </c>
      <c r="Y215">
        <f>(X215*C215)*'Electrical System Specification'!D$17</f>
        <v>0</v>
      </c>
      <c r="Z215" s="165">
        <f t="shared" si="58"/>
        <v>1384.5433105051418</v>
      </c>
      <c r="AA215" s="165">
        <f t="shared" si="59"/>
        <v>89646.148065178422</v>
      </c>
      <c r="AB215" s="165"/>
    </row>
    <row r="216" spans="3:28" x14ac:dyDescent="0.2">
      <c r="C216" s="148">
        <v>0.19001477246949131</v>
      </c>
      <c r="D216">
        <f t="shared" si="47"/>
        <v>51.670467196432377</v>
      </c>
      <c r="E216" s="164">
        <v>0</v>
      </c>
      <c r="F216" s="165">
        <f>E216/'Electrical System Specification'!AC$4</f>
        <v>0</v>
      </c>
      <c r="G216" s="146">
        <f>F216/('Electrical System Specification'!X$16*'Electrical System Specification'!J$16*'Electrical System Specification'!D$17)</f>
        <v>0</v>
      </c>
      <c r="H216" s="165"/>
      <c r="I216" s="173">
        <f t="shared" si="48"/>
        <v>6871.6622130335309</v>
      </c>
      <c r="J216" s="173">
        <f t="shared" si="49"/>
        <v>7621.6306710664712</v>
      </c>
      <c r="K216" s="174" t="b">
        <f>IF(E216&gt;I216,'Electrical System Specification'!AC$4*'Electrical System Specification'!J$16*'Electrical System Specification'!D$16*'Electrical System Specification'!D$17*'Electrical System Specification'!X$16)</f>
        <v>0</v>
      </c>
      <c r="L216" s="174">
        <f>IF(E216&lt;I216,'Electrical System Specification'!X$16*'Electrical System Specification'!Q$16*'Electrical System Specification'!AC$4*'Electrical System Specification'!J$16)</f>
        <v>0.83082440000000002</v>
      </c>
      <c r="M216" s="174">
        <f t="shared" si="50"/>
        <v>0.83082440000000002</v>
      </c>
      <c r="N216" s="174">
        <f t="shared" si="51"/>
        <v>0</v>
      </c>
      <c r="O216" s="173">
        <f t="shared" si="52"/>
        <v>-6871.6622130335309</v>
      </c>
      <c r="P216" s="174" t="b">
        <f t="shared" si="53"/>
        <v>0</v>
      </c>
      <c r="Q216" s="174">
        <f t="shared" si="46"/>
        <v>0</v>
      </c>
      <c r="R216" s="174">
        <f t="shared" si="60"/>
        <v>0</v>
      </c>
      <c r="S216" s="165">
        <f t="shared" si="54"/>
        <v>0</v>
      </c>
      <c r="T216" t="b">
        <f t="shared" si="55"/>
        <v>0</v>
      </c>
      <c r="U216" s="176">
        <f t="shared" si="56"/>
        <v>0</v>
      </c>
      <c r="V216" s="165">
        <f>IF(U216&lt;V$5,V$5-U216,IF(U216&gt;=V$5,0))*('Electrical System Specification'!D$16*'Electrical System Specification'!Q$16)</f>
        <v>7516.5876862264913</v>
      </c>
      <c r="W216" s="28">
        <f t="shared" si="57"/>
        <v>1428.262698945307</v>
      </c>
      <c r="X216" s="165">
        <f>IF(U216&gt;V$5,U216-V$5,0)*'Electrical System Specification'!D$17</f>
        <v>0</v>
      </c>
      <c r="Y216">
        <f>(X216*C216)*'Electrical System Specification'!D$17</f>
        <v>0</v>
      </c>
      <c r="Z216" s="165">
        <f t="shared" si="58"/>
        <v>1428.262698945307</v>
      </c>
      <c r="AA216" s="165">
        <f t="shared" si="59"/>
        <v>91074.410764123735</v>
      </c>
      <c r="AB216" s="165"/>
    </row>
    <row r="217" spans="3:28" x14ac:dyDescent="0.2">
      <c r="C217" s="148">
        <v>0.19630048086853147</v>
      </c>
      <c r="D217">
        <f t="shared" si="47"/>
        <v>51.866767677300906</v>
      </c>
      <c r="E217" s="164">
        <v>0</v>
      </c>
      <c r="F217" s="165">
        <f>E217/'Electrical System Specification'!AC$4</f>
        <v>0</v>
      </c>
      <c r="G217" s="146">
        <f>F217/('Electrical System Specification'!X$16*'Electrical System Specification'!J$16*'Electrical System Specification'!D$17)</f>
        <v>0</v>
      </c>
      <c r="H217" s="165"/>
      <c r="I217" s="173">
        <f t="shared" si="48"/>
        <v>6871.6622130335309</v>
      </c>
      <c r="J217" s="173">
        <f t="shared" si="49"/>
        <v>7621.6306710664712</v>
      </c>
      <c r="K217" s="174" t="b">
        <f>IF(E217&gt;I217,'Electrical System Specification'!AC$4*'Electrical System Specification'!J$16*'Electrical System Specification'!D$16*'Electrical System Specification'!D$17*'Electrical System Specification'!X$16)</f>
        <v>0</v>
      </c>
      <c r="L217" s="174">
        <f>IF(E217&lt;I217,'Electrical System Specification'!X$16*'Electrical System Specification'!Q$16*'Electrical System Specification'!AC$4*'Electrical System Specification'!J$16)</f>
        <v>0.83082440000000002</v>
      </c>
      <c r="M217" s="174">
        <f t="shared" si="50"/>
        <v>0.83082440000000002</v>
      </c>
      <c r="N217" s="174">
        <f t="shared" si="51"/>
        <v>0</v>
      </c>
      <c r="O217" s="173">
        <f t="shared" si="52"/>
        <v>-6871.6622130335309</v>
      </c>
      <c r="P217" s="174" t="b">
        <f t="shared" si="53"/>
        <v>0</v>
      </c>
      <c r="Q217" s="174">
        <f t="shared" si="46"/>
        <v>0</v>
      </c>
      <c r="R217" s="174">
        <f t="shared" si="60"/>
        <v>0</v>
      </c>
      <c r="S217" s="165">
        <f t="shared" si="54"/>
        <v>0</v>
      </c>
      <c r="T217" t="b">
        <f t="shared" si="55"/>
        <v>0</v>
      </c>
      <c r="U217" s="176">
        <f t="shared" si="56"/>
        <v>0</v>
      </c>
      <c r="V217" s="165">
        <f>IF(U217&lt;V$5,V$5-U217,IF(U217&gt;=V$5,0))*('Electrical System Specification'!D$16*'Electrical System Specification'!Q$16)</f>
        <v>7516.5876862264913</v>
      </c>
      <c r="W217" s="28">
        <f t="shared" si="57"/>
        <v>1475.5097772967426</v>
      </c>
      <c r="X217" s="165">
        <f>IF(U217&gt;V$5,U217-V$5,0)*'Electrical System Specification'!D$17</f>
        <v>0</v>
      </c>
      <c r="Y217">
        <f>(X217*C217)*'Electrical System Specification'!D$17</f>
        <v>0</v>
      </c>
      <c r="Z217" s="165">
        <f t="shared" si="58"/>
        <v>1475.5097772967426</v>
      </c>
      <c r="AA217" s="165">
        <f t="shared" si="59"/>
        <v>92549.920541420477</v>
      </c>
      <c r="AB217" s="165"/>
    </row>
    <row r="218" spans="3:28" x14ac:dyDescent="0.2">
      <c r="C218" s="148">
        <v>0.28000000000000003</v>
      </c>
      <c r="D218">
        <f t="shared" si="47"/>
        <v>52.146767677300907</v>
      </c>
      <c r="E218" s="164">
        <v>13465.906457145509</v>
      </c>
      <c r="F218" s="165">
        <f>E218/'Electrical System Specification'!AC$4</f>
        <v>13740.720874638275</v>
      </c>
      <c r="G218" s="146">
        <f>F218/('Electrical System Specification'!X$16*'Electrical System Specification'!J$16*'Electrical System Specification'!D$17)</f>
        <v>17108.323216592304</v>
      </c>
      <c r="H218" s="165"/>
      <c r="I218" s="173">
        <f t="shared" si="48"/>
        <v>6871.6622130335309</v>
      </c>
      <c r="J218" s="173">
        <f t="shared" si="49"/>
        <v>7621.6306710664712</v>
      </c>
      <c r="K218" s="174">
        <f>IF(E218&gt;I218,'Electrical System Specification'!AC$4*'Electrical System Specification'!J$16*'Electrical System Specification'!D$16*'Electrical System Specification'!D$17*'Electrical System Specification'!X$16)</f>
        <v>0.70838712000000004</v>
      </c>
      <c r="L218" s="174" t="b">
        <f>IF(E218&lt;I218,'Electrical System Specification'!X$16*'Electrical System Specification'!Q$16*'Electrical System Specification'!AC$4*'Electrical System Specification'!J$16)</f>
        <v>0</v>
      </c>
      <c r="M218" s="174">
        <f t="shared" si="50"/>
        <v>0.70838712000000004</v>
      </c>
      <c r="N218" s="174">
        <f t="shared" si="51"/>
        <v>9539.0746933667106</v>
      </c>
      <c r="O218" s="173">
        <f t="shared" si="52"/>
        <v>6594.2442441119783</v>
      </c>
      <c r="P218" s="174">
        <f t="shared" si="53"/>
        <v>9308.8144291951248</v>
      </c>
      <c r="Q218" s="174">
        <f t="shared" si="46"/>
        <v>8270.8960076684452</v>
      </c>
      <c r="R218" s="174">
        <f t="shared" si="60"/>
        <v>0</v>
      </c>
      <c r="S218" s="165" t="b">
        <f t="shared" si="54"/>
        <v>0</v>
      </c>
      <c r="T218">
        <f t="shared" si="55"/>
        <v>17579.71043686357</v>
      </c>
      <c r="U218" s="176">
        <f t="shared" si="56"/>
        <v>17579.71043686357</v>
      </c>
      <c r="V218" s="165">
        <f>IF(U218&lt;V$5,V$5-U218,IF(U218&gt;=V$5,0))*('Electrical System Specification'!D$16*'Electrical System Specification'!Q$16)</f>
        <v>0</v>
      </c>
      <c r="W218" s="28">
        <f t="shared" si="57"/>
        <v>0</v>
      </c>
      <c r="X218" s="165">
        <f>IF(U218&gt;V$5,U218-V$5,0)*'Electrical System Specification'!D$17</f>
        <v>7909.5418287282746</v>
      </c>
      <c r="Y218">
        <f>(X218*C218)*'Electrical System Specification'!D$17</f>
        <v>1993.2045408395254</v>
      </c>
      <c r="Z218" s="165">
        <f t="shared" si="58"/>
        <v>-1993.2045408395254</v>
      </c>
      <c r="AA218" s="165">
        <f t="shared" si="59"/>
        <v>90556.716000580956</v>
      </c>
      <c r="AB218" s="165"/>
    </row>
    <row r="219" spans="3:28" x14ac:dyDescent="0.2">
      <c r="C219" s="148">
        <v>0.28000000000000003</v>
      </c>
      <c r="D219">
        <f t="shared" si="47"/>
        <v>52.426767677300909</v>
      </c>
      <c r="E219" s="164">
        <v>13465.906457145509</v>
      </c>
      <c r="F219" s="165">
        <f>E219/'Electrical System Specification'!AC$4</f>
        <v>13740.720874638275</v>
      </c>
      <c r="G219" s="146">
        <f>F219/('Electrical System Specification'!X$16*'Electrical System Specification'!J$16*'Electrical System Specification'!D$17)</f>
        <v>17108.323216592304</v>
      </c>
      <c r="H219" s="165"/>
      <c r="I219" s="173">
        <f t="shared" si="48"/>
        <v>6871.6622130335309</v>
      </c>
      <c r="J219" s="173">
        <f t="shared" si="49"/>
        <v>7621.6306710664712</v>
      </c>
      <c r="K219" s="174">
        <f>IF(E219&gt;I219,'Electrical System Specification'!AC$4*'Electrical System Specification'!J$16*'Electrical System Specification'!D$16*'Electrical System Specification'!D$17*'Electrical System Specification'!X$16)</f>
        <v>0.70838712000000004</v>
      </c>
      <c r="L219" s="174" t="b">
        <f>IF(E219&lt;I219,'Electrical System Specification'!X$16*'Electrical System Specification'!Q$16*'Electrical System Specification'!AC$4*'Electrical System Specification'!J$16)</f>
        <v>0</v>
      </c>
      <c r="M219" s="174">
        <f t="shared" si="50"/>
        <v>0.70838712000000004</v>
      </c>
      <c r="N219" s="174">
        <f t="shared" si="51"/>
        <v>9539.0746933667106</v>
      </c>
      <c r="O219" s="173">
        <f t="shared" si="52"/>
        <v>6594.2442441119783</v>
      </c>
      <c r="P219" s="174">
        <f t="shared" si="53"/>
        <v>9308.8144291951248</v>
      </c>
      <c r="Q219" s="174">
        <f t="shared" si="46"/>
        <v>8270.8960076684452</v>
      </c>
      <c r="R219" s="174">
        <f t="shared" si="60"/>
        <v>0</v>
      </c>
      <c r="S219" s="165" t="b">
        <f t="shared" si="54"/>
        <v>0</v>
      </c>
      <c r="T219">
        <f t="shared" si="55"/>
        <v>17579.71043686357</v>
      </c>
      <c r="U219" s="176">
        <f t="shared" si="56"/>
        <v>17579.71043686357</v>
      </c>
      <c r="V219" s="165">
        <f>IF(U219&lt;V$5,V$5-U219,IF(U219&gt;=V$5,0))*('Electrical System Specification'!D$16*'Electrical System Specification'!Q$16)</f>
        <v>0</v>
      </c>
      <c r="W219" s="28">
        <f t="shared" si="57"/>
        <v>0</v>
      </c>
      <c r="X219" s="165">
        <f>IF(U219&gt;V$5,U219-V$5,0)*'Electrical System Specification'!D$17</f>
        <v>7909.5418287282746</v>
      </c>
      <c r="Y219">
        <f>(X219*C219)*'Electrical System Specification'!D$17</f>
        <v>1993.2045408395254</v>
      </c>
      <c r="Z219" s="165">
        <f t="shared" si="58"/>
        <v>-1993.2045408395254</v>
      </c>
      <c r="AA219" s="165">
        <f t="shared" si="59"/>
        <v>88563.511459741436</v>
      </c>
      <c r="AB219" s="165"/>
    </row>
    <row r="220" spans="3:28" x14ac:dyDescent="0.2">
      <c r="C220" s="148">
        <v>0.28413344025354037</v>
      </c>
      <c r="D220">
        <f t="shared" si="47"/>
        <v>52.71090111755445</v>
      </c>
      <c r="E220" s="164">
        <v>13465.906457145509</v>
      </c>
      <c r="F220" s="165">
        <f>E220/'Electrical System Specification'!AC$4</f>
        <v>13740.720874638275</v>
      </c>
      <c r="G220" s="146">
        <f>F220/('Electrical System Specification'!X$16*'Electrical System Specification'!J$16*'Electrical System Specification'!D$17)</f>
        <v>17108.323216592304</v>
      </c>
      <c r="H220" s="165"/>
      <c r="I220" s="173">
        <f t="shared" si="48"/>
        <v>6871.6622130335309</v>
      </c>
      <c r="J220" s="173">
        <f t="shared" si="49"/>
        <v>7621.6306710664712</v>
      </c>
      <c r="K220" s="174">
        <f>IF(E220&gt;I220,'Electrical System Specification'!AC$4*'Electrical System Specification'!J$16*'Electrical System Specification'!D$16*'Electrical System Specification'!D$17*'Electrical System Specification'!X$16)</f>
        <v>0.70838712000000004</v>
      </c>
      <c r="L220" s="174" t="b">
        <f>IF(E220&lt;I220,'Electrical System Specification'!X$16*'Electrical System Specification'!Q$16*'Electrical System Specification'!AC$4*'Electrical System Specification'!J$16)</f>
        <v>0</v>
      </c>
      <c r="M220" s="174">
        <f t="shared" si="50"/>
        <v>0.70838712000000004</v>
      </c>
      <c r="N220" s="174">
        <f t="shared" si="51"/>
        <v>9539.0746933667106</v>
      </c>
      <c r="O220" s="173">
        <f t="shared" si="52"/>
        <v>6594.2442441119783</v>
      </c>
      <c r="P220" s="174">
        <f t="shared" si="53"/>
        <v>9308.8144291951248</v>
      </c>
      <c r="Q220" s="174">
        <f t="shared" si="46"/>
        <v>8270.8960076684452</v>
      </c>
      <c r="R220" s="174">
        <f t="shared" si="60"/>
        <v>0</v>
      </c>
      <c r="S220" s="165" t="b">
        <f t="shared" si="54"/>
        <v>0</v>
      </c>
      <c r="T220">
        <f t="shared" si="55"/>
        <v>17579.71043686357</v>
      </c>
      <c r="U220" s="176">
        <f t="shared" si="56"/>
        <v>17579.71043686357</v>
      </c>
      <c r="V220" s="165">
        <f>IF(U220&lt;V$5,V$5-U220,IF(U220&gt;=V$5,0))*('Electrical System Specification'!D$16*'Electrical System Specification'!Q$16)</f>
        <v>0</v>
      </c>
      <c r="W220" s="28">
        <f t="shared" si="57"/>
        <v>0</v>
      </c>
      <c r="X220" s="165">
        <f>IF(U220&gt;V$5,U220-V$5,0)*'Electrical System Specification'!D$17</f>
        <v>7909.5418287282746</v>
      </c>
      <c r="Y220">
        <f>(X220*C220)*'Electrical System Specification'!D$17</f>
        <v>2022.6287975632595</v>
      </c>
      <c r="Z220" s="165">
        <f t="shared" si="58"/>
        <v>-2022.6287975632595</v>
      </c>
      <c r="AA220" s="165">
        <f t="shared" si="59"/>
        <v>86540.882662178177</v>
      </c>
      <c r="AB220" s="165"/>
    </row>
    <row r="221" spans="3:28" x14ac:dyDescent="0.2">
      <c r="C221" s="148">
        <v>0.28449868202897161</v>
      </c>
      <c r="D221">
        <f t="shared" si="47"/>
        <v>52.995399799583424</v>
      </c>
      <c r="E221" s="164">
        <v>13465.906457145509</v>
      </c>
      <c r="F221" s="165">
        <f>E221/'Electrical System Specification'!AC$4</f>
        <v>13740.720874638275</v>
      </c>
      <c r="G221" s="146">
        <f>F221/('Electrical System Specification'!X$16*'Electrical System Specification'!J$16*'Electrical System Specification'!D$17)</f>
        <v>17108.323216592304</v>
      </c>
      <c r="H221" s="165"/>
      <c r="I221" s="173">
        <f t="shared" si="48"/>
        <v>6871.6622130335309</v>
      </c>
      <c r="J221" s="173">
        <f t="shared" si="49"/>
        <v>7621.6306710664712</v>
      </c>
      <c r="K221" s="174">
        <f>IF(E221&gt;I221,'Electrical System Specification'!AC$4*'Electrical System Specification'!J$16*'Electrical System Specification'!D$16*'Electrical System Specification'!D$17*'Electrical System Specification'!X$16)</f>
        <v>0.70838712000000004</v>
      </c>
      <c r="L221" s="174" t="b">
        <f>IF(E221&lt;I221,'Electrical System Specification'!X$16*'Electrical System Specification'!Q$16*'Electrical System Specification'!AC$4*'Electrical System Specification'!J$16)</f>
        <v>0</v>
      </c>
      <c r="M221" s="174">
        <f t="shared" si="50"/>
        <v>0.70838712000000004</v>
      </c>
      <c r="N221" s="174">
        <f t="shared" si="51"/>
        <v>9539.0746933667106</v>
      </c>
      <c r="O221" s="173">
        <f t="shared" si="52"/>
        <v>6594.2442441119783</v>
      </c>
      <c r="P221" s="174">
        <f t="shared" si="53"/>
        <v>9308.8144291951248</v>
      </c>
      <c r="Q221" s="174">
        <f t="shared" si="46"/>
        <v>8270.8960076684452</v>
      </c>
      <c r="R221" s="174">
        <f t="shared" si="60"/>
        <v>0</v>
      </c>
      <c r="S221" s="165" t="b">
        <f t="shared" si="54"/>
        <v>0</v>
      </c>
      <c r="T221">
        <f t="shared" si="55"/>
        <v>17579.71043686357</v>
      </c>
      <c r="U221" s="176">
        <f t="shared" si="56"/>
        <v>17579.71043686357</v>
      </c>
      <c r="V221" s="165">
        <f>IF(U221&lt;V$5,V$5-U221,IF(U221&gt;=V$5,0))*('Electrical System Specification'!D$16*'Electrical System Specification'!Q$16)</f>
        <v>0</v>
      </c>
      <c r="W221" s="28">
        <f t="shared" si="57"/>
        <v>0</v>
      </c>
      <c r="X221" s="165">
        <f>IF(U221&gt;V$5,U221-V$5,0)*'Electrical System Specification'!D$17</f>
        <v>7909.5418287282746</v>
      </c>
      <c r="Y221">
        <f>(X221*C221)*'Electrical System Specification'!D$17</f>
        <v>2025.2288031535945</v>
      </c>
      <c r="Z221" s="165">
        <f t="shared" si="58"/>
        <v>-2025.2288031535945</v>
      </c>
      <c r="AA221" s="165">
        <f t="shared" si="59"/>
        <v>84515.653859024576</v>
      </c>
      <c r="AB221" s="165"/>
    </row>
    <row r="222" spans="3:28" x14ac:dyDescent="0.2">
      <c r="C222" s="148">
        <v>0.28486140101441343</v>
      </c>
      <c r="D222">
        <f t="shared" si="47"/>
        <v>53.280261200597835</v>
      </c>
      <c r="E222" s="164">
        <v>13465.906457145509</v>
      </c>
      <c r="F222" s="165">
        <f>E222/'Electrical System Specification'!AC$4</f>
        <v>13740.720874638275</v>
      </c>
      <c r="G222" s="146">
        <f>F222/('Electrical System Specification'!X$16*'Electrical System Specification'!J$16*'Electrical System Specification'!D$17)</f>
        <v>17108.323216592304</v>
      </c>
      <c r="H222" s="165"/>
      <c r="I222" s="173">
        <f t="shared" si="48"/>
        <v>6871.6622130335309</v>
      </c>
      <c r="J222" s="173">
        <f t="shared" si="49"/>
        <v>7621.6306710664712</v>
      </c>
      <c r="K222" s="174">
        <f>IF(E222&gt;I222,'Electrical System Specification'!AC$4*'Electrical System Specification'!J$16*'Electrical System Specification'!D$16*'Electrical System Specification'!D$17*'Electrical System Specification'!X$16)</f>
        <v>0.70838712000000004</v>
      </c>
      <c r="L222" s="174" t="b">
        <f>IF(E222&lt;I222,'Electrical System Specification'!X$16*'Electrical System Specification'!Q$16*'Electrical System Specification'!AC$4*'Electrical System Specification'!J$16)</f>
        <v>0</v>
      </c>
      <c r="M222" s="174">
        <f t="shared" si="50"/>
        <v>0.70838712000000004</v>
      </c>
      <c r="N222" s="174">
        <f t="shared" si="51"/>
        <v>9539.0746933667106</v>
      </c>
      <c r="O222" s="173">
        <f t="shared" si="52"/>
        <v>6594.2442441119783</v>
      </c>
      <c r="P222" s="174">
        <f t="shared" si="53"/>
        <v>9308.8144291951248</v>
      </c>
      <c r="Q222" s="174">
        <f t="shared" ref="Q222:Q285" si="61">IF(O222&lt;0,I222-(O222*-1),IF(O222&gt;0,I222/L$9))</f>
        <v>8270.8960076684452</v>
      </c>
      <c r="R222" s="174">
        <f t="shared" si="60"/>
        <v>0</v>
      </c>
      <c r="S222" s="165" t="b">
        <f t="shared" si="54"/>
        <v>0</v>
      </c>
      <c r="T222">
        <f t="shared" si="55"/>
        <v>17579.71043686357</v>
      </c>
      <c r="U222" s="176">
        <f t="shared" si="56"/>
        <v>17579.71043686357</v>
      </c>
      <c r="V222" s="165">
        <f>IF(U222&lt;V$5,V$5-U222,IF(U222&gt;=V$5,0))*('Electrical System Specification'!D$16*'Electrical System Specification'!Q$16)</f>
        <v>0</v>
      </c>
      <c r="W222" s="28">
        <f t="shared" si="57"/>
        <v>0</v>
      </c>
      <c r="X222" s="165">
        <f>IF(U222&gt;V$5,U222-V$5,0)*'Electrical System Specification'!D$17</f>
        <v>7909.5418287282746</v>
      </c>
      <c r="Y222">
        <f>(X222*C222)*'Electrical System Specification'!D$17</f>
        <v>2027.8108500422779</v>
      </c>
      <c r="Z222" s="165">
        <f t="shared" si="58"/>
        <v>-2027.8108500422779</v>
      </c>
      <c r="AA222" s="165">
        <f t="shared" si="59"/>
        <v>82487.843008982294</v>
      </c>
      <c r="AB222" s="165"/>
    </row>
    <row r="223" spans="3:28" x14ac:dyDescent="0.2">
      <c r="C223" s="148">
        <v>0.28532252849701367</v>
      </c>
      <c r="D223">
        <f t="shared" si="47"/>
        <v>53.565583729094847</v>
      </c>
      <c r="E223" s="164">
        <v>13465.906457145509</v>
      </c>
      <c r="F223" s="165">
        <f>E223/'Electrical System Specification'!AC$4</f>
        <v>13740.720874638275</v>
      </c>
      <c r="G223" s="146">
        <f>F223/('Electrical System Specification'!X$16*'Electrical System Specification'!J$16*'Electrical System Specification'!D$17)</f>
        <v>17108.323216592304</v>
      </c>
      <c r="H223" s="165"/>
      <c r="I223" s="173">
        <f t="shared" si="48"/>
        <v>6871.6622130335309</v>
      </c>
      <c r="J223" s="173">
        <f t="shared" si="49"/>
        <v>7621.6306710664712</v>
      </c>
      <c r="K223" s="174">
        <f>IF(E223&gt;I223,'Electrical System Specification'!AC$4*'Electrical System Specification'!J$16*'Electrical System Specification'!D$16*'Electrical System Specification'!D$17*'Electrical System Specification'!X$16)</f>
        <v>0.70838712000000004</v>
      </c>
      <c r="L223" s="174" t="b">
        <f>IF(E223&lt;I223,'Electrical System Specification'!X$16*'Electrical System Specification'!Q$16*'Electrical System Specification'!AC$4*'Electrical System Specification'!J$16)</f>
        <v>0</v>
      </c>
      <c r="M223" s="174">
        <f t="shared" si="50"/>
        <v>0.70838712000000004</v>
      </c>
      <c r="N223" s="174">
        <f t="shared" si="51"/>
        <v>9539.0746933667106</v>
      </c>
      <c r="O223" s="173">
        <f t="shared" si="52"/>
        <v>6594.2442441119783</v>
      </c>
      <c r="P223" s="174">
        <f t="shared" si="53"/>
        <v>9308.8144291951248</v>
      </c>
      <c r="Q223" s="174">
        <f t="shared" si="61"/>
        <v>8270.8960076684452</v>
      </c>
      <c r="R223" s="174">
        <f t="shared" si="60"/>
        <v>0</v>
      </c>
      <c r="S223" s="165" t="b">
        <f t="shared" si="54"/>
        <v>0</v>
      </c>
      <c r="T223">
        <f t="shared" si="55"/>
        <v>17579.71043686357</v>
      </c>
      <c r="U223" s="176">
        <f t="shared" si="56"/>
        <v>17579.71043686357</v>
      </c>
      <c r="V223" s="165">
        <f>IF(U223&lt;V$5,V$5-U223,IF(U223&gt;=V$5,0))*('Electrical System Specification'!D$16*'Electrical System Specification'!Q$16)</f>
        <v>0</v>
      </c>
      <c r="W223" s="28">
        <f t="shared" si="57"/>
        <v>0</v>
      </c>
      <c r="X223" s="165">
        <f>IF(U223&gt;V$5,U223-V$5,0)*'Electrical System Specification'!D$17</f>
        <v>7909.5418287282746</v>
      </c>
      <c r="Y223">
        <f>(X223*C223)*'Electrical System Specification'!D$17</f>
        <v>2031.0934264430803</v>
      </c>
      <c r="Z223" s="165">
        <f t="shared" si="58"/>
        <v>-2031.0934264430803</v>
      </c>
      <c r="AA223" s="165">
        <f t="shared" si="59"/>
        <v>80456.749582539211</v>
      </c>
      <c r="AB223" s="165"/>
    </row>
    <row r="224" spans="3:28" x14ac:dyDescent="0.2">
      <c r="C224" s="148">
        <v>0.28574662488255348</v>
      </c>
      <c r="D224">
        <f t="shared" si="47"/>
        <v>53.851330353977403</v>
      </c>
      <c r="E224" s="164">
        <v>13465.906457145509</v>
      </c>
      <c r="F224" s="165">
        <f>E224/'Electrical System Specification'!AC$4</f>
        <v>13740.720874638275</v>
      </c>
      <c r="G224" s="146">
        <f>F224/('Electrical System Specification'!X$16*'Electrical System Specification'!J$16*'Electrical System Specification'!D$17)</f>
        <v>17108.323216592304</v>
      </c>
      <c r="H224" s="165"/>
      <c r="I224" s="173">
        <f t="shared" si="48"/>
        <v>6871.6622130335309</v>
      </c>
      <c r="J224" s="173">
        <f t="shared" si="49"/>
        <v>7621.6306710664712</v>
      </c>
      <c r="K224" s="174">
        <f>IF(E224&gt;I224,'Electrical System Specification'!AC$4*'Electrical System Specification'!J$16*'Electrical System Specification'!D$16*'Electrical System Specification'!D$17*'Electrical System Specification'!X$16)</f>
        <v>0.70838712000000004</v>
      </c>
      <c r="L224" s="174" t="b">
        <f>IF(E224&lt;I224,'Electrical System Specification'!X$16*'Electrical System Specification'!Q$16*'Electrical System Specification'!AC$4*'Electrical System Specification'!J$16)</f>
        <v>0</v>
      </c>
      <c r="M224" s="174">
        <f t="shared" si="50"/>
        <v>0.70838712000000004</v>
      </c>
      <c r="N224" s="174">
        <f t="shared" si="51"/>
        <v>9539.0746933667106</v>
      </c>
      <c r="O224" s="173">
        <f t="shared" si="52"/>
        <v>6594.2442441119783</v>
      </c>
      <c r="P224" s="174">
        <f t="shared" si="53"/>
        <v>9308.8144291951248</v>
      </c>
      <c r="Q224" s="174">
        <f t="shared" si="61"/>
        <v>8270.8960076684452</v>
      </c>
      <c r="R224" s="174">
        <f t="shared" si="60"/>
        <v>0</v>
      </c>
      <c r="S224" s="165" t="b">
        <f t="shared" si="54"/>
        <v>0</v>
      </c>
      <c r="T224">
        <f t="shared" si="55"/>
        <v>17579.71043686357</v>
      </c>
      <c r="U224" s="176">
        <f t="shared" si="56"/>
        <v>17579.71043686357</v>
      </c>
      <c r="V224" s="165">
        <f>IF(U224&lt;V$5,V$5-U224,IF(U224&gt;=V$5,0))*('Electrical System Specification'!D$16*'Electrical System Specification'!Q$16)</f>
        <v>0</v>
      </c>
      <c r="W224" s="28">
        <f t="shared" si="57"/>
        <v>0</v>
      </c>
      <c r="X224" s="165">
        <f>IF(U224&gt;V$5,U224-V$5,0)*'Electrical System Specification'!D$17</f>
        <v>7909.5418287282746</v>
      </c>
      <c r="Y224">
        <f>(X224*C224)*'Electrical System Specification'!D$17</f>
        <v>2034.1123937338359</v>
      </c>
      <c r="Z224" s="165">
        <f t="shared" si="58"/>
        <v>-2034.1123937338359</v>
      </c>
      <c r="AA224" s="165">
        <f t="shared" si="59"/>
        <v>78422.637188805369</v>
      </c>
      <c r="AB224" s="165"/>
    </row>
    <row r="225" spans="3:28" x14ac:dyDescent="0.2">
      <c r="C225" s="148">
        <v>0.28613369017114243</v>
      </c>
      <c r="D225">
        <f t="shared" si="47"/>
        <v>54.137464044148544</v>
      </c>
      <c r="E225" s="164">
        <v>13465.906457145509</v>
      </c>
      <c r="F225" s="165">
        <f>E225/'Electrical System Specification'!AC$4</f>
        <v>13740.720874638275</v>
      </c>
      <c r="G225" s="146">
        <f>F225/('Electrical System Specification'!X$16*'Electrical System Specification'!J$16*'Electrical System Specification'!D$17)</f>
        <v>17108.323216592304</v>
      </c>
      <c r="H225" s="165"/>
      <c r="I225" s="173">
        <f t="shared" si="48"/>
        <v>6871.6622130335309</v>
      </c>
      <c r="J225" s="173">
        <f t="shared" si="49"/>
        <v>7621.6306710664712</v>
      </c>
      <c r="K225" s="174">
        <f>IF(E225&gt;I225,'Electrical System Specification'!AC$4*'Electrical System Specification'!J$16*'Electrical System Specification'!D$16*'Electrical System Specification'!D$17*'Electrical System Specification'!X$16)</f>
        <v>0.70838712000000004</v>
      </c>
      <c r="L225" s="174" t="b">
        <f>IF(E225&lt;I225,'Electrical System Specification'!X$16*'Electrical System Specification'!Q$16*'Electrical System Specification'!AC$4*'Electrical System Specification'!J$16)</f>
        <v>0</v>
      </c>
      <c r="M225" s="174">
        <f t="shared" si="50"/>
        <v>0.70838712000000004</v>
      </c>
      <c r="N225" s="174">
        <f t="shared" si="51"/>
        <v>9539.0746933667106</v>
      </c>
      <c r="O225" s="173">
        <f t="shared" si="52"/>
        <v>6594.2442441119783</v>
      </c>
      <c r="P225" s="174">
        <f t="shared" si="53"/>
        <v>9308.8144291951248</v>
      </c>
      <c r="Q225" s="174">
        <f t="shared" si="61"/>
        <v>8270.8960076684452</v>
      </c>
      <c r="R225" s="174">
        <f t="shared" si="60"/>
        <v>0</v>
      </c>
      <c r="S225" s="165" t="b">
        <f t="shared" si="54"/>
        <v>0</v>
      </c>
      <c r="T225">
        <f t="shared" si="55"/>
        <v>17579.71043686357</v>
      </c>
      <c r="U225" s="176">
        <f t="shared" si="56"/>
        <v>17579.71043686357</v>
      </c>
      <c r="V225" s="165">
        <f>IF(U225&lt;V$5,V$5-U225,IF(U225&gt;=V$5,0))*('Electrical System Specification'!D$16*'Electrical System Specification'!Q$16)</f>
        <v>0</v>
      </c>
      <c r="W225" s="28">
        <f t="shared" si="57"/>
        <v>0</v>
      </c>
      <c r="X225" s="165">
        <f>IF(U225&gt;V$5,U225-V$5,0)*'Electrical System Specification'!D$17</f>
        <v>7909.5418287282746</v>
      </c>
      <c r="Y225">
        <f>(X225*C225)*'Electrical System Specification'!D$17</f>
        <v>2036.8677519153246</v>
      </c>
      <c r="Z225" s="165">
        <f t="shared" si="58"/>
        <v>-2036.8677519153246</v>
      </c>
      <c r="AA225" s="165">
        <f t="shared" si="59"/>
        <v>76385.769436890041</v>
      </c>
      <c r="AB225" s="165"/>
    </row>
    <row r="226" spans="3:28" x14ac:dyDescent="0.2">
      <c r="C226" s="148">
        <v>0.28650350130605889</v>
      </c>
      <c r="D226">
        <f t="shared" si="47"/>
        <v>54.423967545454602</v>
      </c>
      <c r="E226" s="164">
        <v>13465.906457145509</v>
      </c>
      <c r="F226" s="165">
        <f>E226/'Electrical System Specification'!AC$4</f>
        <v>13740.720874638275</v>
      </c>
      <c r="G226" s="146">
        <f>F226/('Electrical System Specification'!X$16*'Electrical System Specification'!J$16*'Electrical System Specification'!D$17)</f>
        <v>17108.323216592304</v>
      </c>
      <c r="H226" s="165"/>
      <c r="I226" s="173">
        <f t="shared" si="48"/>
        <v>6871.6622130335309</v>
      </c>
      <c r="J226" s="173">
        <f t="shared" si="49"/>
        <v>7621.6306710664712</v>
      </c>
      <c r="K226" s="174">
        <f>IF(E226&gt;I226,'Electrical System Specification'!AC$4*'Electrical System Specification'!J$16*'Electrical System Specification'!D$16*'Electrical System Specification'!D$17*'Electrical System Specification'!X$16)</f>
        <v>0.70838712000000004</v>
      </c>
      <c r="L226" s="174" t="b">
        <f>IF(E226&lt;I226,'Electrical System Specification'!X$16*'Electrical System Specification'!Q$16*'Electrical System Specification'!AC$4*'Electrical System Specification'!J$16)</f>
        <v>0</v>
      </c>
      <c r="M226" s="174">
        <f t="shared" si="50"/>
        <v>0.70838712000000004</v>
      </c>
      <c r="N226" s="174">
        <f t="shared" si="51"/>
        <v>9539.0746933667106</v>
      </c>
      <c r="O226" s="173">
        <f t="shared" si="52"/>
        <v>6594.2442441119783</v>
      </c>
      <c r="P226" s="174">
        <f t="shared" si="53"/>
        <v>9308.8144291951248</v>
      </c>
      <c r="Q226" s="174">
        <f t="shared" si="61"/>
        <v>8270.8960076684452</v>
      </c>
      <c r="R226" s="174">
        <f t="shared" si="60"/>
        <v>0</v>
      </c>
      <c r="S226" s="165" t="b">
        <f t="shared" si="54"/>
        <v>0</v>
      </c>
      <c r="T226">
        <f t="shared" si="55"/>
        <v>17579.71043686357</v>
      </c>
      <c r="U226" s="176">
        <f t="shared" si="56"/>
        <v>17579.71043686357</v>
      </c>
      <c r="V226" s="165">
        <f>IF(U226&lt;V$5,V$5-U226,IF(U226&gt;=V$5,0))*('Electrical System Specification'!D$16*'Electrical System Specification'!Q$16)</f>
        <v>0</v>
      </c>
      <c r="W226" s="28">
        <f t="shared" si="57"/>
        <v>0</v>
      </c>
      <c r="X226" s="165">
        <f>IF(U226&gt;V$5,U226-V$5,0)*'Electrical System Specification'!D$17</f>
        <v>7909.5418287282746</v>
      </c>
      <c r="Y226">
        <f>(X226*C226)*'Electrical System Specification'!D$17</f>
        <v>2039.5002848916406</v>
      </c>
      <c r="Z226" s="165">
        <f t="shared" si="58"/>
        <v>-2039.5002848916406</v>
      </c>
      <c r="AA226" s="165">
        <f t="shared" si="59"/>
        <v>74346.269151998407</v>
      </c>
      <c r="AB226" s="165"/>
    </row>
    <row r="227" spans="3:28" x14ac:dyDescent="0.2">
      <c r="C227" s="148">
        <v>0.28687128948626284</v>
      </c>
      <c r="D227">
        <f t="shared" si="47"/>
        <v>54.710838834940866</v>
      </c>
      <c r="E227" s="164">
        <v>13465.906457145509</v>
      </c>
      <c r="F227" s="165">
        <f>E227/'Electrical System Specification'!AC$4</f>
        <v>13740.720874638275</v>
      </c>
      <c r="G227" s="146">
        <f>F227/('Electrical System Specification'!X$16*'Electrical System Specification'!J$16*'Electrical System Specification'!D$17)</f>
        <v>17108.323216592304</v>
      </c>
      <c r="H227" s="165"/>
      <c r="I227" s="173">
        <f t="shared" si="48"/>
        <v>6871.6622130335309</v>
      </c>
      <c r="J227" s="173">
        <f t="shared" si="49"/>
        <v>7621.6306710664712</v>
      </c>
      <c r="K227" s="174">
        <f>IF(E227&gt;I227,'Electrical System Specification'!AC$4*'Electrical System Specification'!J$16*'Electrical System Specification'!D$16*'Electrical System Specification'!D$17*'Electrical System Specification'!X$16)</f>
        <v>0.70838712000000004</v>
      </c>
      <c r="L227" s="174" t="b">
        <f>IF(E227&lt;I227,'Electrical System Specification'!X$16*'Electrical System Specification'!Q$16*'Electrical System Specification'!AC$4*'Electrical System Specification'!J$16)</f>
        <v>0</v>
      </c>
      <c r="M227" s="174">
        <f t="shared" si="50"/>
        <v>0.70838712000000004</v>
      </c>
      <c r="N227" s="174">
        <f t="shared" si="51"/>
        <v>9539.0746933667106</v>
      </c>
      <c r="O227" s="173">
        <f t="shared" si="52"/>
        <v>6594.2442441119783</v>
      </c>
      <c r="P227" s="174">
        <f t="shared" si="53"/>
        <v>9308.8144291951248</v>
      </c>
      <c r="Q227" s="174">
        <f t="shared" si="61"/>
        <v>8270.8960076684452</v>
      </c>
      <c r="R227" s="174">
        <f t="shared" si="60"/>
        <v>0</v>
      </c>
      <c r="S227" s="165" t="b">
        <f t="shared" si="54"/>
        <v>0</v>
      </c>
      <c r="T227">
        <f t="shared" si="55"/>
        <v>17579.71043686357</v>
      </c>
      <c r="U227" s="176">
        <f t="shared" si="56"/>
        <v>17579.71043686357</v>
      </c>
      <c r="V227" s="165">
        <f>IF(U227&lt;V$5,V$5-U227,IF(U227&gt;=V$5,0))*('Electrical System Specification'!D$16*'Electrical System Specification'!Q$16)</f>
        <v>0</v>
      </c>
      <c r="W227" s="28">
        <f t="shared" si="57"/>
        <v>0</v>
      </c>
      <c r="X227" s="165">
        <f>IF(U227&gt;V$5,U227-V$5,0)*'Electrical System Specification'!D$17</f>
        <v>7909.5418287282746</v>
      </c>
      <c r="Y227">
        <f>(X227*C227)*'Electrical System Specification'!D$17</f>
        <v>2042.1184172875323</v>
      </c>
      <c r="Z227" s="165">
        <f t="shared" si="58"/>
        <v>-2042.1184172875323</v>
      </c>
      <c r="AA227" s="165">
        <f t="shared" si="59"/>
        <v>72304.150734710871</v>
      </c>
      <c r="AB227" s="165"/>
    </row>
    <row r="228" spans="3:28" x14ac:dyDescent="0.2">
      <c r="C228" s="148">
        <v>0.28000000000000003</v>
      </c>
      <c r="D228">
        <f t="shared" si="47"/>
        <v>54.990838834940867</v>
      </c>
      <c r="E228" s="164">
        <v>13465.906457145509</v>
      </c>
      <c r="F228" s="165">
        <f>E228/'Electrical System Specification'!AC$4</f>
        <v>13740.720874638275</v>
      </c>
      <c r="G228" s="146">
        <f>F228/('Electrical System Specification'!X$16*'Electrical System Specification'!J$16*'Electrical System Specification'!D$17)</f>
        <v>17108.323216592304</v>
      </c>
      <c r="H228" s="165"/>
      <c r="I228" s="173">
        <f t="shared" si="48"/>
        <v>6871.6622130335309</v>
      </c>
      <c r="J228" s="173">
        <f t="shared" si="49"/>
        <v>7621.6306710664712</v>
      </c>
      <c r="K228" s="174">
        <f>IF(E228&gt;I228,'Electrical System Specification'!AC$4*'Electrical System Specification'!J$16*'Electrical System Specification'!D$16*'Electrical System Specification'!D$17*'Electrical System Specification'!X$16)</f>
        <v>0.70838712000000004</v>
      </c>
      <c r="L228" s="174" t="b">
        <f>IF(E228&lt;I228,'Electrical System Specification'!X$16*'Electrical System Specification'!Q$16*'Electrical System Specification'!AC$4*'Electrical System Specification'!J$16)</f>
        <v>0</v>
      </c>
      <c r="M228" s="174">
        <f t="shared" si="50"/>
        <v>0.70838712000000004</v>
      </c>
      <c r="N228" s="174">
        <f t="shared" si="51"/>
        <v>9539.0746933667106</v>
      </c>
      <c r="O228" s="173">
        <f t="shared" si="52"/>
        <v>6594.2442441119783</v>
      </c>
      <c r="P228" s="174">
        <f t="shared" si="53"/>
        <v>9308.8144291951248</v>
      </c>
      <c r="Q228" s="174">
        <f t="shared" si="61"/>
        <v>8270.8960076684452</v>
      </c>
      <c r="R228" s="174">
        <f t="shared" si="60"/>
        <v>0</v>
      </c>
      <c r="S228" s="165" t="b">
        <f t="shared" si="54"/>
        <v>0</v>
      </c>
      <c r="T228">
        <f t="shared" si="55"/>
        <v>17579.71043686357</v>
      </c>
      <c r="U228" s="176">
        <f t="shared" si="56"/>
        <v>17579.71043686357</v>
      </c>
      <c r="V228" s="165">
        <f>IF(U228&lt;V$5,V$5-U228,IF(U228&gt;=V$5,0))*('Electrical System Specification'!D$16*'Electrical System Specification'!Q$16)</f>
        <v>0</v>
      </c>
      <c r="W228" s="28">
        <f t="shared" si="57"/>
        <v>0</v>
      </c>
      <c r="X228" s="165">
        <f>IF(U228&gt;V$5,U228-V$5,0)*'Electrical System Specification'!D$17</f>
        <v>7909.5418287282746</v>
      </c>
      <c r="Y228">
        <f>(X228*C228)*'Electrical System Specification'!D$17</f>
        <v>1993.2045408395254</v>
      </c>
      <c r="Z228" s="165">
        <f t="shared" si="58"/>
        <v>-1993.2045408395254</v>
      </c>
      <c r="AA228" s="165">
        <f t="shared" si="59"/>
        <v>70310.94619387135</v>
      </c>
      <c r="AB228" s="165"/>
    </row>
    <row r="229" spans="3:28" x14ac:dyDescent="0.2">
      <c r="C229" s="148">
        <v>0.28413344025354037</v>
      </c>
      <c r="D229">
        <f t="shared" si="47"/>
        <v>55.274972275194408</v>
      </c>
      <c r="E229" s="164">
        <v>13465.906457145509</v>
      </c>
      <c r="F229" s="165">
        <f>E229/'Electrical System Specification'!AC$4</f>
        <v>13740.720874638275</v>
      </c>
      <c r="G229" s="146">
        <f>F229/('Electrical System Specification'!X$16*'Electrical System Specification'!J$16*'Electrical System Specification'!D$17)</f>
        <v>17108.323216592304</v>
      </c>
      <c r="H229" s="165"/>
      <c r="I229" s="173">
        <f t="shared" si="48"/>
        <v>6871.6622130335309</v>
      </c>
      <c r="J229" s="173">
        <f t="shared" si="49"/>
        <v>7621.6306710664712</v>
      </c>
      <c r="K229" s="174">
        <f>IF(E229&gt;I229,'Electrical System Specification'!AC$4*'Electrical System Specification'!J$16*'Electrical System Specification'!D$16*'Electrical System Specification'!D$17*'Electrical System Specification'!X$16)</f>
        <v>0.70838712000000004</v>
      </c>
      <c r="L229" s="174" t="b">
        <f>IF(E229&lt;I229,'Electrical System Specification'!X$16*'Electrical System Specification'!Q$16*'Electrical System Specification'!AC$4*'Electrical System Specification'!J$16)</f>
        <v>0</v>
      </c>
      <c r="M229" s="174">
        <f t="shared" si="50"/>
        <v>0.70838712000000004</v>
      </c>
      <c r="N229" s="174">
        <f t="shared" si="51"/>
        <v>9539.0746933667106</v>
      </c>
      <c r="O229" s="173">
        <f t="shared" si="52"/>
        <v>6594.2442441119783</v>
      </c>
      <c r="P229" s="174">
        <f t="shared" si="53"/>
        <v>9308.8144291951248</v>
      </c>
      <c r="Q229" s="174">
        <f t="shared" si="61"/>
        <v>8270.8960076684452</v>
      </c>
      <c r="R229" s="174">
        <f t="shared" si="60"/>
        <v>0</v>
      </c>
      <c r="S229" s="165" t="b">
        <f t="shared" si="54"/>
        <v>0</v>
      </c>
      <c r="T229">
        <f t="shared" si="55"/>
        <v>17579.71043686357</v>
      </c>
      <c r="U229" s="176">
        <f t="shared" si="56"/>
        <v>17579.71043686357</v>
      </c>
      <c r="V229" s="165">
        <f>IF(U229&lt;V$5,V$5-U229,IF(U229&gt;=V$5,0))*('Electrical System Specification'!D$16*'Electrical System Specification'!Q$16)</f>
        <v>0</v>
      </c>
      <c r="W229" s="28">
        <f t="shared" si="57"/>
        <v>0</v>
      </c>
      <c r="X229" s="165">
        <f>IF(U229&gt;V$5,U229-V$5,0)*'Electrical System Specification'!D$17</f>
        <v>7909.5418287282746</v>
      </c>
      <c r="Y229">
        <f>(X229*C229)*'Electrical System Specification'!D$17</f>
        <v>2022.6287975632595</v>
      </c>
      <c r="Z229" s="165">
        <f t="shared" si="58"/>
        <v>-2022.6287975632595</v>
      </c>
      <c r="AA229" s="165">
        <f t="shared" si="59"/>
        <v>68288.317396308092</v>
      </c>
      <c r="AB229" s="165"/>
    </row>
    <row r="230" spans="3:28" x14ac:dyDescent="0.2">
      <c r="C230" s="148">
        <v>0.28449868202897161</v>
      </c>
      <c r="D230">
        <f t="shared" si="47"/>
        <v>55.559470957223382</v>
      </c>
      <c r="E230" s="164">
        <v>13465.906457145509</v>
      </c>
      <c r="F230" s="165">
        <f>E230/'Electrical System Specification'!AC$4</f>
        <v>13740.720874638275</v>
      </c>
      <c r="G230" s="146">
        <f>F230/('Electrical System Specification'!X$16*'Electrical System Specification'!J$16*'Electrical System Specification'!D$17)</f>
        <v>17108.323216592304</v>
      </c>
      <c r="H230" s="165"/>
      <c r="I230" s="173">
        <f t="shared" si="48"/>
        <v>6871.6622130335309</v>
      </c>
      <c r="J230" s="173">
        <f t="shared" si="49"/>
        <v>7621.6306710664712</v>
      </c>
      <c r="K230" s="174">
        <f>IF(E230&gt;I230,'Electrical System Specification'!AC$4*'Electrical System Specification'!J$16*'Electrical System Specification'!D$16*'Electrical System Specification'!D$17*'Electrical System Specification'!X$16)</f>
        <v>0.70838712000000004</v>
      </c>
      <c r="L230" s="174" t="b">
        <f>IF(E230&lt;I230,'Electrical System Specification'!X$16*'Electrical System Specification'!Q$16*'Electrical System Specification'!AC$4*'Electrical System Specification'!J$16)</f>
        <v>0</v>
      </c>
      <c r="M230" s="174">
        <f t="shared" si="50"/>
        <v>0.70838712000000004</v>
      </c>
      <c r="N230" s="174">
        <f t="shared" si="51"/>
        <v>9539.0746933667106</v>
      </c>
      <c r="O230" s="173">
        <f t="shared" si="52"/>
        <v>6594.2442441119783</v>
      </c>
      <c r="P230" s="174">
        <f t="shared" si="53"/>
        <v>9308.8144291951248</v>
      </c>
      <c r="Q230" s="174">
        <f t="shared" si="61"/>
        <v>8270.8960076684452</v>
      </c>
      <c r="R230" s="174">
        <f t="shared" si="60"/>
        <v>0</v>
      </c>
      <c r="S230" s="165" t="b">
        <f t="shared" si="54"/>
        <v>0</v>
      </c>
      <c r="T230">
        <f t="shared" si="55"/>
        <v>17579.71043686357</v>
      </c>
      <c r="U230" s="176">
        <f t="shared" si="56"/>
        <v>17579.71043686357</v>
      </c>
      <c r="V230" s="165">
        <f>IF(U230&lt;V$5,V$5-U230,IF(U230&gt;=V$5,0))*('Electrical System Specification'!D$16*'Electrical System Specification'!Q$16)</f>
        <v>0</v>
      </c>
      <c r="W230" s="28">
        <f t="shared" si="57"/>
        <v>0</v>
      </c>
      <c r="X230" s="165">
        <f>IF(U230&gt;V$5,U230-V$5,0)*'Electrical System Specification'!D$17</f>
        <v>7909.5418287282746</v>
      </c>
      <c r="Y230">
        <f>(X230*C230)*'Electrical System Specification'!D$17</f>
        <v>2025.2288031535945</v>
      </c>
      <c r="Z230" s="165">
        <f t="shared" si="58"/>
        <v>-2025.2288031535945</v>
      </c>
      <c r="AA230" s="165">
        <f t="shared" si="59"/>
        <v>66263.088593154491</v>
      </c>
      <c r="AB230" s="165"/>
    </row>
    <row r="231" spans="3:28" x14ac:dyDescent="0.2">
      <c r="C231" s="148">
        <v>0.28486140101441343</v>
      </c>
      <c r="D231">
        <f t="shared" si="47"/>
        <v>55.844332358237793</v>
      </c>
      <c r="E231" s="164">
        <v>13465.906457145509</v>
      </c>
      <c r="F231" s="165">
        <f>E231/'Electrical System Specification'!AC$4</f>
        <v>13740.720874638275</v>
      </c>
      <c r="G231" s="146">
        <f>F231/('Electrical System Specification'!X$16*'Electrical System Specification'!J$16*'Electrical System Specification'!D$17)</f>
        <v>17108.323216592304</v>
      </c>
      <c r="H231" s="165"/>
      <c r="I231" s="173">
        <f t="shared" si="48"/>
        <v>6871.6622130335309</v>
      </c>
      <c r="J231" s="173">
        <f t="shared" si="49"/>
        <v>7621.6306710664712</v>
      </c>
      <c r="K231" s="174">
        <f>IF(E231&gt;I231,'Electrical System Specification'!AC$4*'Electrical System Specification'!J$16*'Electrical System Specification'!D$16*'Electrical System Specification'!D$17*'Electrical System Specification'!X$16)</f>
        <v>0.70838712000000004</v>
      </c>
      <c r="L231" s="174" t="b">
        <f>IF(E231&lt;I231,'Electrical System Specification'!X$16*'Electrical System Specification'!Q$16*'Electrical System Specification'!AC$4*'Electrical System Specification'!J$16)</f>
        <v>0</v>
      </c>
      <c r="M231" s="174">
        <f t="shared" si="50"/>
        <v>0.70838712000000004</v>
      </c>
      <c r="N231" s="174">
        <f t="shared" si="51"/>
        <v>9539.0746933667106</v>
      </c>
      <c r="O231" s="173">
        <f t="shared" si="52"/>
        <v>6594.2442441119783</v>
      </c>
      <c r="P231" s="174">
        <f t="shared" si="53"/>
        <v>9308.8144291951248</v>
      </c>
      <c r="Q231" s="174">
        <f t="shared" si="61"/>
        <v>8270.8960076684452</v>
      </c>
      <c r="R231" s="174">
        <f t="shared" si="60"/>
        <v>0</v>
      </c>
      <c r="S231" s="165" t="b">
        <f t="shared" si="54"/>
        <v>0</v>
      </c>
      <c r="T231">
        <f t="shared" si="55"/>
        <v>17579.71043686357</v>
      </c>
      <c r="U231" s="176">
        <f t="shared" si="56"/>
        <v>17579.71043686357</v>
      </c>
      <c r="V231" s="165">
        <f>IF(U231&lt;V$5,V$5-U231,IF(U231&gt;=V$5,0))*('Electrical System Specification'!D$16*'Electrical System Specification'!Q$16)</f>
        <v>0</v>
      </c>
      <c r="W231" s="28">
        <f t="shared" si="57"/>
        <v>0</v>
      </c>
      <c r="X231" s="165">
        <f>IF(U231&gt;V$5,U231-V$5,0)*'Electrical System Specification'!D$17</f>
        <v>7909.5418287282746</v>
      </c>
      <c r="Y231">
        <f>(X231*C231)*'Electrical System Specification'!D$17</f>
        <v>2027.8108500422779</v>
      </c>
      <c r="Z231" s="165">
        <f t="shared" si="58"/>
        <v>-2027.8108500422779</v>
      </c>
      <c r="AA231" s="165">
        <f t="shared" si="59"/>
        <v>64235.277743112216</v>
      </c>
      <c r="AB231" s="165"/>
    </row>
    <row r="232" spans="3:28" x14ac:dyDescent="0.2">
      <c r="C232" s="148">
        <v>0.28532252849701367</v>
      </c>
      <c r="D232">
        <f t="shared" si="47"/>
        <v>56.129654886734805</v>
      </c>
      <c r="E232" s="164">
        <v>13465.906457145509</v>
      </c>
      <c r="F232" s="165">
        <f>E232/'Electrical System Specification'!AC$4</f>
        <v>13740.720874638275</v>
      </c>
      <c r="G232" s="146">
        <f>F232/('Electrical System Specification'!X$16*'Electrical System Specification'!J$16*'Electrical System Specification'!D$17)</f>
        <v>17108.323216592304</v>
      </c>
      <c r="H232" s="165"/>
      <c r="I232" s="173">
        <f t="shared" si="48"/>
        <v>6871.6622130335309</v>
      </c>
      <c r="J232" s="173">
        <f t="shared" si="49"/>
        <v>7621.6306710664712</v>
      </c>
      <c r="K232" s="174">
        <f>IF(E232&gt;I232,'Electrical System Specification'!AC$4*'Electrical System Specification'!J$16*'Electrical System Specification'!D$16*'Electrical System Specification'!D$17*'Electrical System Specification'!X$16)</f>
        <v>0.70838712000000004</v>
      </c>
      <c r="L232" s="174" t="b">
        <f>IF(E232&lt;I232,'Electrical System Specification'!X$16*'Electrical System Specification'!Q$16*'Electrical System Specification'!AC$4*'Electrical System Specification'!J$16)</f>
        <v>0</v>
      </c>
      <c r="M232" s="174">
        <f t="shared" si="50"/>
        <v>0.70838712000000004</v>
      </c>
      <c r="N232" s="174">
        <f t="shared" si="51"/>
        <v>9539.0746933667106</v>
      </c>
      <c r="O232" s="173">
        <f t="shared" si="52"/>
        <v>6594.2442441119783</v>
      </c>
      <c r="P232" s="174">
        <f t="shared" si="53"/>
        <v>9308.8144291951248</v>
      </c>
      <c r="Q232" s="174">
        <f t="shared" si="61"/>
        <v>8270.8960076684452</v>
      </c>
      <c r="R232" s="174">
        <f t="shared" si="60"/>
        <v>0</v>
      </c>
      <c r="S232" s="165" t="b">
        <f t="shared" si="54"/>
        <v>0</v>
      </c>
      <c r="T232">
        <f t="shared" si="55"/>
        <v>17579.71043686357</v>
      </c>
      <c r="U232" s="176">
        <f t="shared" si="56"/>
        <v>17579.71043686357</v>
      </c>
      <c r="V232" s="165">
        <f>IF(U232&lt;V$5,V$5-U232,IF(U232&gt;=V$5,0))*('Electrical System Specification'!D$16*'Electrical System Specification'!Q$16)</f>
        <v>0</v>
      </c>
      <c r="W232" s="28">
        <f t="shared" si="57"/>
        <v>0</v>
      </c>
      <c r="X232" s="165">
        <f>IF(U232&gt;V$5,U232-V$5,0)*'Electrical System Specification'!D$17</f>
        <v>7909.5418287282746</v>
      </c>
      <c r="Y232">
        <f>(X232*C232)*'Electrical System Specification'!D$17</f>
        <v>2031.0934264430803</v>
      </c>
      <c r="Z232" s="165">
        <f t="shared" si="58"/>
        <v>-2031.0934264430803</v>
      </c>
      <c r="AA232" s="165">
        <f t="shared" si="59"/>
        <v>62204.184316669132</v>
      </c>
      <c r="AB232" s="165"/>
    </row>
    <row r="233" spans="3:28" x14ac:dyDescent="0.2">
      <c r="C233" s="148">
        <v>0.28574662488255348</v>
      </c>
      <c r="D233">
        <f t="shared" si="47"/>
        <v>56.415401511617361</v>
      </c>
      <c r="E233" s="164">
        <v>13465.906457145509</v>
      </c>
      <c r="F233" s="165">
        <f>E233/'Electrical System Specification'!AC$4</f>
        <v>13740.720874638275</v>
      </c>
      <c r="G233" s="146">
        <f>F233/('Electrical System Specification'!X$16*'Electrical System Specification'!J$16*'Electrical System Specification'!D$17)</f>
        <v>17108.323216592304</v>
      </c>
      <c r="H233" s="165"/>
      <c r="I233" s="173">
        <f t="shared" si="48"/>
        <v>6871.6622130335309</v>
      </c>
      <c r="J233" s="173">
        <f t="shared" si="49"/>
        <v>7621.6306710664712</v>
      </c>
      <c r="K233" s="174">
        <f>IF(E233&gt;I233,'Electrical System Specification'!AC$4*'Electrical System Specification'!J$16*'Electrical System Specification'!D$16*'Electrical System Specification'!D$17*'Electrical System Specification'!X$16)</f>
        <v>0.70838712000000004</v>
      </c>
      <c r="L233" s="174" t="b">
        <f>IF(E233&lt;I233,'Electrical System Specification'!X$16*'Electrical System Specification'!Q$16*'Electrical System Specification'!AC$4*'Electrical System Specification'!J$16)</f>
        <v>0</v>
      </c>
      <c r="M233" s="174">
        <f t="shared" si="50"/>
        <v>0.70838712000000004</v>
      </c>
      <c r="N233" s="174">
        <f t="shared" si="51"/>
        <v>9539.0746933667106</v>
      </c>
      <c r="O233" s="173">
        <f t="shared" si="52"/>
        <v>6594.2442441119783</v>
      </c>
      <c r="P233" s="174">
        <f t="shared" si="53"/>
        <v>9308.8144291951248</v>
      </c>
      <c r="Q233" s="174">
        <f t="shared" si="61"/>
        <v>8270.8960076684452</v>
      </c>
      <c r="R233" s="174">
        <f t="shared" si="60"/>
        <v>0</v>
      </c>
      <c r="S233" s="165" t="b">
        <f t="shared" si="54"/>
        <v>0</v>
      </c>
      <c r="T233">
        <f t="shared" si="55"/>
        <v>17579.71043686357</v>
      </c>
      <c r="U233" s="176">
        <f t="shared" si="56"/>
        <v>17579.71043686357</v>
      </c>
      <c r="V233" s="165">
        <f>IF(U233&lt;V$5,V$5-U233,IF(U233&gt;=V$5,0))*('Electrical System Specification'!D$16*'Electrical System Specification'!Q$16)</f>
        <v>0</v>
      </c>
      <c r="W233" s="28">
        <f t="shared" si="57"/>
        <v>0</v>
      </c>
      <c r="X233" s="165">
        <f>IF(U233&gt;V$5,U233-V$5,0)*'Electrical System Specification'!D$17</f>
        <v>7909.5418287282746</v>
      </c>
      <c r="Y233">
        <f>(X233*C233)*'Electrical System Specification'!D$17</f>
        <v>2034.1123937338359</v>
      </c>
      <c r="Z233" s="165">
        <f t="shared" si="58"/>
        <v>-2034.1123937338359</v>
      </c>
      <c r="AA233" s="165">
        <f t="shared" si="59"/>
        <v>60170.071922935298</v>
      </c>
      <c r="AB233" s="165"/>
    </row>
    <row r="234" spans="3:28" x14ac:dyDescent="0.2">
      <c r="C234" s="148">
        <v>0.28613369017114243</v>
      </c>
      <c r="D234">
        <f t="shared" si="47"/>
        <v>56.701535201788502</v>
      </c>
      <c r="E234" s="164">
        <v>13465.906457145509</v>
      </c>
      <c r="F234" s="165">
        <f>E234/'Electrical System Specification'!AC$4</f>
        <v>13740.720874638275</v>
      </c>
      <c r="G234" s="146">
        <f>F234/('Electrical System Specification'!X$16*'Electrical System Specification'!J$16*'Electrical System Specification'!D$17)</f>
        <v>17108.323216592304</v>
      </c>
      <c r="H234" s="165"/>
      <c r="I234" s="173">
        <f t="shared" si="48"/>
        <v>6871.6622130335309</v>
      </c>
      <c r="J234" s="173">
        <f t="shared" si="49"/>
        <v>7621.6306710664712</v>
      </c>
      <c r="K234" s="174">
        <f>IF(E234&gt;I234,'Electrical System Specification'!AC$4*'Electrical System Specification'!J$16*'Electrical System Specification'!D$16*'Electrical System Specification'!D$17*'Electrical System Specification'!X$16)</f>
        <v>0.70838712000000004</v>
      </c>
      <c r="L234" s="174" t="b">
        <f>IF(E234&lt;I234,'Electrical System Specification'!X$16*'Electrical System Specification'!Q$16*'Electrical System Specification'!AC$4*'Electrical System Specification'!J$16)</f>
        <v>0</v>
      </c>
      <c r="M234" s="174">
        <f t="shared" si="50"/>
        <v>0.70838712000000004</v>
      </c>
      <c r="N234" s="174">
        <f t="shared" si="51"/>
        <v>9539.0746933667106</v>
      </c>
      <c r="O234" s="173">
        <f t="shared" si="52"/>
        <v>6594.2442441119783</v>
      </c>
      <c r="P234" s="174">
        <f t="shared" si="53"/>
        <v>9308.8144291951248</v>
      </c>
      <c r="Q234" s="174">
        <f t="shared" si="61"/>
        <v>8270.8960076684452</v>
      </c>
      <c r="R234" s="174">
        <f t="shared" si="60"/>
        <v>0</v>
      </c>
      <c r="S234" s="165" t="b">
        <f t="shared" si="54"/>
        <v>0</v>
      </c>
      <c r="T234">
        <f t="shared" si="55"/>
        <v>17579.71043686357</v>
      </c>
      <c r="U234" s="176">
        <f t="shared" si="56"/>
        <v>17579.71043686357</v>
      </c>
      <c r="V234" s="165">
        <f>IF(U234&lt;V$5,V$5-U234,IF(U234&gt;=V$5,0))*('Electrical System Specification'!D$16*'Electrical System Specification'!Q$16)</f>
        <v>0</v>
      </c>
      <c r="W234" s="28">
        <f t="shared" si="57"/>
        <v>0</v>
      </c>
      <c r="X234" s="165">
        <f>IF(U234&gt;V$5,U234-V$5,0)*'Electrical System Specification'!D$17</f>
        <v>7909.5418287282746</v>
      </c>
      <c r="Y234">
        <f>(X234*C234)*'Electrical System Specification'!D$17</f>
        <v>2036.8677519153246</v>
      </c>
      <c r="Z234" s="165">
        <f t="shared" si="58"/>
        <v>-2036.8677519153246</v>
      </c>
      <c r="AA234" s="165">
        <f t="shared" si="59"/>
        <v>58133.20417101997</v>
      </c>
      <c r="AB234" s="165"/>
    </row>
    <row r="235" spans="3:28" x14ac:dyDescent="0.2">
      <c r="C235" s="148">
        <v>0.28650350130605889</v>
      </c>
      <c r="D235">
        <f t="shared" si="47"/>
        <v>56.98803870309456</v>
      </c>
      <c r="E235" s="164">
        <v>13465.906457145509</v>
      </c>
      <c r="F235" s="165">
        <f>E235/'Electrical System Specification'!AC$4</f>
        <v>13740.720874638275</v>
      </c>
      <c r="G235" s="146">
        <f>F235/('Electrical System Specification'!X$16*'Electrical System Specification'!J$16*'Electrical System Specification'!D$17)</f>
        <v>17108.323216592304</v>
      </c>
      <c r="H235" s="165"/>
      <c r="I235" s="173">
        <f t="shared" si="48"/>
        <v>6871.6622130335309</v>
      </c>
      <c r="J235" s="173">
        <f t="shared" si="49"/>
        <v>7621.6306710664712</v>
      </c>
      <c r="K235" s="174">
        <f>IF(E235&gt;I235,'Electrical System Specification'!AC$4*'Electrical System Specification'!J$16*'Electrical System Specification'!D$16*'Electrical System Specification'!D$17*'Electrical System Specification'!X$16)</f>
        <v>0.70838712000000004</v>
      </c>
      <c r="L235" s="174" t="b">
        <f>IF(E235&lt;I235,'Electrical System Specification'!X$16*'Electrical System Specification'!Q$16*'Electrical System Specification'!AC$4*'Electrical System Specification'!J$16)</f>
        <v>0</v>
      </c>
      <c r="M235" s="174">
        <f t="shared" si="50"/>
        <v>0.70838712000000004</v>
      </c>
      <c r="N235" s="174">
        <f t="shared" si="51"/>
        <v>9539.0746933667106</v>
      </c>
      <c r="O235" s="173">
        <f t="shared" si="52"/>
        <v>6594.2442441119783</v>
      </c>
      <c r="P235" s="174">
        <f t="shared" si="53"/>
        <v>9308.8144291951248</v>
      </c>
      <c r="Q235" s="174">
        <f t="shared" si="61"/>
        <v>8270.8960076684452</v>
      </c>
      <c r="R235" s="174">
        <f t="shared" si="60"/>
        <v>0</v>
      </c>
      <c r="S235" s="165" t="b">
        <f t="shared" si="54"/>
        <v>0</v>
      </c>
      <c r="T235">
        <f t="shared" si="55"/>
        <v>17579.71043686357</v>
      </c>
      <c r="U235" s="176">
        <f t="shared" si="56"/>
        <v>17579.71043686357</v>
      </c>
      <c r="V235" s="165">
        <f>IF(U235&lt;V$5,V$5-U235,IF(U235&gt;=V$5,0))*('Electrical System Specification'!D$16*'Electrical System Specification'!Q$16)</f>
        <v>0</v>
      </c>
      <c r="W235" s="28">
        <f t="shared" si="57"/>
        <v>0</v>
      </c>
      <c r="X235" s="165">
        <f>IF(U235&gt;V$5,U235-V$5,0)*'Electrical System Specification'!D$17</f>
        <v>7909.5418287282746</v>
      </c>
      <c r="Y235">
        <f>(X235*C235)*'Electrical System Specification'!D$17</f>
        <v>2039.5002848916406</v>
      </c>
      <c r="Z235" s="165">
        <f t="shared" si="58"/>
        <v>-2039.5002848916406</v>
      </c>
      <c r="AA235" s="165">
        <f t="shared" si="59"/>
        <v>56093.703886128329</v>
      </c>
      <c r="AB235" s="165"/>
    </row>
    <row r="236" spans="3:28" x14ac:dyDescent="0.2">
      <c r="C236" s="148">
        <v>0.28687128948626284</v>
      </c>
      <c r="D236">
        <f t="shared" si="47"/>
        <v>57.274909992580824</v>
      </c>
      <c r="E236" s="164">
        <v>13465.906457145509</v>
      </c>
      <c r="F236" s="165">
        <f>E236/'Electrical System Specification'!AC$4</f>
        <v>13740.720874638275</v>
      </c>
      <c r="G236" s="146">
        <f>F236/('Electrical System Specification'!X$16*'Electrical System Specification'!J$16*'Electrical System Specification'!D$17)</f>
        <v>17108.323216592304</v>
      </c>
      <c r="H236" s="165"/>
      <c r="I236" s="173">
        <f t="shared" si="48"/>
        <v>6871.6622130335309</v>
      </c>
      <c r="J236" s="173">
        <f t="shared" si="49"/>
        <v>7621.6306710664712</v>
      </c>
      <c r="K236" s="174">
        <f>IF(E236&gt;I236,'Electrical System Specification'!AC$4*'Electrical System Specification'!J$16*'Electrical System Specification'!D$16*'Electrical System Specification'!D$17*'Electrical System Specification'!X$16)</f>
        <v>0.70838712000000004</v>
      </c>
      <c r="L236" s="174" t="b">
        <f>IF(E236&lt;I236,'Electrical System Specification'!X$16*'Electrical System Specification'!Q$16*'Electrical System Specification'!AC$4*'Electrical System Specification'!J$16)</f>
        <v>0</v>
      </c>
      <c r="M236" s="174">
        <f t="shared" si="50"/>
        <v>0.70838712000000004</v>
      </c>
      <c r="N236" s="174">
        <f t="shared" si="51"/>
        <v>9539.0746933667106</v>
      </c>
      <c r="O236" s="173">
        <f t="shared" si="52"/>
        <v>6594.2442441119783</v>
      </c>
      <c r="P236" s="174">
        <f t="shared" si="53"/>
        <v>9308.8144291951248</v>
      </c>
      <c r="Q236" s="174">
        <f t="shared" si="61"/>
        <v>8270.8960076684452</v>
      </c>
      <c r="R236" s="174">
        <f t="shared" si="60"/>
        <v>0</v>
      </c>
      <c r="S236" s="165" t="b">
        <f t="shared" si="54"/>
        <v>0</v>
      </c>
      <c r="T236">
        <f t="shared" si="55"/>
        <v>17579.71043686357</v>
      </c>
      <c r="U236" s="176">
        <f t="shared" si="56"/>
        <v>17579.71043686357</v>
      </c>
      <c r="V236" s="165">
        <f>IF(U236&lt;V$5,V$5-U236,IF(U236&gt;=V$5,0))*('Electrical System Specification'!D$16*'Electrical System Specification'!Q$16)</f>
        <v>0</v>
      </c>
      <c r="W236" s="28">
        <f t="shared" si="57"/>
        <v>0</v>
      </c>
      <c r="X236" s="165">
        <f>IF(U236&gt;V$5,U236-V$5,0)*'Electrical System Specification'!D$17</f>
        <v>7909.5418287282746</v>
      </c>
      <c r="Y236">
        <f>(X236*C236)*'Electrical System Specification'!D$17</f>
        <v>2042.1184172875323</v>
      </c>
      <c r="Z236" s="165">
        <f t="shared" si="58"/>
        <v>-2042.1184172875323</v>
      </c>
      <c r="AA236" s="165">
        <f t="shared" si="59"/>
        <v>54051.5854688408</v>
      </c>
      <c r="AB236" s="165"/>
    </row>
    <row r="237" spans="3:28" x14ac:dyDescent="0.2">
      <c r="C237" s="148">
        <v>0.28724871622054965</v>
      </c>
      <c r="D237">
        <f t="shared" si="47"/>
        <v>57.562158708801377</v>
      </c>
      <c r="E237" s="164">
        <v>13465.906457145509</v>
      </c>
      <c r="F237" s="165">
        <f>E237/'Electrical System Specification'!AC$4</f>
        <v>13740.720874638275</v>
      </c>
      <c r="G237" s="146">
        <f>F237/('Electrical System Specification'!X$16*'Electrical System Specification'!J$16*'Electrical System Specification'!D$17)</f>
        <v>17108.323216592304</v>
      </c>
      <c r="H237" s="165"/>
      <c r="I237" s="173">
        <f t="shared" si="48"/>
        <v>6871.6622130335309</v>
      </c>
      <c r="J237" s="173">
        <f t="shared" si="49"/>
        <v>7621.6306710664712</v>
      </c>
      <c r="K237" s="174">
        <f>IF(E237&gt;I237,'Electrical System Specification'!AC$4*'Electrical System Specification'!J$16*'Electrical System Specification'!D$16*'Electrical System Specification'!D$17*'Electrical System Specification'!X$16)</f>
        <v>0.70838712000000004</v>
      </c>
      <c r="L237" s="174" t="b">
        <f>IF(E237&lt;I237,'Electrical System Specification'!X$16*'Electrical System Specification'!Q$16*'Electrical System Specification'!AC$4*'Electrical System Specification'!J$16)</f>
        <v>0</v>
      </c>
      <c r="M237" s="174">
        <f t="shared" si="50"/>
        <v>0.70838712000000004</v>
      </c>
      <c r="N237" s="174">
        <f t="shared" si="51"/>
        <v>9539.0746933667106</v>
      </c>
      <c r="O237" s="173">
        <f t="shared" si="52"/>
        <v>6594.2442441119783</v>
      </c>
      <c r="P237" s="174">
        <f t="shared" si="53"/>
        <v>9308.8144291951248</v>
      </c>
      <c r="Q237" s="174">
        <f t="shared" si="61"/>
        <v>8270.8960076684452</v>
      </c>
      <c r="R237" s="174">
        <f t="shared" si="60"/>
        <v>0</v>
      </c>
      <c r="S237" s="165" t="b">
        <f t="shared" si="54"/>
        <v>0</v>
      </c>
      <c r="T237">
        <f t="shared" si="55"/>
        <v>17579.71043686357</v>
      </c>
      <c r="U237" s="176">
        <f t="shared" si="56"/>
        <v>17579.71043686357</v>
      </c>
      <c r="V237" s="165">
        <f>IF(U237&lt;V$5,V$5-U237,IF(U237&gt;=V$5,0))*('Electrical System Specification'!D$16*'Electrical System Specification'!Q$16)</f>
        <v>0</v>
      </c>
      <c r="W237" s="28">
        <f t="shared" si="57"/>
        <v>0</v>
      </c>
      <c r="X237" s="165">
        <f>IF(U237&gt;V$5,U237-V$5,0)*'Electrical System Specification'!D$17</f>
        <v>7909.5418287282746</v>
      </c>
      <c r="Y237">
        <f>(X237*C237)*'Electrical System Specification'!D$17</f>
        <v>2044.8051625754417</v>
      </c>
      <c r="Z237" s="165">
        <f t="shared" si="58"/>
        <v>-2044.8051625754417</v>
      </c>
      <c r="AA237" s="165">
        <f t="shared" si="59"/>
        <v>52006.780306265355</v>
      </c>
      <c r="AB237" s="165"/>
    </row>
    <row r="238" spans="3:28" x14ac:dyDescent="0.2">
      <c r="C238" s="148">
        <v>0.28763730462884834</v>
      </c>
      <c r="D238">
        <f t="shared" si="47"/>
        <v>57.849796013430222</v>
      </c>
      <c r="E238" s="164">
        <v>13465.906457145509</v>
      </c>
      <c r="F238" s="165">
        <f>E238/'Electrical System Specification'!AC$4</f>
        <v>13740.720874638275</v>
      </c>
      <c r="G238" s="146">
        <f>F238/('Electrical System Specification'!X$16*'Electrical System Specification'!J$16*'Electrical System Specification'!D$17)</f>
        <v>17108.323216592304</v>
      </c>
      <c r="H238" s="165"/>
      <c r="I238" s="173">
        <f t="shared" si="48"/>
        <v>6871.6622130335309</v>
      </c>
      <c r="J238" s="173">
        <f t="shared" si="49"/>
        <v>7621.6306710664712</v>
      </c>
      <c r="K238" s="174">
        <f>IF(E238&gt;I238,'Electrical System Specification'!AC$4*'Electrical System Specification'!J$16*'Electrical System Specification'!D$16*'Electrical System Specification'!D$17*'Electrical System Specification'!X$16)</f>
        <v>0.70838712000000004</v>
      </c>
      <c r="L238" s="174" t="b">
        <f>IF(E238&lt;I238,'Electrical System Specification'!X$16*'Electrical System Specification'!Q$16*'Electrical System Specification'!AC$4*'Electrical System Specification'!J$16)</f>
        <v>0</v>
      </c>
      <c r="M238" s="174">
        <f t="shared" si="50"/>
        <v>0.70838712000000004</v>
      </c>
      <c r="N238" s="174">
        <f t="shared" si="51"/>
        <v>9539.0746933667106</v>
      </c>
      <c r="O238" s="173">
        <f t="shared" si="52"/>
        <v>6594.2442441119783</v>
      </c>
      <c r="P238" s="174">
        <f t="shared" si="53"/>
        <v>9308.8144291951248</v>
      </c>
      <c r="Q238" s="174">
        <f t="shared" si="61"/>
        <v>8270.8960076684452</v>
      </c>
      <c r="R238" s="174">
        <f t="shared" si="60"/>
        <v>0</v>
      </c>
      <c r="S238" s="165" t="b">
        <f t="shared" si="54"/>
        <v>0</v>
      </c>
      <c r="T238">
        <f t="shared" si="55"/>
        <v>17579.71043686357</v>
      </c>
      <c r="U238" s="176">
        <f t="shared" si="56"/>
        <v>17579.71043686357</v>
      </c>
      <c r="V238" s="165">
        <f>IF(U238&lt;V$5,V$5-U238,IF(U238&gt;=V$5,0))*('Electrical System Specification'!D$16*'Electrical System Specification'!Q$16)</f>
        <v>0</v>
      </c>
      <c r="W238" s="28">
        <f t="shared" si="57"/>
        <v>0</v>
      </c>
      <c r="X238" s="165">
        <f>IF(U238&gt;V$5,U238-V$5,0)*'Electrical System Specification'!D$17</f>
        <v>7909.5418287282746</v>
      </c>
      <c r="Y238">
        <f>(X238*C238)*'Electrical System Specification'!D$17</f>
        <v>2047.5713632180798</v>
      </c>
      <c r="Z238" s="165">
        <f t="shared" si="58"/>
        <v>-2047.5713632180798</v>
      </c>
      <c r="AA238" s="165">
        <f t="shared" si="59"/>
        <v>49959.208943047277</v>
      </c>
      <c r="AB238" s="165"/>
    </row>
    <row r="239" spans="3:28" x14ac:dyDescent="0.2">
      <c r="C239" s="148">
        <v>0.28805176246033259</v>
      </c>
      <c r="D239">
        <f t="shared" si="47"/>
        <v>58.137847775890556</v>
      </c>
      <c r="E239" s="164">
        <v>13465.906457145509</v>
      </c>
      <c r="F239" s="165">
        <f>E239/'Electrical System Specification'!AC$4</f>
        <v>13740.720874638275</v>
      </c>
      <c r="G239" s="146">
        <f>F239/('Electrical System Specification'!X$16*'Electrical System Specification'!J$16*'Electrical System Specification'!D$17)</f>
        <v>17108.323216592304</v>
      </c>
      <c r="H239" s="165"/>
      <c r="I239" s="173">
        <f t="shared" si="48"/>
        <v>6871.6622130335309</v>
      </c>
      <c r="J239" s="173">
        <f t="shared" si="49"/>
        <v>7621.6306710664712</v>
      </c>
      <c r="K239" s="174">
        <f>IF(E239&gt;I239,'Electrical System Specification'!AC$4*'Electrical System Specification'!J$16*'Electrical System Specification'!D$16*'Electrical System Specification'!D$17*'Electrical System Specification'!X$16)</f>
        <v>0.70838712000000004</v>
      </c>
      <c r="L239" s="174" t="b">
        <f>IF(E239&lt;I239,'Electrical System Specification'!X$16*'Electrical System Specification'!Q$16*'Electrical System Specification'!AC$4*'Electrical System Specification'!J$16)</f>
        <v>0</v>
      </c>
      <c r="M239" s="174">
        <f t="shared" si="50"/>
        <v>0.70838712000000004</v>
      </c>
      <c r="N239" s="174">
        <f t="shared" si="51"/>
        <v>9539.0746933667106</v>
      </c>
      <c r="O239" s="173">
        <f t="shared" si="52"/>
        <v>6594.2442441119783</v>
      </c>
      <c r="P239" s="174">
        <f t="shared" si="53"/>
        <v>9308.8144291951248</v>
      </c>
      <c r="Q239" s="174">
        <f t="shared" si="61"/>
        <v>8270.8960076684452</v>
      </c>
      <c r="R239" s="174">
        <f t="shared" si="60"/>
        <v>0</v>
      </c>
      <c r="S239" s="165" t="b">
        <f t="shared" si="54"/>
        <v>0</v>
      </c>
      <c r="T239">
        <f t="shared" si="55"/>
        <v>17579.71043686357</v>
      </c>
      <c r="U239" s="176">
        <f t="shared" si="56"/>
        <v>17579.71043686357</v>
      </c>
      <c r="V239" s="165">
        <f>IF(U239&lt;V$5,V$5-U239,IF(U239&gt;=V$5,0))*('Electrical System Specification'!D$16*'Electrical System Specification'!Q$16)</f>
        <v>0</v>
      </c>
      <c r="W239" s="28">
        <f t="shared" si="57"/>
        <v>0</v>
      </c>
      <c r="X239" s="165">
        <f>IF(U239&gt;V$5,U239-V$5,0)*'Electrical System Specification'!D$17</f>
        <v>7909.5418287282746</v>
      </c>
      <c r="Y239">
        <f>(X239*C239)*'Electrical System Specification'!D$17</f>
        <v>2050.5217176170117</v>
      </c>
      <c r="Z239" s="165">
        <f t="shared" si="58"/>
        <v>-2050.5217176170117</v>
      </c>
      <c r="AA239" s="165">
        <f t="shared" si="59"/>
        <v>47908.687225430265</v>
      </c>
      <c r="AB239" s="165"/>
    </row>
    <row r="240" spans="3:28" x14ac:dyDescent="0.2">
      <c r="C240" s="148">
        <v>0.28847433572583397</v>
      </c>
      <c r="D240">
        <f t="shared" si="47"/>
        <v>58.426322111616393</v>
      </c>
      <c r="E240" s="164">
        <v>13465.906457145509</v>
      </c>
      <c r="F240" s="165">
        <f>E240/'Electrical System Specification'!AC$4</f>
        <v>13740.720874638275</v>
      </c>
      <c r="G240" s="146">
        <f>F240/('Electrical System Specification'!X$16*'Electrical System Specification'!J$16*'Electrical System Specification'!D$17)</f>
        <v>17108.323216592304</v>
      </c>
      <c r="H240" s="165"/>
      <c r="I240" s="173">
        <f t="shared" si="48"/>
        <v>6871.6622130335309</v>
      </c>
      <c r="J240" s="173">
        <f t="shared" si="49"/>
        <v>7621.6306710664712</v>
      </c>
      <c r="K240" s="174">
        <f>IF(E240&gt;I240,'Electrical System Specification'!AC$4*'Electrical System Specification'!J$16*'Electrical System Specification'!D$16*'Electrical System Specification'!D$17*'Electrical System Specification'!X$16)</f>
        <v>0.70838712000000004</v>
      </c>
      <c r="L240" s="174" t="b">
        <f>IF(E240&lt;I240,'Electrical System Specification'!X$16*'Electrical System Specification'!Q$16*'Electrical System Specification'!AC$4*'Electrical System Specification'!J$16)</f>
        <v>0</v>
      </c>
      <c r="M240" s="174">
        <f t="shared" si="50"/>
        <v>0.70838712000000004</v>
      </c>
      <c r="N240" s="174">
        <f t="shared" si="51"/>
        <v>9539.0746933667106</v>
      </c>
      <c r="O240" s="173">
        <f t="shared" si="52"/>
        <v>6594.2442441119783</v>
      </c>
      <c r="P240" s="174">
        <f t="shared" si="53"/>
        <v>9308.8144291951248</v>
      </c>
      <c r="Q240" s="174">
        <f t="shared" si="61"/>
        <v>8270.8960076684452</v>
      </c>
      <c r="R240" s="174">
        <f t="shared" si="60"/>
        <v>0</v>
      </c>
      <c r="S240" s="165" t="b">
        <f t="shared" si="54"/>
        <v>0</v>
      </c>
      <c r="T240">
        <f t="shared" si="55"/>
        <v>17579.71043686357</v>
      </c>
      <c r="U240" s="176">
        <f t="shared" si="56"/>
        <v>17579.71043686357</v>
      </c>
      <c r="V240" s="165">
        <f>IF(U240&lt;V$5,V$5-U240,IF(U240&gt;=V$5,0))*('Electrical System Specification'!D$16*'Electrical System Specification'!Q$16)</f>
        <v>0</v>
      </c>
      <c r="W240" s="28">
        <f t="shared" si="57"/>
        <v>0</v>
      </c>
      <c r="X240" s="165">
        <f>IF(U240&gt;V$5,U240-V$5,0)*'Electrical System Specification'!D$17</f>
        <v>7909.5418287282746</v>
      </c>
      <c r="Y240">
        <f>(X240*C240)*'Electrical System Specification'!D$17</f>
        <v>2053.5298424442785</v>
      </c>
      <c r="Z240" s="165">
        <f t="shared" si="58"/>
        <v>-2053.5298424442785</v>
      </c>
      <c r="AA240" s="165">
        <f t="shared" si="59"/>
        <v>45855.157382985984</v>
      </c>
      <c r="AB240" s="165"/>
    </row>
    <row r="241" spans="3:28" x14ac:dyDescent="0.2">
      <c r="C241" s="148">
        <v>0.28890147835109453</v>
      </c>
      <c r="D241">
        <f t="shared" si="47"/>
        <v>58.715223589967486</v>
      </c>
      <c r="E241" s="164">
        <v>13465.906457145509</v>
      </c>
      <c r="F241" s="165">
        <f>E241/'Electrical System Specification'!AC$4</f>
        <v>13740.720874638275</v>
      </c>
      <c r="G241" s="146">
        <f>F241/('Electrical System Specification'!X$16*'Electrical System Specification'!J$16*'Electrical System Specification'!D$17)</f>
        <v>17108.323216592304</v>
      </c>
      <c r="H241" s="165"/>
      <c r="I241" s="173">
        <f t="shared" si="48"/>
        <v>6871.6622130335309</v>
      </c>
      <c r="J241" s="173">
        <f t="shared" si="49"/>
        <v>7621.6306710664712</v>
      </c>
      <c r="K241" s="174">
        <f>IF(E241&gt;I241,'Electrical System Specification'!AC$4*'Electrical System Specification'!J$16*'Electrical System Specification'!D$16*'Electrical System Specification'!D$17*'Electrical System Specification'!X$16)</f>
        <v>0.70838712000000004</v>
      </c>
      <c r="L241" s="174" t="b">
        <f>IF(E241&lt;I241,'Electrical System Specification'!X$16*'Electrical System Specification'!Q$16*'Electrical System Specification'!AC$4*'Electrical System Specification'!J$16)</f>
        <v>0</v>
      </c>
      <c r="M241" s="174">
        <f t="shared" si="50"/>
        <v>0.70838712000000004</v>
      </c>
      <c r="N241" s="174">
        <f t="shared" si="51"/>
        <v>9539.0746933667106</v>
      </c>
      <c r="O241" s="173">
        <f t="shared" si="52"/>
        <v>6594.2442441119783</v>
      </c>
      <c r="P241" s="174">
        <f t="shared" si="53"/>
        <v>9308.8144291951248</v>
      </c>
      <c r="Q241" s="174">
        <f t="shared" si="61"/>
        <v>8270.8960076684452</v>
      </c>
      <c r="R241" s="174">
        <f t="shared" si="60"/>
        <v>0</v>
      </c>
      <c r="S241" s="165" t="b">
        <f t="shared" si="54"/>
        <v>0</v>
      </c>
      <c r="T241">
        <f t="shared" si="55"/>
        <v>17579.71043686357</v>
      </c>
      <c r="U241" s="176">
        <f t="shared" si="56"/>
        <v>17579.71043686357</v>
      </c>
      <c r="V241" s="165">
        <f>IF(U241&lt;V$5,V$5-U241,IF(U241&gt;=V$5,0))*('Electrical System Specification'!D$16*'Electrical System Specification'!Q$16)</f>
        <v>0</v>
      </c>
      <c r="W241" s="28">
        <f t="shared" si="57"/>
        <v>0</v>
      </c>
      <c r="X241" s="165">
        <f>IF(U241&gt;V$5,U241-V$5,0)*'Electrical System Specification'!D$17</f>
        <v>7909.5418287282746</v>
      </c>
      <c r="Y241">
        <f>(X241*C241)*'Electrical System Specification'!D$17</f>
        <v>2056.5704946594765</v>
      </c>
      <c r="Z241" s="165">
        <f t="shared" si="58"/>
        <v>-2056.5704946594765</v>
      </c>
      <c r="AA241" s="165">
        <f t="shared" si="59"/>
        <v>43798.586888326507</v>
      </c>
      <c r="AB241" s="165"/>
    </row>
    <row r="242" spans="3:28" x14ac:dyDescent="0.2">
      <c r="C242" s="148">
        <v>0.28934332872528229</v>
      </c>
      <c r="D242">
        <f t="shared" si="47"/>
        <v>59.004566918692767</v>
      </c>
      <c r="E242" s="164">
        <v>13465.906457145509</v>
      </c>
      <c r="F242" s="165">
        <f>E242/'Electrical System Specification'!AC$4</f>
        <v>13740.720874638275</v>
      </c>
      <c r="G242" s="146">
        <f>F242/('Electrical System Specification'!X$16*'Electrical System Specification'!J$16*'Electrical System Specification'!D$17)</f>
        <v>17108.323216592304</v>
      </c>
      <c r="H242" s="165"/>
      <c r="I242" s="173">
        <f t="shared" si="48"/>
        <v>6871.6622130335309</v>
      </c>
      <c r="J242" s="173">
        <f t="shared" si="49"/>
        <v>7621.6306710664712</v>
      </c>
      <c r="K242" s="174">
        <f>IF(E242&gt;I242,'Electrical System Specification'!AC$4*'Electrical System Specification'!J$16*'Electrical System Specification'!D$16*'Electrical System Specification'!D$17*'Electrical System Specification'!X$16)</f>
        <v>0.70838712000000004</v>
      </c>
      <c r="L242" s="174" t="b">
        <f>IF(E242&lt;I242,'Electrical System Specification'!X$16*'Electrical System Specification'!Q$16*'Electrical System Specification'!AC$4*'Electrical System Specification'!J$16)</f>
        <v>0</v>
      </c>
      <c r="M242" s="174">
        <f t="shared" si="50"/>
        <v>0.70838712000000004</v>
      </c>
      <c r="N242" s="174">
        <f t="shared" si="51"/>
        <v>9539.0746933667106</v>
      </c>
      <c r="O242" s="173">
        <f t="shared" si="52"/>
        <v>6594.2442441119783</v>
      </c>
      <c r="P242" s="174">
        <f t="shared" si="53"/>
        <v>9308.8144291951248</v>
      </c>
      <c r="Q242" s="174">
        <f t="shared" si="61"/>
        <v>8270.8960076684452</v>
      </c>
      <c r="R242" s="174">
        <f t="shared" si="60"/>
        <v>0</v>
      </c>
      <c r="S242" s="165" t="b">
        <f t="shared" si="54"/>
        <v>0</v>
      </c>
      <c r="T242">
        <f t="shared" si="55"/>
        <v>17579.71043686357</v>
      </c>
      <c r="U242" s="176">
        <f t="shared" si="56"/>
        <v>17579.71043686357</v>
      </c>
      <c r="V242" s="165">
        <f>IF(U242&lt;V$5,V$5-U242,IF(U242&gt;=V$5,0))*('Electrical System Specification'!D$16*'Electrical System Specification'!Q$16)</f>
        <v>0</v>
      </c>
      <c r="W242" s="28">
        <f t="shared" si="57"/>
        <v>0</v>
      </c>
      <c r="X242" s="165">
        <f>IF(U242&gt;V$5,U242-V$5,0)*'Electrical System Specification'!D$17</f>
        <v>7909.5418287282746</v>
      </c>
      <c r="Y242">
        <f>(X242*C242)*'Electrical System Specification'!D$17</f>
        <v>2059.7158452744861</v>
      </c>
      <c r="Z242" s="165">
        <f t="shared" si="58"/>
        <v>-2059.7158452744861</v>
      </c>
      <c r="AA242" s="165">
        <f t="shared" si="59"/>
        <v>41738.871043052022</v>
      </c>
      <c r="AB242" s="165"/>
    </row>
    <row r="243" spans="3:28" x14ac:dyDescent="0.2">
      <c r="C243" s="148">
        <v>0.28981054868718709</v>
      </c>
      <c r="D243">
        <f t="shared" si="47"/>
        <v>59.294377467379952</v>
      </c>
      <c r="E243" s="164">
        <v>13465.906457145509</v>
      </c>
      <c r="F243" s="165">
        <f>E243/'Electrical System Specification'!AC$4</f>
        <v>13740.720874638275</v>
      </c>
      <c r="G243" s="146">
        <f>F243/('Electrical System Specification'!X$16*'Electrical System Specification'!J$16*'Electrical System Specification'!D$17)</f>
        <v>17108.323216592304</v>
      </c>
      <c r="H243" s="165"/>
      <c r="I243" s="173">
        <f t="shared" si="48"/>
        <v>6871.6622130335309</v>
      </c>
      <c r="J243" s="173">
        <f t="shared" si="49"/>
        <v>7621.6306710664712</v>
      </c>
      <c r="K243" s="174">
        <f>IF(E243&gt;I243,'Electrical System Specification'!AC$4*'Electrical System Specification'!J$16*'Electrical System Specification'!D$16*'Electrical System Specification'!D$17*'Electrical System Specification'!X$16)</f>
        <v>0.70838712000000004</v>
      </c>
      <c r="L243" s="174" t="b">
        <f>IF(E243&lt;I243,'Electrical System Specification'!X$16*'Electrical System Specification'!Q$16*'Electrical System Specification'!AC$4*'Electrical System Specification'!J$16)</f>
        <v>0</v>
      </c>
      <c r="M243" s="174">
        <f t="shared" si="50"/>
        <v>0.70838712000000004</v>
      </c>
      <c r="N243" s="174">
        <f t="shared" si="51"/>
        <v>9539.0746933667106</v>
      </c>
      <c r="O243" s="173">
        <f t="shared" si="52"/>
        <v>6594.2442441119783</v>
      </c>
      <c r="P243" s="174">
        <f t="shared" si="53"/>
        <v>9308.8144291951248</v>
      </c>
      <c r="Q243" s="174">
        <f t="shared" si="61"/>
        <v>8270.8960076684452</v>
      </c>
      <c r="R243" s="174">
        <f t="shared" si="60"/>
        <v>0</v>
      </c>
      <c r="S243" s="165" t="b">
        <f t="shared" si="54"/>
        <v>0</v>
      </c>
      <c r="T243">
        <f t="shared" si="55"/>
        <v>17579.71043686357</v>
      </c>
      <c r="U243" s="176">
        <f t="shared" si="56"/>
        <v>17579.71043686357</v>
      </c>
      <c r="V243" s="165">
        <f>IF(U243&lt;V$5,V$5-U243,IF(U243&gt;=V$5,0))*('Electrical System Specification'!D$16*'Electrical System Specification'!Q$16)</f>
        <v>0</v>
      </c>
      <c r="W243" s="28">
        <f t="shared" si="57"/>
        <v>0</v>
      </c>
      <c r="X243" s="165">
        <f>IF(U243&gt;V$5,U243-V$5,0)*'Electrical System Specification'!D$17</f>
        <v>7909.5418287282746</v>
      </c>
      <c r="Y243">
        <f>(X243*C243)*'Electrical System Specification'!D$17</f>
        <v>2063.0417915231988</v>
      </c>
      <c r="Z243" s="165">
        <f t="shared" si="58"/>
        <v>-2063.0417915231988</v>
      </c>
      <c r="AA243" s="165">
        <f t="shared" si="59"/>
        <v>39675.829251528827</v>
      </c>
      <c r="AB243" s="165"/>
    </row>
    <row r="244" spans="3:28" x14ac:dyDescent="0.2">
      <c r="C244" s="148">
        <v>0.29033255373485506</v>
      </c>
      <c r="D244">
        <f t="shared" si="47"/>
        <v>59.584710021114809</v>
      </c>
      <c r="E244" s="164">
        <v>13465.906457145509</v>
      </c>
      <c r="F244" s="165">
        <f>E244/'Electrical System Specification'!AC$4</f>
        <v>13740.720874638275</v>
      </c>
      <c r="G244" s="146">
        <f>F244/('Electrical System Specification'!X$16*'Electrical System Specification'!J$16*'Electrical System Specification'!D$17)</f>
        <v>17108.323216592304</v>
      </c>
      <c r="H244" s="165"/>
      <c r="I244" s="173">
        <f t="shared" si="48"/>
        <v>6871.6622130335309</v>
      </c>
      <c r="J244" s="173">
        <f t="shared" si="49"/>
        <v>7621.6306710664712</v>
      </c>
      <c r="K244" s="174">
        <f>IF(E244&gt;I244,'Electrical System Specification'!AC$4*'Electrical System Specification'!J$16*'Electrical System Specification'!D$16*'Electrical System Specification'!D$17*'Electrical System Specification'!X$16)</f>
        <v>0.70838712000000004</v>
      </c>
      <c r="L244" s="174" t="b">
        <f>IF(E244&lt;I244,'Electrical System Specification'!X$16*'Electrical System Specification'!Q$16*'Electrical System Specification'!AC$4*'Electrical System Specification'!J$16)</f>
        <v>0</v>
      </c>
      <c r="M244" s="174">
        <f t="shared" si="50"/>
        <v>0.70838712000000004</v>
      </c>
      <c r="N244" s="174">
        <f t="shared" si="51"/>
        <v>9539.0746933667106</v>
      </c>
      <c r="O244" s="173">
        <f t="shared" si="52"/>
        <v>6594.2442441119783</v>
      </c>
      <c r="P244" s="174">
        <f t="shared" si="53"/>
        <v>9308.8144291951248</v>
      </c>
      <c r="Q244" s="174">
        <f t="shared" si="61"/>
        <v>8270.8960076684452</v>
      </c>
      <c r="R244" s="174">
        <f t="shared" si="60"/>
        <v>0</v>
      </c>
      <c r="S244" s="165" t="b">
        <f t="shared" si="54"/>
        <v>0</v>
      </c>
      <c r="T244">
        <f t="shared" si="55"/>
        <v>17579.71043686357</v>
      </c>
      <c r="U244" s="176">
        <f t="shared" si="56"/>
        <v>17579.71043686357</v>
      </c>
      <c r="V244" s="165">
        <f>IF(U244&lt;V$5,V$5-U244,IF(U244&gt;=V$5,0))*('Electrical System Specification'!D$16*'Electrical System Specification'!Q$16)</f>
        <v>0</v>
      </c>
      <c r="W244" s="28">
        <f t="shared" si="57"/>
        <v>0</v>
      </c>
      <c r="X244" s="165">
        <f>IF(U244&gt;V$5,U244-V$5,0)*'Electrical System Specification'!D$17</f>
        <v>7909.5418287282746</v>
      </c>
      <c r="Y244">
        <f>(X244*C244)*'Electrical System Specification'!D$17</f>
        <v>2066.757730206602</v>
      </c>
      <c r="Z244" s="165">
        <f t="shared" si="58"/>
        <v>-2066.757730206602</v>
      </c>
      <c r="AA244" s="165">
        <f t="shared" si="59"/>
        <v>37609.071521322228</v>
      </c>
      <c r="AB244" s="165"/>
    </row>
    <row r="245" spans="3:28" x14ac:dyDescent="0.2">
      <c r="C245" s="148">
        <v>0.29091391322733312</v>
      </c>
      <c r="D245">
        <f t="shared" si="47"/>
        <v>59.875623934342144</v>
      </c>
      <c r="E245" s="164">
        <v>13465.906457145509</v>
      </c>
      <c r="F245" s="165">
        <f>E245/'Electrical System Specification'!AC$4</f>
        <v>13740.720874638275</v>
      </c>
      <c r="G245" s="146">
        <f>F245/('Electrical System Specification'!X$16*'Electrical System Specification'!J$16*'Electrical System Specification'!D$17)</f>
        <v>17108.323216592304</v>
      </c>
      <c r="H245" s="165"/>
      <c r="I245" s="173">
        <f t="shared" si="48"/>
        <v>6871.6622130335309</v>
      </c>
      <c r="J245" s="173">
        <f t="shared" si="49"/>
        <v>7621.6306710664712</v>
      </c>
      <c r="K245" s="174">
        <f>IF(E245&gt;I245,'Electrical System Specification'!AC$4*'Electrical System Specification'!J$16*'Electrical System Specification'!D$16*'Electrical System Specification'!D$17*'Electrical System Specification'!X$16)</f>
        <v>0.70838712000000004</v>
      </c>
      <c r="L245" s="174" t="b">
        <f>IF(E245&lt;I245,'Electrical System Specification'!X$16*'Electrical System Specification'!Q$16*'Electrical System Specification'!AC$4*'Electrical System Specification'!J$16)</f>
        <v>0</v>
      </c>
      <c r="M245" s="174">
        <f t="shared" si="50"/>
        <v>0.70838712000000004</v>
      </c>
      <c r="N245" s="174">
        <f t="shared" si="51"/>
        <v>9539.0746933667106</v>
      </c>
      <c r="O245" s="173">
        <f t="shared" si="52"/>
        <v>6594.2442441119783</v>
      </c>
      <c r="P245" s="174">
        <f t="shared" si="53"/>
        <v>9308.8144291951248</v>
      </c>
      <c r="Q245" s="174">
        <f t="shared" si="61"/>
        <v>8270.8960076684452</v>
      </c>
      <c r="R245" s="174">
        <f t="shared" si="60"/>
        <v>0</v>
      </c>
      <c r="S245" s="165" t="b">
        <f t="shared" si="54"/>
        <v>0</v>
      </c>
      <c r="T245">
        <f t="shared" si="55"/>
        <v>17579.71043686357</v>
      </c>
      <c r="U245" s="176">
        <f t="shared" si="56"/>
        <v>17579.71043686357</v>
      </c>
      <c r="V245" s="165">
        <f>IF(U245&lt;V$5,V$5-U245,IF(U245&gt;=V$5,0))*('Electrical System Specification'!D$16*'Electrical System Specification'!Q$16)</f>
        <v>0</v>
      </c>
      <c r="W245" s="28">
        <f t="shared" si="57"/>
        <v>0</v>
      </c>
      <c r="X245" s="165">
        <f>IF(U245&gt;V$5,U245-V$5,0)*'Electrical System Specification'!D$17</f>
        <v>7909.5418287282746</v>
      </c>
      <c r="Y245">
        <f>(X245*C245)*'Electrical System Specification'!D$17</f>
        <v>2070.896188707557</v>
      </c>
      <c r="Z245" s="165">
        <f t="shared" si="58"/>
        <v>-2070.896188707557</v>
      </c>
      <c r="AA245" s="165">
        <f t="shared" si="59"/>
        <v>35538.175332614672</v>
      </c>
      <c r="AB245" s="165"/>
    </row>
    <row r="246" spans="3:28" x14ac:dyDescent="0.2">
      <c r="C246" s="148">
        <v>0.29151150358888639</v>
      </c>
      <c r="D246">
        <f t="shared" si="47"/>
        <v>60.16713543793103</v>
      </c>
      <c r="E246" s="164">
        <v>13465.906457145509</v>
      </c>
      <c r="F246" s="165">
        <f>E246/'Electrical System Specification'!AC$4</f>
        <v>13740.720874638275</v>
      </c>
      <c r="G246" s="146">
        <f>F246/('Electrical System Specification'!X$16*'Electrical System Specification'!J$16*'Electrical System Specification'!D$17)</f>
        <v>17108.323216592304</v>
      </c>
      <c r="H246" s="165"/>
      <c r="I246" s="173">
        <f t="shared" si="48"/>
        <v>6871.6622130335309</v>
      </c>
      <c r="J246" s="173">
        <f t="shared" si="49"/>
        <v>7621.6306710664712</v>
      </c>
      <c r="K246" s="174">
        <f>IF(E246&gt;I246,'Electrical System Specification'!AC$4*'Electrical System Specification'!J$16*'Electrical System Specification'!D$16*'Electrical System Specification'!D$17*'Electrical System Specification'!X$16)</f>
        <v>0.70838712000000004</v>
      </c>
      <c r="L246" s="174" t="b">
        <f>IF(E246&lt;I246,'Electrical System Specification'!X$16*'Electrical System Specification'!Q$16*'Electrical System Specification'!AC$4*'Electrical System Specification'!J$16)</f>
        <v>0</v>
      </c>
      <c r="M246" s="174">
        <f t="shared" si="50"/>
        <v>0.70838712000000004</v>
      </c>
      <c r="N246" s="174">
        <f t="shared" si="51"/>
        <v>9539.0746933667106</v>
      </c>
      <c r="O246" s="173">
        <f t="shared" si="52"/>
        <v>6594.2442441119783</v>
      </c>
      <c r="P246" s="174">
        <f t="shared" si="53"/>
        <v>9308.8144291951248</v>
      </c>
      <c r="Q246" s="174">
        <f t="shared" si="61"/>
        <v>8270.8960076684452</v>
      </c>
      <c r="R246" s="174">
        <f t="shared" si="60"/>
        <v>0</v>
      </c>
      <c r="S246" s="165" t="b">
        <f t="shared" si="54"/>
        <v>0</v>
      </c>
      <c r="T246">
        <f t="shared" si="55"/>
        <v>17579.71043686357</v>
      </c>
      <c r="U246" s="176">
        <f t="shared" si="56"/>
        <v>17579.71043686357</v>
      </c>
      <c r="V246" s="165">
        <f>IF(U246&lt;V$5,V$5-U246,IF(U246&gt;=V$5,0))*('Electrical System Specification'!D$16*'Electrical System Specification'!Q$16)</f>
        <v>0</v>
      </c>
      <c r="W246" s="28">
        <f t="shared" si="57"/>
        <v>0</v>
      </c>
      <c r="X246" s="165">
        <f>IF(U246&gt;V$5,U246-V$5,0)*'Electrical System Specification'!D$17</f>
        <v>7909.5418287282746</v>
      </c>
      <c r="Y246">
        <f>(X246*C246)*'Electrical System Specification'!D$17</f>
        <v>2075.1501880725923</v>
      </c>
      <c r="Z246" s="165">
        <f t="shared" si="58"/>
        <v>-2075.1501880725923</v>
      </c>
      <c r="AA246" s="165">
        <f t="shared" si="59"/>
        <v>33463.02514454208</v>
      </c>
      <c r="AB246" s="165"/>
    </row>
    <row r="247" spans="3:28" x14ac:dyDescent="0.2">
      <c r="C247" s="148">
        <v>0.28730632375949722</v>
      </c>
      <c r="D247">
        <f t="shared" si="47"/>
        <v>60.454441761690525</v>
      </c>
      <c r="E247" s="164">
        <v>3225.0722167563076</v>
      </c>
      <c r="F247" s="165">
        <f>E247/'Electrical System Specification'!AC$4</f>
        <v>3290.8900170982733</v>
      </c>
      <c r="G247" s="146">
        <f>F247/('Electrical System Specification'!X$16*'Electrical System Specification'!J$16*'Electrical System Specification'!D$17)</f>
        <v>4097.4276820288278</v>
      </c>
      <c r="H247" s="165"/>
      <c r="I247" s="173">
        <f t="shared" si="48"/>
        <v>6871.6622130335309</v>
      </c>
      <c r="J247" s="173">
        <f t="shared" si="49"/>
        <v>7621.6306710664712</v>
      </c>
      <c r="K247" s="174" t="b">
        <f>IF(E247&gt;I247,'Electrical System Specification'!AC$4*'Electrical System Specification'!J$16*'Electrical System Specification'!D$16*'Electrical System Specification'!D$17*'Electrical System Specification'!X$16)</f>
        <v>0</v>
      </c>
      <c r="L247" s="174">
        <f>IF(E247&lt;I247,'Electrical System Specification'!X$16*'Electrical System Specification'!Q$16*'Electrical System Specification'!AC$4*'Electrical System Specification'!J$16)</f>
        <v>0.83082440000000002</v>
      </c>
      <c r="M247" s="174">
        <f t="shared" si="50"/>
        <v>0.83082440000000002</v>
      </c>
      <c r="N247" s="174">
        <f t="shared" si="51"/>
        <v>2679.4686894432293</v>
      </c>
      <c r="O247" s="173">
        <f t="shared" si="52"/>
        <v>-3646.5899962772232</v>
      </c>
      <c r="P247" s="174" t="b">
        <f t="shared" si="53"/>
        <v>0</v>
      </c>
      <c r="Q247" s="174">
        <f t="shared" si="61"/>
        <v>3225.0722167563076</v>
      </c>
      <c r="R247" s="174">
        <f t="shared" si="60"/>
        <v>3881.7735935009946</v>
      </c>
      <c r="S247" s="165">
        <f t="shared" si="54"/>
        <v>3881.7735935009946</v>
      </c>
      <c r="T247" t="b">
        <f t="shared" si="55"/>
        <v>0</v>
      </c>
      <c r="U247" s="176">
        <f t="shared" si="56"/>
        <v>3881.7735935009946</v>
      </c>
      <c r="V247" s="165">
        <f>IF(U247&lt;V$5,V$5-U247,IF(U247&gt;=V$5,0))*('Electrical System Specification'!D$16*'Electrical System Specification'!Q$16)</f>
        <v>4197.6712637831406</v>
      </c>
      <c r="W247" s="28">
        <f t="shared" si="57"/>
        <v>1206.0174991484168</v>
      </c>
      <c r="X247" s="165">
        <f>IF(U247&gt;V$5,U247-V$5,0)*'Electrical System Specification'!D$17</f>
        <v>0</v>
      </c>
      <c r="Y247">
        <f>(X247*C247)*'Electrical System Specification'!D$17</f>
        <v>0</v>
      </c>
      <c r="Z247" s="165">
        <f t="shared" si="58"/>
        <v>1206.0174991484168</v>
      </c>
      <c r="AA247" s="165">
        <f t="shared" si="59"/>
        <v>34669.042643690496</v>
      </c>
      <c r="AB247" s="165"/>
    </row>
    <row r="248" spans="3:28" x14ac:dyDescent="0.2">
      <c r="C248" s="148">
        <v>0.27874103300357755</v>
      </c>
      <c r="D248">
        <f t="shared" si="47"/>
        <v>60.733182794694102</v>
      </c>
      <c r="E248" s="164">
        <v>11746.270514507263</v>
      </c>
      <c r="F248" s="165">
        <f>E248/'Electrical System Specification'!AC$4</f>
        <v>11985.990320925779</v>
      </c>
      <c r="G248" s="146">
        <f>F248/('Electrical System Specification'!X$16*'Electrical System Specification'!J$16*'Electrical System Specification'!D$17)</f>
        <v>14923.539918479231</v>
      </c>
      <c r="H248" s="165"/>
      <c r="I248" s="173">
        <f t="shared" si="48"/>
        <v>6871.6622130335309</v>
      </c>
      <c r="J248" s="173">
        <f t="shared" si="49"/>
        <v>7621.6306710664712</v>
      </c>
      <c r="K248" s="174">
        <f>IF(E248&gt;I248,'Electrical System Specification'!AC$4*'Electrical System Specification'!J$16*'Electrical System Specification'!D$16*'Electrical System Specification'!D$17*'Electrical System Specification'!X$16)</f>
        <v>0.70838712000000004</v>
      </c>
      <c r="L248" s="174" t="b">
        <f>IF(E248&lt;I248,'Electrical System Specification'!X$16*'Electrical System Specification'!Q$16*'Electrical System Specification'!AC$4*'Electrical System Specification'!J$16)</f>
        <v>0</v>
      </c>
      <c r="M248" s="174">
        <f t="shared" si="50"/>
        <v>0.70838712000000004</v>
      </c>
      <c r="N248" s="174">
        <f t="shared" si="51"/>
        <v>8320.9067405127189</v>
      </c>
      <c r="O248" s="173">
        <f t="shared" si="52"/>
        <v>4874.6083014737324</v>
      </c>
      <c r="P248" s="174">
        <f t="shared" si="53"/>
        <v>6881.2774312917099</v>
      </c>
      <c r="Q248" s="174">
        <f t="shared" si="61"/>
        <v>8270.8960076684452</v>
      </c>
      <c r="R248" s="174">
        <f t="shared" si="60"/>
        <v>0</v>
      </c>
      <c r="S248" s="165" t="b">
        <f t="shared" si="54"/>
        <v>0</v>
      </c>
      <c r="T248">
        <f t="shared" si="55"/>
        <v>15152.173438960155</v>
      </c>
      <c r="U248" s="176">
        <f t="shared" si="56"/>
        <v>15152.173438960155</v>
      </c>
      <c r="V248" s="165">
        <f>IF(U248&lt;V$5,V$5-U248,IF(U248&gt;=V$5,0))*('Electrical System Specification'!D$16*'Electrical System Specification'!Q$16)</f>
        <v>0</v>
      </c>
      <c r="W248" s="28">
        <f t="shared" si="57"/>
        <v>0</v>
      </c>
      <c r="X248" s="165">
        <f>IF(U248&gt;V$5,U248-V$5,0)*'Electrical System Specification'!D$17</f>
        <v>5724.7585306152014</v>
      </c>
      <c r="Y248">
        <f>(X248*C248)*'Electrical System Specification'!D$17</f>
        <v>1436.1525958677516</v>
      </c>
      <c r="Z248" s="165">
        <f t="shared" si="58"/>
        <v>-1436.1525958677516</v>
      </c>
      <c r="AA248" s="165">
        <f t="shared" si="59"/>
        <v>33232.890047822744</v>
      </c>
      <c r="AB248" s="165"/>
    </row>
    <row r="249" spans="3:28" x14ac:dyDescent="0.2">
      <c r="C249" s="148">
        <v>0.27096230310228681</v>
      </c>
      <c r="D249">
        <f t="shared" si="47"/>
        <v>61.004145097796389</v>
      </c>
      <c r="E249" s="164">
        <v>8719.2170294856278</v>
      </c>
      <c r="F249" s="165">
        <f>E249/'Electrical System Specification'!AC$4</f>
        <v>8897.1602341690086</v>
      </c>
      <c r="G249" s="146">
        <f>F249/('Electrical System Specification'!X$16*'Electrical System Specification'!J$16*'Electrical System Specification'!D$17)</f>
        <v>11077.693403766383</v>
      </c>
      <c r="H249" s="165"/>
      <c r="I249" s="173">
        <f t="shared" si="48"/>
        <v>6871.6622130335309</v>
      </c>
      <c r="J249" s="173">
        <f t="shared" si="49"/>
        <v>7621.6306710664712</v>
      </c>
      <c r="K249" s="174">
        <f>IF(E249&gt;I249,'Electrical System Specification'!AC$4*'Electrical System Specification'!J$16*'Electrical System Specification'!D$16*'Electrical System Specification'!D$17*'Electrical System Specification'!X$16)</f>
        <v>0.70838712000000004</v>
      </c>
      <c r="L249" s="174" t="b">
        <f>IF(E249&lt;I249,'Electrical System Specification'!X$16*'Electrical System Specification'!Q$16*'Electrical System Specification'!AC$4*'Electrical System Specification'!J$16)</f>
        <v>0</v>
      </c>
      <c r="M249" s="174">
        <f t="shared" si="50"/>
        <v>0.70838712000000004</v>
      </c>
      <c r="N249" s="174">
        <f t="shared" si="51"/>
        <v>6176.5810401722792</v>
      </c>
      <c r="O249" s="173">
        <f t="shared" si="52"/>
        <v>1847.5548164520969</v>
      </c>
      <c r="P249" s="174">
        <f t="shared" si="53"/>
        <v>2608.1146371663235</v>
      </c>
      <c r="Q249" s="174">
        <f t="shared" si="61"/>
        <v>8270.8960076684452</v>
      </c>
      <c r="R249" s="174">
        <f t="shared" si="60"/>
        <v>0</v>
      </c>
      <c r="S249" s="165" t="b">
        <f t="shared" si="54"/>
        <v>0</v>
      </c>
      <c r="T249">
        <f t="shared" si="55"/>
        <v>10879.010644834769</v>
      </c>
      <c r="U249" s="176">
        <f t="shared" si="56"/>
        <v>10879.010644834769</v>
      </c>
      <c r="V249" s="165">
        <f>IF(U249&lt;V$5,V$5-U249,IF(U249&gt;=V$5,0))*('Electrical System Specification'!D$16*'Electrical System Specification'!Q$16)</f>
        <v>0</v>
      </c>
      <c r="W249" s="28">
        <f t="shared" si="57"/>
        <v>0</v>
      </c>
      <c r="X249" s="165">
        <f>IF(U249&gt;V$5,U249-V$5,0)*'Electrical System Specification'!D$17</f>
        <v>1878.9120159023532</v>
      </c>
      <c r="Y249">
        <f>(X249*C249)*'Electrical System Specification'!D$17</f>
        <v>458.20289443991595</v>
      </c>
      <c r="Z249" s="165">
        <f t="shared" si="58"/>
        <v>-458.20289443991595</v>
      </c>
      <c r="AA249" s="165">
        <f t="shared" si="59"/>
        <v>32774.687153382831</v>
      </c>
      <c r="AB249" s="165"/>
    </row>
    <row r="250" spans="3:28" x14ac:dyDescent="0.2">
      <c r="C250" s="148">
        <v>0.26381934930746526</v>
      </c>
      <c r="D250">
        <f t="shared" si="47"/>
        <v>61.267964447103857</v>
      </c>
      <c r="E250" s="164">
        <v>0</v>
      </c>
      <c r="F250" s="165">
        <f>E250/'Electrical System Specification'!AC$4</f>
        <v>0</v>
      </c>
      <c r="G250" s="146">
        <f>F250/('Electrical System Specification'!X$16*'Electrical System Specification'!J$16*'Electrical System Specification'!D$17)</f>
        <v>0</v>
      </c>
      <c r="H250" s="165"/>
      <c r="I250" s="173">
        <f t="shared" si="48"/>
        <v>6871.6622130335309</v>
      </c>
      <c r="J250" s="173">
        <f t="shared" si="49"/>
        <v>7621.6306710664712</v>
      </c>
      <c r="K250" s="174" t="b">
        <f>IF(E250&gt;I250,'Electrical System Specification'!AC$4*'Electrical System Specification'!J$16*'Electrical System Specification'!D$16*'Electrical System Specification'!D$17*'Electrical System Specification'!X$16)</f>
        <v>0</v>
      </c>
      <c r="L250" s="174">
        <f>IF(E250&lt;I250,'Electrical System Specification'!X$16*'Electrical System Specification'!Q$16*'Electrical System Specification'!AC$4*'Electrical System Specification'!J$16)</f>
        <v>0.83082440000000002</v>
      </c>
      <c r="M250" s="174">
        <f t="shared" si="50"/>
        <v>0.83082440000000002</v>
      </c>
      <c r="N250" s="174">
        <f t="shared" si="51"/>
        <v>0</v>
      </c>
      <c r="O250" s="173">
        <f t="shared" si="52"/>
        <v>-6871.6622130335309</v>
      </c>
      <c r="P250" s="174" t="b">
        <f t="shared" si="53"/>
        <v>0</v>
      </c>
      <c r="Q250" s="174">
        <f t="shared" si="61"/>
        <v>0</v>
      </c>
      <c r="R250" s="174">
        <f t="shared" si="60"/>
        <v>0</v>
      </c>
      <c r="S250" s="165">
        <f t="shared" si="54"/>
        <v>0</v>
      </c>
      <c r="T250" t="b">
        <f t="shared" si="55"/>
        <v>0</v>
      </c>
      <c r="U250" s="176">
        <f t="shared" si="56"/>
        <v>0</v>
      </c>
      <c r="V250" s="165">
        <f>IF(U250&lt;V$5,V$5-U250,IF(U250&gt;=V$5,0))*('Electrical System Specification'!D$16*'Electrical System Specification'!Q$16)</f>
        <v>7516.5876862264913</v>
      </c>
      <c r="W250" s="28">
        <f t="shared" si="57"/>
        <v>1983.0212723927787</v>
      </c>
      <c r="X250" s="165">
        <f>IF(U250&gt;V$5,U250-V$5,0)*'Electrical System Specification'!D$17</f>
        <v>0</v>
      </c>
      <c r="Y250">
        <f>(X250*C250)*'Electrical System Specification'!D$17</f>
        <v>0</v>
      </c>
      <c r="Z250" s="165">
        <f t="shared" si="58"/>
        <v>1983.0212723927787</v>
      </c>
      <c r="AA250" s="165">
        <f t="shared" si="59"/>
        <v>34757.708425775607</v>
      </c>
      <c r="AB250" s="165"/>
    </row>
    <row r="251" spans="3:28" x14ac:dyDescent="0.2">
      <c r="C251" s="148">
        <v>0.26433045226732005</v>
      </c>
      <c r="D251">
        <f t="shared" si="47"/>
        <v>61.53229489937118</v>
      </c>
      <c r="E251" s="164">
        <v>0</v>
      </c>
      <c r="F251" s="165">
        <f>E251/'Electrical System Specification'!AC$4</f>
        <v>0</v>
      </c>
      <c r="G251" s="146">
        <f>F251/('Electrical System Specification'!X$16*'Electrical System Specification'!J$16*'Electrical System Specification'!D$17)</f>
        <v>0</v>
      </c>
      <c r="H251" s="165"/>
      <c r="I251" s="173">
        <f t="shared" si="48"/>
        <v>6871.6622130335309</v>
      </c>
      <c r="J251" s="173">
        <f t="shared" si="49"/>
        <v>7621.6306710664712</v>
      </c>
      <c r="K251" s="174" t="b">
        <f>IF(E251&gt;I251,'Electrical System Specification'!AC$4*'Electrical System Specification'!J$16*'Electrical System Specification'!D$16*'Electrical System Specification'!D$17*'Electrical System Specification'!X$16)</f>
        <v>0</v>
      </c>
      <c r="L251" s="174">
        <f>IF(E251&lt;I251,'Electrical System Specification'!X$16*'Electrical System Specification'!Q$16*'Electrical System Specification'!AC$4*'Electrical System Specification'!J$16)</f>
        <v>0.83082440000000002</v>
      </c>
      <c r="M251" s="174">
        <f t="shared" si="50"/>
        <v>0.83082440000000002</v>
      </c>
      <c r="N251" s="174">
        <f t="shared" si="51"/>
        <v>0</v>
      </c>
      <c r="O251" s="173">
        <f t="shared" si="52"/>
        <v>-6871.6622130335309</v>
      </c>
      <c r="P251" s="174" t="b">
        <f t="shared" si="53"/>
        <v>0</v>
      </c>
      <c r="Q251" s="174">
        <f t="shared" si="61"/>
        <v>0</v>
      </c>
      <c r="R251" s="174">
        <f t="shared" si="60"/>
        <v>0</v>
      </c>
      <c r="S251" s="165">
        <f t="shared" si="54"/>
        <v>0</v>
      </c>
      <c r="T251" t="b">
        <f t="shared" si="55"/>
        <v>0</v>
      </c>
      <c r="U251" s="176">
        <f t="shared" si="56"/>
        <v>0</v>
      </c>
      <c r="V251" s="165">
        <f>IF(U251&lt;V$5,V$5-U251,IF(U251&gt;=V$5,0))*('Electrical System Specification'!D$16*'Electrical System Specification'!Q$16)</f>
        <v>7516.5876862264913</v>
      </c>
      <c r="W251" s="28">
        <f t="shared" si="57"/>
        <v>1986.8630226072173</v>
      </c>
      <c r="X251" s="165">
        <f>IF(U251&gt;V$5,U251-V$5,0)*'Electrical System Specification'!D$17</f>
        <v>0</v>
      </c>
      <c r="Y251">
        <f>(X251*C251)*'Electrical System Specification'!D$17</f>
        <v>0</v>
      </c>
      <c r="Z251" s="165">
        <f t="shared" si="58"/>
        <v>1986.8630226072173</v>
      </c>
      <c r="AA251" s="165">
        <f t="shared" si="59"/>
        <v>36744.571448382827</v>
      </c>
      <c r="AB251" s="165"/>
    </row>
    <row r="252" spans="3:28" x14ac:dyDescent="0.2">
      <c r="C252" s="148">
        <v>0.26125709785040441</v>
      </c>
      <c r="D252">
        <f t="shared" si="47"/>
        <v>61.793551997221584</v>
      </c>
      <c r="E252" s="164">
        <v>0</v>
      </c>
      <c r="F252" s="165">
        <f>E252/'Electrical System Specification'!AC$4</f>
        <v>0</v>
      </c>
      <c r="G252" s="146">
        <f>F252/('Electrical System Specification'!X$16*'Electrical System Specification'!J$16*'Electrical System Specification'!D$17)</f>
        <v>0</v>
      </c>
      <c r="H252" s="165"/>
      <c r="I252" s="173">
        <f t="shared" si="48"/>
        <v>6871.6622130335309</v>
      </c>
      <c r="J252" s="173">
        <f t="shared" si="49"/>
        <v>7621.6306710664712</v>
      </c>
      <c r="K252" s="174" t="b">
        <f>IF(E252&gt;I252,'Electrical System Specification'!AC$4*'Electrical System Specification'!J$16*'Electrical System Specification'!D$16*'Electrical System Specification'!D$17*'Electrical System Specification'!X$16)</f>
        <v>0</v>
      </c>
      <c r="L252" s="174">
        <f>IF(E252&lt;I252,'Electrical System Specification'!X$16*'Electrical System Specification'!Q$16*'Electrical System Specification'!AC$4*'Electrical System Specification'!J$16)</f>
        <v>0.83082440000000002</v>
      </c>
      <c r="M252" s="174">
        <f t="shared" si="50"/>
        <v>0.83082440000000002</v>
      </c>
      <c r="N252" s="174">
        <f t="shared" si="51"/>
        <v>0</v>
      </c>
      <c r="O252" s="173">
        <f t="shared" si="52"/>
        <v>-6871.6622130335309</v>
      </c>
      <c r="P252" s="174" t="b">
        <f t="shared" si="53"/>
        <v>0</v>
      </c>
      <c r="Q252" s="174">
        <f t="shared" si="61"/>
        <v>0</v>
      </c>
      <c r="R252" s="174">
        <f t="shared" si="60"/>
        <v>0</v>
      </c>
      <c r="S252" s="165">
        <f t="shared" si="54"/>
        <v>0</v>
      </c>
      <c r="T252" t="b">
        <f t="shared" si="55"/>
        <v>0</v>
      </c>
      <c r="U252" s="176">
        <f t="shared" si="56"/>
        <v>0</v>
      </c>
      <c r="V252" s="165">
        <f>IF(U252&lt;V$5,V$5-U252,IF(U252&gt;=V$5,0))*('Electrical System Specification'!D$16*'Electrical System Specification'!Q$16)</f>
        <v>7516.5876862264913</v>
      </c>
      <c r="W252" s="28">
        <f t="shared" si="57"/>
        <v>1963.7618846416192</v>
      </c>
      <c r="X252" s="165">
        <f>IF(U252&gt;V$5,U252-V$5,0)*'Electrical System Specification'!D$17</f>
        <v>0</v>
      </c>
      <c r="Y252">
        <f>(X252*C252)*'Electrical System Specification'!D$17</f>
        <v>0</v>
      </c>
      <c r="Z252" s="165">
        <f t="shared" si="58"/>
        <v>1963.7618846416192</v>
      </c>
      <c r="AA252" s="165">
        <f t="shared" si="59"/>
        <v>38708.33333302445</v>
      </c>
      <c r="AB252" s="165"/>
    </row>
    <row r="253" spans="3:28" x14ac:dyDescent="0.2">
      <c r="C253" s="148">
        <v>0.25765159319157177</v>
      </c>
      <c r="D253">
        <f t="shared" si="47"/>
        <v>62.051203590413159</v>
      </c>
      <c r="E253" s="164">
        <v>0</v>
      </c>
      <c r="F253" s="165">
        <f>E253/'Electrical System Specification'!AC$4</f>
        <v>0</v>
      </c>
      <c r="G253" s="146">
        <f>F253/('Electrical System Specification'!X$16*'Electrical System Specification'!J$16*'Electrical System Specification'!D$17)</f>
        <v>0</v>
      </c>
      <c r="H253" s="165"/>
      <c r="I253" s="173">
        <f t="shared" si="48"/>
        <v>6871.6622130335309</v>
      </c>
      <c r="J253" s="173">
        <f t="shared" si="49"/>
        <v>7621.6306710664712</v>
      </c>
      <c r="K253" s="174" t="b">
        <f>IF(E253&gt;I253,'Electrical System Specification'!AC$4*'Electrical System Specification'!J$16*'Electrical System Specification'!D$16*'Electrical System Specification'!D$17*'Electrical System Specification'!X$16)</f>
        <v>0</v>
      </c>
      <c r="L253" s="174">
        <f>IF(E253&lt;I253,'Electrical System Specification'!X$16*'Electrical System Specification'!Q$16*'Electrical System Specification'!AC$4*'Electrical System Specification'!J$16)</f>
        <v>0.83082440000000002</v>
      </c>
      <c r="M253" s="174">
        <f t="shared" si="50"/>
        <v>0.83082440000000002</v>
      </c>
      <c r="N253" s="174">
        <f t="shared" si="51"/>
        <v>0</v>
      </c>
      <c r="O253" s="173">
        <f t="shared" si="52"/>
        <v>-6871.6622130335309</v>
      </c>
      <c r="P253" s="174" t="b">
        <f t="shared" si="53"/>
        <v>0</v>
      </c>
      <c r="Q253" s="174">
        <f t="shared" si="61"/>
        <v>0</v>
      </c>
      <c r="R253" s="174">
        <f t="shared" si="60"/>
        <v>0</v>
      </c>
      <c r="S253" s="165">
        <f t="shared" si="54"/>
        <v>0</v>
      </c>
      <c r="T253" t="b">
        <f t="shared" si="55"/>
        <v>0</v>
      </c>
      <c r="U253" s="176">
        <f t="shared" si="56"/>
        <v>0</v>
      </c>
      <c r="V253" s="165">
        <f>IF(U253&lt;V$5,V$5-U253,IF(U253&gt;=V$5,0))*('Electrical System Specification'!D$16*'Electrical System Specification'!Q$16)</f>
        <v>7516.5876862264913</v>
      </c>
      <c r="W253" s="28">
        <f t="shared" si="57"/>
        <v>1936.6607927204057</v>
      </c>
      <c r="X253" s="165">
        <f>IF(U253&gt;V$5,U253-V$5,0)*'Electrical System Specification'!D$17</f>
        <v>0</v>
      </c>
      <c r="Y253">
        <f>(X253*C253)*'Electrical System Specification'!D$17</f>
        <v>0</v>
      </c>
      <c r="Z253" s="165">
        <f t="shared" si="58"/>
        <v>1936.6607927204057</v>
      </c>
      <c r="AA253" s="165">
        <f t="shared" si="59"/>
        <v>40644.994125744852</v>
      </c>
      <c r="AB253" s="165"/>
    </row>
    <row r="254" spans="3:28" x14ac:dyDescent="0.2">
      <c r="C254" s="148">
        <v>0.25219692833237661</v>
      </c>
      <c r="D254">
        <f t="shared" si="47"/>
        <v>62.303400518745534</v>
      </c>
      <c r="E254" s="164">
        <v>0</v>
      </c>
      <c r="F254" s="165">
        <f>E254/'Electrical System Specification'!AC$4</f>
        <v>0</v>
      </c>
      <c r="G254" s="146">
        <f>F254/('Electrical System Specification'!X$16*'Electrical System Specification'!J$16*'Electrical System Specification'!D$17)</f>
        <v>0</v>
      </c>
      <c r="H254" s="165"/>
      <c r="I254" s="173">
        <f t="shared" si="48"/>
        <v>6871.6622130335309</v>
      </c>
      <c r="J254" s="173">
        <f t="shared" si="49"/>
        <v>7621.6306710664712</v>
      </c>
      <c r="K254" s="174" t="b">
        <f>IF(E254&gt;I254,'Electrical System Specification'!AC$4*'Electrical System Specification'!J$16*'Electrical System Specification'!D$16*'Electrical System Specification'!D$17*'Electrical System Specification'!X$16)</f>
        <v>0</v>
      </c>
      <c r="L254" s="174">
        <f>IF(E254&lt;I254,'Electrical System Specification'!X$16*'Electrical System Specification'!Q$16*'Electrical System Specification'!AC$4*'Electrical System Specification'!J$16)</f>
        <v>0.83082440000000002</v>
      </c>
      <c r="M254" s="174">
        <f t="shared" si="50"/>
        <v>0.83082440000000002</v>
      </c>
      <c r="N254" s="174">
        <f t="shared" si="51"/>
        <v>0</v>
      </c>
      <c r="O254" s="173">
        <f t="shared" si="52"/>
        <v>-6871.6622130335309</v>
      </c>
      <c r="P254" s="174" t="b">
        <f t="shared" si="53"/>
        <v>0</v>
      </c>
      <c r="Q254" s="174">
        <f t="shared" si="61"/>
        <v>0</v>
      </c>
      <c r="R254" s="174">
        <f t="shared" si="60"/>
        <v>0</v>
      </c>
      <c r="S254" s="165">
        <f t="shared" si="54"/>
        <v>0</v>
      </c>
      <c r="T254" t="b">
        <f t="shared" si="55"/>
        <v>0</v>
      </c>
      <c r="U254" s="176">
        <f t="shared" si="56"/>
        <v>0</v>
      </c>
      <c r="V254" s="165">
        <f>IF(U254&lt;V$5,V$5-U254,IF(U254&gt;=V$5,0))*('Electrical System Specification'!D$16*'Electrical System Specification'!Q$16)</f>
        <v>7516.5876862264913</v>
      </c>
      <c r="W254" s="28">
        <f t="shared" si="57"/>
        <v>1895.660326007287</v>
      </c>
      <c r="X254" s="165">
        <f>IF(U254&gt;V$5,U254-V$5,0)*'Electrical System Specification'!D$17</f>
        <v>0</v>
      </c>
      <c r="Y254">
        <f>(X254*C254)*'Electrical System Specification'!D$17</f>
        <v>0</v>
      </c>
      <c r="Z254" s="165">
        <f t="shared" si="58"/>
        <v>1895.660326007287</v>
      </c>
      <c r="AA254" s="165">
        <f t="shared" si="59"/>
        <v>42540.65445175214</v>
      </c>
      <c r="AB254" s="165"/>
    </row>
    <row r="255" spans="3:28" x14ac:dyDescent="0.2">
      <c r="C255" s="148">
        <v>0.2455247247924548</v>
      </c>
      <c r="D255">
        <f t="shared" si="47"/>
        <v>62.548925243537987</v>
      </c>
      <c r="E255" s="164">
        <v>0</v>
      </c>
      <c r="F255" s="165">
        <f>E255/'Electrical System Specification'!AC$4</f>
        <v>0</v>
      </c>
      <c r="G255" s="146">
        <f>F255/('Electrical System Specification'!X$16*'Electrical System Specification'!J$16*'Electrical System Specification'!D$17)</f>
        <v>0</v>
      </c>
      <c r="H255" s="165"/>
      <c r="I255" s="173">
        <f t="shared" si="48"/>
        <v>6871.6622130335309</v>
      </c>
      <c r="J255" s="173">
        <f t="shared" si="49"/>
        <v>7621.6306710664712</v>
      </c>
      <c r="K255" s="174" t="b">
        <f>IF(E255&gt;I255,'Electrical System Specification'!AC$4*'Electrical System Specification'!J$16*'Electrical System Specification'!D$16*'Electrical System Specification'!D$17*'Electrical System Specification'!X$16)</f>
        <v>0</v>
      </c>
      <c r="L255" s="174">
        <f>IF(E255&lt;I255,'Electrical System Specification'!X$16*'Electrical System Specification'!Q$16*'Electrical System Specification'!AC$4*'Electrical System Specification'!J$16)</f>
        <v>0.83082440000000002</v>
      </c>
      <c r="M255" s="174">
        <f t="shared" si="50"/>
        <v>0.83082440000000002</v>
      </c>
      <c r="N255" s="174">
        <f t="shared" si="51"/>
        <v>0</v>
      </c>
      <c r="O255" s="173">
        <f t="shared" si="52"/>
        <v>-6871.6622130335309</v>
      </c>
      <c r="P255" s="174" t="b">
        <f t="shared" si="53"/>
        <v>0</v>
      </c>
      <c r="Q255" s="174">
        <f t="shared" si="61"/>
        <v>0</v>
      </c>
      <c r="R255" s="174">
        <f t="shared" si="60"/>
        <v>0</v>
      </c>
      <c r="S255" s="165">
        <f t="shared" si="54"/>
        <v>0</v>
      </c>
      <c r="T255" t="b">
        <f t="shared" si="55"/>
        <v>0</v>
      </c>
      <c r="U255" s="176">
        <f t="shared" si="56"/>
        <v>0</v>
      </c>
      <c r="V255" s="165">
        <f>IF(U255&lt;V$5,V$5-U255,IF(U255&gt;=V$5,0))*('Electrical System Specification'!D$16*'Electrical System Specification'!Q$16)</f>
        <v>7516.5876862264913</v>
      </c>
      <c r="W255" s="28">
        <f t="shared" si="57"/>
        <v>1845.5081230391138</v>
      </c>
      <c r="X255" s="165">
        <f>IF(U255&gt;V$5,U255-V$5,0)*'Electrical System Specification'!D$17</f>
        <v>0</v>
      </c>
      <c r="Y255">
        <f>(X255*C255)*'Electrical System Specification'!D$17</f>
        <v>0</v>
      </c>
      <c r="Z255" s="165">
        <f t="shared" si="58"/>
        <v>1845.5081230391138</v>
      </c>
      <c r="AA255" s="165">
        <f t="shared" si="59"/>
        <v>44386.162574791255</v>
      </c>
      <c r="AB255" s="165"/>
    </row>
    <row r="256" spans="3:28" x14ac:dyDescent="0.2">
      <c r="C256" s="148">
        <v>0.23864764307612391</v>
      </c>
      <c r="D256">
        <f t="shared" si="47"/>
        <v>62.787572886614107</v>
      </c>
      <c r="E256" s="164">
        <v>0</v>
      </c>
      <c r="F256" s="165">
        <f>E256/'Electrical System Specification'!AC$4</f>
        <v>0</v>
      </c>
      <c r="G256" s="146">
        <f>F256/('Electrical System Specification'!X$16*'Electrical System Specification'!J$16*'Electrical System Specification'!D$17)</f>
        <v>0</v>
      </c>
      <c r="H256" s="165"/>
      <c r="I256" s="173">
        <f t="shared" si="48"/>
        <v>6871.6622130335309</v>
      </c>
      <c r="J256" s="173">
        <f t="shared" si="49"/>
        <v>7621.6306710664712</v>
      </c>
      <c r="K256" s="174" t="b">
        <f>IF(E256&gt;I256,'Electrical System Specification'!AC$4*'Electrical System Specification'!J$16*'Electrical System Specification'!D$16*'Electrical System Specification'!D$17*'Electrical System Specification'!X$16)</f>
        <v>0</v>
      </c>
      <c r="L256" s="174">
        <f>IF(E256&lt;I256,'Electrical System Specification'!X$16*'Electrical System Specification'!Q$16*'Electrical System Specification'!AC$4*'Electrical System Specification'!J$16)</f>
        <v>0.83082440000000002</v>
      </c>
      <c r="M256" s="174">
        <f t="shared" si="50"/>
        <v>0.83082440000000002</v>
      </c>
      <c r="N256" s="174">
        <f t="shared" si="51"/>
        <v>0</v>
      </c>
      <c r="O256" s="173">
        <f t="shared" si="52"/>
        <v>-6871.6622130335309</v>
      </c>
      <c r="P256" s="174" t="b">
        <f t="shared" si="53"/>
        <v>0</v>
      </c>
      <c r="Q256" s="174">
        <f t="shared" si="61"/>
        <v>0</v>
      </c>
      <c r="R256" s="174">
        <f t="shared" si="60"/>
        <v>0</v>
      </c>
      <c r="S256" s="165">
        <f t="shared" si="54"/>
        <v>0</v>
      </c>
      <c r="T256" t="b">
        <f t="shared" si="55"/>
        <v>0</v>
      </c>
      <c r="U256" s="176">
        <f t="shared" si="56"/>
        <v>0</v>
      </c>
      <c r="V256" s="165">
        <f>IF(U256&lt;V$5,V$5-U256,IF(U256&gt;=V$5,0))*('Electrical System Specification'!D$16*'Electrical System Specification'!Q$16)</f>
        <v>7516.5876862264913</v>
      </c>
      <c r="W256" s="28">
        <f t="shared" si="57"/>
        <v>1793.8159352929677</v>
      </c>
      <c r="X256" s="165">
        <f>IF(U256&gt;V$5,U256-V$5,0)*'Electrical System Specification'!D$17</f>
        <v>0</v>
      </c>
      <c r="Y256">
        <f>(X256*C256)*'Electrical System Specification'!D$17</f>
        <v>0</v>
      </c>
      <c r="Z256" s="165">
        <f t="shared" si="58"/>
        <v>1793.8159352929677</v>
      </c>
      <c r="AA256" s="165">
        <f t="shared" si="59"/>
        <v>46179.97851008422</v>
      </c>
      <c r="AB256" s="165"/>
    </row>
    <row r="257" spans="3:28" x14ac:dyDescent="0.2">
      <c r="C257" s="148">
        <v>0.23189643678154395</v>
      </c>
      <c r="D257">
        <f t="shared" si="47"/>
        <v>63.019469323395654</v>
      </c>
      <c r="E257" s="164">
        <v>0</v>
      </c>
      <c r="F257" s="165">
        <f>E257/'Electrical System Specification'!AC$4</f>
        <v>0</v>
      </c>
      <c r="G257" s="146">
        <f>F257/('Electrical System Specification'!X$16*'Electrical System Specification'!J$16*'Electrical System Specification'!D$17)</f>
        <v>0</v>
      </c>
      <c r="H257" s="165"/>
      <c r="I257" s="173">
        <f t="shared" si="48"/>
        <v>6871.6622130335309</v>
      </c>
      <c r="J257" s="173">
        <f t="shared" si="49"/>
        <v>7621.6306710664712</v>
      </c>
      <c r="K257" s="174" t="b">
        <f>IF(E257&gt;I257,'Electrical System Specification'!AC$4*'Electrical System Specification'!J$16*'Electrical System Specification'!D$16*'Electrical System Specification'!D$17*'Electrical System Specification'!X$16)</f>
        <v>0</v>
      </c>
      <c r="L257" s="174">
        <f>IF(E257&lt;I257,'Electrical System Specification'!X$16*'Electrical System Specification'!Q$16*'Electrical System Specification'!AC$4*'Electrical System Specification'!J$16)</f>
        <v>0.83082440000000002</v>
      </c>
      <c r="M257" s="174">
        <f t="shared" si="50"/>
        <v>0.83082440000000002</v>
      </c>
      <c r="N257" s="174">
        <f t="shared" si="51"/>
        <v>0</v>
      </c>
      <c r="O257" s="173">
        <f t="shared" si="52"/>
        <v>-6871.6622130335309</v>
      </c>
      <c r="P257" s="174" t="b">
        <f t="shared" si="53"/>
        <v>0</v>
      </c>
      <c r="Q257" s="174">
        <f t="shared" si="61"/>
        <v>0</v>
      </c>
      <c r="R257" s="174">
        <f t="shared" si="60"/>
        <v>0</v>
      </c>
      <c r="S257" s="165">
        <f t="shared" si="54"/>
        <v>0</v>
      </c>
      <c r="T257" t="b">
        <f t="shared" si="55"/>
        <v>0</v>
      </c>
      <c r="U257" s="176">
        <f t="shared" si="56"/>
        <v>0</v>
      </c>
      <c r="V257" s="165">
        <f>IF(U257&lt;V$5,V$5-U257,IF(U257&gt;=V$5,0))*('Electrical System Specification'!D$16*'Electrical System Specification'!Q$16)</f>
        <v>7516.5876862264913</v>
      </c>
      <c r="W257" s="28">
        <f t="shared" si="57"/>
        <v>1743.0699011919532</v>
      </c>
      <c r="X257" s="165">
        <f>IF(U257&gt;V$5,U257-V$5,0)*'Electrical System Specification'!D$17</f>
        <v>0</v>
      </c>
      <c r="Y257">
        <f>(X257*C257)*'Electrical System Specification'!D$17</f>
        <v>0</v>
      </c>
      <c r="Z257" s="165">
        <f t="shared" si="58"/>
        <v>1743.0699011919532</v>
      </c>
      <c r="AA257" s="165">
        <f t="shared" si="59"/>
        <v>47923.048411276177</v>
      </c>
      <c r="AB257" s="165"/>
    </row>
    <row r="258" spans="3:28" x14ac:dyDescent="0.2">
      <c r="C258" s="148">
        <v>0.22546099579466719</v>
      </c>
      <c r="D258">
        <f t="shared" si="47"/>
        <v>63.244930319190324</v>
      </c>
      <c r="E258" s="164">
        <v>0</v>
      </c>
      <c r="F258" s="165">
        <f>E258/'Electrical System Specification'!AC$4</f>
        <v>0</v>
      </c>
      <c r="G258" s="146">
        <f>F258/('Electrical System Specification'!X$16*'Electrical System Specification'!J$16*'Electrical System Specification'!D$17)</f>
        <v>0</v>
      </c>
      <c r="H258" s="165"/>
      <c r="I258" s="173">
        <f t="shared" si="48"/>
        <v>6871.6622130335309</v>
      </c>
      <c r="J258" s="173">
        <f t="shared" si="49"/>
        <v>7621.6306710664712</v>
      </c>
      <c r="K258" s="174" t="b">
        <f>IF(E258&gt;I258,'Electrical System Specification'!AC$4*'Electrical System Specification'!J$16*'Electrical System Specification'!D$16*'Electrical System Specification'!D$17*'Electrical System Specification'!X$16)</f>
        <v>0</v>
      </c>
      <c r="L258" s="174">
        <f>IF(E258&lt;I258,'Electrical System Specification'!X$16*'Electrical System Specification'!Q$16*'Electrical System Specification'!AC$4*'Electrical System Specification'!J$16)</f>
        <v>0.83082440000000002</v>
      </c>
      <c r="M258" s="174">
        <f t="shared" si="50"/>
        <v>0.83082440000000002</v>
      </c>
      <c r="N258" s="174">
        <f t="shared" si="51"/>
        <v>0</v>
      </c>
      <c r="O258" s="173">
        <f t="shared" si="52"/>
        <v>-6871.6622130335309</v>
      </c>
      <c r="P258" s="174" t="b">
        <f t="shared" si="53"/>
        <v>0</v>
      </c>
      <c r="Q258" s="174">
        <f t="shared" si="61"/>
        <v>0</v>
      </c>
      <c r="R258" s="174">
        <f t="shared" si="60"/>
        <v>0</v>
      </c>
      <c r="S258" s="165">
        <f t="shared" si="54"/>
        <v>0</v>
      </c>
      <c r="T258" t="b">
        <f t="shared" si="55"/>
        <v>0</v>
      </c>
      <c r="U258" s="176">
        <f t="shared" si="56"/>
        <v>0</v>
      </c>
      <c r="V258" s="165">
        <f>IF(U258&lt;V$5,V$5-U258,IF(U258&gt;=V$5,0))*('Electrical System Specification'!D$16*'Electrical System Specification'!Q$16)</f>
        <v>7516.5876862264913</v>
      </c>
      <c r="W258" s="28">
        <f t="shared" si="57"/>
        <v>1694.6973447145581</v>
      </c>
      <c r="X258" s="165">
        <f>IF(U258&gt;V$5,U258-V$5,0)*'Electrical System Specification'!D$17</f>
        <v>0</v>
      </c>
      <c r="Y258">
        <f>(X258*C258)*'Electrical System Specification'!D$17</f>
        <v>0</v>
      </c>
      <c r="Z258" s="165">
        <f t="shared" si="58"/>
        <v>1694.6973447145581</v>
      </c>
      <c r="AA258" s="165">
        <f t="shared" si="59"/>
        <v>49617.745755990734</v>
      </c>
      <c r="AB258" s="165"/>
    </row>
    <row r="259" spans="3:28" x14ac:dyDescent="0.2">
      <c r="C259" s="148">
        <v>0.21529611892368394</v>
      </c>
      <c r="D259">
        <f t="shared" si="47"/>
        <v>63.460226438114006</v>
      </c>
      <c r="E259" s="164">
        <v>3586.4720281922669</v>
      </c>
      <c r="F259" s="165">
        <f>E259/'Electrical System Specification'!AC$4</f>
        <v>3659.6653348900682</v>
      </c>
      <c r="G259" s="146">
        <f>F259/('Electrical System Specification'!X$16*'Electrical System Specification'!J$16*'Electrical System Specification'!D$17)</f>
        <v>4556.583165110399</v>
      </c>
      <c r="H259" s="165"/>
      <c r="I259" s="173">
        <f t="shared" si="48"/>
        <v>6871.6622130335309</v>
      </c>
      <c r="J259" s="173">
        <f t="shared" si="49"/>
        <v>7621.6306710664712</v>
      </c>
      <c r="K259" s="174" t="b">
        <f>IF(E259&gt;I259,'Electrical System Specification'!AC$4*'Electrical System Specification'!J$16*'Electrical System Specification'!D$16*'Electrical System Specification'!D$17*'Electrical System Specification'!X$16)</f>
        <v>0</v>
      </c>
      <c r="L259" s="174">
        <f>IF(E259&lt;I259,'Electrical System Specification'!X$16*'Electrical System Specification'!Q$16*'Electrical System Specification'!AC$4*'Electrical System Specification'!J$16)</f>
        <v>0.83082440000000002</v>
      </c>
      <c r="M259" s="174">
        <f t="shared" si="50"/>
        <v>0.83082440000000002</v>
      </c>
      <c r="N259" s="174">
        <f t="shared" si="51"/>
        <v>2979.7284709396231</v>
      </c>
      <c r="O259" s="173">
        <f t="shared" si="52"/>
        <v>-3285.190184841264</v>
      </c>
      <c r="P259" s="174" t="b">
        <f t="shared" si="53"/>
        <v>0</v>
      </c>
      <c r="Q259" s="174">
        <f t="shared" si="61"/>
        <v>3586.4720281922669</v>
      </c>
      <c r="R259" s="174">
        <f t="shared" si="60"/>
        <v>4316.7629985256417</v>
      </c>
      <c r="S259" s="165">
        <f t="shared" si="54"/>
        <v>4316.7629985256417</v>
      </c>
      <c r="T259" t="b">
        <f t="shared" si="55"/>
        <v>0</v>
      </c>
      <c r="U259" s="176">
        <f t="shared" si="56"/>
        <v>4316.7629985256417</v>
      </c>
      <c r="V259" s="165">
        <f>IF(U259&lt;V$5,V$5-U259,IF(U259&gt;=V$5,0))*('Electrical System Specification'!D$16*'Electrical System Specification'!Q$16)</f>
        <v>3825.755322487068</v>
      </c>
      <c r="W259" s="28">
        <f t="shared" si="57"/>
        <v>823.67027288309259</v>
      </c>
      <c r="X259" s="165">
        <f>IF(U259&gt;V$5,U259-V$5,0)*'Electrical System Specification'!D$17</f>
        <v>0</v>
      </c>
      <c r="Y259">
        <f>(X259*C259)*'Electrical System Specification'!D$17</f>
        <v>0</v>
      </c>
      <c r="Z259" s="165">
        <f t="shared" si="58"/>
        <v>823.67027288309259</v>
      </c>
      <c r="AA259" s="165">
        <f t="shared" si="59"/>
        <v>50441.416028873828</v>
      </c>
      <c r="AB259" s="165"/>
    </row>
    <row r="260" spans="3:28" x14ac:dyDescent="0.2">
      <c r="C260" s="148">
        <v>0.2094111148869465</v>
      </c>
      <c r="D260">
        <f t="shared" si="47"/>
        <v>63.669637553000953</v>
      </c>
      <c r="E260" s="164">
        <v>3360.752424212963</v>
      </c>
      <c r="F260" s="165">
        <f>E260/'Electrical System Specification'!AC$4</f>
        <v>3429.3392083805747</v>
      </c>
      <c r="G260" s="146">
        <f>F260/('Electrical System Specification'!X$16*'Electrical System Specification'!J$16*'Electrical System Specification'!D$17)</f>
        <v>4269.808267817838</v>
      </c>
      <c r="H260" s="165"/>
      <c r="I260" s="173">
        <f t="shared" si="48"/>
        <v>6871.6622130335309</v>
      </c>
      <c r="J260" s="173">
        <f t="shared" si="49"/>
        <v>7621.6306710664712</v>
      </c>
      <c r="K260" s="174" t="b">
        <f>IF(E260&gt;I260,'Electrical System Specification'!AC$4*'Electrical System Specification'!J$16*'Electrical System Specification'!D$16*'Electrical System Specification'!D$17*'Electrical System Specification'!X$16)</f>
        <v>0</v>
      </c>
      <c r="L260" s="174">
        <f>IF(E260&lt;I260,'Electrical System Specification'!X$16*'Electrical System Specification'!Q$16*'Electrical System Specification'!AC$4*'Electrical System Specification'!J$16)</f>
        <v>0.83082440000000002</v>
      </c>
      <c r="M260" s="174">
        <f t="shared" si="50"/>
        <v>0.83082440000000002</v>
      </c>
      <c r="N260" s="174">
        <f t="shared" si="51"/>
        <v>2792.1951163952804</v>
      </c>
      <c r="O260" s="173">
        <f t="shared" si="52"/>
        <v>-3510.9097888205679</v>
      </c>
      <c r="P260" s="174" t="b">
        <f t="shared" si="53"/>
        <v>0</v>
      </c>
      <c r="Q260" s="174">
        <f t="shared" si="61"/>
        <v>3360.752424212963</v>
      </c>
      <c r="R260" s="174">
        <f t="shared" si="60"/>
        <v>4045.0815168800568</v>
      </c>
      <c r="S260" s="165">
        <f t="shared" si="54"/>
        <v>4045.0815168800568</v>
      </c>
      <c r="T260" t="b">
        <f t="shared" si="55"/>
        <v>0</v>
      </c>
      <c r="U260" s="176">
        <f t="shared" si="56"/>
        <v>4045.0815168800568</v>
      </c>
      <c r="V260" s="165">
        <f>IF(U260&lt;V$5,V$5-U260,IF(U260&gt;=V$5,0))*('Electrical System Specification'!D$16*'Electrical System Specification'!Q$16)</f>
        <v>4058.0429892940433</v>
      </c>
      <c r="W260" s="28">
        <f t="shared" si="57"/>
        <v>849.79930664722269</v>
      </c>
      <c r="X260" s="165">
        <f>IF(U260&gt;V$5,U260-V$5,0)*'Electrical System Specification'!D$17</f>
        <v>0</v>
      </c>
      <c r="Y260">
        <f>(X260*C260)*'Electrical System Specification'!D$17</f>
        <v>0</v>
      </c>
      <c r="Z260" s="165">
        <f t="shared" si="58"/>
        <v>849.79930664722269</v>
      </c>
      <c r="AA260" s="165">
        <f t="shared" si="59"/>
        <v>51291.215335521047</v>
      </c>
      <c r="AB260" s="165"/>
    </row>
    <row r="261" spans="3:28" x14ac:dyDescent="0.2">
      <c r="C261" s="148">
        <v>0.20383641490826632</v>
      </c>
      <c r="D261">
        <f t="shared" si="47"/>
        <v>63.87347396790922</v>
      </c>
      <c r="E261" s="164">
        <v>8936.3363461116351</v>
      </c>
      <c r="F261" s="165">
        <f>E261/'Electrical System Specification'!AC$4</f>
        <v>9118.7105572567707</v>
      </c>
      <c r="G261" s="146">
        <f>F261/('Electrical System Specification'!X$16*'Electrical System Specification'!J$16*'Electrical System Specification'!D$17)</f>
        <v>11353.54170682899</v>
      </c>
      <c r="H261" s="165"/>
      <c r="I261" s="173">
        <f t="shared" si="48"/>
        <v>6871.6622130335309</v>
      </c>
      <c r="J261" s="173">
        <f t="shared" si="49"/>
        <v>7621.6306710664712</v>
      </c>
      <c r="K261" s="174">
        <f>IF(E261&gt;I261,'Electrical System Specification'!AC$4*'Electrical System Specification'!J$16*'Electrical System Specification'!D$16*'Electrical System Specification'!D$17*'Electrical System Specification'!X$16)</f>
        <v>0.70838712000000004</v>
      </c>
      <c r="L261" s="174" t="b">
        <f>IF(E261&lt;I261,'Electrical System Specification'!X$16*'Electrical System Specification'!Q$16*'Electrical System Specification'!AC$4*'Electrical System Specification'!J$16)</f>
        <v>0</v>
      </c>
      <c r="M261" s="174">
        <f t="shared" si="50"/>
        <v>0.70838712000000004</v>
      </c>
      <c r="N261" s="174">
        <f t="shared" si="51"/>
        <v>6330.3855675733448</v>
      </c>
      <c r="O261" s="173">
        <f t="shared" si="52"/>
        <v>2064.6741330781042</v>
      </c>
      <c r="P261" s="174">
        <f t="shared" si="53"/>
        <v>2914.6127516803299</v>
      </c>
      <c r="Q261" s="174">
        <f t="shared" si="61"/>
        <v>8270.8960076684452</v>
      </c>
      <c r="R261" s="174">
        <f t="shared" si="60"/>
        <v>0</v>
      </c>
      <c r="S261" s="165" t="b">
        <f t="shared" si="54"/>
        <v>0</v>
      </c>
      <c r="T261">
        <f t="shared" si="55"/>
        <v>11185.508759348775</v>
      </c>
      <c r="U261" s="176">
        <f t="shared" si="56"/>
        <v>11185.508759348775</v>
      </c>
      <c r="V261" s="165">
        <f>IF(U261&lt;V$5,V$5-U261,IF(U261&gt;=V$5,0))*('Electrical System Specification'!D$16*'Electrical System Specification'!Q$16)</f>
        <v>0</v>
      </c>
      <c r="W261" s="28">
        <f t="shared" si="57"/>
        <v>0</v>
      </c>
      <c r="X261" s="165">
        <f>IF(U261&gt;V$5,U261-V$5,0)*'Electrical System Specification'!D$17</f>
        <v>2154.760318964959</v>
      </c>
      <c r="Y261">
        <f>(X261*C261)*'Electrical System Specification'!D$17</f>
        <v>395.2967565639687</v>
      </c>
      <c r="Z261" s="165">
        <f t="shared" si="58"/>
        <v>-395.2967565639687</v>
      </c>
      <c r="AA261" s="165">
        <f t="shared" si="59"/>
        <v>50895.918578957077</v>
      </c>
      <c r="AB261" s="165"/>
    </row>
    <row r="262" spans="3:28" x14ac:dyDescent="0.2">
      <c r="C262" s="148">
        <v>0.19844103083690764</v>
      </c>
      <c r="D262">
        <f t="shared" si="47"/>
        <v>64.071914998746124</v>
      </c>
      <c r="E262" s="164">
        <v>9033.1602859967606</v>
      </c>
      <c r="F262" s="165">
        <f>E262/'Electrical System Specification'!AC$4</f>
        <v>9217.5104959150613</v>
      </c>
      <c r="G262" s="146">
        <f>F262/('Electrical System Specification'!X$16*'Electrical System Specification'!J$16*'Electrical System Specification'!D$17)</f>
        <v>11476.555724780943</v>
      </c>
      <c r="H262" s="165"/>
      <c r="I262" s="173">
        <f t="shared" si="48"/>
        <v>6871.6622130335309</v>
      </c>
      <c r="J262" s="173">
        <f t="shared" si="49"/>
        <v>7621.6306710664712</v>
      </c>
      <c r="K262" s="174">
        <f>IF(E262&gt;I262,'Electrical System Specification'!AC$4*'Electrical System Specification'!J$16*'Electrical System Specification'!D$16*'Electrical System Specification'!D$17*'Electrical System Specification'!X$16)</f>
        <v>0.70838712000000004</v>
      </c>
      <c r="L262" s="174" t="b">
        <f>IF(E262&lt;I262,'Electrical System Specification'!X$16*'Electrical System Specification'!Q$16*'Electrical System Specification'!AC$4*'Electrical System Specification'!J$16)</f>
        <v>0</v>
      </c>
      <c r="M262" s="174">
        <f t="shared" si="50"/>
        <v>0.70838712000000004</v>
      </c>
      <c r="N262" s="174">
        <f t="shared" si="51"/>
        <v>6398.9743994956216</v>
      </c>
      <c r="O262" s="173">
        <f t="shared" si="52"/>
        <v>2161.4980729632298</v>
      </c>
      <c r="P262" s="174">
        <f t="shared" si="53"/>
        <v>3051.2949938491679</v>
      </c>
      <c r="Q262" s="174">
        <f t="shared" si="61"/>
        <v>8270.8960076684452</v>
      </c>
      <c r="R262" s="174">
        <f t="shared" si="60"/>
        <v>0</v>
      </c>
      <c r="S262" s="165" t="b">
        <f t="shared" si="54"/>
        <v>0</v>
      </c>
      <c r="T262">
        <f t="shared" si="55"/>
        <v>11322.191001517613</v>
      </c>
      <c r="U262" s="176">
        <f t="shared" si="56"/>
        <v>11322.191001517613</v>
      </c>
      <c r="V262" s="165">
        <f>IF(U262&lt;V$5,V$5-U262,IF(U262&gt;=V$5,0))*('Electrical System Specification'!D$16*'Electrical System Specification'!Q$16)</f>
        <v>0</v>
      </c>
      <c r="W262" s="28">
        <f t="shared" si="57"/>
        <v>0</v>
      </c>
      <c r="X262" s="165">
        <f>IF(U262&gt;V$5,U262-V$5,0)*'Electrical System Specification'!D$17</f>
        <v>2277.7743369169129</v>
      </c>
      <c r="Y262">
        <f>(X262*C262)*'Electrical System Specification'!D$17</f>
        <v>406.8034986884814</v>
      </c>
      <c r="Z262" s="165">
        <f t="shared" si="58"/>
        <v>-406.8034986884814</v>
      </c>
      <c r="AA262" s="165">
        <f t="shared" si="59"/>
        <v>50489.115080268595</v>
      </c>
      <c r="AB262" s="165"/>
    </row>
    <row r="263" spans="3:28" x14ac:dyDescent="0.2">
      <c r="C263" s="148">
        <v>0.19308051880974655</v>
      </c>
      <c r="D263">
        <f t="shared" si="47"/>
        <v>64.264995517555874</v>
      </c>
      <c r="E263" s="164">
        <v>3173.5043426934617</v>
      </c>
      <c r="F263" s="165">
        <f>E263/'Electrical System Specification'!AC$4</f>
        <v>3238.2697374423078</v>
      </c>
      <c r="G263" s="146">
        <f>F263/('Electrical System Specification'!X$16*'Electrical System Specification'!J$16*'Electrical System Specification'!D$17)</f>
        <v>4031.9111228675579</v>
      </c>
      <c r="H263" s="165"/>
      <c r="I263" s="173">
        <f t="shared" si="48"/>
        <v>6871.6622130335309</v>
      </c>
      <c r="J263" s="173">
        <f t="shared" si="49"/>
        <v>7621.6306710664712</v>
      </c>
      <c r="K263" s="174" t="b">
        <f>IF(E263&gt;I263,'Electrical System Specification'!AC$4*'Electrical System Specification'!J$16*'Electrical System Specification'!D$16*'Electrical System Specification'!D$17*'Electrical System Specification'!X$16)</f>
        <v>0</v>
      </c>
      <c r="L263" s="174">
        <f>IF(E263&lt;I263,'Electrical System Specification'!X$16*'Electrical System Specification'!Q$16*'Electrical System Specification'!AC$4*'Electrical System Specification'!J$16)</f>
        <v>0.83082440000000002</v>
      </c>
      <c r="M263" s="174">
        <f t="shared" si="50"/>
        <v>0.83082440000000002</v>
      </c>
      <c r="N263" s="174">
        <f t="shared" si="51"/>
        <v>2636.6248414156898</v>
      </c>
      <c r="O263" s="173">
        <f t="shared" si="52"/>
        <v>-3698.1578703400692</v>
      </c>
      <c r="P263" s="174" t="b">
        <f t="shared" si="53"/>
        <v>0</v>
      </c>
      <c r="Q263" s="174">
        <f t="shared" si="61"/>
        <v>3173.5043426934617</v>
      </c>
      <c r="R263" s="174">
        <f t="shared" si="60"/>
        <v>3819.7052742955811</v>
      </c>
      <c r="S263" s="165">
        <f t="shared" si="54"/>
        <v>3819.7052742955811</v>
      </c>
      <c r="T263" t="b">
        <f t="shared" si="55"/>
        <v>0</v>
      </c>
      <c r="U263" s="176">
        <f t="shared" si="56"/>
        <v>3819.7052742955811</v>
      </c>
      <c r="V263" s="165">
        <f>IF(U263&lt;V$5,V$5-U263,IF(U263&gt;=V$5,0))*('Electrical System Specification'!D$16*'Electrical System Specification'!Q$16)</f>
        <v>4250.7396767037699</v>
      </c>
      <c r="W263" s="28">
        <f t="shared" si="57"/>
        <v>820.73502210313825</v>
      </c>
      <c r="X263" s="165">
        <f>IF(U263&gt;V$5,U263-V$5,0)*'Electrical System Specification'!D$17</f>
        <v>0</v>
      </c>
      <c r="Y263">
        <f>(X263*C263)*'Electrical System Specification'!D$17</f>
        <v>0</v>
      </c>
      <c r="Z263" s="165">
        <f t="shared" si="58"/>
        <v>820.73502210313825</v>
      </c>
      <c r="AA263" s="165">
        <f t="shared" si="59"/>
        <v>51309.850102371733</v>
      </c>
      <c r="AB263" s="165"/>
    </row>
    <row r="264" spans="3:28" x14ac:dyDescent="0.2">
      <c r="C264" s="148">
        <v>0.1877620403311743</v>
      </c>
      <c r="D264">
        <f t="shared" si="47"/>
        <v>64.452757557887054</v>
      </c>
      <c r="E264" s="164">
        <v>8253.2119062426591</v>
      </c>
      <c r="F264" s="165">
        <f>E264/'Electrical System Specification'!AC$4</f>
        <v>8421.6448022884269</v>
      </c>
      <c r="G264" s="146">
        <f>F264/('Electrical System Specification'!X$16*'Electrical System Specification'!J$16*'Electrical System Specification'!D$17)</f>
        <v>10485.637733811976</v>
      </c>
      <c r="H264" s="165"/>
      <c r="I264" s="173">
        <f t="shared" si="48"/>
        <v>6871.6622130335309</v>
      </c>
      <c r="J264" s="173">
        <f t="shared" si="49"/>
        <v>7621.6306710664712</v>
      </c>
      <c r="K264" s="174">
        <f>IF(E264&gt;I264,'Electrical System Specification'!AC$4*'Electrical System Specification'!J$16*'Electrical System Specification'!D$16*'Electrical System Specification'!D$17*'Electrical System Specification'!X$16)</f>
        <v>0.70838712000000004</v>
      </c>
      <c r="L264" s="174" t="b">
        <f>IF(E264&lt;I264,'Electrical System Specification'!X$16*'Electrical System Specification'!Q$16*'Electrical System Specification'!AC$4*'Electrical System Specification'!J$16)</f>
        <v>0</v>
      </c>
      <c r="M264" s="174">
        <f t="shared" si="50"/>
        <v>0.70838712000000004</v>
      </c>
      <c r="N264" s="174">
        <f t="shared" si="51"/>
        <v>5846.4690130129475</v>
      </c>
      <c r="O264" s="173">
        <f t="shared" si="52"/>
        <v>1381.5496932091282</v>
      </c>
      <c r="P264" s="174">
        <f t="shared" si="53"/>
        <v>1950.2750038836507</v>
      </c>
      <c r="Q264" s="174">
        <f t="shared" si="61"/>
        <v>8270.8960076684452</v>
      </c>
      <c r="R264" s="174">
        <f t="shared" si="60"/>
        <v>0</v>
      </c>
      <c r="S264" s="165" t="b">
        <f t="shared" si="54"/>
        <v>0</v>
      </c>
      <c r="T264">
        <f t="shared" si="55"/>
        <v>10221.171011552096</v>
      </c>
      <c r="U264" s="176">
        <f t="shared" si="56"/>
        <v>10221.171011552096</v>
      </c>
      <c r="V264" s="165">
        <f>IF(U264&lt;V$5,V$5-U264,IF(U264&gt;=V$5,0))*('Electrical System Specification'!D$16*'Electrical System Specification'!Q$16)</f>
        <v>0</v>
      </c>
      <c r="W264" s="28">
        <f t="shared" si="57"/>
        <v>0</v>
      </c>
      <c r="X264" s="165">
        <f>IF(U264&gt;V$5,U264-V$5,0)*'Electrical System Specification'!D$17</f>
        <v>1286.8563459479481</v>
      </c>
      <c r="Y264">
        <f>(X264*C264)*'Electrical System Specification'!D$17</f>
        <v>217.46049581547561</v>
      </c>
      <c r="Z264" s="165">
        <f t="shared" si="58"/>
        <v>-217.46049581547561</v>
      </c>
      <c r="AA264" s="165">
        <f t="shared" si="59"/>
        <v>51092.389606556259</v>
      </c>
      <c r="AB264" s="165"/>
    </row>
    <row r="265" spans="3:28" x14ac:dyDescent="0.2">
      <c r="C265" s="148">
        <v>0.18285203829198374</v>
      </c>
      <c r="D265">
        <f t="shared" si="47"/>
        <v>64.635609596179037</v>
      </c>
      <c r="E265" s="164">
        <v>3014.721736766166</v>
      </c>
      <c r="F265" s="165">
        <f>E265/'Electrical System Specification'!AC$4</f>
        <v>3076.2466701695571</v>
      </c>
      <c r="G265" s="146">
        <f>F265/('Electrical System Specification'!X$16*'Electrical System Specification'!J$16*'Electrical System Specification'!D$17)</f>
        <v>3830.1791301478625</v>
      </c>
      <c r="H265" s="165"/>
      <c r="I265" s="173">
        <f t="shared" si="48"/>
        <v>6871.6622130335309</v>
      </c>
      <c r="J265" s="173">
        <f t="shared" si="49"/>
        <v>7621.6306710664712</v>
      </c>
      <c r="K265" s="174" t="b">
        <f>IF(E265&gt;I265,'Electrical System Specification'!AC$4*'Electrical System Specification'!J$16*'Electrical System Specification'!D$16*'Electrical System Specification'!D$17*'Electrical System Specification'!X$16)</f>
        <v>0</v>
      </c>
      <c r="L265" s="174">
        <f>IF(E265&lt;I265,'Electrical System Specification'!X$16*'Electrical System Specification'!Q$16*'Electrical System Specification'!AC$4*'Electrical System Specification'!J$16)</f>
        <v>0.83082440000000002</v>
      </c>
      <c r="M265" s="174">
        <f t="shared" si="50"/>
        <v>0.83082440000000002</v>
      </c>
      <c r="N265" s="174">
        <f t="shared" si="51"/>
        <v>2504.7043781157081</v>
      </c>
      <c r="O265" s="173">
        <f t="shared" si="52"/>
        <v>-3856.9404762673648</v>
      </c>
      <c r="P265" s="174" t="b">
        <f t="shared" si="53"/>
        <v>0</v>
      </c>
      <c r="Q265" s="174">
        <f t="shared" si="61"/>
        <v>3014.721736766166</v>
      </c>
      <c r="R265" s="174">
        <f t="shared" si="60"/>
        <v>3628.5907548769223</v>
      </c>
      <c r="S265" s="165">
        <f t="shared" si="54"/>
        <v>3628.5907548769223</v>
      </c>
      <c r="T265" t="b">
        <f t="shared" si="55"/>
        <v>0</v>
      </c>
      <c r="U265" s="176">
        <f t="shared" si="56"/>
        <v>3628.5907548769223</v>
      </c>
      <c r="V265" s="165">
        <f>IF(U265&lt;V$5,V$5-U265,IF(U265&gt;=V$5,0))*('Electrical System Specification'!D$16*'Electrical System Specification'!Q$16)</f>
        <v>4414.1425908067222</v>
      </c>
      <c r="W265" s="28">
        <f t="shared" si="57"/>
        <v>807.13497004046701</v>
      </c>
      <c r="X265" s="165">
        <f>IF(U265&gt;V$5,U265-V$5,0)*'Electrical System Specification'!D$17</f>
        <v>0</v>
      </c>
      <c r="Y265">
        <f>(X265*C265)*'Electrical System Specification'!D$17</f>
        <v>0</v>
      </c>
      <c r="Z265" s="165">
        <f t="shared" si="58"/>
        <v>807.13497004046701</v>
      </c>
      <c r="AA265" s="165">
        <f t="shared" si="59"/>
        <v>51899.524576596727</v>
      </c>
      <c r="AB265" s="165"/>
    </row>
    <row r="266" spans="3:28" x14ac:dyDescent="0.2">
      <c r="C266" s="148">
        <v>0.17799713121697103</v>
      </c>
      <c r="D266">
        <f t="shared" ref="D266:D329" si="62">C266+D265</f>
        <v>64.813606727396007</v>
      </c>
      <c r="E266" s="164">
        <v>0</v>
      </c>
      <c r="F266" s="165">
        <f>E266/'Electrical System Specification'!AC$4</f>
        <v>0</v>
      </c>
      <c r="G266" s="146">
        <f>F266/('Electrical System Specification'!X$16*'Electrical System Specification'!J$16*'Electrical System Specification'!D$17)</f>
        <v>0</v>
      </c>
      <c r="H266" s="165"/>
      <c r="I266" s="173">
        <f t="shared" ref="I266:I329" si="63">J$5</f>
        <v>6871.6622130335309</v>
      </c>
      <c r="J266" s="173">
        <f t="shared" ref="J266:J329" si="64">J$7</f>
        <v>7621.6306710664712</v>
      </c>
      <c r="K266" s="174" t="b">
        <f>IF(E266&gt;I266,'Electrical System Specification'!AC$4*'Electrical System Specification'!J$16*'Electrical System Specification'!D$16*'Electrical System Specification'!D$17*'Electrical System Specification'!X$16)</f>
        <v>0</v>
      </c>
      <c r="L266" s="174">
        <f>IF(E266&lt;I266,'Electrical System Specification'!X$16*'Electrical System Specification'!Q$16*'Electrical System Specification'!AC$4*'Electrical System Specification'!J$16)</f>
        <v>0.83082440000000002</v>
      </c>
      <c r="M266" s="174">
        <f t="shared" ref="M266:M329" si="65">IF(I266&gt;E266,L266,IF(I266&lt;E266,K266))</f>
        <v>0.83082440000000002</v>
      </c>
      <c r="N266" s="174">
        <f t="shared" ref="N266:N329" si="66">M266*E266</f>
        <v>0</v>
      </c>
      <c r="O266" s="173">
        <f t="shared" ref="O266:O329" si="67">E266-I266</f>
        <v>-6871.6622130335309</v>
      </c>
      <c r="P266" s="174" t="b">
        <f t="shared" ref="P266:P329" si="68">IF(O266&gt;0,O266/K266)</f>
        <v>0</v>
      </c>
      <c r="Q266" s="174">
        <f t="shared" si="61"/>
        <v>0</v>
      </c>
      <c r="R266" s="174">
        <f t="shared" si="60"/>
        <v>0</v>
      </c>
      <c r="S266" s="165">
        <f t="shared" ref="S266:S329" si="69">IF(P266=FALSE,R266,IF(R266=FALSE,P266))</f>
        <v>0</v>
      </c>
      <c r="T266" t="b">
        <f t="shared" ref="T266:T329" si="70">IF(O266&gt;0,(I266/P$4)+(O266/Q$4))</f>
        <v>0</v>
      </c>
      <c r="U266" s="176">
        <f t="shared" ref="U266:U329" si="71">IF(T266=FALSE,S266,T266)</f>
        <v>0</v>
      </c>
      <c r="V266" s="165">
        <f>IF(U266&lt;V$5,V$5-U266,IF(U266&gt;=V$5,0))*('Electrical System Specification'!D$16*'Electrical System Specification'!Q$16)</f>
        <v>7516.5876862264913</v>
      </c>
      <c r="W266" s="28">
        <f t="shared" ref="W266:W329" si="72">V266*C266</f>
        <v>1337.9310446891254</v>
      </c>
      <c r="X266" s="165">
        <f>IF(U266&gt;V$5,U266-V$5,0)*'Electrical System Specification'!D$17</f>
        <v>0</v>
      </c>
      <c r="Y266">
        <f>(X266*C266)*'Electrical System Specification'!D$17</f>
        <v>0</v>
      </c>
      <c r="Z266" s="165">
        <f t="shared" ref="Z266:Z329" si="73">(W266-Y266)</f>
        <v>1337.9310446891254</v>
      </c>
      <c r="AA266" s="165">
        <f t="shared" ref="AA266:AA329" si="74">Z266+AA265</f>
        <v>53237.455621285852</v>
      </c>
      <c r="AB266" s="165"/>
    </row>
    <row r="267" spans="3:28" x14ac:dyDescent="0.2">
      <c r="C267" s="148">
        <v>0.17311132767403248</v>
      </c>
      <c r="D267">
        <f t="shared" si="62"/>
        <v>64.986718055070043</v>
      </c>
      <c r="E267" s="164">
        <v>2795.128700768385</v>
      </c>
      <c r="F267" s="165">
        <f>E267/'Electrical System Specification'!AC$4</f>
        <v>2852.172143641209</v>
      </c>
      <c r="G267" s="146">
        <f>F267/('Electrical System Specification'!X$16*'Electrical System Specification'!J$16*'Electrical System Specification'!D$17)</f>
        <v>3551.1879870028502</v>
      </c>
      <c r="H267" s="165"/>
      <c r="I267" s="173">
        <f t="shared" si="63"/>
        <v>6871.6622130335309</v>
      </c>
      <c r="J267" s="173">
        <f t="shared" si="64"/>
        <v>7621.6306710664712</v>
      </c>
      <c r="K267" s="174" t="b">
        <f>IF(E267&gt;I267,'Electrical System Specification'!AC$4*'Electrical System Specification'!J$16*'Electrical System Specification'!D$16*'Electrical System Specification'!D$17*'Electrical System Specification'!X$16)</f>
        <v>0</v>
      </c>
      <c r="L267" s="174">
        <f>IF(E267&lt;I267,'Electrical System Specification'!X$16*'Electrical System Specification'!Q$16*'Electrical System Specification'!AC$4*'Electrical System Specification'!J$16)</f>
        <v>0.83082440000000002</v>
      </c>
      <c r="M267" s="174">
        <f t="shared" si="65"/>
        <v>0.83082440000000002</v>
      </c>
      <c r="N267" s="174">
        <f t="shared" si="66"/>
        <v>2322.2611257386729</v>
      </c>
      <c r="O267" s="173">
        <f t="shared" si="67"/>
        <v>-4076.5335122651459</v>
      </c>
      <c r="P267" s="174" t="b">
        <f t="shared" si="68"/>
        <v>0</v>
      </c>
      <c r="Q267" s="174">
        <f t="shared" si="61"/>
        <v>2795.128700768385</v>
      </c>
      <c r="R267" s="174">
        <f t="shared" si="60"/>
        <v>3364.2833561079633</v>
      </c>
      <c r="S267" s="165">
        <f t="shared" si="69"/>
        <v>3364.2833561079633</v>
      </c>
      <c r="T267" t="b">
        <f t="shared" si="70"/>
        <v>0</v>
      </c>
      <c r="U267" s="176">
        <f t="shared" si="71"/>
        <v>3364.2833561079633</v>
      </c>
      <c r="V267" s="165">
        <f>IF(U267&lt;V$5,V$5-U267,IF(U267&gt;=V$5,0))*('Electrical System Specification'!D$16*'Electrical System Specification'!Q$16)</f>
        <v>4640.1254167541829</v>
      </c>
      <c r="W267" s="28">
        <f t="shared" si="72"/>
        <v>803.2582714683399</v>
      </c>
      <c r="X267" s="165">
        <f>IF(U267&gt;V$5,U267-V$5,0)*'Electrical System Specification'!D$17</f>
        <v>0</v>
      </c>
      <c r="Y267">
        <f>(X267*C267)*'Electrical System Specification'!D$17</f>
        <v>0</v>
      </c>
      <c r="Z267" s="165">
        <f t="shared" si="73"/>
        <v>803.2582714683399</v>
      </c>
      <c r="AA267" s="165">
        <f t="shared" si="74"/>
        <v>54040.713892754189</v>
      </c>
      <c r="AB267" s="165"/>
    </row>
    <row r="268" spans="3:28" x14ac:dyDescent="0.2">
      <c r="C268" s="148">
        <v>0.1680529794830373</v>
      </c>
      <c r="D268">
        <f t="shared" si="62"/>
        <v>65.154771034553079</v>
      </c>
      <c r="E268" s="164">
        <v>8482.7895723044257</v>
      </c>
      <c r="F268" s="165">
        <f>E268/'Electrical System Specification'!AC$4</f>
        <v>8655.9077268412511</v>
      </c>
      <c r="G268" s="146">
        <f>F268/('Electrical System Specification'!X$16*'Electrical System Specification'!J$16*'Electrical System Specification'!D$17)</f>
        <v>10777.31426719614</v>
      </c>
      <c r="H268" s="165"/>
      <c r="I268" s="173">
        <f t="shared" si="63"/>
        <v>6871.6622130335309</v>
      </c>
      <c r="J268" s="173">
        <f t="shared" si="64"/>
        <v>7621.6306710664712</v>
      </c>
      <c r="K268" s="174">
        <f>IF(E268&gt;I268,'Electrical System Specification'!AC$4*'Electrical System Specification'!J$16*'Electrical System Specification'!D$16*'Electrical System Specification'!D$17*'Electrical System Specification'!X$16)</f>
        <v>0.70838712000000004</v>
      </c>
      <c r="L268" s="174" t="b">
        <f>IF(E268&lt;I268,'Electrical System Specification'!X$16*'Electrical System Specification'!Q$16*'Electrical System Specification'!AC$4*'Electrical System Specification'!J$16)</f>
        <v>0</v>
      </c>
      <c r="M268" s="174">
        <f t="shared" si="65"/>
        <v>0.70838712000000004</v>
      </c>
      <c r="N268" s="174">
        <f t="shared" si="66"/>
        <v>6009.0988746907642</v>
      </c>
      <c r="O268" s="173">
        <f t="shared" si="67"/>
        <v>1611.1273592708949</v>
      </c>
      <c r="P268" s="174">
        <f t="shared" si="68"/>
        <v>2274.3600409771634</v>
      </c>
      <c r="Q268" s="174">
        <f t="shared" si="61"/>
        <v>8270.8960076684452</v>
      </c>
      <c r="R268" s="174">
        <f t="shared" si="60"/>
        <v>0</v>
      </c>
      <c r="S268" s="165" t="b">
        <f t="shared" si="69"/>
        <v>0</v>
      </c>
      <c r="T268">
        <f t="shared" si="70"/>
        <v>10545.25604864561</v>
      </c>
      <c r="U268" s="176">
        <f t="shared" si="71"/>
        <v>10545.25604864561</v>
      </c>
      <c r="V268" s="165">
        <f>IF(U268&lt;V$5,V$5-U268,IF(U268&gt;=V$5,0))*('Electrical System Specification'!D$16*'Electrical System Specification'!Q$16)</f>
        <v>0</v>
      </c>
      <c r="W268" s="28">
        <f t="shared" si="72"/>
        <v>0</v>
      </c>
      <c r="X268" s="165">
        <f>IF(U268&gt;V$5,U268-V$5,0)*'Electrical System Specification'!D$17</f>
        <v>1578.53287933211</v>
      </c>
      <c r="Y268">
        <f>(X268*C268)*'Electrical System Specification'!D$17</f>
        <v>238.74943822532899</v>
      </c>
      <c r="Z268" s="165">
        <f t="shared" si="73"/>
        <v>-238.74943822532899</v>
      </c>
      <c r="AA268" s="165">
        <f t="shared" si="74"/>
        <v>53801.964454528861</v>
      </c>
      <c r="AB268" s="165"/>
    </row>
    <row r="269" spans="3:28" x14ac:dyDescent="0.2">
      <c r="C269" s="148">
        <v>0.16307065027232898</v>
      </c>
      <c r="D269">
        <f t="shared" si="62"/>
        <v>65.31784168482541</v>
      </c>
      <c r="E269" s="164">
        <v>2827.4869989526278</v>
      </c>
      <c r="F269" s="165">
        <f>E269/'Electrical System Specification'!AC$4</f>
        <v>2885.1908152577835</v>
      </c>
      <c r="G269" s="146">
        <f>F269/('Electrical System Specification'!X$16*'Electrical System Specification'!J$16*'Electrical System Specification'!D$17)</f>
        <v>3592.2989382660785</v>
      </c>
      <c r="H269" s="165"/>
      <c r="I269" s="173">
        <f t="shared" si="63"/>
        <v>6871.6622130335309</v>
      </c>
      <c r="J269" s="173">
        <f t="shared" si="64"/>
        <v>7621.6306710664712</v>
      </c>
      <c r="K269" s="174" t="b">
        <f>IF(E269&gt;I269,'Electrical System Specification'!AC$4*'Electrical System Specification'!J$16*'Electrical System Specification'!D$16*'Electrical System Specification'!D$17*'Electrical System Specification'!X$16)</f>
        <v>0</v>
      </c>
      <c r="L269" s="174">
        <f>IF(E269&lt;I269,'Electrical System Specification'!X$16*'Electrical System Specification'!Q$16*'Electrical System Specification'!AC$4*'Electrical System Specification'!J$16)</f>
        <v>0.83082440000000002</v>
      </c>
      <c r="M269" s="174">
        <f t="shared" si="65"/>
        <v>0.83082440000000002</v>
      </c>
      <c r="N269" s="174">
        <f t="shared" si="66"/>
        <v>2349.1451894126176</v>
      </c>
      <c r="O269" s="173">
        <f t="shared" si="67"/>
        <v>-4044.1752140809031</v>
      </c>
      <c r="P269" s="174" t="b">
        <f t="shared" si="68"/>
        <v>0</v>
      </c>
      <c r="Q269" s="174">
        <f t="shared" si="61"/>
        <v>2827.4869989526278</v>
      </c>
      <c r="R269" s="174">
        <f t="shared" si="60"/>
        <v>3403.2305730941794</v>
      </c>
      <c r="S269" s="165">
        <f t="shared" si="69"/>
        <v>3403.2305730941794</v>
      </c>
      <c r="T269" t="b">
        <f t="shared" si="70"/>
        <v>0</v>
      </c>
      <c r="U269" s="176">
        <f t="shared" si="71"/>
        <v>3403.2305730941794</v>
      </c>
      <c r="V269" s="165">
        <f>IF(U269&lt;V$5,V$5-U269,IF(U269&gt;=V$5,0))*('Electrical System Specification'!D$16*'Electrical System Specification'!Q$16)</f>
        <v>4606.8255462309689</v>
      </c>
      <c r="W269" s="28">
        <f t="shared" si="72"/>
        <v>751.23803751506125</v>
      </c>
      <c r="X269" s="165">
        <f>IF(U269&gt;V$5,U269-V$5,0)*'Electrical System Specification'!D$17</f>
        <v>0</v>
      </c>
      <c r="Y269">
        <f>(X269*C269)*'Electrical System Specification'!D$17</f>
        <v>0</v>
      </c>
      <c r="Z269" s="165">
        <f t="shared" si="73"/>
        <v>751.23803751506125</v>
      </c>
      <c r="AA269" s="165">
        <f t="shared" si="74"/>
        <v>54553.202492043922</v>
      </c>
      <c r="AB269" s="165"/>
    </row>
    <row r="270" spans="3:28" x14ac:dyDescent="0.2">
      <c r="C270" s="148">
        <v>0.15862815335102889</v>
      </c>
      <c r="D270">
        <f t="shared" si="62"/>
        <v>65.476469838176442</v>
      </c>
      <c r="E270" s="164">
        <v>8860.1844589240736</v>
      </c>
      <c r="F270" s="165">
        <f>E270/'Electrical System Specification'!AC$4</f>
        <v>9041.0045499225234</v>
      </c>
      <c r="G270" s="146">
        <f>F270/('Electrical System Specification'!X$16*'Electrical System Specification'!J$16*'Electrical System Specification'!D$17)</f>
        <v>11256.791361525131</v>
      </c>
      <c r="H270" s="165"/>
      <c r="I270" s="173">
        <f t="shared" si="63"/>
        <v>6871.6622130335309</v>
      </c>
      <c r="J270" s="173">
        <f t="shared" si="64"/>
        <v>7621.6306710664712</v>
      </c>
      <c r="K270" s="174">
        <f>IF(E270&gt;I270,'Electrical System Specification'!AC$4*'Electrical System Specification'!J$16*'Electrical System Specification'!D$16*'Electrical System Specification'!D$17*'Electrical System Specification'!X$16)</f>
        <v>0.70838712000000004</v>
      </c>
      <c r="L270" s="174" t="b">
        <f>IF(E270&lt;I270,'Electrical System Specification'!X$16*'Electrical System Specification'!Q$16*'Electrical System Specification'!AC$4*'Electrical System Specification'!J$16)</f>
        <v>0</v>
      </c>
      <c r="M270" s="174">
        <f t="shared" si="65"/>
        <v>0.70838712000000004</v>
      </c>
      <c r="N270" s="174">
        <f t="shared" si="66"/>
        <v>6276.4405515259832</v>
      </c>
      <c r="O270" s="173">
        <f t="shared" si="67"/>
        <v>1988.5222458905428</v>
      </c>
      <c r="P270" s="174">
        <f t="shared" si="68"/>
        <v>2807.112368009377</v>
      </c>
      <c r="Q270" s="174">
        <f t="shared" si="61"/>
        <v>8270.8960076684452</v>
      </c>
      <c r="R270" s="174">
        <f t="shared" si="60"/>
        <v>0</v>
      </c>
      <c r="S270" s="165" t="b">
        <f t="shared" si="69"/>
        <v>0</v>
      </c>
      <c r="T270">
        <f t="shared" si="70"/>
        <v>11078.008375677822</v>
      </c>
      <c r="U270" s="176">
        <f t="shared" si="71"/>
        <v>11078.008375677822</v>
      </c>
      <c r="V270" s="165">
        <f>IF(U270&lt;V$5,V$5-U270,IF(U270&gt;=V$5,0))*('Electrical System Specification'!D$16*'Electrical System Specification'!Q$16)</f>
        <v>0</v>
      </c>
      <c r="W270" s="28">
        <f t="shared" si="72"/>
        <v>0</v>
      </c>
      <c r="X270" s="165">
        <f>IF(U270&gt;V$5,U270-V$5,0)*'Electrical System Specification'!D$17</f>
        <v>2058.0099736611014</v>
      </c>
      <c r="Y270">
        <f>(X270*C270)*'Electrical System Specification'!D$17</f>
        <v>293.81248952987409</v>
      </c>
      <c r="Z270" s="165">
        <f t="shared" si="73"/>
        <v>-293.81248952987409</v>
      </c>
      <c r="AA270" s="165">
        <f t="shared" si="74"/>
        <v>54259.390002514047</v>
      </c>
      <c r="AB270" s="165"/>
    </row>
    <row r="271" spans="3:28" x14ac:dyDescent="0.2">
      <c r="C271" s="148">
        <v>0.15433060894490444</v>
      </c>
      <c r="D271">
        <f t="shared" si="62"/>
        <v>65.630800447121345</v>
      </c>
      <c r="E271" s="164">
        <v>8933.0961251709105</v>
      </c>
      <c r="F271" s="165">
        <f>E271/'Electrical System Specification'!AC$4</f>
        <v>9115.404209358072</v>
      </c>
      <c r="G271" s="146">
        <f>F271/('Electrical System Specification'!X$16*'Electrical System Specification'!J$16*'Electrical System Specification'!D$17)</f>
        <v>11349.425032817959</v>
      </c>
      <c r="H271" s="165"/>
      <c r="I271" s="173">
        <f t="shared" si="63"/>
        <v>6871.6622130335309</v>
      </c>
      <c r="J271" s="173">
        <f t="shared" si="64"/>
        <v>7621.6306710664712</v>
      </c>
      <c r="K271" s="174">
        <f>IF(E271&gt;I271,'Electrical System Specification'!AC$4*'Electrical System Specification'!J$16*'Electrical System Specification'!D$16*'Electrical System Specification'!D$17*'Electrical System Specification'!X$16)</f>
        <v>0.70838712000000004</v>
      </c>
      <c r="L271" s="174" t="b">
        <f>IF(E271&lt;I271,'Electrical System Specification'!X$16*'Electrical System Specification'!Q$16*'Electrical System Specification'!AC$4*'Electrical System Specification'!J$16)</f>
        <v>0</v>
      </c>
      <c r="M271" s="174">
        <f t="shared" si="65"/>
        <v>0.70838712000000004</v>
      </c>
      <c r="N271" s="174">
        <f t="shared" si="66"/>
        <v>6328.0902367929812</v>
      </c>
      <c r="O271" s="173">
        <f t="shared" si="67"/>
        <v>2061.4339121373796</v>
      </c>
      <c r="P271" s="174">
        <f t="shared" si="68"/>
        <v>2910.0386694458525</v>
      </c>
      <c r="Q271" s="174">
        <f t="shared" si="61"/>
        <v>8270.8960076684452</v>
      </c>
      <c r="R271" s="174">
        <f t="shared" si="60"/>
        <v>0</v>
      </c>
      <c r="S271" s="165" t="b">
        <f t="shared" si="69"/>
        <v>0</v>
      </c>
      <c r="T271">
        <f t="shared" si="70"/>
        <v>11180.934677114297</v>
      </c>
      <c r="U271" s="176">
        <f t="shared" si="71"/>
        <v>11180.934677114297</v>
      </c>
      <c r="V271" s="165">
        <f>IF(U271&lt;V$5,V$5-U271,IF(U271&gt;=V$5,0))*('Electrical System Specification'!D$16*'Electrical System Specification'!Q$16)</f>
        <v>0</v>
      </c>
      <c r="W271" s="28">
        <f t="shared" si="72"/>
        <v>0</v>
      </c>
      <c r="X271" s="165">
        <f>IF(U271&gt;V$5,U271-V$5,0)*'Electrical System Specification'!D$17</f>
        <v>2150.6436449539292</v>
      </c>
      <c r="Y271">
        <f>(X271*C271)*'Electrical System Specification'!D$17</f>
        <v>298.71912901430591</v>
      </c>
      <c r="Z271" s="165">
        <f t="shared" si="73"/>
        <v>-298.71912901430591</v>
      </c>
      <c r="AA271" s="165">
        <f t="shared" si="74"/>
        <v>53960.670873499737</v>
      </c>
      <c r="AB271" s="165"/>
    </row>
    <row r="272" spans="3:28" x14ac:dyDescent="0.2">
      <c r="C272" s="148">
        <v>0.14990622868564935</v>
      </c>
      <c r="D272">
        <f t="shared" si="62"/>
        <v>65.780706675806996</v>
      </c>
      <c r="E272" s="164">
        <v>9302.548255787071</v>
      </c>
      <c r="F272" s="165">
        <f>E272/'Electrical System Specification'!AC$4</f>
        <v>9492.3961793745621</v>
      </c>
      <c r="G272" s="146">
        <f>F272/('Electrical System Specification'!X$16*'Electrical System Specification'!J$16*'Electrical System Specification'!D$17)</f>
        <v>11818.810921079938</v>
      </c>
      <c r="H272" s="165"/>
      <c r="I272" s="173">
        <f t="shared" si="63"/>
        <v>6871.6622130335309</v>
      </c>
      <c r="J272" s="173">
        <f t="shared" si="64"/>
        <v>7621.6306710664712</v>
      </c>
      <c r="K272" s="174">
        <f>IF(E272&gt;I272,'Electrical System Specification'!AC$4*'Electrical System Specification'!J$16*'Electrical System Specification'!D$16*'Electrical System Specification'!D$17*'Electrical System Specification'!X$16)</f>
        <v>0.70838712000000004</v>
      </c>
      <c r="L272" s="174" t="b">
        <f>IF(E272&lt;I272,'Electrical System Specification'!X$16*'Electrical System Specification'!Q$16*'Electrical System Specification'!AC$4*'Electrical System Specification'!J$16)</f>
        <v>0</v>
      </c>
      <c r="M272" s="174">
        <f t="shared" si="65"/>
        <v>0.70838712000000004</v>
      </c>
      <c r="N272" s="174">
        <f t="shared" si="66"/>
        <v>6589.8053675780266</v>
      </c>
      <c r="O272" s="173">
        <f t="shared" si="67"/>
        <v>2430.8860427535401</v>
      </c>
      <c r="P272" s="174">
        <f t="shared" si="68"/>
        <v>3431.5785452924947</v>
      </c>
      <c r="Q272" s="174">
        <f t="shared" si="61"/>
        <v>8270.8960076684452</v>
      </c>
      <c r="R272" s="174">
        <f t="shared" si="60"/>
        <v>0</v>
      </c>
      <c r="S272" s="165" t="b">
        <f t="shared" si="69"/>
        <v>0</v>
      </c>
      <c r="T272">
        <f t="shared" si="70"/>
        <v>11702.474552960939</v>
      </c>
      <c r="U272" s="176">
        <f t="shared" si="71"/>
        <v>11702.474552960939</v>
      </c>
      <c r="V272" s="165">
        <f>IF(U272&lt;V$5,V$5-U272,IF(U272&gt;=V$5,0))*('Electrical System Specification'!D$16*'Electrical System Specification'!Q$16)</f>
        <v>0</v>
      </c>
      <c r="W272" s="28">
        <f t="shared" si="72"/>
        <v>0</v>
      </c>
      <c r="X272" s="165">
        <f>IF(U272&gt;V$5,U272-V$5,0)*'Electrical System Specification'!D$17</f>
        <v>2620.0295332159067</v>
      </c>
      <c r="Y272">
        <f>(X272*C272)*'Electrical System Specification'!D$17</f>
        <v>353.48287173247695</v>
      </c>
      <c r="Z272" s="165">
        <f t="shared" si="73"/>
        <v>-353.48287173247695</v>
      </c>
      <c r="AA272" s="165">
        <f t="shared" si="74"/>
        <v>53607.188001767259</v>
      </c>
      <c r="AB272" s="165"/>
    </row>
    <row r="273" spans="3:28" x14ac:dyDescent="0.2">
      <c r="C273" s="148">
        <v>0.14540274772967207</v>
      </c>
      <c r="D273">
        <f t="shared" si="62"/>
        <v>65.926109423536673</v>
      </c>
      <c r="E273" s="164">
        <v>8373.3357830649948</v>
      </c>
      <c r="F273" s="165">
        <f>E273/'Electrical System Specification'!AC$4</f>
        <v>8544.2201868010161</v>
      </c>
      <c r="G273" s="146">
        <f>F273/('Electrical System Specification'!X$16*'Electrical System Specification'!J$16*'Electrical System Specification'!D$17)</f>
        <v>10638.254129688999</v>
      </c>
      <c r="H273" s="165"/>
      <c r="I273" s="173">
        <f t="shared" si="63"/>
        <v>6871.6622130335309</v>
      </c>
      <c r="J273" s="173">
        <f t="shared" si="64"/>
        <v>7621.6306710664712</v>
      </c>
      <c r="K273" s="174">
        <f>IF(E273&gt;I273,'Electrical System Specification'!AC$4*'Electrical System Specification'!J$16*'Electrical System Specification'!D$16*'Electrical System Specification'!D$17*'Electrical System Specification'!X$16)</f>
        <v>0.70838712000000004</v>
      </c>
      <c r="L273" s="174" t="b">
        <f>IF(E273&lt;I273,'Electrical System Specification'!X$16*'Electrical System Specification'!Q$16*'Electrical System Specification'!AC$4*'Electrical System Specification'!J$16)</f>
        <v>0</v>
      </c>
      <c r="M273" s="174">
        <f t="shared" si="65"/>
        <v>0.70838712000000004</v>
      </c>
      <c r="N273" s="174">
        <f t="shared" si="66"/>
        <v>5931.5632201583567</v>
      </c>
      <c r="O273" s="173">
        <f t="shared" si="67"/>
        <v>1501.6735700314639</v>
      </c>
      <c r="P273" s="174">
        <f t="shared" si="68"/>
        <v>2119.8487770803395</v>
      </c>
      <c r="Q273" s="174">
        <f t="shared" si="61"/>
        <v>8270.8960076684452</v>
      </c>
      <c r="R273" s="174">
        <f t="shared" si="60"/>
        <v>0</v>
      </c>
      <c r="S273" s="165" t="b">
        <f t="shared" si="69"/>
        <v>0</v>
      </c>
      <c r="T273">
        <f t="shared" si="70"/>
        <v>10390.744784748786</v>
      </c>
      <c r="U273" s="176">
        <f t="shared" si="71"/>
        <v>10390.744784748786</v>
      </c>
      <c r="V273" s="165">
        <f>IF(U273&lt;V$5,V$5-U273,IF(U273&gt;=V$5,0))*('Electrical System Specification'!D$16*'Electrical System Specification'!Q$16)</f>
        <v>0</v>
      </c>
      <c r="W273" s="28">
        <f t="shared" si="72"/>
        <v>0</v>
      </c>
      <c r="X273" s="165">
        <f>IF(U273&gt;V$5,U273-V$5,0)*'Electrical System Specification'!D$17</f>
        <v>1439.4727418249684</v>
      </c>
      <c r="Y273">
        <f>(X273*C273)*'Electrical System Specification'!D$17</f>
        <v>188.37296274898372</v>
      </c>
      <c r="Z273" s="165">
        <f t="shared" si="73"/>
        <v>-188.37296274898372</v>
      </c>
      <c r="AA273" s="165">
        <f t="shared" si="74"/>
        <v>53418.815039018278</v>
      </c>
      <c r="AB273" s="165"/>
    </row>
    <row r="274" spans="3:28" x14ac:dyDescent="0.2">
      <c r="C274" s="148">
        <v>3.7766904654961109</v>
      </c>
      <c r="D274">
        <f t="shared" si="62"/>
        <v>69.702799889032789</v>
      </c>
      <c r="E274" s="164">
        <v>8202.3734830392768</v>
      </c>
      <c r="F274" s="165">
        <f>E274/'Electrical System Specification'!AC$4</f>
        <v>8369.7688602441594</v>
      </c>
      <c r="G274" s="146">
        <f>F274/('Electrical System Specification'!X$16*'Electrical System Specification'!J$16*'Electrical System Specification'!D$17)</f>
        <v>10421.047935958164</v>
      </c>
      <c r="H274" s="165"/>
      <c r="I274" s="173">
        <f t="shared" si="63"/>
        <v>6871.6622130335309</v>
      </c>
      <c r="J274" s="173">
        <f t="shared" si="64"/>
        <v>7621.6306710664712</v>
      </c>
      <c r="K274" s="174">
        <f>IF(E274&gt;I274,'Electrical System Specification'!AC$4*'Electrical System Specification'!J$16*'Electrical System Specification'!D$16*'Electrical System Specification'!D$17*'Electrical System Specification'!X$16)</f>
        <v>0.70838712000000004</v>
      </c>
      <c r="L274" s="174" t="b">
        <f>IF(E274&lt;I274,'Electrical System Specification'!X$16*'Electrical System Specification'!Q$16*'Electrical System Specification'!AC$4*'Electrical System Specification'!J$16)</f>
        <v>0</v>
      </c>
      <c r="M274" s="174">
        <f t="shared" si="65"/>
        <v>0.70838712000000004</v>
      </c>
      <c r="N274" s="174">
        <f t="shared" si="66"/>
        <v>5810.4557288145625</v>
      </c>
      <c r="O274" s="173">
        <f t="shared" si="67"/>
        <v>1330.711270005746</v>
      </c>
      <c r="P274" s="174">
        <f t="shared" si="68"/>
        <v>1878.5085618238597</v>
      </c>
      <c r="Q274" s="174">
        <f t="shared" si="61"/>
        <v>8270.8960076684452</v>
      </c>
      <c r="R274" s="174">
        <f t="shared" si="60"/>
        <v>0</v>
      </c>
      <c r="S274" s="165" t="b">
        <f t="shared" si="69"/>
        <v>0</v>
      </c>
      <c r="T274">
        <f t="shared" si="70"/>
        <v>10149.404569492304</v>
      </c>
      <c r="U274" s="176">
        <f t="shared" si="71"/>
        <v>10149.404569492304</v>
      </c>
      <c r="V274" s="165">
        <f>IF(U274&lt;V$5,V$5-U274,IF(U274&gt;=V$5,0))*('Electrical System Specification'!D$16*'Electrical System Specification'!Q$16)</f>
        <v>0</v>
      </c>
      <c r="W274" s="28">
        <f t="shared" si="72"/>
        <v>0</v>
      </c>
      <c r="X274" s="165">
        <f>IF(U274&gt;V$5,U274-V$5,0)*'Electrical System Specification'!D$17</f>
        <v>1222.2665480941353</v>
      </c>
      <c r="Y274">
        <f>(X274*C274)*'Electrical System Specification'!D$17</f>
        <v>4154.5101766337675</v>
      </c>
      <c r="Z274" s="165">
        <f t="shared" si="73"/>
        <v>-4154.5101766337675</v>
      </c>
      <c r="AA274" s="165">
        <f t="shared" si="74"/>
        <v>49264.30486238451</v>
      </c>
      <c r="AB274" s="165"/>
    </row>
    <row r="275" spans="3:28" x14ac:dyDescent="0.2">
      <c r="C275" s="148">
        <v>3.2381418800676647</v>
      </c>
      <c r="D275">
        <f t="shared" si="62"/>
        <v>72.940941769100448</v>
      </c>
      <c r="E275" s="164">
        <v>8202.3734830392768</v>
      </c>
      <c r="F275" s="165">
        <f>E275/'Electrical System Specification'!AC$4</f>
        <v>8369.7688602441594</v>
      </c>
      <c r="G275" s="146">
        <f>F275/('Electrical System Specification'!X$16*'Electrical System Specification'!J$16*'Electrical System Specification'!D$17)</f>
        <v>10421.047935958164</v>
      </c>
      <c r="H275" s="165"/>
      <c r="I275" s="173">
        <f t="shared" si="63"/>
        <v>6871.6622130335309</v>
      </c>
      <c r="J275" s="173">
        <f t="shared" si="64"/>
        <v>7621.6306710664712</v>
      </c>
      <c r="K275" s="174">
        <f>IF(E275&gt;I275,'Electrical System Specification'!AC$4*'Electrical System Specification'!J$16*'Electrical System Specification'!D$16*'Electrical System Specification'!D$17*'Electrical System Specification'!X$16)</f>
        <v>0.70838712000000004</v>
      </c>
      <c r="L275" s="174" t="b">
        <f>IF(E275&lt;I275,'Electrical System Specification'!X$16*'Electrical System Specification'!Q$16*'Electrical System Specification'!AC$4*'Electrical System Specification'!J$16)</f>
        <v>0</v>
      </c>
      <c r="M275" s="174">
        <f t="shared" si="65"/>
        <v>0.70838712000000004</v>
      </c>
      <c r="N275" s="174">
        <f t="shared" si="66"/>
        <v>5810.4557288145625</v>
      </c>
      <c r="O275" s="173">
        <f t="shared" si="67"/>
        <v>1330.711270005746</v>
      </c>
      <c r="P275" s="174">
        <f t="shared" si="68"/>
        <v>1878.5085618238597</v>
      </c>
      <c r="Q275" s="174">
        <f t="shared" si="61"/>
        <v>8270.8960076684452</v>
      </c>
      <c r="R275" s="174">
        <f t="shared" si="60"/>
        <v>0</v>
      </c>
      <c r="S275" s="165" t="b">
        <f t="shared" si="69"/>
        <v>0</v>
      </c>
      <c r="T275">
        <f t="shared" si="70"/>
        <v>10149.404569492304</v>
      </c>
      <c r="U275" s="176">
        <f t="shared" si="71"/>
        <v>10149.404569492304</v>
      </c>
      <c r="V275" s="165">
        <f>IF(U275&lt;V$5,V$5-U275,IF(U275&gt;=V$5,0))*('Electrical System Specification'!D$16*'Electrical System Specification'!Q$16)</f>
        <v>0</v>
      </c>
      <c r="W275" s="28">
        <f t="shared" si="72"/>
        <v>0</v>
      </c>
      <c r="X275" s="165">
        <f>IF(U275&gt;V$5,U275-V$5,0)*'Electrical System Specification'!D$17</f>
        <v>1222.2665480941353</v>
      </c>
      <c r="Y275">
        <f>(X275*C275)*'Electrical System Specification'!D$17</f>
        <v>3562.0852481904221</v>
      </c>
      <c r="Z275" s="165">
        <f t="shared" si="73"/>
        <v>-3562.0852481904221</v>
      </c>
      <c r="AA275" s="165">
        <f t="shared" si="74"/>
        <v>45702.219614194088</v>
      </c>
      <c r="AB275" s="165"/>
    </row>
    <row r="276" spans="3:28" x14ac:dyDescent="0.2">
      <c r="C276" s="148">
        <v>9.690078770555291E-2</v>
      </c>
      <c r="D276">
        <f t="shared" si="62"/>
        <v>73.037842556805998</v>
      </c>
      <c r="E276" s="164">
        <v>8055.9025279850021</v>
      </c>
      <c r="F276" s="165">
        <f>E276/'Electrical System Specification'!AC$4</f>
        <v>8220.3087020255116</v>
      </c>
      <c r="G276" s="146">
        <f>F276/('Electrical System Specification'!X$16*'Electrical System Specification'!J$16*'Electrical System Specification'!D$17)</f>
        <v>10234.957794244623</v>
      </c>
      <c r="H276" s="165"/>
      <c r="I276" s="173">
        <f t="shared" si="63"/>
        <v>6871.6622130335309</v>
      </c>
      <c r="J276" s="173">
        <f t="shared" si="64"/>
        <v>7621.6306710664712</v>
      </c>
      <c r="K276" s="174">
        <f>IF(E276&gt;I276,'Electrical System Specification'!AC$4*'Electrical System Specification'!J$16*'Electrical System Specification'!D$16*'Electrical System Specification'!D$17*'Electrical System Specification'!X$16)</f>
        <v>0.70838712000000004</v>
      </c>
      <c r="L276" s="174" t="b">
        <f>IF(E276&lt;I276,'Electrical System Specification'!X$16*'Electrical System Specification'!Q$16*'Electrical System Specification'!AC$4*'Electrical System Specification'!J$16)</f>
        <v>0</v>
      </c>
      <c r="M276" s="174">
        <f t="shared" si="65"/>
        <v>0.70838712000000004</v>
      </c>
      <c r="N276" s="174">
        <f t="shared" si="66"/>
        <v>5706.697590800015</v>
      </c>
      <c r="O276" s="173">
        <f t="shared" si="67"/>
        <v>1184.2403149514712</v>
      </c>
      <c r="P276" s="174">
        <f t="shared" si="68"/>
        <v>1671.7417376977028</v>
      </c>
      <c r="Q276" s="174">
        <f t="shared" si="61"/>
        <v>8270.8960076684452</v>
      </c>
      <c r="R276" s="174">
        <f t="shared" si="60"/>
        <v>0</v>
      </c>
      <c r="S276" s="165" t="b">
        <f t="shared" si="69"/>
        <v>0</v>
      </c>
      <c r="T276">
        <f t="shared" si="70"/>
        <v>9942.637745366148</v>
      </c>
      <c r="U276" s="176">
        <f t="shared" si="71"/>
        <v>9942.637745366148</v>
      </c>
      <c r="V276" s="165">
        <f>IF(U276&lt;V$5,V$5-U276,IF(U276&gt;=V$5,0))*('Electrical System Specification'!D$16*'Electrical System Specification'!Q$16)</f>
        <v>0</v>
      </c>
      <c r="W276" s="28">
        <f t="shared" si="72"/>
        <v>0</v>
      </c>
      <c r="X276" s="165">
        <f>IF(U276&gt;V$5,U276-V$5,0)*'Electrical System Specification'!D$17</f>
        <v>1036.1764063805947</v>
      </c>
      <c r="Y276">
        <f>(X276*C276)*'Electrical System Specification'!D$17</f>
        <v>90.365678982169854</v>
      </c>
      <c r="Z276" s="165">
        <f t="shared" si="73"/>
        <v>-90.365678982169854</v>
      </c>
      <c r="AA276" s="165">
        <f t="shared" si="74"/>
        <v>45611.853935211919</v>
      </c>
      <c r="AB276" s="165"/>
    </row>
    <row r="277" spans="3:28" x14ac:dyDescent="0.2">
      <c r="C277" s="148">
        <v>0.12327120064124182</v>
      </c>
      <c r="D277">
        <f t="shared" si="62"/>
        <v>73.161113757447239</v>
      </c>
      <c r="E277" s="164">
        <v>7909.4315729307309</v>
      </c>
      <c r="F277" s="165">
        <f>E277/'Electrical System Specification'!AC$4</f>
        <v>8070.8485438068683</v>
      </c>
      <c r="G277" s="146">
        <f>F277/('Electrical System Specification'!X$16*'Electrical System Specification'!J$16*'Electrical System Specification'!D$17)</f>
        <v>10048.867652531088</v>
      </c>
      <c r="H277" s="165"/>
      <c r="I277" s="173">
        <f t="shared" si="63"/>
        <v>6871.6622130335309</v>
      </c>
      <c r="J277" s="173">
        <f t="shared" si="64"/>
        <v>7621.6306710664712</v>
      </c>
      <c r="K277" s="174">
        <f>IF(E277&gt;I277,'Electrical System Specification'!AC$4*'Electrical System Specification'!J$16*'Electrical System Specification'!D$16*'Electrical System Specification'!D$17*'Electrical System Specification'!X$16)</f>
        <v>0.70838712000000004</v>
      </c>
      <c r="L277" s="174" t="b">
        <f>IF(E277&lt;I277,'Electrical System Specification'!X$16*'Electrical System Specification'!Q$16*'Electrical System Specification'!AC$4*'Electrical System Specification'!J$16)</f>
        <v>0</v>
      </c>
      <c r="M277" s="174">
        <f t="shared" si="65"/>
        <v>0.70838712000000004</v>
      </c>
      <c r="N277" s="174">
        <f t="shared" si="66"/>
        <v>5602.9394527854711</v>
      </c>
      <c r="O277" s="173">
        <f t="shared" si="67"/>
        <v>1037.7693598972</v>
      </c>
      <c r="P277" s="174">
        <f t="shared" si="68"/>
        <v>1464.974913571551</v>
      </c>
      <c r="Q277" s="174">
        <f t="shared" si="61"/>
        <v>8270.8960076684452</v>
      </c>
      <c r="R277" s="174">
        <f t="shared" ref="R277:R340" si="75">IF(Q277&gt;I277,0,Q277/L277)</f>
        <v>0</v>
      </c>
      <c r="S277" s="165" t="b">
        <f t="shared" si="69"/>
        <v>0</v>
      </c>
      <c r="T277">
        <f t="shared" si="70"/>
        <v>9735.8709212399954</v>
      </c>
      <c r="U277" s="176">
        <f t="shared" si="71"/>
        <v>9735.8709212399954</v>
      </c>
      <c r="V277" s="165">
        <f>IF(U277&lt;V$5,V$5-U277,IF(U277&gt;=V$5,0))*('Electrical System Specification'!D$16*'Electrical System Specification'!Q$16)</f>
        <v>0</v>
      </c>
      <c r="W277" s="28">
        <f t="shared" si="72"/>
        <v>0</v>
      </c>
      <c r="X277" s="165">
        <f>IF(U277&gt;V$5,U277-V$5,0)*'Electrical System Specification'!D$17</f>
        <v>850.08626466705721</v>
      </c>
      <c r="Y277">
        <f>(X277*C277)*'Electrical System Specification'!D$17</f>
        <v>94.312039044722951</v>
      </c>
      <c r="Z277" s="165">
        <f t="shared" si="73"/>
        <v>-94.312039044722951</v>
      </c>
      <c r="AA277" s="165">
        <f t="shared" si="74"/>
        <v>45517.541896167197</v>
      </c>
      <c r="AB277" s="165"/>
    </row>
    <row r="278" spans="3:28" x14ac:dyDescent="0.2">
      <c r="C278" s="148">
        <v>0.12987137607189844</v>
      </c>
      <c r="D278">
        <f t="shared" si="62"/>
        <v>73.290985133519143</v>
      </c>
      <c r="E278" s="164">
        <v>7616.4896628221868</v>
      </c>
      <c r="F278" s="165">
        <f>E278/'Electrical System Specification'!AC$4</f>
        <v>7771.928227369579</v>
      </c>
      <c r="G278" s="146">
        <f>F278/('Electrical System Specification'!X$16*'Electrical System Specification'!J$16*'Electrical System Specification'!D$17)</f>
        <v>9676.6873691040128</v>
      </c>
      <c r="H278" s="165"/>
      <c r="I278" s="173">
        <f t="shared" si="63"/>
        <v>6871.6622130335309</v>
      </c>
      <c r="J278" s="173">
        <f t="shared" si="64"/>
        <v>7621.6306710664712</v>
      </c>
      <c r="K278" s="174">
        <f>IF(E278&gt;I278,'Electrical System Specification'!AC$4*'Electrical System Specification'!J$16*'Electrical System Specification'!D$16*'Electrical System Specification'!D$17*'Electrical System Specification'!X$16)</f>
        <v>0.70838712000000004</v>
      </c>
      <c r="L278" s="174" t="b">
        <f>IF(E278&lt;I278,'Electrical System Specification'!X$16*'Electrical System Specification'!Q$16*'Electrical System Specification'!AC$4*'Electrical System Specification'!J$16)</f>
        <v>0</v>
      </c>
      <c r="M278" s="174">
        <f t="shared" si="65"/>
        <v>0.70838712000000004</v>
      </c>
      <c r="N278" s="174">
        <f t="shared" si="66"/>
        <v>5395.4231767563806</v>
      </c>
      <c r="O278" s="173">
        <f t="shared" si="67"/>
        <v>744.82744978865594</v>
      </c>
      <c r="P278" s="174">
        <f t="shared" si="68"/>
        <v>1051.4412653192451</v>
      </c>
      <c r="Q278" s="174">
        <f t="shared" si="61"/>
        <v>8270.8960076684452</v>
      </c>
      <c r="R278" s="174">
        <f t="shared" si="75"/>
        <v>0</v>
      </c>
      <c r="S278" s="165" t="b">
        <f t="shared" si="69"/>
        <v>0</v>
      </c>
      <c r="T278">
        <f t="shared" si="70"/>
        <v>9322.3372729876901</v>
      </c>
      <c r="U278" s="176">
        <f t="shared" si="71"/>
        <v>9322.3372729876901</v>
      </c>
      <c r="V278" s="165">
        <f>IF(U278&lt;V$5,V$5-U278,IF(U278&gt;=V$5,0))*('Electrical System Specification'!D$16*'Electrical System Specification'!Q$16)</f>
        <v>0</v>
      </c>
      <c r="W278" s="28">
        <f t="shared" si="72"/>
        <v>0</v>
      </c>
      <c r="X278" s="165">
        <f>IF(U278&gt;V$5,U278-V$5,0)*'Electrical System Specification'!D$17</f>
        <v>477.90598123998245</v>
      </c>
      <c r="Y278">
        <f>(X278*C278)*'Electrical System Specification'!D$17</f>
        <v>55.85967667496466</v>
      </c>
      <c r="Z278" s="165">
        <f t="shared" si="73"/>
        <v>-55.85967667496466</v>
      </c>
      <c r="AA278" s="165">
        <f t="shared" si="74"/>
        <v>45461.682219492235</v>
      </c>
      <c r="AB278" s="165"/>
    </row>
    <row r="279" spans="3:28" x14ac:dyDescent="0.2">
      <c r="C279" s="148">
        <v>0.15427038040671606</v>
      </c>
      <c r="D279">
        <f t="shared" si="62"/>
        <v>73.445255513925858</v>
      </c>
      <c r="E279" s="164">
        <v>7250.3122751865039</v>
      </c>
      <c r="F279" s="165">
        <f>E279/'Electrical System Specification'!AC$4</f>
        <v>7398.277831822963</v>
      </c>
      <c r="G279" s="146">
        <f>F279/('Electrical System Specification'!X$16*'Electrical System Specification'!J$16*'Electrical System Specification'!D$17)</f>
        <v>9211.4620148201648</v>
      </c>
      <c r="H279" s="165"/>
      <c r="I279" s="173">
        <f t="shared" si="63"/>
        <v>6871.6622130335309</v>
      </c>
      <c r="J279" s="173">
        <f t="shared" si="64"/>
        <v>7621.6306710664712</v>
      </c>
      <c r="K279" s="174">
        <f>IF(E279&gt;I279,'Electrical System Specification'!AC$4*'Electrical System Specification'!J$16*'Electrical System Specification'!D$16*'Electrical System Specification'!D$17*'Electrical System Specification'!X$16)</f>
        <v>0.70838712000000004</v>
      </c>
      <c r="L279" s="174" t="b">
        <f>IF(E279&lt;I279,'Electrical System Specification'!X$16*'Electrical System Specification'!Q$16*'Electrical System Specification'!AC$4*'Electrical System Specification'!J$16)</f>
        <v>0</v>
      </c>
      <c r="M279" s="174">
        <f t="shared" si="65"/>
        <v>0.70838712000000004</v>
      </c>
      <c r="N279" s="174">
        <f t="shared" si="66"/>
        <v>5136.0278317200155</v>
      </c>
      <c r="O279" s="173">
        <f t="shared" si="67"/>
        <v>378.65006215297308</v>
      </c>
      <c r="P279" s="174">
        <f t="shared" si="68"/>
        <v>534.5242050038587</v>
      </c>
      <c r="Q279" s="174">
        <f t="shared" si="61"/>
        <v>8270.8960076684452</v>
      </c>
      <c r="R279" s="174">
        <f t="shared" si="75"/>
        <v>0</v>
      </c>
      <c r="S279" s="165" t="b">
        <f t="shared" si="69"/>
        <v>0</v>
      </c>
      <c r="T279">
        <f t="shared" si="70"/>
        <v>8805.420212672303</v>
      </c>
      <c r="U279" s="176">
        <f t="shared" si="71"/>
        <v>8805.420212672303</v>
      </c>
      <c r="V279" s="165">
        <f>IF(U279&lt;V$5,V$5-U279,IF(U279&gt;=V$5,0))*('Electrical System Specification'!D$16*'Electrical System Specification'!Q$16)</f>
        <v>0</v>
      </c>
      <c r="W279" s="28">
        <f t="shared" si="72"/>
        <v>0</v>
      </c>
      <c r="X279" s="165">
        <f>IF(U279&gt;V$5,U279-V$5,0)*'Electrical System Specification'!D$17</f>
        <v>12.680626956134075</v>
      </c>
      <c r="Y279">
        <f>(X279*C279)*'Electrical System Specification'!D$17</f>
        <v>1.7606206298866156</v>
      </c>
      <c r="Z279" s="165">
        <f t="shared" si="73"/>
        <v>-1.7606206298866156</v>
      </c>
      <c r="AA279" s="165">
        <f t="shared" si="74"/>
        <v>45459.921598862347</v>
      </c>
      <c r="AB279" s="165"/>
    </row>
    <row r="280" spans="3:28" x14ac:dyDescent="0.2">
      <c r="C280" s="148">
        <v>0.16609972848166848</v>
      </c>
      <c r="D280">
        <f t="shared" si="62"/>
        <v>73.611355242407527</v>
      </c>
      <c r="E280" s="164">
        <v>7909.7629610920612</v>
      </c>
      <c r="F280" s="165">
        <f>E280/'Electrical System Specification'!AC$4</f>
        <v>8071.1866949918995</v>
      </c>
      <c r="G280" s="146">
        <f>F280/('Electrical System Specification'!X$16*'Electrical System Specification'!J$16*'Electrical System Specification'!D$17)</f>
        <v>10049.288678459958</v>
      </c>
      <c r="H280" s="165"/>
      <c r="I280" s="173">
        <f t="shared" si="63"/>
        <v>6871.6622130335309</v>
      </c>
      <c r="J280" s="173">
        <f t="shared" si="64"/>
        <v>7621.6306710664712</v>
      </c>
      <c r="K280" s="174">
        <f>IF(E280&gt;I280,'Electrical System Specification'!AC$4*'Electrical System Specification'!J$16*'Electrical System Specification'!D$16*'Electrical System Specification'!D$17*'Electrical System Specification'!X$16)</f>
        <v>0.70838712000000004</v>
      </c>
      <c r="L280" s="174" t="b">
        <f>IF(E280&lt;I280,'Electrical System Specification'!X$16*'Electrical System Specification'!Q$16*'Electrical System Specification'!AC$4*'Electrical System Specification'!J$16)</f>
        <v>0</v>
      </c>
      <c r="M280" s="174">
        <f t="shared" si="65"/>
        <v>0.70838712000000004</v>
      </c>
      <c r="N280" s="174">
        <f t="shared" si="66"/>
        <v>5603.1742038906777</v>
      </c>
      <c r="O280" s="173">
        <f t="shared" si="67"/>
        <v>1038.1007480585304</v>
      </c>
      <c r="P280" s="174">
        <f t="shared" si="68"/>
        <v>1465.4427201591841</v>
      </c>
      <c r="Q280" s="174">
        <f t="shared" si="61"/>
        <v>8270.8960076684452</v>
      </c>
      <c r="R280" s="174">
        <f t="shared" si="75"/>
        <v>0</v>
      </c>
      <c r="S280" s="165" t="b">
        <f t="shared" si="69"/>
        <v>0</v>
      </c>
      <c r="T280">
        <f t="shared" si="70"/>
        <v>9736.3387278276296</v>
      </c>
      <c r="U280" s="176">
        <f t="shared" si="71"/>
        <v>9736.3387278276296</v>
      </c>
      <c r="V280" s="165">
        <f>IF(U280&lt;V$5,V$5-U280,IF(U280&gt;=V$5,0))*('Electrical System Specification'!D$16*'Electrical System Specification'!Q$16)</f>
        <v>0</v>
      </c>
      <c r="W280" s="28">
        <f t="shared" si="72"/>
        <v>0</v>
      </c>
      <c r="X280" s="165">
        <f>IF(U280&gt;V$5,U280-V$5,0)*'Electrical System Specification'!D$17</f>
        <v>850.507290595928</v>
      </c>
      <c r="Y280">
        <f>(X280*C280)*'Electrical System Specification'!D$17</f>
        <v>127.14212703569684</v>
      </c>
      <c r="Z280" s="165">
        <f t="shared" si="73"/>
        <v>-127.14212703569684</v>
      </c>
      <c r="AA280" s="165">
        <f t="shared" si="74"/>
        <v>45332.779471826652</v>
      </c>
      <c r="AB280" s="165"/>
    </row>
    <row r="281" spans="3:28" x14ac:dyDescent="0.2">
      <c r="C281" s="148">
        <v>0.28000000000000003</v>
      </c>
      <c r="D281">
        <f t="shared" si="62"/>
        <v>73.891355242407528</v>
      </c>
      <c r="E281" s="164">
        <v>10887.60537086693</v>
      </c>
      <c r="F281" s="165">
        <f>E281/'Electrical System Specification'!AC$4</f>
        <v>11109.801398843805</v>
      </c>
      <c r="G281" s="146">
        <f>F281/('Electrical System Specification'!X$16*'Electrical System Specification'!J$16*'Electrical System Specification'!D$17)</f>
        <v>13832.612927491167</v>
      </c>
      <c r="H281" s="165"/>
      <c r="I281" s="173">
        <f t="shared" si="63"/>
        <v>6871.6622130335309</v>
      </c>
      <c r="J281" s="173">
        <f t="shared" si="64"/>
        <v>7621.6306710664712</v>
      </c>
      <c r="K281" s="174">
        <f>IF(E281&gt;I281,'Electrical System Specification'!AC$4*'Electrical System Specification'!J$16*'Electrical System Specification'!D$16*'Electrical System Specification'!D$17*'Electrical System Specification'!X$16)</f>
        <v>0.70838712000000004</v>
      </c>
      <c r="L281" s="174" t="b">
        <f>IF(E281&lt;I281,'Electrical System Specification'!X$16*'Electrical System Specification'!Q$16*'Electrical System Specification'!AC$4*'Electrical System Specification'!J$16)</f>
        <v>0</v>
      </c>
      <c r="M281" s="174">
        <f t="shared" si="65"/>
        <v>0.70838712000000004</v>
      </c>
      <c r="N281" s="174">
        <f t="shared" si="66"/>
        <v>7712.639412364957</v>
      </c>
      <c r="O281" s="173">
        <f t="shared" si="67"/>
        <v>4015.9431578333988</v>
      </c>
      <c r="P281" s="174">
        <f t="shared" si="68"/>
        <v>5669.1363301938618</v>
      </c>
      <c r="Q281" s="174">
        <f t="shared" si="61"/>
        <v>8270.8960076684452</v>
      </c>
      <c r="R281" s="174">
        <f t="shared" si="75"/>
        <v>0</v>
      </c>
      <c r="S281" s="165" t="b">
        <f t="shared" si="69"/>
        <v>0</v>
      </c>
      <c r="T281">
        <f t="shared" si="70"/>
        <v>13940.032337862307</v>
      </c>
      <c r="U281" s="176">
        <f t="shared" si="71"/>
        <v>13940.032337862307</v>
      </c>
      <c r="V281" s="165">
        <f>IF(U281&lt;V$5,V$5-U281,IF(U281&gt;=V$5,0))*('Electrical System Specification'!D$16*'Electrical System Specification'!Q$16)</f>
        <v>0</v>
      </c>
      <c r="W281" s="28">
        <f t="shared" si="72"/>
        <v>0</v>
      </c>
      <c r="X281" s="165">
        <f>IF(U281&gt;V$5,U281-V$5,0)*'Electrical System Specification'!D$17</f>
        <v>4633.8315396271382</v>
      </c>
      <c r="Y281">
        <f>(X281*C281)*'Electrical System Specification'!D$17</f>
        <v>1167.7255479860389</v>
      </c>
      <c r="Z281" s="165">
        <f t="shared" si="73"/>
        <v>-1167.7255479860389</v>
      </c>
      <c r="AA281" s="165">
        <f t="shared" si="74"/>
        <v>44165.053923840613</v>
      </c>
      <c r="AB281" s="165"/>
    </row>
    <row r="282" spans="3:28" x14ac:dyDescent="0.2">
      <c r="C282" s="148">
        <v>0.26203417267826506</v>
      </c>
      <c r="D282">
        <f t="shared" si="62"/>
        <v>74.153389415085798</v>
      </c>
      <c r="E282" s="164">
        <v>11472.674176053402</v>
      </c>
      <c r="F282" s="165">
        <f>E282/'Electrical System Specification'!AC$4</f>
        <v>11706.810383727961</v>
      </c>
      <c r="G282" s="146">
        <f>F282/('Electrical System Specification'!X$16*'Electrical System Specification'!J$16*'Electrical System Specification'!D$17)</f>
        <v>14575.938024463321</v>
      </c>
      <c r="H282" s="165"/>
      <c r="I282" s="173">
        <f t="shared" si="63"/>
        <v>6871.6622130335309</v>
      </c>
      <c r="J282" s="173">
        <f t="shared" si="64"/>
        <v>7621.6306710664712</v>
      </c>
      <c r="K282" s="174">
        <f>IF(E282&gt;I282,'Electrical System Specification'!AC$4*'Electrical System Specification'!J$16*'Electrical System Specification'!D$16*'Electrical System Specification'!D$17*'Electrical System Specification'!X$16)</f>
        <v>0.70838712000000004</v>
      </c>
      <c r="L282" s="174" t="b">
        <f>IF(E282&lt;I282,'Electrical System Specification'!X$16*'Electrical System Specification'!Q$16*'Electrical System Specification'!AC$4*'Electrical System Specification'!J$16)</f>
        <v>0</v>
      </c>
      <c r="M282" s="174">
        <f t="shared" si="65"/>
        <v>0.70838712000000004</v>
      </c>
      <c r="N282" s="174">
        <f t="shared" si="66"/>
        <v>8127.094618272843</v>
      </c>
      <c r="O282" s="173">
        <f t="shared" si="67"/>
        <v>4601.0119630198715</v>
      </c>
      <c r="P282" s="174">
        <f t="shared" si="68"/>
        <v>6495.0531046073665</v>
      </c>
      <c r="Q282" s="174">
        <f t="shared" si="61"/>
        <v>8270.8960076684452</v>
      </c>
      <c r="R282" s="174">
        <f t="shared" si="75"/>
        <v>0</v>
      </c>
      <c r="S282" s="165" t="b">
        <f t="shared" si="69"/>
        <v>0</v>
      </c>
      <c r="T282">
        <f t="shared" si="70"/>
        <v>14765.949112275812</v>
      </c>
      <c r="U282" s="176">
        <f t="shared" si="71"/>
        <v>14765.949112275812</v>
      </c>
      <c r="V282" s="165">
        <f>IF(U282&lt;V$5,V$5-U282,IF(U282&gt;=V$5,0))*('Electrical System Specification'!D$16*'Electrical System Specification'!Q$16)</f>
        <v>0</v>
      </c>
      <c r="W282" s="28">
        <f t="shared" si="72"/>
        <v>0</v>
      </c>
      <c r="X282" s="165">
        <f>IF(U282&gt;V$5,U282-V$5,0)*'Electrical System Specification'!D$17</f>
        <v>5377.1566365992921</v>
      </c>
      <c r="Y282">
        <f>(X282*C282)*'Electrical System Specification'!D$17</f>
        <v>1268.098911569464</v>
      </c>
      <c r="Z282" s="165">
        <f t="shared" si="73"/>
        <v>-1268.098911569464</v>
      </c>
      <c r="AA282" s="165">
        <f t="shared" si="74"/>
        <v>42896.955012271152</v>
      </c>
      <c r="AB282" s="165"/>
    </row>
    <row r="283" spans="3:28" x14ac:dyDescent="0.2">
      <c r="C283" s="148">
        <v>0.28449868202897161</v>
      </c>
      <c r="D283">
        <f t="shared" si="62"/>
        <v>74.437888097114765</v>
      </c>
      <c r="E283" s="164">
        <v>13465.906457145509</v>
      </c>
      <c r="F283" s="165">
        <f>E283/'Electrical System Specification'!AC$4</f>
        <v>13740.720874638275</v>
      </c>
      <c r="G283" s="146">
        <f>F283/('Electrical System Specification'!X$16*'Electrical System Specification'!J$16*'Electrical System Specification'!D$17)</f>
        <v>17108.323216592304</v>
      </c>
      <c r="H283" s="165"/>
      <c r="I283" s="173">
        <f t="shared" si="63"/>
        <v>6871.6622130335309</v>
      </c>
      <c r="J283" s="173">
        <f t="shared" si="64"/>
        <v>7621.6306710664712</v>
      </c>
      <c r="K283" s="174">
        <f>IF(E283&gt;I283,'Electrical System Specification'!AC$4*'Electrical System Specification'!J$16*'Electrical System Specification'!D$16*'Electrical System Specification'!D$17*'Electrical System Specification'!X$16)</f>
        <v>0.70838712000000004</v>
      </c>
      <c r="L283" s="174" t="b">
        <f>IF(E283&lt;I283,'Electrical System Specification'!X$16*'Electrical System Specification'!Q$16*'Electrical System Specification'!AC$4*'Electrical System Specification'!J$16)</f>
        <v>0</v>
      </c>
      <c r="M283" s="174">
        <f t="shared" si="65"/>
        <v>0.70838712000000004</v>
      </c>
      <c r="N283" s="174">
        <f t="shared" si="66"/>
        <v>9539.0746933667106</v>
      </c>
      <c r="O283" s="173">
        <f t="shared" si="67"/>
        <v>6594.2442441119783</v>
      </c>
      <c r="P283" s="174">
        <f t="shared" si="68"/>
        <v>9308.8144291951248</v>
      </c>
      <c r="Q283" s="174">
        <f t="shared" si="61"/>
        <v>8270.8960076684452</v>
      </c>
      <c r="R283" s="174">
        <f t="shared" si="75"/>
        <v>0</v>
      </c>
      <c r="S283" s="165" t="b">
        <f t="shared" si="69"/>
        <v>0</v>
      </c>
      <c r="T283">
        <f t="shared" si="70"/>
        <v>17579.71043686357</v>
      </c>
      <c r="U283" s="176">
        <f t="shared" si="71"/>
        <v>17579.71043686357</v>
      </c>
      <c r="V283" s="165">
        <f>IF(U283&lt;V$5,V$5-U283,IF(U283&gt;=V$5,0))*('Electrical System Specification'!D$16*'Electrical System Specification'!Q$16)</f>
        <v>0</v>
      </c>
      <c r="W283" s="28">
        <f t="shared" si="72"/>
        <v>0</v>
      </c>
      <c r="X283" s="165">
        <f>IF(U283&gt;V$5,U283-V$5,0)*'Electrical System Specification'!D$17</f>
        <v>7909.5418287282746</v>
      </c>
      <c r="Y283">
        <f>(X283*C283)*'Electrical System Specification'!D$17</f>
        <v>2025.2288031535945</v>
      </c>
      <c r="Z283" s="165">
        <f t="shared" si="73"/>
        <v>-2025.2288031535945</v>
      </c>
      <c r="AA283" s="165">
        <f t="shared" si="74"/>
        <v>40871.726209117558</v>
      </c>
      <c r="AB283" s="165"/>
    </row>
    <row r="284" spans="3:28" x14ac:dyDescent="0.2">
      <c r="C284" s="148">
        <v>0.28486140101441343</v>
      </c>
      <c r="D284">
        <f t="shared" si="62"/>
        <v>74.722749498129176</v>
      </c>
      <c r="E284" s="164">
        <v>13465.906457145509</v>
      </c>
      <c r="F284" s="165">
        <f>E284/'Electrical System Specification'!AC$4</f>
        <v>13740.720874638275</v>
      </c>
      <c r="G284" s="146">
        <f>F284/('Electrical System Specification'!X$16*'Electrical System Specification'!J$16*'Electrical System Specification'!D$17)</f>
        <v>17108.323216592304</v>
      </c>
      <c r="H284" s="165"/>
      <c r="I284" s="173">
        <f t="shared" si="63"/>
        <v>6871.6622130335309</v>
      </c>
      <c r="J284" s="173">
        <f t="shared" si="64"/>
        <v>7621.6306710664712</v>
      </c>
      <c r="K284" s="174">
        <f>IF(E284&gt;I284,'Electrical System Specification'!AC$4*'Electrical System Specification'!J$16*'Electrical System Specification'!D$16*'Electrical System Specification'!D$17*'Electrical System Specification'!X$16)</f>
        <v>0.70838712000000004</v>
      </c>
      <c r="L284" s="174" t="b">
        <f>IF(E284&lt;I284,'Electrical System Specification'!X$16*'Electrical System Specification'!Q$16*'Electrical System Specification'!AC$4*'Electrical System Specification'!J$16)</f>
        <v>0</v>
      </c>
      <c r="M284" s="174">
        <f t="shared" si="65"/>
        <v>0.70838712000000004</v>
      </c>
      <c r="N284" s="174">
        <f t="shared" si="66"/>
        <v>9539.0746933667106</v>
      </c>
      <c r="O284" s="173">
        <f t="shared" si="67"/>
        <v>6594.2442441119783</v>
      </c>
      <c r="P284" s="174">
        <f t="shared" si="68"/>
        <v>9308.8144291951248</v>
      </c>
      <c r="Q284" s="174">
        <f t="shared" si="61"/>
        <v>8270.8960076684452</v>
      </c>
      <c r="R284" s="174">
        <f t="shared" si="75"/>
        <v>0</v>
      </c>
      <c r="S284" s="165" t="b">
        <f t="shared" si="69"/>
        <v>0</v>
      </c>
      <c r="T284">
        <f t="shared" si="70"/>
        <v>17579.71043686357</v>
      </c>
      <c r="U284" s="176">
        <f t="shared" si="71"/>
        <v>17579.71043686357</v>
      </c>
      <c r="V284" s="165">
        <f>IF(U284&lt;V$5,V$5-U284,IF(U284&gt;=V$5,0))*('Electrical System Specification'!D$16*'Electrical System Specification'!Q$16)</f>
        <v>0</v>
      </c>
      <c r="W284" s="28">
        <f t="shared" si="72"/>
        <v>0</v>
      </c>
      <c r="X284" s="165">
        <f>IF(U284&gt;V$5,U284-V$5,0)*'Electrical System Specification'!D$17</f>
        <v>7909.5418287282746</v>
      </c>
      <c r="Y284">
        <f>(X284*C284)*'Electrical System Specification'!D$17</f>
        <v>2027.8108500422779</v>
      </c>
      <c r="Z284" s="165">
        <f t="shared" si="73"/>
        <v>-2027.8108500422779</v>
      </c>
      <c r="AA284" s="165">
        <f t="shared" si="74"/>
        <v>38843.915359075283</v>
      </c>
      <c r="AB284" s="165"/>
    </row>
    <row r="285" spans="3:28" x14ac:dyDescent="0.2">
      <c r="C285" s="148">
        <v>0.28532252849701367</v>
      </c>
      <c r="D285">
        <f t="shared" si="62"/>
        <v>75.008072026626195</v>
      </c>
      <c r="E285" s="164">
        <v>13465.906457145509</v>
      </c>
      <c r="F285" s="165">
        <f>E285/'Electrical System Specification'!AC$4</f>
        <v>13740.720874638275</v>
      </c>
      <c r="G285" s="146">
        <f>F285/('Electrical System Specification'!X$16*'Electrical System Specification'!J$16*'Electrical System Specification'!D$17)</f>
        <v>17108.323216592304</v>
      </c>
      <c r="H285" s="165"/>
      <c r="I285" s="173">
        <f t="shared" si="63"/>
        <v>6871.6622130335309</v>
      </c>
      <c r="J285" s="173">
        <f t="shared" si="64"/>
        <v>7621.6306710664712</v>
      </c>
      <c r="K285" s="174">
        <f>IF(E285&gt;I285,'Electrical System Specification'!AC$4*'Electrical System Specification'!J$16*'Electrical System Specification'!D$16*'Electrical System Specification'!D$17*'Electrical System Specification'!X$16)</f>
        <v>0.70838712000000004</v>
      </c>
      <c r="L285" s="174" t="b">
        <f>IF(E285&lt;I285,'Electrical System Specification'!X$16*'Electrical System Specification'!Q$16*'Electrical System Specification'!AC$4*'Electrical System Specification'!J$16)</f>
        <v>0</v>
      </c>
      <c r="M285" s="174">
        <f t="shared" si="65"/>
        <v>0.70838712000000004</v>
      </c>
      <c r="N285" s="174">
        <f t="shared" si="66"/>
        <v>9539.0746933667106</v>
      </c>
      <c r="O285" s="173">
        <f t="shared" si="67"/>
        <v>6594.2442441119783</v>
      </c>
      <c r="P285" s="174">
        <f t="shared" si="68"/>
        <v>9308.8144291951248</v>
      </c>
      <c r="Q285" s="174">
        <f t="shared" si="61"/>
        <v>8270.8960076684452</v>
      </c>
      <c r="R285" s="174">
        <f t="shared" si="75"/>
        <v>0</v>
      </c>
      <c r="S285" s="165" t="b">
        <f t="shared" si="69"/>
        <v>0</v>
      </c>
      <c r="T285">
        <f t="shared" si="70"/>
        <v>17579.71043686357</v>
      </c>
      <c r="U285" s="176">
        <f t="shared" si="71"/>
        <v>17579.71043686357</v>
      </c>
      <c r="V285" s="165">
        <f>IF(U285&lt;V$5,V$5-U285,IF(U285&gt;=V$5,0))*('Electrical System Specification'!D$16*'Electrical System Specification'!Q$16)</f>
        <v>0</v>
      </c>
      <c r="W285" s="28">
        <f t="shared" si="72"/>
        <v>0</v>
      </c>
      <c r="X285" s="165">
        <f>IF(U285&gt;V$5,U285-V$5,0)*'Electrical System Specification'!D$17</f>
        <v>7909.5418287282746</v>
      </c>
      <c r="Y285">
        <f>(X285*C285)*'Electrical System Specification'!D$17</f>
        <v>2031.0934264430803</v>
      </c>
      <c r="Z285" s="165">
        <f t="shared" si="73"/>
        <v>-2031.0934264430803</v>
      </c>
      <c r="AA285" s="165">
        <f t="shared" si="74"/>
        <v>36812.8219326322</v>
      </c>
      <c r="AB285" s="165"/>
    </row>
    <row r="286" spans="3:28" x14ac:dyDescent="0.2">
      <c r="C286" s="148">
        <v>0.28574662488255348</v>
      </c>
      <c r="D286">
        <f t="shared" si="62"/>
        <v>75.293818651508744</v>
      </c>
      <c r="E286" s="164">
        <v>13465.906457145509</v>
      </c>
      <c r="F286" s="165">
        <f>E286/'Electrical System Specification'!AC$4</f>
        <v>13740.720874638275</v>
      </c>
      <c r="G286" s="146">
        <f>F286/('Electrical System Specification'!X$16*'Electrical System Specification'!J$16*'Electrical System Specification'!D$17)</f>
        <v>17108.323216592304</v>
      </c>
      <c r="H286" s="165"/>
      <c r="I286" s="173">
        <f t="shared" si="63"/>
        <v>6871.6622130335309</v>
      </c>
      <c r="J286" s="173">
        <f t="shared" si="64"/>
        <v>7621.6306710664712</v>
      </c>
      <c r="K286" s="174">
        <f>IF(E286&gt;I286,'Electrical System Specification'!AC$4*'Electrical System Specification'!J$16*'Electrical System Specification'!D$16*'Electrical System Specification'!D$17*'Electrical System Specification'!X$16)</f>
        <v>0.70838712000000004</v>
      </c>
      <c r="L286" s="174" t="b">
        <f>IF(E286&lt;I286,'Electrical System Specification'!X$16*'Electrical System Specification'!Q$16*'Electrical System Specification'!AC$4*'Electrical System Specification'!J$16)</f>
        <v>0</v>
      </c>
      <c r="M286" s="174">
        <f t="shared" si="65"/>
        <v>0.70838712000000004</v>
      </c>
      <c r="N286" s="174">
        <f t="shared" si="66"/>
        <v>9539.0746933667106</v>
      </c>
      <c r="O286" s="173">
        <f t="shared" si="67"/>
        <v>6594.2442441119783</v>
      </c>
      <c r="P286" s="174">
        <f t="shared" si="68"/>
        <v>9308.8144291951248</v>
      </c>
      <c r="Q286" s="174">
        <f t="shared" ref="Q286:Q349" si="76">IF(O286&lt;0,I286-(O286*-1),IF(O286&gt;0,I286/L$9))</f>
        <v>8270.8960076684452</v>
      </c>
      <c r="R286" s="174">
        <f t="shared" si="75"/>
        <v>0</v>
      </c>
      <c r="S286" s="165" t="b">
        <f t="shared" si="69"/>
        <v>0</v>
      </c>
      <c r="T286">
        <f t="shared" si="70"/>
        <v>17579.71043686357</v>
      </c>
      <c r="U286" s="176">
        <f t="shared" si="71"/>
        <v>17579.71043686357</v>
      </c>
      <c r="V286" s="165">
        <f>IF(U286&lt;V$5,V$5-U286,IF(U286&gt;=V$5,0))*('Electrical System Specification'!D$16*'Electrical System Specification'!Q$16)</f>
        <v>0</v>
      </c>
      <c r="W286" s="28">
        <f t="shared" si="72"/>
        <v>0</v>
      </c>
      <c r="X286" s="165">
        <f>IF(U286&gt;V$5,U286-V$5,0)*'Electrical System Specification'!D$17</f>
        <v>7909.5418287282746</v>
      </c>
      <c r="Y286">
        <f>(X286*C286)*'Electrical System Specification'!D$17</f>
        <v>2034.1123937338359</v>
      </c>
      <c r="Z286" s="165">
        <f t="shared" si="73"/>
        <v>-2034.1123937338359</v>
      </c>
      <c r="AA286" s="165">
        <f t="shared" si="74"/>
        <v>34778.709538898365</v>
      </c>
      <c r="AB286" s="165"/>
    </row>
    <row r="287" spans="3:28" x14ac:dyDescent="0.2">
      <c r="C287" s="148">
        <v>0.28613369017114243</v>
      </c>
      <c r="D287">
        <f t="shared" si="62"/>
        <v>75.579952341679885</v>
      </c>
      <c r="E287" s="164">
        <v>13465.906457145509</v>
      </c>
      <c r="F287" s="165">
        <f>E287/'Electrical System Specification'!AC$4</f>
        <v>13740.720874638275</v>
      </c>
      <c r="G287" s="146">
        <f>F287/('Electrical System Specification'!X$16*'Electrical System Specification'!J$16*'Electrical System Specification'!D$17)</f>
        <v>17108.323216592304</v>
      </c>
      <c r="H287" s="165"/>
      <c r="I287" s="173">
        <f t="shared" si="63"/>
        <v>6871.6622130335309</v>
      </c>
      <c r="J287" s="173">
        <f t="shared" si="64"/>
        <v>7621.6306710664712</v>
      </c>
      <c r="K287" s="174">
        <f>IF(E287&gt;I287,'Electrical System Specification'!AC$4*'Electrical System Specification'!J$16*'Electrical System Specification'!D$16*'Electrical System Specification'!D$17*'Electrical System Specification'!X$16)</f>
        <v>0.70838712000000004</v>
      </c>
      <c r="L287" s="174" t="b">
        <f>IF(E287&lt;I287,'Electrical System Specification'!X$16*'Electrical System Specification'!Q$16*'Electrical System Specification'!AC$4*'Electrical System Specification'!J$16)</f>
        <v>0</v>
      </c>
      <c r="M287" s="174">
        <f t="shared" si="65"/>
        <v>0.70838712000000004</v>
      </c>
      <c r="N287" s="174">
        <f t="shared" si="66"/>
        <v>9539.0746933667106</v>
      </c>
      <c r="O287" s="173">
        <f t="shared" si="67"/>
        <v>6594.2442441119783</v>
      </c>
      <c r="P287" s="174">
        <f t="shared" si="68"/>
        <v>9308.8144291951248</v>
      </c>
      <c r="Q287" s="174">
        <f t="shared" si="76"/>
        <v>8270.8960076684452</v>
      </c>
      <c r="R287" s="174">
        <f t="shared" si="75"/>
        <v>0</v>
      </c>
      <c r="S287" s="165" t="b">
        <f t="shared" si="69"/>
        <v>0</v>
      </c>
      <c r="T287">
        <f t="shared" si="70"/>
        <v>17579.71043686357</v>
      </c>
      <c r="U287" s="176">
        <f t="shared" si="71"/>
        <v>17579.71043686357</v>
      </c>
      <c r="V287" s="165">
        <f>IF(U287&lt;V$5,V$5-U287,IF(U287&gt;=V$5,0))*('Electrical System Specification'!D$16*'Electrical System Specification'!Q$16)</f>
        <v>0</v>
      </c>
      <c r="W287" s="28">
        <f t="shared" si="72"/>
        <v>0</v>
      </c>
      <c r="X287" s="165">
        <f>IF(U287&gt;V$5,U287-V$5,0)*'Electrical System Specification'!D$17</f>
        <v>7909.5418287282746</v>
      </c>
      <c r="Y287">
        <f>(X287*C287)*'Electrical System Specification'!D$17</f>
        <v>2036.8677519153246</v>
      </c>
      <c r="Z287" s="165">
        <f t="shared" si="73"/>
        <v>-2036.8677519153246</v>
      </c>
      <c r="AA287" s="165">
        <f t="shared" si="74"/>
        <v>32741.841786983041</v>
      </c>
      <c r="AB287" s="165"/>
    </row>
    <row r="288" spans="3:28" x14ac:dyDescent="0.2">
      <c r="C288" s="148">
        <v>0.28650350130605889</v>
      </c>
      <c r="D288">
        <f t="shared" si="62"/>
        <v>75.866455842985943</v>
      </c>
      <c r="E288" s="164">
        <v>13465.906457145509</v>
      </c>
      <c r="F288" s="165">
        <f>E288/'Electrical System Specification'!AC$4</f>
        <v>13740.720874638275</v>
      </c>
      <c r="G288" s="146">
        <f>F288/('Electrical System Specification'!X$16*'Electrical System Specification'!J$16*'Electrical System Specification'!D$17)</f>
        <v>17108.323216592304</v>
      </c>
      <c r="H288" s="165"/>
      <c r="I288" s="173">
        <f t="shared" si="63"/>
        <v>6871.6622130335309</v>
      </c>
      <c r="J288" s="173">
        <f t="shared" si="64"/>
        <v>7621.6306710664712</v>
      </c>
      <c r="K288" s="174">
        <f>IF(E288&gt;I288,'Electrical System Specification'!AC$4*'Electrical System Specification'!J$16*'Electrical System Specification'!D$16*'Electrical System Specification'!D$17*'Electrical System Specification'!X$16)</f>
        <v>0.70838712000000004</v>
      </c>
      <c r="L288" s="174" t="b">
        <f>IF(E288&lt;I288,'Electrical System Specification'!X$16*'Electrical System Specification'!Q$16*'Electrical System Specification'!AC$4*'Electrical System Specification'!J$16)</f>
        <v>0</v>
      </c>
      <c r="M288" s="174">
        <f t="shared" si="65"/>
        <v>0.70838712000000004</v>
      </c>
      <c r="N288" s="174">
        <f t="shared" si="66"/>
        <v>9539.0746933667106</v>
      </c>
      <c r="O288" s="173">
        <f t="shared" si="67"/>
        <v>6594.2442441119783</v>
      </c>
      <c r="P288" s="174">
        <f t="shared" si="68"/>
        <v>9308.8144291951248</v>
      </c>
      <c r="Q288" s="174">
        <f t="shared" si="76"/>
        <v>8270.8960076684452</v>
      </c>
      <c r="R288" s="174">
        <f t="shared" si="75"/>
        <v>0</v>
      </c>
      <c r="S288" s="165" t="b">
        <f t="shared" si="69"/>
        <v>0</v>
      </c>
      <c r="T288">
        <f t="shared" si="70"/>
        <v>17579.71043686357</v>
      </c>
      <c r="U288" s="176">
        <f t="shared" si="71"/>
        <v>17579.71043686357</v>
      </c>
      <c r="V288" s="165">
        <f>IF(U288&lt;V$5,V$5-U288,IF(U288&gt;=V$5,0))*('Electrical System Specification'!D$16*'Electrical System Specification'!Q$16)</f>
        <v>0</v>
      </c>
      <c r="W288" s="28">
        <f t="shared" si="72"/>
        <v>0</v>
      </c>
      <c r="X288" s="165">
        <f>IF(U288&gt;V$5,U288-V$5,0)*'Electrical System Specification'!D$17</f>
        <v>7909.5418287282746</v>
      </c>
      <c r="Y288">
        <f>(X288*C288)*'Electrical System Specification'!D$17</f>
        <v>2039.5002848916406</v>
      </c>
      <c r="Z288" s="165">
        <f t="shared" si="73"/>
        <v>-2039.5002848916406</v>
      </c>
      <c r="AA288" s="165">
        <f t="shared" si="74"/>
        <v>30702.3415020914</v>
      </c>
      <c r="AB288" s="165"/>
    </row>
    <row r="289" spans="3:28" x14ac:dyDescent="0.2">
      <c r="C289" s="148">
        <v>0.28687128948626284</v>
      </c>
      <c r="D289">
        <f t="shared" si="62"/>
        <v>76.153327132472199</v>
      </c>
      <c r="E289" s="164">
        <v>13465.906457145509</v>
      </c>
      <c r="F289" s="165">
        <f>E289/'Electrical System Specification'!AC$4</f>
        <v>13740.720874638275</v>
      </c>
      <c r="G289" s="146">
        <f>F289/('Electrical System Specification'!X$16*'Electrical System Specification'!J$16*'Electrical System Specification'!D$17)</f>
        <v>17108.323216592304</v>
      </c>
      <c r="H289" s="165"/>
      <c r="I289" s="173">
        <f t="shared" si="63"/>
        <v>6871.6622130335309</v>
      </c>
      <c r="J289" s="173">
        <f t="shared" si="64"/>
        <v>7621.6306710664712</v>
      </c>
      <c r="K289" s="174">
        <f>IF(E289&gt;I289,'Electrical System Specification'!AC$4*'Electrical System Specification'!J$16*'Electrical System Specification'!D$16*'Electrical System Specification'!D$17*'Electrical System Specification'!X$16)</f>
        <v>0.70838712000000004</v>
      </c>
      <c r="L289" s="174" t="b">
        <f>IF(E289&lt;I289,'Electrical System Specification'!X$16*'Electrical System Specification'!Q$16*'Electrical System Specification'!AC$4*'Electrical System Specification'!J$16)</f>
        <v>0</v>
      </c>
      <c r="M289" s="174">
        <f t="shared" si="65"/>
        <v>0.70838712000000004</v>
      </c>
      <c r="N289" s="174">
        <f t="shared" si="66"/>
        <v>9539.0746933667106</v>
      </c>
      <c r="O289" s="173">
        <f t="shared" si="67"/>
        <v>6594.2442441119783</v>
      </c>
      <c r="P289" s="174">
        <f t="shared" si="68"/>
        <v>9308.8144291951248</v>
      </c>
      <c r="Q289" s="174">
        <f t="shared" si="76"/>
        <v>8270.8960076684452</v>
      </c>
      <c r="R289" s="174">
        <f t="shared" si="75"/>
        <v>0</v>
      </c>
      <c r="S289" s="165" t="b">
        <f t="shared" si="69"/>
        <v>0</v>
      </c>
      <c r="T289">
        <f t="shared" si="70"/>
        <v>17579.71043686357</v>
      </c>
      <c r="U289" s="176">
        <f t="shared" si="71"/>
        <v>17579.71043686357</v>
      </c>
      <c r="V289" s="165">
        <f>IF(U289&lt;V$5,V$5-U289,IF(U289&gt;=V$5,0))*('Electrical System Specification'!D$16*'Electrical System Specification'!Q$16)</f>
        <v>0</v>
      </c>
      <c r="W289" s="28">
        <f t="shared" si="72"/>
        <v>0</v>
      </c>
      <c r="X289" s="165">
        <f>IF(U289&gt;V$5,U289-V$5,0)*'Electrical System Specification'!D$17</f>
        <v>7909.5418287282746</v>
      </c>
      <c r="Y289">
        <f>(X289*C289)*'Electrical System Specification'!D$17</f>
        <v>2042.1184172875323</v>
      </c>
      <c r="Z289" s="165">
        <f t="shared" si="73"/>
        <v>-2042.1184172875323</v>
      </c>
      <c r="AA289" s="165">
        <f t="shared" si="74"/>
        <v>28660.223084803867</v>
      </c>
      <c r="AB289" s="165"/>
    </row>
    <row r="290" spans="3:28" x14ac:dyDescent="0.2">
      <c r="C290" s="148">
        <v>0.28724871622054965</v>
      </c>
      <c r="D290">
        <f t="shared" si="62"/>
        <v>76.440575848692745</v>
      </c>
      <c r="E290" s="164">
        <v>13465.906457145509</v>
      </c>
      <c r="F290" s="165">
        <f>E290/'Electrical System Specification'!AC$4</f>
        <v>13740.720874638275</v>
      </c>
      <c r="G290" s="146">
        <f>F290/('Electrical System Specification'!X$16*'Electrical System Specification'!J$16*'Electrical System Specification'!D$17)</f>
        <v>17108.323216592304</v>
      </c>
      <c r="H290" s="165"/>
      <c r="I290" s="173">
        <f t="shared" si="63"/>
        <v>6871.6622130335309</v>
      </c>
      <c r="J290" s="173">
        <f t="shared" si="64"/>
        <v>7621.6306710664712</v>
      </c>
      <c r="K290" s="174">
        <f>IF(E290&gt;I290,'Electrical System Specification'!AC$4*'Electrical System Specification'!J$16*'Electrical System Specification'!D$16*'Electrical System Specification'!D$17*'Electrical System Specification'!X$16)</f>
        <v>0.70838712000000004</v>
      </c>
      <c r="L290" s="174" t="b">
        <f>IF(E290&lt;I290,'Electrical System Specification'!X$16*'Electrical System Specification'!Q$16*'Electrical System Specification'!AC$4*'Electrical System Specification'!J$16)</f>
        <v>0</v>
      </c>
      <c r="M290" s="174">
        <f t="shared" si="65"/>
        <v>0.70838712000000004</v>
      </c>
      <c r="N290" s="174">
        <f t="shared" si="66"/>
        <v>9539.0746933667106</v>
      </c>
      <c r="O290" s="173">
        <f t="shared" si="67"/>
        <v>6594.2442441119783</v>
      </c>
      <c r="P290" s="174">
        <f t="shared" si="68"/>
        <v>9308.8144291951248</v>
      </c>
      <c r="Q290" s="174">
        <f t="shared" si="76"/>
        <v>8270.8960076684452</v>
      </c>
      <c r="R290" s="174">
        <f t="shared" si="75"/>
        <v>0</v>
      </c>
      <c r="S290" s="165" t="b">
        <f t="shared" si="69"/>
        <v>0</v>
      </c>
      <c r="T290">
        <f t="shared" si="70"/>
        <v>17579.71043686357</v>
      </c>
      <c r="U290" s="176">
        <f t="shared" si="71"/>
        <v>17579.71043686357</v>
      </c>
      <c r="V290" s="165">
        <f>IF(U290&lt;V$5,V$5-U290,IF(U290&gt;=V$5,0))*('Electrical System Specification'!D$16*'Electrical System Specification'!Q$16)</f>
        <v>0</v>
      </c>
      <c r="W290" s="28">
        <f t="shared" si="72"/>
        <v>0</v>
      </c>
      <c r="X290" s="165">
        <f>IF(U290&gt;V$5,U290-V$5,0)*'Electrical System Specification'!D$17</f>
        <v>7909.5418287282746</v>
      </c>
      <c r="Y290">
        <f>(X290*C290)*'Electrical System Specification'!D$17</f>
        <v>2044.8051625754417</v>
      </c>
      <c r="Z290" s="165">
        <f t="shared" si="73"/>
        <v>-2044.8051625754417</v>
      </c>
      <c r="AA290" s="165">
        <f t="shared" si="74"/>
        <v>26615.417922228426</v>
      </c>
      <c r="AB290" s="165"/>
    </row>
    <row r="291" spans="3:28" x14ac:dyDescent="0.2">
      <c r="C291" s="148">
        <v>0.28763730462884834</v>
      </c>
      <c r="D291">
        <f t="shared" si="62"/>
        <v>76.72821315332159</v>
      </c>
      <c r="E291" s="164">
        <v>13465.906457145509</v>
      </c>
      <c r="F291" s="165">
        <f>E291/'Electrical System Specification'!AC$4</f>
        <v>13740.720874638275</v>
      </c>
      <c r="G291" s="146">
        <f>F291/('Electrical System Specification'!X$16*'Electrical System Specification'!J$16*'Electrical System Specification'!D$17)</f>
        <v>17108.323216592304</v>
      </c>
      <c r="H291" s="165"/>
      <c r="I291" s="173">
        <f t="shared" si="63"/>
        <v>6871.6622130335309</v>
      </c>
      <c r="J291" s="173">
        <f t="shared" si="64"/>
        <v>7621.6306710664712</v>
      </c>
      <c r="K291" s="174">
        <f>IF(E291&gt;I291,'Electrical System Specification'!AC$4*'Electrical System Specification'!J$16*'Electrical System Specification'!D$16*'Electrical System Specification'!D$17*'Electrical System Specification'!X$16)</f>
        <v>0.70838712000000004</v>
      </c>
      <c r="L291" s="174" t="b">
        <f>IF(E291&lt;I291,'Electrical System Specification'!X$16*'Electrical System Specification'!Q$16*'Electrical System Specification'!AC$4*'Electrical System Specification'!J$16)</f>
        <v>0</v>
      </c>
      <c r="M291" s="174">
        <f t="shared" si="65"/>
        <v>0.70838712000000004</v>
      </c>
      <c r="N291" s="174">
        <f t="shared" si="66"/>
        <v>9539.0746933667106</v>
      </c>
      <c r="O291" s="173">
        <f t="shared" si="67"/>
        <v>6594.2442441119783</v>
      </c>
      <c r="P291" s="174">
        <f t="shared" si="68"/>
        <v>9308.8144291951248</v>
      </c>
      <c r="Q291" s="174">
        <f t="shared" si="76"/>
        <v>8270.8960076684452</v>
      </c>
      <c r="R291" s="174">
        <f t="shared" si="75"/>
        <v>0</v>
      </c>
      <c r="S291" s="165" t="b">
        <f t="shared" si="69"/>
        <v>0</v>
      </c>
      <c r="T291">
        <f t="shared" si="70"/>
        <v>17579.71043686357</v>
      </c>
      <c r="U291" s="176">
        <f t="shared" si="71"/>
        <v>17579.71043686357</v>
      </c>
      <c r="V291" s="165">
        <f>IF(U291&lt;V$5,V$5-U291,IF(U291&gt;=V$5,0))*('Electrical System Specification'!D$16*'Electrical System Specification'!Q$16)</f>
        <v>0</v>
      </c>
      <c r="W291" s="28">
        <f t="shared" si="72"/>
        <v>0</v>
      </c>
      <c r="X291" s="165">
        <f>IF(U291&gt;V$5,U291-V$5,0)*'Electrical System Specification'!D$17</f>
        <v>7909.5418287282746</v>
      </c>
      <c r="Y291">
        <f>(X291*C291)*'Electrical System Specification'!D$17</f>
        <v>2047.5713632180798</v>
      </c>
      <c r="Z291" s="165">
        <f t="shared" si="73"/>
        <v>-2047.5713632180798</v>
      </c>
      <c r="AA291" s="165">
        <f t="shared" si="74"/>
        <v>24567.846559010344</v>
      </c>
      <c r="AB291" s="165"/>
    </row>
    <row r="292" spans="3:28" x14ac:dyDescent="0.2">
      <c r="C292" s="148">
        <v>0.28805176246033259</v>
      </c>
      <c r="D292">
        <f t="shared" si="62"/>
        <v>77.016264915781917</v>
      </c>
      <c r="E292" s="164">
        <v>13465.906457145509</v>
      </c>
      <c r="F292" s="165">
        <f>E292/'Electrical System Specification'!AC$4</f>
        <v>13740.720874638275</v>
      </c>
      <c r="G292" s="146">
        <f>F292/('Electrical System Specification'!X$16*'Electrical System Specification'!J$16*'Electrical System Specification'!D$17)</f>
        <v>17108.323216592304</v>
      </c>
      <c r="H292" s="165"/>
      <c r="I292" s="173">
        <f t="shared" si="63"/>
        <v>6871.6622130335309</v>
      </c>
      <c r="J292" s="173">
        <f t="shared" si="64"/>
        <v>7621.6306710664712</v>
      </c>
      <c r="K292" s="174">
        <f>IF(E292&gt;I292,'Electrical System Specification'!AC$4*'Electrical System Specification'!J$16*'Electrical System Specification'!D$16*'Electrical System Specification'!D$17*'Electrical System Specification'!X$16)</f>
        <v>0.70838712000000004</v>
      </c>
      <c r="L292" s="174" t="b">
        <f>IF(E292&lt;I292,'Electrical System Specification'!X$16*'Electrical System Specification'!Q$16*'Electrical System Specification'!AC$4*'Electrical System Specification'!J$16)</f>
        <v>0</v>
      </c>
      <c r="M292" s="174">
        <f t="shared" si="65"/>
        <v>0.70838712000000004</v>
      </c>
      <c r="N292" s="174">
        <f t="shared" si="66"/>
        <v>9539.0746933667106</v>
      </c>
      <c r="O292" s="173">
        <f t="shared" si="67"/>
        <v>6594.2442441119783</v>
      </c>
      <c r="P292" s="174">
        <f t="shared" si="68"/>
        <v>9308.8144291951248</v>
      </c>
      <c r="Q292" s="174">
        <f t="shared" si="76"/>
        <v>8270.8960076684452</v>
      </c>
      <c r="R292" s="174">
        <f t="shared" si="75"/>
        <v>0</v>
      </c>
      <c r="S292" s="165" t="b">
        <f t="shared" si="69"/>
        <v>0</v>
      </c>
      <c r="T292">
        <f t="shared" si="70"/>
        <v>17579.71043686357</v>
      </c>
      <c r="U292" s="176">
        <f t="shared" si="71"/>
        <v>17579.71043686357</v>
      </c>
      <c r="V292" s="165">
        <f>IF(U292&lt;V$5,V$5-U292,IF(U292&gt;=V$5,0))*('Electrical System Specification'!D$16*'Electrical System Specification'!Q$16)</f>
        <v>0</v>
      </c>
      <c r="W292" s="28">
        <f t="shared" si="72"/>
        <v>0</v>
      </c>
      <c r="X292" s="165">
        <f>IF(U292&gt;V$5,U292-V$5,0)*'Electrical System Specification'!D$17</f>
        <v>7909.5418287282746</v>
      </c>
      <c r="Y292">
        <f>(X292*C292)*'Electrical System Specification'!D$17</f>
        <v>2050.5217176170117</v>
      </c>
      <c r="Z292" s="165">
        <f t="shared" si="73"/>
        <v>-2050.5217176170117</v>
      </c>
      <c r="AA292" s="165">
        <f t="shared" si="74"/>
        <v>22517.324841393332</v>
      </c>
      <c r="AB292" s="165"/>
    </row>
    <row r="293" spans="3:28" x14ac:dyDescent="0.2">
      <c r="C293" s="148">
        <v>0.28847433572583397</v>
      </c>
      <c r="D293">
        <f t="shared" si="62"/>
        <v>77.304739251507755</v>
      </c>
      <c r="E293" s="164">
        <v>13465.906457145509</v>
      </c>
      <c r="F293" s="165">
        <f>E293/'Electrical System Specification'!AC$4</f>
        <v>13740.720874638275</v>
      </c>
      <c r="G293" s="146">
        <f>F293/('Electrical System Specification'!X$16*'Electrical System Specification'!J$16*'Electrical System Specification'!D$17)</f>
        <v>17108.323216592304</v>
      </c>
      <c r="H293" s="165"/>
      <c r="I293" s="173">
        <f t="shared" si="63"/>
        <v>6871.6622130335309</v>
      </c>
      <c r="J293" s="173">
        <f t="shared" si="64"/>
        <v>7621.6306710664712</v>
      </c>
      <c r="K293" s="174">
        <f>IF(E293&gt;I293,'Electrical System Specification'!AC$4*'Electrical System Specification'!J$16*'Electrical System Specification'!D$16*'Electrical System Specification'!D$17*'Electrical System Specification'!X$16)</f>
        <v>0.70838712000000004</v>
      </c>
      <c r="L293" s="174" t="b">
        <f>IF(E293&lt;I293,'Electrical System Specification'!X$16*'Electrical System Specification'!Q$16*'Electrical System Specification'!AC$4*'Electrical System Specification'!J$16)</f>
        <v>0</v>
      </c>
      <c r="M293" s="174">
        <f t="shared" si="65"/>
        <v>0.70838712000000004</v>
      </c>
      <c r="N293" s="174">
        <f t="shared" si="66"/>
        <v>9539.0746933667106</v>
      </c>
      <c r="O293" s="173">
        <f t="shared" si="67"/>
        <v>6594.2442441119783</v>
      </c>
      <c r="P293" s="174">
        <f t="shared" si="68"/>
        <v>9308.8144291951248</v>
      </c>
      <c r="Q293" s="174">
        <f t="shared" si="76"/>
        <v>8270.8960076684452</v>
      </c>
      <c r="R293" s="174">
        <f t="shared" si="75"/>
        <v>0</v>
      </c>
      <c r="S293" s="165" t="b">
        <f t="shared" si="69"/>
        <v>0</v>
      </c>
      <c r="T293">
        <f t="shared" si="70"/>
        <v>17579.71043686357</v>
      </c>
      <c r="U293" s="176">
        <f t="shared" si="71"/>
        <v>17579.71043686357</v>
      </c>
      <c r="V293" s="165">
        <f>IF(U293&lt;V$5,V$5-U293,IF(U293&gt;=V$5,0))*('Electrical System Specification'!D$16*'Electrical System Specification'!Q$16)</f>
        <v>0</v>
      </c>
      <c r="W293" s="28">
        <f t="shared" si="72"/>
        <v>0</v>
      </c>
      <c r="X293" s="165">
        <f>IF(U293&gt;V$5,U293-V$5,0)*'Electrical System Specification'!D$17</f>
        <v>7909.5418287282746</v>
      </c>
      <c r="Y293">
        <f>(X293*C293)*'Electrical System Specification'!D$17</f>
        <v>2053.5298424442785</v>
      </c>
      <c r="Z293" s="165">
        <f t="shared" si="73"/>
        <v>-2053.5298424442785</v>
      </c>
      <c r="AA293" s="165">
        <f t="shared" si="74"/>
        <v>20463.794998949055</v>
      </c>
      <c r="AB293" s="165"/>
    </row>
    <row r="294" spans="3:28" x14ac:dyDescent="0.2">
      <c r="C294" s="148">
        <v>0.28890147835109453</v>
      </c>
      <c r="D294">
        <f t="shared" si="62"/>
        <v>77.593640729858848</v>
      </c>
      <c r="E294" s="164">
        <v>13465.906457145509</v>
      </c>
      <c r="F294" s="165">
        <f>E294/'Electrical System Specification'!AC$4</f>
        <v>13740.720874638275</v>
      </c>
      <c r="G294" s="146">
        <f>F294/('Electrical System Specification'!X$16*'Electrical System Specification'!J$16*'Electrical System Specification'!D$17)</f>
        <v>17108.323216592304</v>
      </c>
      <c r="H294" s="165"/>
      <c r="I294" s="173">
        <f t="shared" si="63"/>
        <v>6871.6622130335309</v>
      </c>
      <c r="J294" s="173">
        <f t="shared" si="64"/>
        <v>7621.6306710664712</v>
      </c>
      <c r="K294" s="174">
        <f>IF(E294&gt;I294,'Electrical System Specification'!AC$4*'Electrical System Specification'!J$16*'Electrical System Specification'!D$16*'Electrical System Specification'!D$17*'Electrical System Specification'!X$16)</f>
        <v>0.70838712000000004</v>
      </c>
      <c r="L294" s="174" t="b">
        <f>IF(E294&lt;I294,'Electrical System Specification'!X$16*'Electrical System Specification'!Q$16*'Electrical System Specification'!AC$4*'Electrical System Specification'!J$16)</f>
        <v>0</v>
      </c>
      <c r="M294" s="174">
        <f t="shared" si="65"/>
        <v>0.70838712000000004</v>
      </c>
      <c r="N294" s="174">
        <f t="shared" si="66"/>
        <v>9539.0746933667106</v>
      </c>
      <c r="O294" s="173">
        <f t="shared" si="67"/>
        <v>6594.2442441119783</v>
      </c>
      <c r="P294" s="174">
        <f t="shared" si="68"/>
        <v>9308.8144291951248</v>
      </c>
      <c r="Q294" s="174">
        <f t="shared" si="76"/>
        <v>8270.8960076684452</v>
      </c>
      <c r="R294" s="174">
        <f t="shared" si="75"/>
        <v>0</v>
      </c>
      <c r="S294" s="165" t="b">
        <f t="shared" si="69"/>
        <v>0</v>
      </c>
      <c r="T294">
        <f t="shared" si="70"/>
        <v>17579.71043686357</v>
      </c>
      <c r="U294" s="176">
        <f t="shared" si="71"/>
        <v>17579.71043686357</v>
      </c>
      <c r="V294" s="165">
        <f>IF(U294&lt;V$5,V$5-U294,IF(U294&gt;=V$5,0))*('Electrical System Specification'!D$16*'Electrical System Specification'!Q$16)</f>
        <v>0</v>
      </c>
      <c r="W294" s="28">
        <f t="shared" si="72"/>
        <v>0</v>
      </c>
      <c r="X294" s="165">
        <f>IF(U294&gt;V$5,U294-V$5,0)*'Electrical System Specification'!D$17</f>
        <v>7909.5418287282746</v>
      </c>
      <c r="Y294">
        <f>(X294*C294)*'Electrical System Specification'!D$17</f>
        <v>2056.5704946594765</v>
      </c>
      <c r="Z294" s="165">
        <f t="shared" si="73"/>
        <v>-2056.5704946594765</v>
      </c>
      <c r="AA294" s="165">
        <f t="shared" si="74"/>
        <v>18407.224504289577</v>
      </c>
      <c r="AB294" s="165"/>
    </row>
    <row r="295" spans="3:28" x14ac:dyDescent="0.2">
      <c r="C295" s="148">
        <v>0.28934332872528229</v>
      </c>
      <c r="D295">
        <f t="shared" si="62"/>
        <v>77.882984058584128</v>
      </c>
      <c r="E295" s="164">
        <v>13465.906457145509</v>
      </c>
      <c r="F295" s="165">
        <f>E295/'Electrical System Specification'!AC$4</f>
        <v>13740.720874638275</v>
      </c>
      <c r="G295" s="146">
        <f>F295/('Electrical System Specification'!X$16*'Electrical System Specification'!J$16*'Electrical System Specification'!D$17)</f>
        <v>17108.323216592304</v>
      </c>
      <c r="H295" s="165"/>
      <c r="I295" s="173">
        <f t="shared" si="63"/>
        <v>6871.6622130335309</v>
      </c>
      <c r="J295" s="173">
        <f t="shared" si="64"/>
        <v>7621.6306710664712</v>
      </c>
      <c r="K295" s="174">
        <f>IF(E295&gt;I295,'Electrical System Specification'!AC$4*'Electrical System Specification'!J$16*'Electrical System Specification'!D$16*'Electrical System Specification'!D$17*'Electrical System Specification'!X$16)</f>
        <v>0.70838712000000004</v>
      </c>
      <c r="L295" s="174" t="b">
        <f>IF(E295&lt;I295,'Electrical System Specification'!X$16*'Electrical System Specification'!Q$16*'Electrical System Specification'!AC$4*'Electrical System Specification'!J$16)</f>
        <v>0</v>
      </c>
      <c r="M295" s="174">
        <f t="shared" si="65"/>
        <v>0.70838712000000004</v>
      </c>
      <c r="N295" s="174">
        <f t="shared" si="66"/>
        <v>9539.0746933667106</v>
      </c>
      <c r="O295" s="173">
        <f t="shared" si="67"/>
        <v>6594.2442441119783</v>
      </c>
      <c r="P295" s="174">
        <f t="shared" si="68"/>
        <v>9308.8144291951248</v>
      </c>
      <c r="Q295" s="174">
        <f t="shared" si="76"/>
        <v>8270.8960076684452</v>
      </c>
      <c r="R295" s="174">
        <f t="shared" si="75"/>
        <v>0</v>
      </c>
      <c r="S295" s="165" t="b">
        <f t="shared" si="69"/>
        <v>0</v>
      </c>
      <c r="T295">
        <f t="shared" si="70"/>
        <v>17579.71043686357</v>
      </c>
      <c r="U295" s="176">
        <f t="shared" si="71"/>
        <v>17579.71043686357</v>
      </c>
      <c r="V295" s="165">
        <f>IF(U295&lt;V$5,V$5-U295,IF(U295&gt;=V$5,0))*('Electrical System Specification'!D$16*'Electrical System Specification'!Q$16)</f>
        <v>0</v>
      </c>
      <c r="W295" s="28">
        <f t="shared" si="72"/>
        <v>0</v>
      </c>
      <c r="X295" s="165">
        <f>IF(U295&gt;V$5,U295-V$5,0)*'Electrical System Specification'!D$17</f>
        <v>7909.5418287282746</v>
      </c>
      <c r="Y295">
        <f>(X295*C295)*'Electrical System Specification'!D$17</f>
        <v>2059.7158452744861</v>
      </c>
      <c r="Z295" s="165">
        <f t="shared" si="73"/>
        <v>-2059.7158452744861</v>
      </c>
      <c r="AA295" s="165">
        <f t="shared" si="74"/>
        <v>16347.508659015091</v>
      </c>
      <c r="AB295" s="165"/>
    </row>
    <row r="296" spans="3:28" x14ac:dyDescent="0.2">
      <c r="C296" s="148">
        <v>0.28981054868718709</v>
      </c>
      <c r="D296">
        <f t="shared" si="62"/>
        <v>78.172794607271314</v>
      </c>
      <c r="E296" s="164">
        <v>13465.906457145509</v>
      </c>
      <c r="F296" s="165">
        <f>E296/'Electrical System Specification'!AC$4</f>
        <v>13740.720874638275</v>
      </c>
      <c r="G296" s="146">
        <f>F296/('Electrical System Specification'!X$16*'Electrical System Specification'!J$16*'Electrical System Specification'!D$17)</f>
        <v>17108.323216592304</v>
      </c>
      <c r="H296" s="165"/>
      <c r="I296" s="173">
        <f t="shared" si="63"/>
        <v>6871.6622130335309</v>
      </c>
      <c r="J296" s="173">
        <f t="shared" si="64"/>
        <v>7621.6306710664712</v>
      </c>
      <c r="K296" s="174">
        <f>IF(E296&gt;I296,'Electrical System Specification'!AC$4*'Electrical System Specification'!J$16*'Electrical System Specification'!D$16*'Electrical System Specification'!D$17*'Electrical System Specification'!X$16)</f>
        <v>0.70838712000000004</v>
      </c>
      <c r="L296" s="174" t="b">
        <f>IF(E296&lt;I296,'Electrical System Specification'!X$16*'Electrical System Specification'!Q$16*'Electrical System Specification'!AC$4*'Electrical System Specification'!J$16)</f>
        <v>0</v>
      </c>
      <c r="M296" s="174">
        <f t="shared" si="65"/>
        <v>0.70838712000000004</v>
      </c>
      <c r="N296" s="174">
        <f t="shared" si="66"/>
        <v>9539.0746933667106</v>
      </c>
      <c r="O296" s="173">
        <f t="shared" si="67"/>
        <v>6594.2442441119783</v>
      </c>
      <c r="P296" s="174">
        <f t="shared" si="68"/>
        <v>9308.8144291951248</v>
      </c>
      <c r="Q296" s="174">
        <f t="shared" si="76"/>
        <v>8270.8960076684452</v>
      </c>
      <c r="R296" s="174">
        <f t="shared" si="75"/>
        <v>0</v>
      </c>
      <c r="S296" s="165" t="b">
        <f t="shared" si="69"/>
        <v>0</v>
      </c>
      <c r="T296">
        <f t="shared" si="70"/>
        <v>17579.71043686357</v>
      </c>
      <c r="U296" s="176">
        <f t="shared" si="71"/>
        <v>17579.71043686357</v>
      </c>
      <c r="V296" s="165">
        <f>IF(U296&lt;V$5,V$5-U296,IF(U296&gt;=V$5,0))*('Electrical System Specification'!D$16*'Electrical System Specification'!Q$16)</f>
        <v>0</v>
      </c>
      <c r="W296" s="28">
        <f t="shared" si="72"/>
        <v>0</v>
      </c>
      <c r="X296" s="165">
        <f>IF(U296&gt;V$5,U296-V$5,0)*'Electrical System Specification'!D$17</f>
        <v>7909.5418287282746</v>
      </c>
      <c r="Y296">
        <f>(X296*C296)*'Electrical System Specification'!D$17</f>
        <v>2063.0417915231988</v>
      </c>
      <c r="Z296" s="165">
        <f t="shared" si="73"/>
        <v>-2063.0417915231988</v>
      </c>
      <c r="AA296" s="165">
        <f t="shared" si="74"/>
        <v>14284.466867491892</v>
      </c>
      <c r="AB296" s="165"/>
    </row>
    <row r="297" spans="3:28" x14ac:dyDescent="0.2">
      <c r="C297" s="148">
        <v>0.29033255373485506</v>
      </c>
      <c r="D297">
        <f t="shared" si="62"/>
        <v>78.46312716100617</v>
      </c>
      <c r="E297" s="164">
        <v>13465.906457145509</v>
      </c>
      <c r="F297" s="165">
        <f>E297/'Electrical System Specification'!AC$4</f>
        <v>13740.720874638275</v>
      </c>
      <c r="G297" s="146">
        <f>F297/('Electrical System Specification'!X$16*'Electrical System Specification'!J$16*'Electrical System Specification'!D$17)</f>
        <v>17108.323216592304</v>
      </c>
      <c r="H297" s="165"/>
      <c r="I297" s="173">
        <f t="shared" si="63"/>
        <v>6871.6622130335309</v>
      </c>
      <c r="J297" s="173">
        <f t="shared" si="64"/>
        <v>7621.6306710664712</v>
      </c>
      <c r="K297" s="174">
        <f>IF(E297&gt;I297,'Electrical System Specification'!AC$4*'Electrical System Specification'!J$16*'Electrical System Specification'!D$16*'Electrical System Specification'!D$17*'Electrical System Specification'!X$16)</f>
        <v>0.70838712000000004</v>
      </c>
      <c r="L297" s="174" t="b">
        <f>IF(E297&lt;I297,'Electrical System Specification'!X$16*'Electrical System Specification'!Q$16*'Electrical System Specification'!AC$4*'Electrical System Specification'!J$16)</f>
        <v>0</v>
      </c>
      <c r="M297" s="174">
        <f t="shared" si="65"/>
        <v>0.70838712000000004</v>
      </c>
      <c r="N297" s="174">
        <f t="shared" si="66"/>
        <v>9539.0746933667106</v>
      </c>
      <c r="O297" s="173">
        <f t="shared" si="67"/>
        <v>6594.2442441119783</v>
      </c>
      <c r="P297" s="174">
        <f t="shared" si="68"/>
        <v>9308.8144291951248</v>
      </c>
      <c r="Q297" s="174">
        <f t="shared" si="76"/>
        <v>8270.8960076684452</v>
      </c>
      <c r="R297" s="174">
        <f t="shared" si="75"/>
        <v>0</v>
      </c>
      <c r="S297" s="165" t="b">
        <f t="shared" si="69"/>
        <v>0</v>
      </c>
      <c r="T297">
        <f t="shared" si="70"/>
        <v>17579.71043686357</v>
      </c>
      <c r="U297" s="176">
        <f t="shared" si="71"/>
        <v>17579.71043686357</v>
      </c>
      <c r="V297" s="165">
        <f>IF(U297&lt;V$5,V$5-U297,IF(U297&gt;=V$5,0))*('Electrical System Specification'!D$16*'Electrical System Specification'!Q$16)</f>
        <v>0</v>
      </c>
      <c r="W297" s="28">
        <f t="shared" si="72"/>
        <v>0</v>
      </c>
      <c r="X297" s="165">
        <f>IF(U297&gt;V$5,U297-V$5,0)*'Electrical System Specification'!D$17</f>
        <v>7909.5418287282746</v>
      </c>
      <c r="Y297">
        <f>(X297*C297)*'Electrical System Specification'!D$17</f>
        <v>2066.757730206602</v>
      </c>
      <c r="Z297" s="165">
        <f t="shared" si="73"/>
        <v>-2066.757730206602</v>
      </c>
      <c r="AA297" s="165">
        <f t="shared" si="74"/>
        <v>12217.70913728529</v>
      </c>
      <c r="AB297" s="165"/>
    </row>
    <row r="298" spans="3:28" x14ac:dyDescent="0.2">
      <c r="C298" s="148">
        <v>0.29091391322733312</v>
      </c>
      <c r="D298">
        <f t="shared" si="62"/>
        <v>78.754041074233498</v>
      </c>
      <c r="E298" s="164">
        <v>13465.906457145509</v>
      </c>
      <c r="F298" s="165">
        <f>E298/'Electrical System Specification'!AC$4</f>
        <v>13740.720874638275</v>
      </c>
      <c r="G298" s="146">
        <f>F298/('Electrical System Specification'!X$16*'Electrical System Specification'!J$16*'Electrical System Specification'!D$17)</f>
        <v>17108.323216592304</v>
      </c>
      <c r="H298" s="165"/>
      <c r="I298" s="173">
        <f t="shared" si="63"/>
        <v>6871.6622130335309</v>
      </c>
      <c r="J298" s="173">
        <f t="shared" si="64"/>
        <v>7621.6306710664712</v>
      </c>
      <c r="K298" s="174">
        <f>IF(E298&gt;I298,'Electrical System Specification'!AC$4*'Electrical System Specification'!J$16*'Electrical System Specification'!D$16*'Electrical System Specification'!D$17*'Electrical System Specification'!X$16)</f>
        <v>0.70838712000000004</v>
      </c>
      <c r="L298" s="174" t="b">
        <f>IF(E298&lt;I298,'Electrical System Specification'!X$16*'Electrical System Specification'!Q$16*'Electrical System Specification'!AC$4*'Electrical System Specification'!J$16)</f>
        <v>0</v>
      </c>
      <c r="M298" s="174">
        <f t="shared" si="65"/>
        <v>0.70838712000000004</v>
      </c>
      <c r="N298" s="174">
        <f t="shared" si="66"/>
        <v>9539.0746933667106</v>
      </c>
      <c r="O298" s="173">
        <f t="shared" si="67"/>
        <v>6594.2442441119783</v>
      </c>
      <c r="P298" s="174">
        <f t="shared" si="68"/>
        <v>9308.8144291951248</v>
      </c>
      <c r="Q298" s="174">
        <f t="shared" si="76"/>
        <v>8270.8960076684452</v>
      </c>
      <c r="R298" s="174">
        <f t="shared" si="75"/>
        <v>0</v>
      </c>
      <c r="S298" s="165" t="b">
        <f t="shared" si="69"/>
        <v>0</v>
      </c>
      <c r="T298">
        <f t="shared" si="70"/>
        <v>17579.71043686357</v>
      </c>
      <c r="U298" s="176">
        <f t="shared" si="71"/>
        <v>17579.71043686357</v>
      </c>
      <c r="V298" s="165">
        <f>IF(U298&lt;V$5,V$5-U298,IF(U298&gt;=V$5,0))*('Electrical System Specification'!D$16*'Electrical System Specification'!Q$16)</f>
        <v>0</v>
      </c>
      <c r="W298" s="28">
        <f t="shared" si="72"/>
        <v>0</v>
      </c>
      <c r="X298" s="165">
        <f>IF(U298&gt;V$5,U298-V$5,0)*'Electrical System Specification'!D$17</f>
        <v>7909.5418287282746</v>
      </c>
      <c r="Y298">
        <f>(X298*C298)*'Electrical System Specification'!D$17</f>
        <v>2070.896188707557</v>
      </c>
      <c r="Z298" s="165">
        <f t="shared" si="73"/>
        <v>-2070.896188707557</v>
      </c>
      <c r="AA298" s="165">
        <f t="shared" si="74"/>
        <v>10146.812948577734</v>
      </c>
      <c r="AB298" s="165"/>
    </row>
    <row r="299" spans="3:28" x14ac:dyDescent="0.2">
      <c r="C299" s="148">
        <v>0.29151150358888639</v>
      </c>
      <c r="D299">
        <f t="shared" si="62"/>
        <v>79.045552577822392</v>
      </c>
      <c r="E299" s="164">
        <v>13465.906457145509</v>
      </c>
      <c r="F299" s="165">
        <f>E299/'Electrical System Specification'!AC$4</f>
        <v>13740.720874638275</v>
      </c>
      <c r="G299" s="146">
        <f>F299/('Electrical System Specification'!X$16*'Electrical System Specification'!J$16*'Electrical System Specification'!D$17)</f>
        <v>17108.323216592304</v>
      </c>
      <c r="H299" s="165"/>
      <c r="I299" s="173">
        <f t="shared" si="63"/>
        <v>6871.6622130335309</v>
      </c>
      <c r="J299" s="173">
        <f t="shared" si="64"/>
        <v>7621.6306710664712</v>
      </c>
      <c r="K299" s="174">
        <f>IF(E299&gt;I299,'Electrical System Specification'!AC$4*'Electrical System Specification'!J$16*'Electrical System Specification'!D$16*'Electrical System Specification'!D$17*'Electrical System Specification'!X$16)</f>
        <v>0.70838712000000004</v>
      </c>
      <c r="L299" s="174" t="b">
        <f>IF(E299&lt;I299,'Electrical System Specification'!X$16*'Electrical System Specification'!Q$16*'Electrical System Specification'!AC$4*'Electrical System Specification'!J$16)</f>
        <v>0</v>
      </c>
      <c r="M299" s="174">
        <f t="shared" si="65"/>
        <v>0.70838712000000004</v>
      </c>
      <c r="N299" s="174">
        <f t="shared" si="66"/>
        <v>9539.0746933667106</v>
      </c>
      <c r="O299" s="173">
        <f t="shared" si="67"/>
        <v>6594.2442441119783</v>
      </c>
      <c r="P299" s="174">
        <f t="shared" si="68"/>
        <v>9308.8144291951248</v>
      </c>
      <c r="Q299" s="174">
        <f t="shared" si="76"/>
        <v>8270.8960076684452</v>
      </c>
      <c r="R299" s="174">
        <f t="shared" si="75"/>
        <v>0</v>
      </c>
      <c r="S299" s="165" t="b">
        <f t="shared" si="69"/>
        <v>0</v>
      </c>
      <c r="T299">
        <f t="shared" si="70"/>
        <v>17579.71043686357</v>
      </c>
      <c r="U299" s="176">
        <f t="shared" si="71"/>
        <v>17579.71043686357</v>
      </c>
      <c r="V299" s="165">
        <f>IF(U299&lt;V$5,V$5-U299,IF(U299&gt;=V$5,0))*('Electrical System Specification'!D$16*'Electrical System Specification'!Q$16)</f>
        <v>0</v>
      </c>
      <c r="W299" s="28">
        <f t="shared" si="72"/>
        <v>0</v>
      </c>
      <c r="X299" s="165">
        <f>IF(U299&gt;V$5,U299-V$5,0)*'Electrical System Specification'!D$17</f>
        <v>7909.5418287282746</v>
      </c>
      <c r="Y299">
        <f>(X299*C299)*'Electrical System Specification'!D$17</f>
        <v>2075.1501880725923</v>
      </c>
      <c r="Z299" s="165">
        <f t="shared" si="73"/>
        <v>-2075.1501880725923</v>
      </c>
      <c r="AA299" s="165">
        <f t="shared" si="74"/>
        <v>8071.6627605051417</v>
      </c>
      <c r="AB299" s="165"/>
    </row>
    <row r="300" spans="3:28" x14ac:dyDescent="0.2">
      <c r="C300" s="148">
        <v>0.28730632375949722</v>
      </c>
      <c r="D300">
        <f t="shared" si="62"/>
        <v>79.332858901581886</v>
      </c>
      <c r="E300" s="164">
        <v>3225.0722167563076</v>
      </c>
      <c r="F300" s="165">
        <f>E300/'Electrical System Specification'!AC$4</f>
        <v>3290.8900170982733</v>
      </c>
      <c r="G300" s="146">
        <f>F300/('Electrical System Specification'!X$16*'Electrical System Specification'!J$16*'Electrical System Specification'!D$17)</f>
        <v>4097.4276820288278</v>
      </c>
      <c r="H300" s="165"/>
      <c r="I300" s="173">
        <f t="shared" si="63"/>
        <v>6871.6622130335309</v>
      </c>
      <c r="J300" s="173">
        <f t="shared" si="64"/>
        <v>7621.6306710664712</v>
      </c>
      <c r="K300" s="174" t="b">
        <f>IF(E300&gt;I300,'Electrical System Specification'!AC$4*'Electrical System Specification'!J$16*'Electrical System Specification'!D$16*'Electrical System Specification'!D$17*'Electrical System Specification'!X$16)</f>
        <v>0</v>
      </c>
      <c r="L300" s="174">
        <f>IF(E300&lt;I300,'Electrical System Specification'!X$16*'Electrical System Specification'!Q$16*'Electrical System Specification'!AC$4*'Electrical System Specification'!J$16)</f>
        <v>0.83082440000000002</v>
      </c>
      <c r="M300" s="174">
        <f t="shared" si="65"/>
        <v>0.83082440000000002</v>
      </c>
      <c r="N300" s="174">
        <f t="shared" si="66"/>
        <v>2679.4686894432293</v>
      </c>
      <c r="O300" s="173">
        <f t="shared" si="67"/>
        <v>-3646.5899962772232</v>
      </c>
      <c r="P300" s="174" t="b">
        <f t="shared" si="68"/>
        <v>0</v>
      </c>
      <c r="Q300" s="174">
        <f t="shared" si="76"/>
        <v>3225.0722167563076</v>
      </c>
      <c r="R300" s="174">
        <f t="shared" si="75"/>
        <v>3881.7735935009946</v>
      </c>
      <c r="S300" s="165">
        <f t="shared" si="69"/>
        <v>3881.7735935009946</v>
      </c>
      <c r="T300" t="b">
        <f t="shared" si="70"/>
        <v>0</v>
      </c>
      <c r="U300" s="176">
        <f t="shared" si="71"/>
        <v>3881.7735935009946</v>
      </c>
      <c r="V300" s="165">
        <f>IF(U300&lt;V$5,V$5-U300,IF(U300&gt;=V$5,0))*('Electrical System Specification'!D$16*'Electrical System Specification'!Q$16)</f>
        <v>4197.6712637831406</v>
      </c>
      <c r="W300" s="28">
        <f t="shared" si="72"/>
        <v>1206.0174991484168</v>
      </c>
      <c r="X300" s="165">
        <f>IF(U300&gt;V$5,U300-V$5,0)*'Electrical System Specification'!D$17</f>
        <v>0</v>
      </c>
      <c r="Y300">
        <f>(X300*C300)*'Electrical System Specification'!D$17</f>
        <v>0</v>
      </c>
      <c r="Z300" s="165">
        <f t="shared" si="73"/>
        <v>1206.0174991484168</v>
      </c>
      <c r="AA300" s="165">
        <f t="shared" si="74"/>
        <v>9277.6802596535581</v>
      </c>
      <c r="AB300" s="165"/>
    </row>
    <row r="301" spans="3:28" x14ac:dyDescent="0.2">
      <c r="C301" s="148">
        <v>0.27874103300357755</v>
      </c>
      <c r="D301">
        <f t="shared" si="62"/>
        <v>79.61159993458547</v>
      </c>
      <c r="E301" s="164">
        <v>11746.270514507263</v>
      </c>
      <c r="F301" s="165">
        <f>E301/'Electrical System Specification'!AC$4</f>
        <v>11985.990320925779</v>
      </c>
      <c r="G301" s="146">
        <f>F301/('Electrical System Specification'!X$16*'Electrical System Specification'!J$16*'Electrical System Specification'!D$17)</f>
        <v>14923.539918479231</v>
      </c>
      <c r="H301" s="165"/>
      <c r="I301" s="173">
        <f t="shared" si="63"/>
        <v>6871.6622130335309</v>
      </c>
      <c r="J301" s="173">
        <f t="shared" si="64"/>
        <v>7621.6306710664712</v>
      </c>
      <c r="K301" s="174">
        <f>IF(E301&gt;I301,'Electrical System Specification'!AC$4*'Electrical System Specification'!J$16*'Electrical System Specification'!D$16*'Electrical System Specification'!D$17*'Electrical System Specification'!X$16)</f>
        <v>0.70838712000000004</v>
      </c>
      <c r="L301" s="174" t="b">
        <f>IF(E301&lt;I301,'Electrical System Specification'!X$16*'Electrical System Specification'!Q$16*'Electrical System Specification'!AC$4*'Electrical System Specification'!J$16)</f>
        <v>0</v>
      </c>
      <c r="M301" s="174">
        <f t="shared" si="65"/>
        <v>0.70838712000000004</v>
      </c>
      <c r="N301" s="174">
        <f t="shared" si="66"/>
        <v>8320.9067405127189</v>
      </c>
      <c r="O301" s="173">
        <f t="shared" si="67"/>
        <v>4874.6083014737324</v>
      </c>
      <c r="P301" s="174">
        <f t="shared" si="68"/>
        <v>6881.2774312917099</v>
      </c>
      <c r="Q301" s="174">
        <f t="shared" si="76"/>
        <v>8270.8960076684452</v>
      </c>
      <c r="R301" s="174">
        <f t="shared" si="75"/>
        <v>0</v>
      </c>
      <c r="S301" s="165" t="b">
        <f t="shared" si="69"/>
        <v>0</v>
      </c>
      <c r="T301">
        <f t="shared" si="70"/>
        <v>15152.173438960155</v>
      </c>
      <c r="U301" s="176">
        <f t="shared" si="71"/>
        <v>15152.173438960155</v>
      </c>
      <c r="V301" s="165">
        <f>IF(U301&lt;V$5,V$5-U301,IF(U301&gt;=V$5,0))*('Electrical System Specification'!D$16*'Electrical System Specification'!Q$16)</f>
        <v>0</v>
      </c>
      <c r="W301" s="28">
        <f t="shared" si="72"/>
        <v>0</v>
      </c>
      <c r="X301" s="165">
        <f>IF(U301&gt;V$5,U301-V$5,0)*'Electrical System Specification'!D$17</f>
        <v>5724.7585306152014</v>
      </c>
      <c r="Y301">
        <f>(X301*C301)*'Electrical System Specification'!D$17</f>
        <v>1436.1525958677516</v>
      </c>
      <c r="Z301" s="165">
        <f t="shared" si="73"/>
        <v>-1436.1525958677516</v>
      </c>
      <c r="AA301" s="165">
        <f t="shared" si="74"/>
        <v>7841.527663785806</v>
      </c>
      <c r="AB301" s="165"/>
    </row>
    <row r="302" spans="3:28" x14ac:dyDescent="0.2">
      <c r="C302" s="148">
        <v>0.27096230310228681</v>
      </c>
      <c r="D302">
        <f t="shared" si="62"/>
        <v>79.88256223768775</v>
      </c>
      <c r="E302" s="164">
        <v>8719.2170294856278</v>
      </c>
      <c r="F302" s="165">
        <f>E302/'Electrical System Specification'!AC$4</f>
        <v>8897.1602341690086</v>
      </c>
      <c r="G302" s="146">
        <f>F302/('Electrical System Specification'!X$16*'Electrical System Specification'!J$16*'Electrical System Specification'!D$17)</f>
        <v>11077.693403766383</v>
      </c>
      <c r="H302" s="165"/>
      <c r="I302" s="173">
        <f t="shared" si="63"/>
        <v>6871.6622130335309</v>
      </c>
      <c r="J302" s="173">
        <f t="shared" si="64"/>
        <v>7621.6306710664712</v>
      </c>
      <c r="K302" s="174">
        <f>IF(E302&gt;I302,'Electrical System Specification'!AC$4*'Electrical System Specification'!J$16*'Electrical System Specification'!D$16*'Electrical System Specification'!D$17*'Electrical System Specification'!X$16)</f>
        <v>0.70838712000000004</v>
      </c>
      <c r="L302" s="174" t="b">
        <f>IF(E302&lt;I302,'Electrical System Specification'!X$16*'Electrical System Specification'!Q$16*'Electrical System Specification'!AC$4*'Electrical System Specification'!J$16)</f>
        <v>0</v>
      </c>
      <c r="M302" s="174">
        <f t="shared" si="65"/>
        <v>0.70838712000000004</v>
      </c>
      <c r="N302" s="174">
        <f t="shared" si="66"/>
        <v>6176.5810401722792</v>
      </c>
      <c r="O302" s="173">
        <f t="shared" si="67"/>
        <v>1847.5548164520969</v>
      </c>
      <c r="P302" s="174">
        <f t="shared" si="68"/>
        <v>2608.1146371663235</v>
      </c>
      <c r="Q302" s="174">
        <f t="shared" si="76"/>
        <v>8270.8960076684452</v>
      </c>
      <c r="R302" s="174">
        <f t="shared" si="75"/>
        <v>0</v>
      </c>
      <c r="S302" s="165" t="b">
        <f t="shared" si="69"/>
        <v>0</v>
      </c>
      <c r="T302">
        <f t="shared" si="70"/>
        <v>10879.010644834769</v>
      </c>
      <c r="U302" s="176">
        <f t="shared" si="71"/>
        <v>10879.010644834769</v>
      </c>
      <c r="V302" s="165">
        <f>IF(U302&lt;V$5,V$5-U302,IF(U302&gt;=V$5,0))*('Electrical System Specification'!D$16*'Electrical System Specification'!Q$16)</f>
        <v>0</v>
      </c>
      <c r="W302" s="28">
        <f t="shared" si="72"/>
        <v>0</v>
      </c>
      <c r="X302" s="165">
        <f>IF(U302&gt;V$5,U302-V$5,0)*'Electrical System Specification'!D$17</f>
        <v>1878.9120159023532</v>
      </c>
      <c r="Y302">
        <f>(X302*C302)*'Electrical System Specification'!D$17</f>
        <v>458.20289443991595</v>
      </c>
      <c r="Z302" s="165">
        <f t="shared" si="73"/>
        <v>-458.20289443991595</v>
      </c>
      <c r="AA302" s="165">
        <f t="shared" si="74"/>
        <v>7383.3247693458898</v>
      </c>
      <c r="AB302" s="165"/>
    </row>
    <row r="303" spans="3:28" x14ac:dyDescent="0.2">
      <c r="C303" s="148">
        <v>0.26381934930746526</v>
      </c>
      <c r="D303">
        <f t="shared" si="62"/>
        <v>80.146381586995219</v>
      </c>
      <c r="E303" s="164">
        <v>0</v>
      </c>
      <c r="F303" s="165">
        <f>E303/'Electrical System Specification'!AC$4</f>
        <v>0</v>
      </c>
      <c r="G303" s="146">
        <f>F303/('Electrical System Specification'!X$16*'Electrical System Specification'!J$16*'Electrical System Specification'!D$17)</f>
        <v>0</v>
      </c>
      <c r="H303" s="165"/>
      <c r="I303" s="173">
        <f t="shared" si="63"/>
        <v>6871.6622130335309</v>
      </c>
      <c r="J303" s="173">
        <f t="shared" si="64"/>
        <v>7621.6306710664712</v>
      </c>
      <c r="K303" s="174" t="b">
        <f>IF(E303&gt;I303,'Electrical System Specification'!AC$4*'Electrical System Specification'!J$16*'Electrical System Specification'!D$16*'Electrical System Specification'!D$17*'Electrical System Specification'!X$16)</f>
        <v>0</v>
      </c>
      <c r="L303" s="174">
        <f>IF(E303&lt;I303,'Electrical System Specification'!X$16*'Electrical System Specification'!Q$16*'Electrical System Specification'!AC$4*'Electrical System Specification'!J$16)</f>
        <v>0.83082440000000002</v>
      </c>
      <c r="M303" s="174">
        <f t="shared" si="65"/>
        <v>0.83082440000000002</v>
      </c>
      <c r="N303" s="174">
        <f t="shared" si="66"/>
        <v>0</v>
      </c>
      <c r="O303" s="173">
        <f t="shared" si="67"/>
        <v>-6871.6622130335309</v>
      </c>
      <c r="P303" s="174" t="b">
        <f t="shared" si="68"/>
        <v>0</v>
      </c>
      <c r="Q303" s="174">
        <f t="shared" si="76"/>
        <v>0</v>
      </c>
      <c r="R303" s="174">
        <f t="shared" si="75"/>
        <v>0</v>
      </c>
      <c r="S303" s="165">
        <f t="shared" si="69"/>
        <v>0</v>
      </c>
      <c r="T303" t="b">
        <f t="shared" si="70"/>
        <v>0</v>
      </c>
      <c r="U303" s="176">
        <f t="shared" si="71"/>
        <v>0</v>
      </c>
      <c r="V303" s="165">
        <f>IF(U303&lt;V$5,V$5-U303,IF(U303&gt;=V$5,0))*('Electrical System Specification'!D$16*'Electrical System Specification'!Q$16)</f>
        <v>7516.5876862264913</v>
      </c>
      <c r="W303" s="28">
        <f t="shared" si="72"/>
        <v>1983.0212723927787</v>
      </c>
      <c r="X303" s="165">
        <f>IF(U303&gt;V$5,U303-V$5,0)*'Electrical System Specification'!D$17</f>
        <v>0</v>
      </c>
      <c r="Y303">
        <f>(X303*C303)*'Electrical System Specification'!D$17</f>
        <v>0</v>
      </c>
      <c r="Z303" s="165">
        <f t="shared" si="73"/>
        <v>1983.0212723927787</v>
      </c>
      <c r="AA303" s="165">
        <f t="shared" si="74"/>
        <v>9366.3460417386686</v>
      </c>
      <c r="AB303" s="165"/>
    </row>
    <row r="304" spans="3:28" x14ac:dyDescent="0.2">
      <c r="C304" s="148">
        <v>0.26433045226732005</v>
      </c>
      <c r="D304">
        <f t="shared" si="62"/>
        <v>80.410712039262535</v>
      </c>
      <c r="E304" s="164">
        <v>0</v>
      </c>
      <c r="F304" s="165">
        <f>E304/'Electrical System Specification'!AC$4</f>
        <v>0</v>
      </c>
      <c r="G304" s="146">
        <f>F304/('Electrical System Specification'!X$16*'Electrical System Specification'!J$16*'Electrical System Specification'!D$17)</f>
        <v>0</v>
      </c>
      <c r="H304" s="165"/>
      <c r="I304" s="173">
        <f t="shared" si="63"/>
        <v>6871.6622130335309</v>
      </c>
      <c r="J304" s="173">
        <f t="shared" si="64"/>
        <v>7621.6306710664712</v>
      </c>
      <c r="K304" s="174" t="b">
        <f>IF(E304&gt;I304,'Electrical System Specification'!AC$4*'Electrical System Specification'!J$16*'Electrical System Specification'!D$16*'Electrical System Specification'!D$17*'Electrical System Specification'!X$16)</f>
        <v>0</v>
      </c>
      <c r="L304" s="174">
        <f>IF(E304&lt;I304,'Electrical System Specification'!X$16*'Electrical System Specification'!Q$16*'Electrical System Specification'!AC$4*'Electrical System Specification'!J$16)</f>
        <v>0.83082440000000002</v>
      </c>
      <c r="M304" s="174">
        <f t="shared" si="65"/>
        <v>0.83082440000000002</v>
      </c>
      <c r="N304" s="174">
        <f t="shared" si="66"/>
        <v>0</v>
      </c>
      <c r="O304" s="173">
        <f t="shared" si="67"/>
        <v>-6871.6622130335309</v>
      </c>
      <c r="P304" s="174" t="b">
        <f t="shared" si="68"/>
        <v>0</v>
      </c>
      <c r="Q304" s="174">
        <f t="shared" si="76"/>
        <v>0</v>
      </c>
      <c r="R304" s="174">
        <f t="shared" si="75"/>
        <v>0</v>
      </c>
      <c r="S304" s="165">
        <f t="shared" si="69"/>
        <v>0</v>
      </c>
      <c r="T304" t="b">
        <f t="shared" si="70"/>
        <v>0</v>
      </c>
      <c r="U304" s="176">
        <f t="shared" si="71"/>
        <v>0</v>
      </c>
      <c r="V304" s="165">
        <f>IF(U304&lt;V$5,V$5-U304,IF(U304&gt;=V$5,0))*('Electrical System Specification'!D$16*'Electrical System Specification'!Q$16)</f>
        <v>7516.5876862264913</v>
      </c>
      <c r="W304" s="28">
        <f t="shared" si="72"/>
        <v>1986.8630226072173</v>
      </c>
      <c r="X304" s="165">
        <f>IF(U304&gt;V$5,U304-V$5,0)*'Electrical System Specification'!D$17</f>
        <v>0</v>
      </c>
      <c r="Y304">
        <f>(X304*C304)*'Electrical System Specification'!D$17</f>
        <v>0</v>
      </c>
      <c r="Z304" s="165">
        <f t="shared" si="73"/>
        <v>1986.8630226072173</v>
      </c>
      <c r="AA304" s="165">
        <f t="shared" si="74"/>
        <v>11353.209064345887</v>
      </c>
      <c r="AB304" s="165"/>
    </row>
    <row r="305" spans="3:28" x14ac:dyDescent="0.2">
      <c r="C305" s="148">
        <v>0.26125709785040441</v>
      </c>
      <c r="D305">
        <f t="shared" si="62"/>
        <v>80.671969137112939</v>
      </c>
      <c r="E305" s="164">
        <v>0</v>
      </c>
      <c r="F305" s="165">
        <f>E305/'Electrical System Specification'!AC$4</f>
        <v>0</v>
      </c>
      <c r="G305" s="146">
        <f>F305/('Electrical System Specification'!X$16*'Electrical System Specification'!J$16*'Electrical System Specification'!D$17)</f>
        <v>0</v>
      </c>
      <c r="H305" s="165"/>
      <c r="I305" s="173">
        <f t="shared" si="63"/>
        <v>6871.6622130335309</v>
      </c>
      <c r="J305" s="173">
        <f t="shared" si="64"/>
        <v>7621.6306710664712</v>
      </c>
      <c r="K305" s="174" t="b">
        <f>IF(E305&gt;I305,'Electrical System Specification'!AC$4*'Electrical System Specification'!J$16*'Electrical System Specification'!D$16*'Electrical System Specification'!D$17*'Electrical System Specification'!X$16)</f>
        <v>0</v>
      </c>
      <c r="L305" s="174">
        <f>IF(E305&lt;I305,'Electrical System Specification'!X$16*'Electrical System Specification'!Q$16*'Electrical System Specification'!AC$4*'Electrical System Specification'!J$16)</f>
        <v>0.83082440000000002</v>
      </c>
      <c r="M305" s="174">
        <f t="shared" si="65"/>
        <v>0.83082440000000002</v>
      </c>
      <c r="N305" s="174">
        <f t="shared" si="66"/>
        <v>0</v>
      </c>
      <c r="O305" s="173">
        <f t="shared" si="67"/>
        <v>-6871.6622130335309</v>
      </c>
      <c r="P305" s="174" t="b">
        <f t="shared" si="68"/>
        <v>0</v>
      </c>
      <c r="Q305" s="174">
        <f t="shared" si="76"/>
        <v>0</v>
      </c>
      <c r="R305" s="174">
        <f t="shared" si="75"/>
        <v>0</v>
      </c>
      <c r="S305" s="165">
        <f t="shared" si="69"/>
        <v>0</v>
      </c>
      <c r="T305" t="b">
        <f t="shared" si="70"/>
        <v>0</v>
      </c>
      <c r="U305" s="176">
        <f t="shared" si="71"/>
        <v>0</v>
      </c>
      <c r="V305" s="165">
        <f>IF(U305&lt;V$5,V$5-U305,IF(U305&gt;=V$5,0))*('Electrical System Specification'!D$16*'Electrical System Specification'!Q$16)</f>
        <v>7516.5876862264913</v>
      </c>
      <c r="W305" s="28">
        <f t="shared" si="72"/>
        <v>1963.7618846416192</v>
      </c>
      <c r="X305" s="165">
        <f>IF(U305&gt;V$5,U305-V$5,0)*'Electrical System Specification'!D$17</f>
        <v>0</v>
      </c>
      <c r="Y305">
        <f>(X305*C305)*'Electrical System Specification'!D$17</f>
        <v>0</v>
      </c>
      <c r="Z305" s="165">
        <f t="shared" si="73"/>
        <v>1963.7618846416192</v>
      </c>
      <c r="AA305" s="165">
        <f t="shared" si="74"/>
        <v>13316.970948987506</v>
      </c>
      <c r="AB305" s="165"/>
    </row>
    <row r="306" spans="3:28" x14ac:dyDescent="0.2">
      <c r="C306" s="148">
        <v>0.25765159319157177</v>
      </c>
      <c r="D306">
        <f t="shared" si="62"/>
        <v>80.929620730304507</v>
      </c>
      <c r="E306" s="164">
        <v>0</v>
      </c>
      <c r="F306" s="165">
        <f>E306/'Electrical System Specification'!AC$4</f>
        <v>0</v>
      </c>
      <c r="G306" s="146">
        <f>F306/('Electrical System Specification'!X$16*'Electrical System Specification'!J$16*'Electrical System Specification'!D$17)</f>
        <v>0</v>
      </c>
      <c r="H306" s="165"/>
      <c r="I306" s="173">
        <f t="shared" si="63"/>
        <v>6871.6622130335309</v>
      </c>
      <c r="J306" s="173">
        <f t="shared" si="64"/>
        <v>7621.6306710664712</v>
      </c>
      <c r="K306" s="174" t="b">
        <f>IF(E306&gt;I306,'Electrical System Specification'!AC$4*'Electrical System Specification'!J$16*'Electrical System Specification'!D$16*'Electrical System Specification'!D$17*'Electrical System Specification'!X$16)</f>
        <v>0</v>
      </c>
      <c r="L306" s="174">
        <f>IF(E306&lt;I306,'Electrical System Specification'!X$16*'Electrical System Specification'!Q$16*'Electrical System Specification'!AC$4*'Electrical System Specification'!J$16)</f>
        <v>0.83082440000000002</v>
      </c>
      <c r="M306" s="174">
        <f t="shared" si="65"/>
        <v>0.83082440000000002</v>
      </c>
      <c r="N306" s="174">
        <f t="shared" si="66"/>
        <v>0</v>
      </c>
      <c r="O306" s="173">
        <f t="shared" si="67"/>
        <v>-6871.6622130335309</v>
      </c>
      <c r="P306" s="174" t="b">
        <f t="shared" si="68"/>
        <v>0</v>
      </c>
      <c r="Q306" s="174">
        <f t="shared" si="76"/>
        <v>0</v>
      </c>
      <c r="R306" s="174">
        <f t="shared" si="75"/>
        <v>0</v>
      </c>
      <c r="S306" s="165">
        <f t="shared" si="69"/>
        <v>0</v>
      </c>
      <c r="T306" t="b">
        <f t="shared" si="70"/>
        <v>0</v>
      </c>
      <c r="U306" s="176">
        <f t="shared" si="71"/>
        <v>0</v>
      </c>
      <c r="V306" s="165">
        <f>IF(U306&lt;V$5,V$5-U306,IF(U306&gt;=V$5,0))*('Electrical System Specification'!D$16*'Electrical System Specification'!Q$16)</f>
        <v>7516.5876862264913</v>
      </c>
      <c r="W306" s="28">
        <f t="shared" si="72"/>
        <v>1936.6607927204057</v>
      </c>
      <c r="X306" s="165">
        <f>IF(U306&gt;V$5,U306-V$5,0)*'Electrical System Specification'!D$17</f>
        <v>0</v>
      </c>
      <c r="Y306">
        <f>(X306*C306)*'Electrical System Specification'!D$17</f>
        <v>0</v>
      </c>
      <c r="Z306" s="165">
        <f t="shared" si="73"/>
        <v>1936.6607927204057</v>
      </c>
      <c r="AA306" s="165">
        <f t="shared" si="74"/>
        <v>15253.631741707912</v>
      </c>
      <c r="AB306" s="165"/>
    </row>
    <row r="307" spans="3:28" x14ac:dyDescent="0.2">
      <c r="C307" s="148">
        <v>0.25219692833237661</v>
      </c>
      <c r="D307">
        <f t="shared" si="62"/>
        <v>81.181817658636888</v>
      </c>
      <c r="E307" s="164">
        <v>0</v>
      </c>
      <c r="F307" s="165">
        <f>E307/'Electrical System Specification'!AC$4</f>
        <v>0</v>
      </c>
      <c r="G307" s="146">
        <f>F307/('Electrical System Specification'!X$16*'Electrical System Specification'!J$16*'Electrical System Specification'!D$17)</f>
        <v>0</v>
      </c>
      <c r="H307" s="165"/>
      <c r="I307" s="173">
        <f t="shared" si="63"/>
        <v>6871.6622130335309</v>
      </c>
      <c r="J307" s="173">
        <f t="shared" si="64"/>
        <v>7621.6306710664712</v>
      </c>
      <c r="K307" s="174" t="b">
        <f>IF(E307&gt;I307,'Electrical System Specification'!AC$4*'Electrical System Specification'!J$16*'Electrical System Specification'!D$16*'Electrical System Specification'!D$17*'Electrical System Specification'!X$16)</f>
        <v>0</v>
      </c>
      <c r="L307" s="174">
        <f>IF(E307&lt;I307,'Electrical System Specification'!X$16*'Electrical System Specification'!Q$16*'Electrical System Specification'!AC$4*'Electrical System Specification'!J$16)</f>
        <v>0.83082440000000002</v>
      </c>
      <c r="M307" s="174">
        <f t="shared" si="65"/>
        <v>0.83082440000000002</v>
      </c>
      <c r="N307" s="174">
        <f t="shared" si="66"/>
        <v>0</v>
      </c>
      <c r="O307" s="173">
        <f t="shared" si="67"/>
        <v>-6871.6622130335309</v>
      </c>
      <c r="P307" s="174" t="b">
        <f t="shared" si="68"/>
        <v>0</v>
      </c>
      <c r="Q307" s="174">
        <f t="shared" si="76"/>
        <v>0</v>
      </c>
      <c r="R307" s="174">
        <f t="shared" si="75"/>
        <v>0</v>
      </c>
      <c r="S307" s="165">
        <f t="shared" si="69"/>
        <v>0</v>
      </c>
      <c r="T307" t="b">
        <f t="shared" si="70"/>
        <v>0</v>
      </c>
      <c r="U307" s="176">
        <f t="shared" si="71"/>
        <v>0</v>
      </c>
      <c r="V307" s="165">
        <f>IF(U307&lt;V$5,V$5-U307,IF(U307&gt;=V$5,0))*('Electrical System Specification'!D$16*'Electrical System Specification'!Q$16)</f>
        <v>7516.5876862264913</v>
      </c>
      <c r="W307" s="28">
        <f t="shared" si="72"/>
        <v>1895.660326007287</v>
      </c>
      <c r="X307" s="165">
        <f>IF(U307&gt;V$5,U307-V$5,0)*'Electrical System Specification'!D$17</f>
        <v>0</v>
      </c>
      <c r="Y307">
        <f>(X307*C307)*'Electrical System Specification'!D$17</f>
        <v>0</v>
      </c>
      <c r="Z307" s="165">
        <f t="shared" si="73"/>
        <v>1895.660326007287</v>
      </c>
      <c r="AA307" s="165">
        <f t="shared" si="74"/>
        <v>17149.2920677152</v>
      </c>
      <c r="AB307" s="165"/>
    </row>
    <row r="308" spans="3:28" x14ac:dyDescent="0.2">
      <c r="C308" s="148">
        <v>0.2455247247924548</v>
      </c>
      <c r="D308">
        <f t="shared" si="62"/>
        <v>81.427342383429348</v>
      </c>
      <c r="E308" s="164">
        <v>0</v>
      </c>
      <c r="F308" s="165">
        <f>E308/'Electrical System Specification'!AC$4</f>
        <v>0</v>
      </c>
      <c r="G308" s="146">
        <f>F308/('Electrical System Specification'!X$16*'Electrical System Specification'!J$16*'Electrical System Specification'!D$17)</f>
        <v>0</v>
      </c>
      <c r="H308" s="165"/>
      <c r="I308" s="173">
        <f t="shared" si="63"/>
        <v>6871.6622130335309</v>
      </c>
      <c r="J308" s="173">
        <f t="shared" si="64"/>
        <v>7621.6306710664712</v>
      </c>
      <c r="K308" s="174" t="b">
        <f>IF(E308&gt;I308,'Electrical System Specification'!AC$4*'Electrical System Specification'!J$16*'Electrical System Specification'!D$16*'Electrical System Specification'!D$17*'Electrical System Specification'!X$16)</f>
        <v>0</v>
      </c>
      <c r="L308" s="174">
        <f>IF(E308&lt;I308,'Electrical System Specification'!X$16*'Electrical System Specification'!Q$16*'Electrical System Specification'!AC$4*'Electrical System Specification'!J$16)</f>
        <v>0.83082440000000002</v>
      </c>
      <c r="M308" s="174">
        <f t="shared" si="65"/>
        <v>0.83082440000000002</v>
      </c>
      <c r="N308" s="174">
        <f t="shared" si="66"/>
        <v>0</v>
      </c>
      <c r="O308" s="173">
        <f t="shared" si="67"/>
        <v>-6871.6622130335309</v>
      </c>
      <c r="P308" s="174" t="b">
        <f t="shared" si="68"/>
        <v>0</v>
      </c>
      <c r="Q308" s="174">
        <f t="shared" si="76"/>
        <v>0</v>
      </c>
      <c r="R308" s="174">
        <f t="shared" si="75"/>
        <v>0</v>
      </c>
      <c r="S308" s="165">
        <f t="shared" si="69"/>
        <v>0</v>
      </c>
      <c r="T308" t="b">
        <f t="shared" si="70"/>
        <v>0</v>
      </c>
      <c r="U308" s="176">
        <f t="shared" si="71"/>
        <v>0</v>
      </c>
      <c r="V308" s="165">
        <f>IF(U308&lt;V$5,V$5-U308,IF(U308&gt;=V$5,0))*('Electrical System Specification'!D$16*'Electrical System Specification'!Q$16)</f>
        <v>7516.5876862264913</v>
      </c>
      <c r="W308" s="28">
        <f t="shared" si="72"/>
        <v>1845.5081230391138</v>
      </c>
      <c r="X308" s="165">
        <f>IF(U308&gt;V$5,U308-V$5,0)*'Electrical System Specification'!D$17</f>
        <v>0</v>
      </c>
      <c r="Y308">
        <f>(X308*C308)*'Electrical System Specification'!D$17</f>
        <v>0</v>
      </c>
      <c r="Z308" s="165">
        <f t="shared" si="73"/>
        <v>1845.5081230391138</v>
      </c>
      <c r="AA308" s="165">
        <f t="shared" si="74"/>
        <v>18994.800190754315</v>
      </c>
      <c r="AB308" s="165"/>
    </row>
    <row r="309" spans="3:28" x14ac:dyDescent="0.2">
      <c r="C309" s="148">
        <v>0.23864764307612391</v>
      </c>
      <c r="D309">
        <f t="shared" si="62"/>
        <v>81.665990026505469</v>
      </c>
      <c r="E309" s="164">
        <v>0</v>
      </c>
      <c r="F309" s="165">
        <f>E309/'Electrical System Specification'!AC$4</f>
        <v>0</v>
      </c>
      <c r="G309" s="146">
        <f>F309/('Electrical System Specification'!X$16*'Electrical System Specification'!J$16*'Electrical System Specification'!D$17)</f>
        <v>0</v>
      </c>
      <c r="H309" s="165"/>
      <c r="I309" s="173">
        <f t="shared" si="63"/>
        <v>6871.6622130335309</v>
      </c>
      <c r="J309" s="173">
        <f t="shared" si="64"/>
        <v>7621.6306710664712</v>
      </c>
      <c r="K309" s="174" t="b">
        <f>IF(E309&gt;I309,'Electrical System Specification'!AC$4*'Electrical System Specification'!J$16*'Electrical System Specification'!D$16*'Electrical System Specification'!D$17*'Electrical System Specification'!X$16)</f>
        <v>0</v>
      </c>
      <c r="L309" s="174">
        <f>IF(E309&lt;I309,'Electrical System Specification'!X$16*'Electrical System Specification'!Q$16*'Electrical System Specification'!AC$4*'Electrical System Specification'!J$16)</f>
        <v>0.83082440000000002</v>
      </c>
      <c r="M309" s="174">
        <f t="shared" si="65"/>
        <v>0.83082440000000002</v>
      </c>
      <c r="N309" s="174">
        <f t="shared" si="66"/>
        <v>0</v>
      </c>
      <c r="O309" s="173">
        <f t="shared" si="67"/>
        <v>-6871.6622130335309</v>
      </c>
      <c r="P309" s="174" t="b">
        <f t="shared" si="68"/>
        <v>0</v>
      </c>
      <c r="Q309" s="174">
        <f t="shared" si="76"/>
        <v>0</v>
      </c>
      <c r="R309" s="174">
        <f t="shared" si="75"/>
        <v>0</v>
      </c>
      <c r="S309" s="165">
        <f t="shared" si="69"/>
        <v>0</v>
      </c>
      <c r="T309" t="b">
        <f t="shared" si="70"/>
        <v>0</v>
      </c>
      <c r="U309" s="176">
        <f t="shared" si="71"/>
        <v>0</v>
      </c>
      <c r="V309" s="165">
        <f>IF(U309&lt;V$5,V$5-U309,IF(U309&gt;=V$5,0))*('Electrical System Specification'!D$16*'Electrical System Specification'!Q$16)</f>
        <v>7516.5876862264913</v>
      </c>
      <c r="W309" s="28">
        <f t="shared" si="72"/>
        <v>1793.8159352929677</v>
      </c>
      <c r="X309" s="165">
        <f>IF(U309&gt;V$5,U309-V$5,0)*'Electrical System Specification'!D$17</f>
        <v>0</v>
      </c>
      <c r="Y309">
        <f>(X309*C309)*'Electrical System Specification'!D$17</f>
        <v>0</v>
      </c>
      <c r="Z309" s="165">
        <f t="shared" si="73"/>
        <v>1793.8159352929677</v>
      </c>
      <c r="AA309" s="165">
        <f t="shared" si="74"/>
        <v>20788.616126047284</v>
      </c>
      <c r="AB309" s="165"/>
    </row>
    <row r="310" spans="3:28" x14ac:dyDescent="0.2">
      <c r="C310" s="148">
        <v>0.23189643678154395</v>
      </c>
      <c r="D310">
        <f t="shared" si="62"/>
        <v>81.897886463287008</v>
      </c>
      <c r="E310" s="164">
        <v>0</v>
      </c>
      <c r="F310" s="165">
        <f>E310/'Electrical System Specification'!AC$4</f>
        <v>0</v>
      </c>
      <c r="G310" s="146">
        <f>F310/('Electrical System Specification'!X$16*'Electrical System Specification'!J$16*'Electrical System Specification'!D$17)</f>
        <v>0</v>
      </c>
      <c r="H310" s="165"/>
      <c r="I310" s="173">
        <f t="shared" si="63"/>
        <v>6871.6622130335309</v>
      </c>
      <c r="J310" s="173">
        <f t="shared" si="64"/>
        <v>7621.6306710664712</v>
      </c>
      <c r="K310" s="174" t="b">
        <f>IF(E310&gt;I310,'Electrical System Specification'!AC$4*'Electrical System Specification'!J$16*'Electrical System Specification'!D$16*'Electrical System Specification'!D$17*'Electrical System Specification'!X$16)</f>
        <v>0</v>
      </c>
      <c r="L310" s="174">
        <f>IF(E310&lt;I310,'Electrical System Specification'!X$16*'Electrical System Specification'!Q$16*'Electrical System Specification'!AC$4*'Electrical System Specification'!J$16)</f>
        <v>0.83082440000000002</v>
      </c>
      <c r="M310" s="174">
        <f t="shared" si="65"/>
        <v>0.83082440000000002</v>
      </c>
      <c r="N310" s="174">
        <f t="shared" si="66"/>
        <v>0</v>
      </c>
      <c r="O310" s="173">
        <f t="shared" si="67"/>
        <v>-6871.6622130335309</v>
      </c>
      <c r="P310" s="174" t="b">
        <f t="shared" si="68"/>
        <v>0</v>
      </c>
      <c r="Q310" s="174">
        <f t="shared" si="76"/>
        <v>0</v>
      </c>
      <c r="R310" s="174">
        <f t="shared" si="75"/>
        <v>0</v>
      </c>
      <c r="S310" s="165">
        <f t="shared" si="69"/>
        <v>0</v>
      </c>
      <c r="T310" t="b">
        <f t="shared" si="70"/>
        <v>0</v>
      </c>
      <c r="U310" s="176">
        <f t="shared" si="71"/>
        <v>0</v>
      </c>
      <c r="V310" s="165">
        <f>IF(U310&lt;V$5,V$5-U310,IF(U310&gt;=V$5,0))*('Electrical System Specification'!D$16*'Electrical System Specification'!Q$16)</f>
        <v>7516.5876862264913</v>
      </c>
      <c r="W310" s="28">
        <f t="shared" si="72"/>
        <v>1743.0699011919532</v>
      </c>
      <c r="X310" s="165">
        <f>IF(U310&gt;V$5,U310-V$5,0)*'Electrical System Specification'!D$17</f>
        <v>0</v>
      </c>
      <c r="Y310">
        <f>(X310*C310)*'Electrical System Specification'!D$17</f>
        <v>0</v>
      </c>
      <c r="Z310" s="165">
        <f t="shared" si="73"/>
        <v>1743.0699011919532</v>
      </c>
      <c r="AA310" s="165">
        <f t="shared" si="74"/>
        <v>22531.686027239237</v>
      </c>
      <c r="AB310" s="165"/>
    </row>
    <row r="311" spans="3:28" x14ac:dyDescent="0.2">
      <c r="C311" s="148">
        <v>0.22546099579466719</v>
      </c>
      <c r="D311">
        <f t="shared" si="62"/>
        <v>82.123347459081671</v>
      </c>
      <c r="E311" s="164">
        <v>0</v>
      </c>
      <c r="F311" s="165">
        <f>E311/'Electrical System Specification'!AC$4</f>
        <v>0</v>
      </c>
      <c r="G311" s="146">
        <f>F311/('Electrical System Specification'!X$16*'Electrical System Specification'!J$16*'Electrical System Specification'!D$17)</f>
        <v>0</v>
      </c>
      <c r="H311" s="165"/>
      <c r="I311" s="173">
        <f t="shared" si="63"/>
        <v>6871.6622130335309</v>
      </c>
      <c r="J311" s="173">
        <f t="shared" si="64"/>
        <v>7621.6306710664712</v>
      </c>
      <c r="K311" s="174" t="b">
        <f>IF(E311&gt;I311,'Electrical System Specification'!AC$4*'Electrical System Specification'!J$16*'Electrical System Specification'!D$16*'Electrical System Specification'!D$17*'Electrical System Specification'!X$16)</f>
        <v>0</v>
      </c>
      <c r="L311" s="174">
        <f>IF(E311&lt;I311,'Electrical System Specification'!X$16*'Electrical System Specification'!Q$16*'Electrical System Specification'!AC$4*'Electrical System Specification'!J$16)</f>
        <v>0.83082440000000002</v>
      </c>
      <c r="M311" s="174">
        <f t="shared" si="65"/>
        <v>0.83082440000000002</v>
      </c>
      <c r="N311" s="174">
        <f t="shared" si="66"/>
        <v>0</v>
      </c>
      <c r="O311" s="173">
        <f t="shared" si="67"/>
        <v>-6871.6622130335309</v>
      </c>
      <c r="P311" s="174" t="b">
        <f t="shared" si="68"/>
        <v>0</v>
      </c>
      <c r="Q311" s="174">
        <f t="shared" si="76"/>
        <v>0</v>
      </c>
      <c r="R311" s="174">
        <f t="shared" si="75"/>
        <v>0</v>
      </c>
      <c r="S311" s="165">
        <f t="shared" si="69"/>
        <v>0</v>
      </c>
      <c r="T311" t="b">
        <f t="shared" si="70"/>
        <v>0</v>
      </c>
      <c r="U311" s="176">
        <f t="shared" si="71"/>
        <v>0</v>
      </c>
      <c r="V311" s="165">
        <f>IF(U311&lt;V$5,V$5-U311,IF(U311&gt;=V$5,0))*('Electrical System Specification'!D$16*'Electrical System Specification'!Q$16)</f>
        <v>7516.5876862264913</v>
      </c>
      <c r="W311" s="28">
        <f t="shared" si="72"/>
        <v>1694.6973447145581</v>
      </c>
      <c r="X311" s="165">
        <f>IF(U311&gt;V$5,U311-V$5,0)*'Electrical System Specification'!D$17</f>
        <v>0</v>
      </c>
      <c r="Y311">
        <f>(X311*C311)*'Electrical System Specification'!D$17</f>
        <v>0</v>
      </c>
      <c r="Z311" s="165">
        <f t="shared" si="73"/>
        <v>1694.6973447145581</v>
      </c>
      <c r="AA311" s="165">
        <f t="shared" si="74"/>
        <v>24226.383371953794</v>
      </c>
      <c r="AB311" s="165"/>
    </row>
    <row r="312" spans="3:28" x14ac:dyDescent="0.2">
      <c r="C312" s="148">
        <v>0.21529611892368394</v>
      </c>
      <c r="D312">
        <f t="shared" si="62"/>
        <v>82.33864357800536</v>
      </c>
      <c r="E312" s="164">
        <v>3586.4720281922669</v>
      </c>
      <c r="F312" s="165">
        <f>E312/'Electrical System Specification'!AC$4</f>
        <v>3659.6653348900682</v>
      </c>
      <c r="G312" s="146">
        <f>F312/('Electrical System Specification'!X$16*'Electrical System Specification'!J$16*'Electrical System Specification'!D$17)</f>
        <v>4556.583165110399</v>
      </c>
      <c r="H312" s="165"/>
      <c r="I312" s="173">
        <f t="shared" si="63"/>
        <v>6871.6622130335309</v>
      </c>
      <c r="J312" s="173">
        <f t="shared" si="64"/>
        <v>7621.6306710664712</v>
      </c>
      <c r="K312" s="174" t="b">
        <f>IF(E312&gt;I312,'Electrical System Specification'!AC$4*'Electrical System Specification'!J$16*'Electrical System Specification'!D$16*'Electrical System Specification'!D$17*'Electrical System Specification'!X$16)</f>
        <v>0</v>
      </c>
      <c r="L312" s="174">
        <f>IF(E312&lt;I312,'Electrical System Specification'!X$16*'Electrical System Specification'!Q$16*'Electrical System Specification'!AC$4*'Electrical System Specification'!J$16)</f>
        <v>0.83082440000000002</v>
      </c>
      <c r="M312" s="174">
        <f t="shared" si="65"/>
        <v>0.83082440000000002</v>
      </c>
      <c r="N312" s="174">
        <f t="shared" si="66"/>
        <v>2979.7284709396231</v>
      </c>
      <c r="O312" s="173">
        <f t="shared" si="67"/>
        <v>-3285.190184841264</v>
      </c>
      <c r="P312" s="174" t="b">
        <f t="shared" si="68"/>
        <v>0</v>
      </c>
      <c r="Q312" s="174">
        <f t="shared" si="76"/>
        <v>3586.4720281922669</v>
      </c>
      <c r="R312" s="174">
        <f t="shared" si="75"/>
        <v>4316.7629985256417</v>
      </c>
      <c r="S312" s="165">
        <f t="shared" si="69"/>
        <v>4316.7629985256417</v>
      </c>
      <c r="T312" t="b">
        <f t="shared" si="70"/>
        <v>0</v>
      </c>
      <c r="U312" s="176">
        <f t="shared" si="71"/>
        <v>4316.7629985256417</v>
      </c>
      <c r="V312" s="165">
        <f>IF(U312&lt;V$5,V$5-U312,IF(U312&gt;=V$5,0))*('Electrical System Specification'!D$16*'Electrical System Specification'!Q$16)</f>
        <v>3825.755322487068</v>
      </c>
      <c r="W312" s="28">
        <f t="shared" si="72"/>
        <v>823.67027288309259</v>
      </c>
      <c r="X312" s="165">
        <f>IF(U312&gt;V$5,U312-V$5,0)*'Electrical System Specification'!D$17</f>
        <v>0</v>
      </c>
      <c r="Y312">
        <f>(X312*C312)*'Electrical System Specification'!D$17</f>
        <v>0</v>
      </c>
      <c r="Z312" s="165">
        <f t="shared" si="73"/>
        <v>823.67027288309259</v>
      </c>
      <c r="AA312" s="165">
        <f t="shared" si="74"/>
        <v>25050.053644836888</v>
      </c>
      <c r="AB312" s="165"/>
    </row>
    <row r="313" spans="3:28" x14ac:dyDescent="0.2">
      <c r="C313" s="148">
        <v>0.2094111148869465</v>
      </c>
      <c r="D313">
        <f t="shared" si="62"/>
        <v>82.548054692892308</v>
      </c>
      <c r="E313" s="164">
        <v>3360.752424212963</v>
      </c>
      <c r="F313" s="165">
        <f>E313/'Electrical System Specification'!AC$4</f>
        <v>3429.3392083805747</v>
      </c>
      <c r="G313" s="146">
        <f>F313/('Electrical System Specification'!X$16*'Electrical System Specification'!J$16*'Electrical System Specification'!D$17)</f>
        <v>4269.808267817838</v>
      </c>
      <c r="H313" s="165"/>
      <c r="I313" s="173">
        <f t="shared" si="63"/>
        <v>6871.6622130335309</v>
      </c>
      <c r="J313" s="173">
        <f t="shared" si="64"/>
        <v>7621.6306710664712</v>
      </c>
      <c r="K313" s="174" t="b">
        <f>IF(E313&gt;I313,'Electrical System Specification'!AC$4*'Electrical System Specification'!J$16*'Electrical System Specification'!D$16*'Electrical System Specification'!D$17*'Electrical System Specification'!X$16)</f>
        <v>0</v>
      </c>
      <c r="L313" s="174">
        <f>IF(E313&lt;I313,'Electrical System Specification'!X$16*'Electrical System Specification'!Q$16*'Electrical System Specification'!AC$4*'Electrical System Specification'!J$16)</f>
        <v>0.83082440000000002</v>
      </c>
      <c r="M313" s="174">
        <f t="shared" si="65"/>
        <v>0.83082440000000002</v>
      </c>
      <c r="N313" s="174">
        <f t="shared" si="66"/>
        <v>2792.1951163952804</v>
      </c>
      <c r="O313" s="173">
        <f t="shared" si="67"/>
        <v>-3510.9097888205679</v>
      </c>
      <c r="P313" s="174" t="b">
        <f t="shared" si="68"/>
        <v>0</v>
      </c>
      <c r="Q313" s="174">
        <f t="shared" si="76"/>
        <v>3360.752424212963</v>
      </c>
      <c r="R313" s="174">
        <f t="shared" si="75"/>
        <v>4045.0815168800568</v>
      </c>
      <c r="S313" s="165">
        <f t="shared" si="69"/>
        <v>4045.0815168800568</v>
      </c>
      <c r="T313" t="b">
        <f t="shared" si="70"/>
        <v>0</v>
      </c>
      <c r="U313" s="176">
        <f t="shared" si="71"/>
        <v>4045.0815168800568</v>
      </c>
      <c r="V313" s="165">
        <f>IF(U313&lt;V$5,V$5-U313,IF(U313&gt;=V$5,0))*('Electrical System Specification'!D$16*'Electrical System Specification'!Q$16)</f>
        <v>4058.0429892940433</v>
      </c>
      <c r="W313" s="28">
        <f t="shared" si="72"/>
        <v>849.79930664722269</v>
      </c>
      <c r="X313" s="165">
        <f>IF(U313&gt;V$5,U313-V$5,0)*'Electrical System Specification'!D$17</f>
        <v>0</v>
      </c>
      <c r="Y313">
        <f>(X313*C313)*'Electrical System Specification'!D$17</f>
        <v>0</v>
      </c>
      <c r="Z313" s="165">
        <f t="shared" si="73"/>
        <v>849.79930664722269</v>
      </c>
      <c r="AA313" s="165">
        <f t="shared" si="74"/>
        <v>25899.85295148411</v>
      </c>
      <c r="AB313" s="165"/>
    </row>
    <row r="314" spans="3:28" x14ac:dyDescent="0.2">
      <c r="C314" s="148">
        <v>0.20383641490826632</v>
      </c>
      <c r="D314">
        <f t="shared" si="62"/>
        <v>82.751891107800574</v>
      </c>
      <c r="E314" s="164">
        <v>8936.3363461116351</v>
      </c>
      <c r="F314" s="165">
        <f>E314/'Electrical System Specification'!AC$4</f>
        <v>9118.7105572567707</v>
      </c>
      <c r="G314" s="146">
        <f>F314/('Electrical System Specification'!X$16*'Electrical System Specification'!J$16*'Electrical System Specification'!D$17)</f>
        <v>11353.54170682899</v>
      </c>
      <c r="H314" s="165"/>
      <c r="I314" s="173">
        <f t="shared" si="63"/>
        <v>6871.6622130335309</v>
      </c>
      <c r="J314" s="173">
        <f t="shared" si="64"/>
        <v>7621.6306710664712</v>
      </c>
      <c r="K314" s="174">
        <f>IF(E314&gt;I314,'Electrical System Specification'!AC$4*'Electrical System Specification'!J$16*'Electrical System Specification'!D$16*'Electrical System Specification'!D$17*'Electrical System Specification'!X$16)</f>
        <v>0.70838712000000004</v>
      </c>
      <c r="L314" s="174" t="b">
        <f>IF(E314&lt;I314,'Electrical System Specification'!X$16*'Electrical System Specification'!Q$16*'Electrical System Specification'!AC$4*'Electrical System Specification'!J$16)</f>
        <v>0</v>
      </c>
      <c r="M314" s="174">
        <f t="shared" si="65"/>
        <v>0.70838712000000004</v>
      </c>
      <c r="N314" s="174">
        <f t="shared" si="66"/>
        <v>6330.3855675733448</v>
      </c>
      <c r="O314" s="173">
        <f t="shared" si="67"/>
        <v>2064.6741330781042</v>
      </c>
      <c r="P314" s="174">
        <f t="shared" si="68"/>
        <v>2914.6127516803299</v>
      </c>
      <c r="Q314" s="174">
        <f t="shared" si="76"/>
        <v>8270.8960076684452</v>
      </c>
      <c r="R314" s="174">
        <f t="shared" si="75"/>
        <v>0</v>
      </c>
      <c r="S314" s="165" t="b">
        <f t="shared" si="69"/>
        <v>0</v>
      </c>
      <c r="T314">
        <f t="shared" si="70"/>
        <v>11185.508759348775</v>
      </c>
      <c r="U314" s="176">
        <f t="shared" si="71"/>
        <v>11185.508759348775</v>
      </c>
      <c r="V314" s="165">
        <f>IF(U314&lt;V$5,V$5-U314,IF(U314&gt;=V$5,0))*('Electrical System Specification'!D$16*'Electrical System Specification'!Q$16)</f>
        <v>0</v>
      </c>
      <c r="W314" s="28">
        <f t="shared" si="72"/>
        <v>0</v>
      </c>
      <c r="X314" s="165">
        <f>IF(U314&gt;V$5,U314-V$5,0)*'Electrical System Specification'!D$17</f>
        <v>2154.760318964959</v>
      </c>
      <c r="Y314">
        <f>(X314*C314)*'Electrical System Specification'!D$17</f>
        <v>395.2967565639687</v>
      </c>
      <c r="Z314" s="165">
        <f t="shared" si="73"/>
        <v>-395.2967565639687</v>
      </c>
      <c r="AA314" s="165">
        <f t="shared" si="74"/>
        <v>25504.55619492014</v>
      </c>
      <c r="AB314" s="165"/>
    </row>
    <row r="315" spans="3:28" x14ac:dyDescent="0.2">
      <c r="C315" s="148">
        <v>0.19844103083690764</v>
      </c>
      <c r="D315">
        <f t="shared" si="62"/>
        <v>82.950332138637478</v>
      </c>
      <c r="E315" s="164">
        <v>9033.1602859967606</v>
      </c>
      <c r="F315" s="165">
        <f>E315/'Electrical System Specification'!AC$4</f>
        <v>9217.5104959150613</v>
      </c>
      <c r="G315" s="146">
        <f>F315/('Electrical System Specification'!X$16*'Electrical System Specification'!J$16*'Electrical System Specification'!D$17)</f>
        <v>11476.555724780943</v>
      </c>
      <c r="H315" s="165"/>
      <c r="I315" s="173">
        <f t="shared" si="63"/>
        <v>6871.6622130335309</v>
      </c>
      <c r="J315" s="173">
        <f t="shared" si="64"/>
        <v>7621.6306710664712</v>
      </c>
      <c r="K315" s="174">
        <f>IF(E315&gt;I315,'Electrical System Specification'!AC$4*'Electrical System Specification'!J$16*'Electrical System Specification'!D$16*'Electrical System Specification'!D$17*'Electrical System Specification'!X$16)</f>
        <v>0.70838712000000004</v>
      </c>
      <c r="L315" s="174" t="b">
        <f>IF(E315&lt;I315,'Electrical System Specification'!X$16*'Electrical System Specification'!Q$16*'Electrical System Specification'!AC$4*'Electrical System Specification'!J$16)</f>
        <v>0</v>
      </c>
      <c r="M315" s="174">
        <f t="shared" si="65"/>
        <v>0.70838712000000004</v>
      </c>
      <c r="N315" s="174">
        <f t="shared" si="66"/>
        <v>6398.9743994956216</v>
      </c>
      <c r="O315" s="173">
        <f t="shared" si="67"/>
        <v>2161.4980729632298</v>
      </c>
      <c r="P315" s="174">
        <f t="shared" si="68"/>
        <v>3051.2949938491679</v>
      </c>
      <c r="Q315" s="174">
        <f t="shared" si="76"/>
        <v>8270.8960076684452</v>
      </c>
      <c r="R315" s="174">
        <f t="shared" si="75"/>
        <v>0</v>
      </c>
      <c r="S315" s="165" t="b">
        <f t="shared" si="69"/>
        <v>0</v>
      </c>
      <c r="T315">
        <f t="shared" si="70"/>
        <v>11322.191001517613</v>
      </c>
      <c r="U315" s="176">
        <f t="shared" si="71"/>
        <v>11322.191001517613</v>
      </c>
      <c r="V315" s="165">
        <f>IF(U315&lt;V$5,V$5-U315,IF(U315&gt;=V$5,0))*('Electrical System Specification'!D$16*'Electrical System Specification'!Q$16)</f>
        <v>0</v>
      </c>
      <c r="W315" s="28">
        <f t="shared" si="72"/>
        <v>0</v>
      </c>
      <c r="X315" s="165">
        <f>IF(U315&gt;V$5,U315-V$5,0)*'Electrical System Specification'!D$17</f>
        <v>2277.7743369169129</v>
      </c>
      <c r="Y315">
        <f>(X315*C315)*'Electrical System Specification'!D$17</f>
        <v>406.8034986884814</v>
      </c>
      <c r="Z315" s="165">
        <f t="shared" si="73"/>
        <v>-406.8034986884814</v>
      </c>
      <c r="AA315" s="165">
        <f t="shared" si="74"/>
        <v>25097.752696231659</v>
      </c>
      <c r="AB315" s="165"/>
    </row>
    <row r="316" spans="3:28" x14ac:dyDescent="0.2">
      <c r="C316" s="148">
        <v>0.19308051880974655</v>
      </c>
      <c r="D316">
        <f t="shared" si="62"/>
        <v>83.143412657447229</v>
      </c>
      <c r="E316" s="164">
        <v>3173.5043426934617</v>
      </c>
      <c r="F316" s="165">
        <f>E316/'Electrical System Specification'!AC$4</f>
        <v>3238.2697374423078</v>
      </c>
      <c r="G316" s="146">
        <f>F316/('Electrical System Specification'!X$16*'Electrical System Specification'!J$16*'Electrical System Specification'!D$17)</f>
        <v>4031.9111228675579</v>
      </c>
      <c r="H316" s="165"/>
      <c r="I316" s="173">
        <f t="shared" si="63"/>
        <v>6871.6622130335309</v>
      </c>
      <c r="J316" s="173">
        <f t="shared" si="64"/>
        <v>7621.6306710664712</v>
      </c>
      <c r="K316" s="174" t="b">
        <f>IF(E316&gt;I316,'Electrical System Specification'!AC$4*'Electrical System Specification'!J$16*'Electrical System Specification'!D$16*'Electrical System Specification'!D$17*'Electrical System Specification'!X$16)</f>
        <v>0</v>
      </c>
      <c r="L316" s="174">
        <f>IF(E316&lt;I316,'Electrical System Specification'!X$16*'Electrical System Specification'!Q$16*'Electrical System Specification'!AC$4*'Electrical System Specification'!J$16)</f>
        <v>0.83082440000000002</v>
      </c>
      <c r="M316" s="174">
        <f t="shared" si="65"/>
        <v>0.83082440000000002</v>
      </c>
      <c r="N316" s="174">
        <f t="shared" si="66"/>
        <v>2636.6248414156898</v>
      </c>
      <c r="O316" s="173">
        <f t="shared" si="67"/>
        <v>-3698.1578703400692</v>
      </c>
      <c r="P316" s="174" t="b">
        <f t="shared" si="68"/>
        <v>0</v>
      </c>
      <c r="Q316" s="174">
        <f t="shared" si="76"/>
        <v>3173.5043426934617</v>
      </c>
      <c r="R316" s="174">
        <f t="shared" si="75"/>
        <v>3819.7052742955811</v>
      </c>
      <c r="S316" s="165">
        <f t="shared" si="69"/>
        <v>3819.7052742955811</v>
      </c>
      <c r="T316" t="b">
        <f t="shared" si="70"/>
        <v>0</v>
      </c>
      <c r="U316" s="176">
        <f t="shared" si="71"/>
        <v>3819.7052742955811</v>
      </c>
      <c r="V316" s="165">
        <f>IF(U316&lt;V$5,V$5-U316,IF(U316&gt;=V$5,0))*('Electrical System Specification'!D$16*'Electrical System Specification'!Q$16)</f>
        <v>4250.7396767037699</v>
      </c>
      <c r="W316" s="28">
        <f t="shared" si="72"/>
        <v>820.73502210313825</v>
      </c>
      <c r="X316" s="165">
        <f>IF(U316&gt;V$5,U316-V$5,0)*'Electrical System Specification'!D$17</f>
        <v>0</v>
      </c>
      <c r="Y316">
        <f>(X316*C316)*'Electrical System Specification'!D$17</f>
        <v>0</v>
      </c>
      <c r="Z316" s="165">
        <f t="shared" si="73"/>
        <v>820.73502210313825</v>
      </c>
      <c r="AA316" s="165">
        <f t="shared" si="74"/>
        <v>25918.487718334796</v>
      </c>
      <c r="AB316" s="165"/>
    </row>
    <row r="317" spans="3:28" x14ac:dyDescent="0.2">
      <c r="C317" s="148">
        <v>0.1877620403311743</v>
      </c>
      <c r="D317">
        <f t="shared" si="62"/>
        <v>83.331174697778408</v>
      </c>
      <c r="E317" s="164">
        <v>8253.2119062426591</v>
      </c>
      <c r="F317" s="165">
        <f>E317/'Electrical System Specification'!AC$4</f>
        <v>8421.6448022884269</v>
      </c>
      <c r="G317" s="146">
        <f>F317/('Electrical System Specification'!X$16*'Electrical System Specification'!J$16*'Electrical System Specification'!D$17)</f>
        <v>10485.637733811976</v>
      </c>
      <c r="H317" s="165"/>
      <c r="I317" s="173">
        <f t="shared" si="63"/>
        <v>6871.6622130335309</v>
      </c>
      <c r="J317" s="173">
        <f t="shared" si="64"/>
        <v>7621.6306710664712</v>
      </c>
      <c r="K317" s="174">
        <f>IF(E317&gt;I317,'Electrical System Specification'!AC$4*'Electrical System Specification'!J$16*'Electrical System Specification'!D$16*'Electrical System Specification'!D$17*'Electrical System Specification'!X$16)</f>
        <v>0.70838712000000004</v>
      </c>
      <c r="L317" s="174" t="b">
        <f>IF(E317&lt;I317,'Electrical System Specification'!X$16*'Electrical System Specification'!Q$16*'Electrical System Specification'!AC$4*'Electrical System Specification'!J$16)</f>
        <v>0</v>
      </c>
      <c r="M317" s="174">
        <f t="shared" si="65"/>
        <v>0.70838712000000004</v>
      </c>
      <c r="N317" s="174">
        <f t="shared" si="66"/>
        <v>5846.4690130129475</v>
      </c>
      <c r="O317" s="173">
        <f t="shared" si="67"/>
        <v>1381.5496932091282</v>
      </c>
      <c r="P317" s="174">
        <f t="shared" si="68"/>
        <v>1950.2750038836507</v>
      </c>
      <c r="Q317" s="174">
        <f t="shared" si="76"/>
        <v>8270.8960076684452</v>
      </c>
      <c r="R317" s="174">
        <f t="shared" si="75"/>
        <v>0</v>
      </c>
      <c r="S317" s="165" t="b">
        <f t="shared" si="69"/>
        <v>0</v>
      </c>
      <c r="T317">
        <f t="shared" si="70"/>
        <v>10221.171011552096</v>
      </c>
      <c r="U317" s="176">
        <f t="shared" si="71"/>
        <v>10221.171011552096</v>
      </c>
      <c r="V317" s="165">
        <f>IF(U317&lt;V$5,V$5-U317,IF(U317&gt;=V$5,0))*('Electrical System Specification'!D$16*'Electrical System Specification'!Q$16)</f>
        <v>0</v>
      </c>
      <c r="W317" s="28">
        <f t="shared" si="72"/>
        <v>0</v>
      </c>
      <c r="X317" s="165">
        <f>IF(U317&gt;V$5,U317-V$5,0)*'Electrical System Specification'!D$17</f>
        <v>1286.8563459479481</v>
      </c>
      <c r="Y317">
        <f>(X317*C317)*'Electrical System Specification'!D$17</f>
        <v>217.46049581547561</v>
      </c>
      <c r="Z317" s="165">
        <f t="shared" si="73"/>
        <v>-217.46049581547561</v>
      </c>
      <c r="AA317" s="165">
        <f t="shared" si="74"/>
        <v>25701.027222519322</v>
      </c>
      <c r="AB317" s="165"/>
    </row>
    <row r="318" spans="3:28" x14ac:dyDescent="0.2">
      <c r="C318" s="148">
        <v>0.18285203829198374</v>
      </c>
      <c r="D318">
        <f t="shared" si="62"/>
        <v>83.514026736070392</v>
      </c>
      <c r="E318" s="164">
        <v>3014.721736766166</v>
      </c>
      <c r="F318" s="165">
        <f>E318/'Electrical System Specification'!AC$4</f>
        <v>3076.2466701695571</v>
      </c>
      <c r="G318" s="146">
        <f>F318/('Electrical System Specification'!X$16*'Electrical System Specification'!J$16*'Electrical System Specification'!D$17)</f>
        <v>3830.1791301478625</v>
      </c>
      <c r="H318" s="165"/>
      <c r="I318" s="173">
        <f t="shared" si="63"/>
        <v>6871.6622130335309</v>
      </c>
      <c r="J318" s="173">
        <f t="shared" si="64"/>
        <v>7621.6306710664712</v>
      </c>
      <c r="K318" s="174" t="b">
        <f>IF(E318&gt;I318,'Electrical System Specification'!AC$4*'Electrical System Specification'!J$16*'Electrical System Specification'!D$16*'Electrical System Specification'!D$17*'Electrical System Specification'!X$16)</f>
        <v>0</v>
      </c>
      <c r="L318" s="174">
        <f>IF(E318&lt;I318,'Electrical System Specification'!X$16*'Electrical System Specification'!Q$16*'Electrical System Specification'!AC$4*'Electrical System Specification'!J$16)</f>
        <v>0.83082440000000002</v>
      </c>
      <c r="M318" s="174">
        <f t="shared" si="65"/>
        <v>0.83082440000000002</v>
      </c>
      <c r="N318" s="174">
        <f t="shared" si="66"/>
        <v>2504.7043781157081</v>
      </c>
      <c r="O318" s="173">
        <f t="shared" si="67"/>
        <v>-3856.9404762673648</v>
      </c>
      <c r="P318" s="174" t="b">
        <f t="shared" si="68"/>
        <v>0</v>
      </c>
      <c r="Q318" s="174">
        <f t="shared" si="76"/>
        <v>3014.721736766166</v>
      </c>
      <c r="R318" s="174">
        <f t="shared" si="75"/>
        <v>3628.5907548769223</v>
      </c>
      <c r="S318" s="165">
        <f t="shared" si="69"/>
        <v>3628.5907548769223</v>
      </c>
      <c r="T318" t="b">
        <f t="shared" si="70"/>
        <v>0</v>
      </c>
      <c r="U318" s="176">
        <f t="shared" si="71"/>
        <v>3628.5907548769223</v>
      </c>
      <c r="V318" s="165">
        <f>IF(U318&lt;V$5,V$5-U318,IF(U318&gt;=V$5,0))*('Electrical System Specification'!D$16*'Electrical System Specification'!Q$16)</f>
        <v>4414.1425908067222</v>
      </c>
      <c r="W318" s="28">
        <f t="shared" si="72"/>
        <v>807.13497004046701</v>
      </c>
      <c r="X318" s="165">
        <f>IF(U318&gt;V$5,U318-V$5,0)*'Electrical System Specification'!D$17</f>
        <v>0</v>
      </c>
      <c r="Y318">
        <f>(X318*C318)*'Electrical System Specification'!D$17</f>
        <v>0</v>
      </c>
      <c r="Z318" s="165">
        <f t="shared" si="73"/>
        <v>807.13497004046701</v>
      </c>
      <c r="AA318" s="165">
        <f t="shared" si="74"/>
        <v>26508.16219255979</v>
      </c>
      <c r="AB318" s="165"/>
    </row>
    <row r="319" spans="3:28" x14ac:dyDescent="0.2">
      <c r="C319" s="148">
        <v>0.17799713121697103</v>
      </c>
      <c r="D319">
        <f t="shared" si="62"/>
        <v>83.692023867287361</v>
      </c>
      <c r="E319" s="164">
        <v>0</v>
      </c>
      <c r="F319" s="165">
        <f>E319/'Electrical System Specification'!AC$4</f>
        <v>0</v>
      </c>
      <c r="G319" s="146">
        <f>F319/('Electrical System Specification'!X$16*'Electrical System Specification'!J$16*'Electrical System Specification'!D$17)</f>
        <v>0</v>
      </c>
      <c r="H319" s="165"/>
      <c r="I319" s="173">
        <f t="shared" si="63"/>
        <v>6871.6622130335309</v>
      </c>
      <c r="J319" s="173">
        <f t="shared" si="64"/>
        <v>7621.6306710664712</v>
      </c>
      <c r="K319" s="174" t="b">
        <f>IF(E319&gt;I319,'Electrical System Specification'!AC$4*'Electrical System Specification'!J$16*'Electrical System Specification'!D$16*'Electrical System Specification'!D$17*'Electrical System Specification'!X$16)</f>
        <v>0</v>
      </c>
      <c r="L319" s="174">
        <f>IF(E319&lt;I319,'Electrical System Specification'!X$16*'Electrical System Specification'!Q$16*'Electrical System Specification'!AC$4*'Electrical System Specification'!J$16)</f>
        <v>0.83082440000000002</v>
      </c>
      <c r="M319" s="174">
        <f t="shared" si="65"/>
        <v>0.83082440000000002</v>
      </c>
      <c r="N319" s="174">
        <f t="shared" si="66"/>
        <v>0</v>
      </c>
      <c r="O319" s="173">
        <f t="shared" si="67"/>
        <v>-6871.6622130335309</v>
      </c>
      <c r="P319" s="174" t="b">
        <f t="shared" si="68"/>
        <v>0</v>
      </c>
      <c r="Q319" s="174">
        <f t="shared" si="76"/>
        <v>0</v>
      </c>
      <c r="R319" s="174">
        <f t="shared" si="75"/>
        <v>0</v>
      </c>
      <c r="S319" s="165">
        <f t="shared" si="69"/>
        <v>0</v>
      </c>
      <c r="T319" t="b">
        <f t="shared" si="70"/>
        <v>0</v>
      </c>
      <c r="U319" s="176">
        <f t="shared" si="71"/>
        <v>0</v>
      </c>
      <c r="V319" s="165">
        <f>IF(U319&lt;V$5,V$5-U319,IF(U319&gt;=V$5,0))*('Electrical System Specification'!D$16*'Electrical System Specification'!Q$16)</f>
        <v>7516.5876862264913</v>
      </c>
      <c r="W319" s="28">
        <f t="shared" si="72"/>
        <v>1337.9310446891254</v>
      </c>
      <c r="X319" s="165">
        <f>IF(U319&gt;V$5,U319-V$5,0)*'Electrical System Specification'!D$17</f>
        <v>0</v>
      </c>
      <c r="Y319">
        <f>(X319*C319)*'Electrical System Specification'!D$17</f>
        <v>0</v>
      </c>
      <c r="Z319" s="165">
        <f t="shared" si="73"/>
        <v>1337.9310446891254</v>
      </c>
      <c r="AA319" s="165">
        <f t="shared" si="74"/>
        <v>27846.093237248915</v>
      </c>
      <c r="AB319" s="165"/>
    </row>
    <row r="320" spans="3:28" x14ac:dyDescent="0.2">
      <c r="C320" s="148">
        <v>0.17311132767403248</v>
      </c>
      <c r="D320">
        <f t="shared" si="62"/>
        <v>83.865135194961397</v>
      </c>
      <c r="E320" s="164">
        <v>2795.128700768385</v>
      </c>
      <c r="F320" s="165">
        <f>E320/'Electrical System Specification'!AC$4</f>
        <v>2852.172143641209</v>
      </c>
      <c r="G320" s="146">
        <f>F320/('Electrical System Specification'!X$16*'Electrical System Specification'!J$16*'Electrical System Specification'!D$17)</f>
        <v>3551.1879870028502</v>
      </c>
      <c r="H320" s="165"/>
      <c r="I320" s="173">
        <f t="shared" si="63"/>
        <v>6871.6622130335309</v>
      </c>
      <c r="J320" s="173">
        <f t="shared" si="64"/>
        <v>7621.6306710664712</v>
      </c>
      <c r="K320" s="174" t="b">
        <f>IF(E320&gt;I320,'Electrical System Specification'!AC$4*'Electrical System Specification'!J$16*'Electrical System Specification'!D$16*'Electrical System Specification'!D$17*'Electrical System Specification'!X$16)</f>
        <v>0</v>
      </c>
      <c r="L320" s="174">
        <f>IF(E320&lt;I320,'Electrical System Specification'!X$16*'Electrical System Specification'!Q$16*'Electrical System Specification'!AC$4*'Electrical System Specification'!J$16)</f>
        <v>0.83082440000000002</v>
      </c>
      <c r="M320" s="174">
        <f t="shared" si="65"/>
        <v>0.83082440000000002</v>
      </c>
      <c r="N320" s="174">
        <f t="shared" si="66"/>
        <v>2322.2611257386729</v>
      </c>
      <c r="O320" s="173">
        <f t="shared" si="67"/>
        <v>-4076.5335122651459</v>
      </c>
      <c r="P320" s="174" t="b">
        <f t="shared" si="68"/>
        <v>0</v>
      </c>
      <c r="Q320" s="174">
        <f t="shared" si="76"/>
        <v>2795.128700768385</v>
      </c>
      <c r="R320" s="174">
        <f t="shared" si="75"/>
        <v>3364.2833561079633</v>
      </c>
      <c r="S320" s="165">
        <f t="shared" si="69"/>
        <v>3364.2833561079633</v>
      </c>
      <c r="T320" t="b">
        <f t="shared" si="70"/>
        <v>0</v>
      </c>
      <c r="U320" s="176">
        <f t="shared" si="71"/>
        <v>3364.2833561079633</v>
      </c>
      <c r="V320" s="165">
        <f>IF(U320&lt;V$5,V$5-U320,IF(U320&gt;=V$5,0))*('Electrical System Specification'!D$16*'Electrical System Specification'!Q$16)</f>
        <v>4640.1254167541829</v>
      </c>
      <c r="W320" s="28">
        <f t="shared" si="72"/>
        <v>803.2582714683399</v>
      </c>
      <c r="X320" s="165">
        <f>IF(U320&gt;V$5,U320-V$5,0)*'Electrical System Specification'!D$17</f>
        <v>0</v>
      </c>
      <c r="Y320">
        <f>(X320*C320)*'Electrical System Specification'!D$17</f>
        <v>0</v>
      </c>
      <c r="Z320" s="165">
        <f t="shared" si="73"/>
        <v>803.2582714683399</v>
      </c>
      <c r="AA320" s="165">
        <f t="shared" si="74"/>
        <v>28649.351508717256</v>
      </c>
      <c r="AB320" s="165"/>
    </row>
    <row r="321" spans="3:28" x14ac:dyDescent="0.2">
      <c r="C321" s="148">
        <v>0.1680529794830373</v>
      </c>
      <c r="D321">
        <f t="shared" si="62"/>
        <v>84.033188174444433</v>
      </c>
      <c r="E321" s="164">
        <v>8482.7895723044257</v>
      </c>
      <c r="F321" s="165">
        <f>E321/'Electrical System Specification'!AC$4</f>
        <v>8655.9077268412511</v>
      </c>
      <c r="G321" s="146">
        <f>F321/('Electrical System Specification'!X$16*'Electrical System Specification'!J$16*'Electrical System Specification'!D$17)</f>
        <v>10777.31426719614</v>
      </c>
      <c r="H321" s="165"/>
      <c r="I321" s="173">
        <f t="shared" si="63"/>
        <v>6871.6622130335309</v>
      </c>
      <c r="J321" s="173">
        <f t="shared" si="64"/>
        <v>7621.6306710664712</v>
      </c>
      <c r="K321" s="174">
        <f>IF(E321&gt;I321,'Electrical System Specification'!AC$4*'Electrical System Specification'!J$16*'Electrical System Specification'!D$16*'Electrical System Specification'!D$17*'Electrical System Specification'!X$16)</f>
        <v>0.70838712000000004</v>
      </c>
      <c r="L321" s="174" t="b">
        <f>IF(E321&lt;I321,'Electrical System Specification'!X$16*'Electrical System Specification'!Q$16*'Electrical System Specification'!AC$4*'Electrical System Specification'!J$16)</f>
        <v>0</v>
      </c>
      <c r="M321" s="174">
        <f t="shared" si="65"/>
        <v>0.70838712000000004</v>
      </c>
      <c r="N321" s="174">
        <f t="shared" si="66"/>
        <v>6009.0988746907642</v>
      </c>
      <c r="O321" s="173">
        <f t="shared" si="67"/>
        <v>1611.1273592708949</v>
      </c>
      <c r="P321" s="174">
        <f t="shared" si="68"/>
        <v>2274.3600409771634</v>
      </c>
      <c r="Q321" s="174">
        <f t="shared" si="76"/>
        <v>8270.8960076684452</v>
      </c>
      <c r="R321" s="174">
        <f t="shared" si="75"/>
        <v>0</v>
      </c>
      <c r="S321" s="165" t="b">
        <f t="shared" si="69"/>
        <v>0</v>
      </c>
      <c r="T321">
        <f t="shared" si="70"/>
        <v>10545.25604864561</v>
      </c>
      <c r="U321" s="176">
        <f t="shared" si="71"/>
        <v>10545.25604864561</v>
      </c>
      <c r="V321" s="165">
        <f>IF(U321&lt;V$5,V$5-U321,IF(U321&gt;=V$5,0))*('Electrical System Specification'!D$16*'Electrical System Specification'!Q$16)</f>
        <v>0</v>
      </c>
      <c r="W321" s="28">
        <f t="shared" si="72"/>
        <v>0</v>
      </c>
      <c r="X321" s="165">
        <f>IF(U321&gt;V$5,U321-V$5,0)*'Electrical System Specification'!D$17</f>
        <v>1578.53287933211</v>
      </c>
      <c r="Y321">
        <f>(X321*C321)*'Electrical System Specification'!D$17</f>
        <v>238.74943822532899</v>
      </c>
      <c r="Z321" s="165">
        <f t="shared" si="73"/>
        <v>-238.74943822532899</v>
      </c>
      <c r="AA321" s="165">
        <f t="shared" si="74"/>
        <v>28410.602070491928</v>
      </c>
      <c r="AB321" s="165"/>
    </row>
    <row r="322" spans="3:28" x14ac:dyDescent="0.2">
      <c r="C322" s="148">
        <v>0.16307065027232898</v>
      </c>
      <c r="D322">
        <f t="shared" si="62"/>
        <v>84.196258824716764</v>
      </c>
      <c r="E322" s="164">
        <v>2827.4869989526278</v>
      </c>
      <c r="F322" s="165">
        <f>E322/'Electrical System Specification'!AC$4</f>
        <v>2885.1908152577835</v>
      </c>
      <c r="G322" s="146">
        <f>F322/('Electrical System Specification'!X$16*'Electrical System Specification'!J$16*'Electrical System Specification'!D$17)</f>
        <v>3592.2989382660785</v>
      </c>
      <c r="H322" s="165"/>
      <c r="I322" s="173">
        <f t="shared" si="63"/>
        <v>6871.6622130335309</v>
      </c>
      <c r="J322" s="173">
        <f t="shared" si="64"/>
        <v>7621.6306710664712</v>
      </c>
      <c r="K322" s="174" t="b">
        <f>IF(E322&gt;I322,'Electrical System Specification'!AC$4*'Electrical System Specification'!J$16*'Electrical System Specification'!D$16*'Electrical System Specification'!D$17*'Electrical System Specification'!X$16)</f>
        <v>0</v>
      </c>
      <c r="L322" s="174">
        <f>IF(E322&lt;I322,'Electrical System Specification'!X$16*'Electrical System Specification'!Q$16*'Electrical System Specification'!AC$4*'Electrical System Specification'!J$16)</f>
        <v>0.83082440000000002</v>
      </c>
      <c r="M322" s="174">
        <f t="shared" si="65"/>
        <v>0.83082440000000002</v>
      </c>
      <c r="N322" s="174">
        <f t="shared" si="66"/>
        <v>2349.1451894126176</v>
      </c>
      <c r="O322" s="173">
        <f t="shared" si="67"/>
        <v>-4044.1752140809031</v>
      </c>
      <c r="P322" s="174" t="b">
        <f t="shared" si="68"/>
        <v>0</v>
      </c>
      <c r="Q322" s="174">
        <f t="shared" si="76"/>
        <v>2827.4869989526278</v>
      </c>
      <c r="R322" s="174">
        <f t="shared" si="75"/>
        <v>3403.2305730941794</v>
      </c>
      <c r="S322" s="165">
        <f t="shared" si="69"/>
        <v>3403.2305730941794</v>
      </c>
      <c r="T322" t="b">
        <f t="shared" si="70"/>
        <v>0</v>
      </c>
      <c r="U322" s="176">
        <f t="shared" si="71"/>
        <v>3403.2305730941794</v>
      </c>
      <c r="V322" s="165">
        <f>IF(U322&lt;V$5,V$5-U322,IF(U322&gt;=V$5,0))*('Electrical System Specification'!D$16*'Electrical System Specification'!Q$16)</f>
        <v>4606.8255462309689</v>
      </c>
      <c r="W322" s="28">
        <f t="shared" si="72"/>
        <v>751.23803751506125</v>
      </c>
      <c r="X322" s="165">
        <f>IF(U322&gt;V$5,U322-V$5,0)*'Electrical System Specification'!D$17</f>
        <v>0</v>
      </c>
      <c r="Y322">
        <f>(X322*C322)*'Electrical System Specification'!D$17</f>
        <v>0</v>
      </c>
      <c r="Z322" s="165">
        <f t="shared" si="73"/>
        <v>751.23803751506125</v>
      </c>
      <c r="AA322" s="165">
        <f t="shared" si="74"/>
        <v>29161.840108006989</v>
      </c>
      <c r="AB322" s="165"/>
    </row>
    <row r="323" spans="3:28" x14ac:dyDescent="0.2">
      <c r="C323" s="148">
        <v>0.15862815335102889</v>
      </c>
      <c r="D323">
        <f t="shared" si="62"/>
        <v>84.354886978067796</v>
      </c>
      <c r="E323" s="164">
        <v>8860.1844589240736</v>
      </c>
      <c r="F323" s="165">
        <f>E323/'Electrical System Specification'!AC$4</f>
        <v>9041.0045499225234</v>
      </c>
      <c r="G323" s="146">
        <f>F323/('Electrical System Specification'!X$16*'Electrical System Specification'!J$16*'Electrical System Specification'!D$17)</f>
        <v>11256.791361525131</v>
      </c>
      <c r="H323" s="165"/>
      <c r="I323" s="173">
        <f t="shared" si="63"/>
        <v>6871.6622130335309</v>
      </c>
      <c r="J323" s="173">
        <f t="shared" si="64"/>
        <v>7621.6306710664712</v>
      </c>
      <c r="K323" s="174">
        <f>IF(E323&gt;I323,'Electrical System Specification'!AC$4*'Electrical System Specification'!J$16*'Electrical System Specification'!D$16*'Electrical System Specification'!D$17*'Electrical System Specification'!X$16)</f>
        <v>0.70838712000000004</v>
      </c>
      <c r="L323" s="174" t="b">
        <f>IF(E323&lt;I323,'Electrical System Specification'!X$16*'Electrical System Specification'!Q$16*'Electrical System Specification'!AC$4*'Electrical System Specification'!J$16)</f>
        <v>0</v>
      </c>
      <c r="M323" s="174">
        <f t="shared" si="65"/>
        <v>0.70838712000000004</v>
      </c>
      <c r="N323" s="174">
        <f t="shared" si="66"/>
        <v>6276.4405515259832</v>
      </c>
      <c r="O323" s="173">
        <f t="shared" si="67"/>
        <v>1988.5222458905428</v>
      </c>
      <c r="P323" s="174">
        <f t="shared" si="68"/>
        <v>2807.112368009377</v>
      </c>
      <c r="Q323" s="174">
        <f t="shared" si="76"/>
        <v>8270.8960076684452</v>
      </c>
      <c r="R323" s="174">
        <f t="shared" si="75"/>
        <v>0</v>
      </c>
      <c r="S323" s="165" t="b">
        <f t="shared" si="69"/>
        <v>0</v>
      </c>
      <c r="T323">
        <f t="shared" si="70"/>
        <v>11078.008375677822</v>
      </c>
      <c r="U323" s="176">
        <f t="shared" si="71"/>
        <v>11078.008375677822</v>
      </c>
      <c r="V323" s="165">
        <f>IF(U323&lt;V$5,V$5-U323,IF(U323&gt;=V$5,0))*('Electrical System Specification'!D$16*'Electrical System Specification'!Q$16)</f>
        <v>0</v>
      </c>
      <c r="W323" s="28">
        <f t="shared" si="72"/>
        <v>0</v>
      </c>
      <c r="X323" s="165">
        <f>IF(U323&gt;V$5,U323-V$5,0)*'Electrical System Specification'!D$17</f>
        <v>2058.0099736611014</v>
      </c>
      <c r="Y323">
        <f>(X323*C323)*'Electrical System Specification'!D$17</f>
        <v>293.81248952987409</v>
      </c>
      <c r="Z323" s="165">
        <f t="shared" si="73"/>
        <v>-293.81248952987409</v>
      </c>
      <c r="AA323" s="165">
        <f t="shared" si="74"/>
        <v>28868.027618477114</v>
      </c>
      <c r="AB323" s="165"/>
    </row>
    <row r="324" spans="3:28" x14ac:dyDescent="0.2">
      <c r="C324" s="148">
        <v>0.15433060894490444</v>
      </c>
      <c r="D324">
        <f t="shared" si="62"/>
        <v>84.509217587012699</v>
      </c>
      <c r="E324" s="164">
        <v>8933.0961251709105</v>
      </c>
      <c r="F324" s="165">
        <f>E324/'Electrical System Specification'!AC$4</f>
        <v>9115.404209358072</v>
      </c>
      <c r="G324" s="146">
        <f>F324/('Electrical System Specification'!X$16*'Electrical System Specification'!J$16*'Electrical System Specification'!D$17)</f>
        <v>11349.425032817959</v>
      </c>
      <c r="H324" s="165"/>
      <c r="I324" s="173">
        <f t="shared" si="63"/>
        <v>6871.6622130335309</v>
      </c>
      <c r="J324" s="173">
        <f t="shared" si="64"/>
        <v>7621.6306710664712</v>
      </c>
      <c r="K324" s="174">
        <f>IF(E324&gt;I324,'Electrical System Specification'!AC$4*'Electrical System Specification'!J$16*'Electrical System Specification'!D$16*'Electrical System Specification'!D$17*'Electrical System Specification'!X$16)</f>
        <v>0.70838712000000004</v>
      </c>
      <c r="L324" s="174" t="b">
        <f>IF(E324&lt;I324,'Electrical System Specification'!X$16*'Electrical System Specification'!Q$16*'Electrical System Specification'!AC$4*'Electrical System Specification'!J$16)</f>
        <v>0</v>
      </c>
      <c r="M324" s="174">
        <f t="shared" si="65"/>
        <v>0.70838712000000004</v>
      </c>
      <c r="N324" s="174">
        <f t="shared" si="66"/>
        <v>6328.0902367929812</v>
      </c>
      <c r="O324" s="173">
        <f t="shared" si="67"/>
        <v>2061.4339121373796</v>
      </c>
      <c r="P324" s="174">
        <f t="shared" si="68"/>
        <v>2910.0386694458525</v>
      </c>
      <c r="Q324" s="174">
        <f t="shared" si="76"/>
        <v>8270.8960076684452</v>
      </c>
      <c r="R324" s="174">
        <f t="shared" si="75"/>
        <v>0</v>
      </c>
      <c r="S324" s="165" t="b">
        <f t="shared" si="69"/>
        <v>0</v>
      </c>
      <c r="T324">
        <f t="shared" si="70"/>
        <v>11180.934677114297</v>
      </c>
      <c r="U324" s="176">
        <f t="shared" si="71"/>
        <v>11180.934677114297</v>
      </c>
      <c r="V324" s="165">
        <f>IF(U324&lt;V$5,V$5-U324,IF(U324&gt;=V$5,0))*('Electrical System Specification'!D$16*'Electrical System Specification'!Q$16)</f>
        <v>0</v>
      </c>
      <c r="W324" s="28">
        <f t="shared" si="72"/>
        <v>0</v>
      </c>
      <c r="X324" s="165">
        <f>IF(U324&gt;V$5,U324-V$5,0)*'Electrical System Specification'!D$17</f>
        <v>2150.6436449539292</v>
      </c>
      <c r="Y324">
        <f>(X324*C324)*'Electrical System Specification'!D$17</f>
        <v>298.71912901430591</v>
      </c>
      <c r="Z324" s="165">
        <f t="shared" si="73"/>
        <v>-298.71912901430591</v>
      </c>
      <c r="AA324" s="165">
        <f t="shared" si="74"/>
        <v>28569.308489462808</v>
      </c>
      <c r="AB324" s="165"/>
    </row>
    <row r="325" spans="3:28" x14ac:dyDescent="0.2">
      <c r="C325" s="148">
        <v>0.15133919931198422</v>
      </c>
      <c r="D325">
        <f t="shared" si="62"/>
        <v>84.66055678632469</v>
      </c>
      <c r="E325" s="164">
        <v>37.180375841092733</v>
      </c>
      <c r="F325" s="165">
        <f>E325/'Electrical System Specification'!AC$4</f>
        <v>37.939159021523196</v>
      </c>
      <c r="G325" s="146">
        <f>F325/('Electrical System Specification'!X$16*'Electrical System Specification'!J$16*'Electrical System Specification'!D$17)</f>
        <v>47.237361200163349</v>
      </c>
      <c r="H325" s="165"/>
      <c r="I325" s="173">
        <f t="shared" si="63"/>
        <v>6871.6622130335309</v>
      </c>
      <c r="J325" s="173">
        <f t="shared" si="64"/>
        <v>7621.6306710664712</v>
      </c>
      <c r="K325" s="174" t="b">
        <f>IF(E325&gt;I325,'Electrical System Specification'!AC$4*'Electrical System Specification'!J$16*'Electrical System Specification'!D$16*'Electrical System Specification'!D$17*'Electrical System Specification'!X$16)</f>
        <v>0</v>
      </c>
      <c r="L325" s="174">
        <f>IF(E325&lt;I325,'Electrical System Specification'!X$16*'Electrical System Specification'!Q$16*'Electrical System Specification'!AC$4*'Electrical System Specification'!J$16)</f>
        <v>0.83082440000000002</v>
      </c>
      <c r="M325" s="174">
        <f t="shared" si="65"/>
        <v>0.83082440000000002</v>
      </c>
      <c r="N325" s="174">
        <f t="shared" si="66"/>
        <v>30.890363449950367</v>
      </c>
      <c r="O325" s="173">
        <f t="shared" si="67"/>
        <v>-6834.4818371924384</v>
      </c>
      <c r="P325" s="174" t="b">
        <f t="shared" si="68"/>
        <v>0</v>
      </c>
      <c r="Q325" s="174">
        <f t="shared" si="76"/>
        <v>37.180375841092427</v>
      </c>
      <c r="R325" s="174">
        <f t="shared" si="75"/>
        <v>44.751184294891225</v>
      </c>
      <c r="S325" s="165">
        <f t="shared" si="69"/>
        <v>44.751184294891225</v>
      </c>
      <c r="T325" t="b">
        <f t="shared" si="70"/>
        <v>0</v>
      </c>
      <c r="U325" s="176">
        <f t="shared" si="71"/>
        <v>44.751184294891225</v>
      </c>
      <c r="V325" s="165">
        <f>IF(U325&lt;V$5,V$5-U325,IF(U325&gt;=V$5,0))*('Electrical System Specification'!D$16*'Electrical System Specification'!Q$16)</f>
        <v>7478.3254236543589</v>
      </c>
      <c r="W325" s="28">
        <f t="shared" si="72"/>
        <v>1131.7637818103058</v>
      </c>
      <c r="X325" s="165">
        <f>IF(U325&gt;V$5,U325-V$5,0)*'Electrical System Specification'!D$17</f>
        <v>0</v>
      </c>
      <c r="Y325">
        <f>(X325*C325)*'Electrical System Specification'!D$17</f>
        <v>0</v>
      </c>
      <c r="Z325" s="165">
        <f t="shared" si="73"/>
        <v>1131.7637818103058</v>
      </c>
      <c r="AA325" s="165">
        <f t="shared" si="74"/>
        <v>29701.072271273115</v>
      </c>
      <c r="AB325" s="165"/>
    </row>
    <row r="326" spans="3:28" x14ac:dyDescent="0.2">
      <c r="C326" s="148">
        <v>0.15168673521659251</v>
      </c>
      <c r="D326">
        <f t="shared" si="62"/>
        <v>84.812243521541276</v>
      </c>
      <c r="E326" s="164">
        <v>0</v>
      </c>
      <c r="F326" s="165">
        <f>E326/'Electrical System Specification'!AC$4</f>
        <v>0</v>
      </c>
      <c r="G326" s="146">
        <f>F326/('Electrical System Specification'!X$16*'Electrical System Specification'!J$16*'Electrical System Specification'!D$17)</f>
        <v>0</v>
      </c>
      <c r="H326" s="165"/>
      <c r="I326" s="173">
        <f t="shared" si="63"/>
        <v>6871.6622130335309</v>
      </c>
      <c r="J326" s="173">
        <f t="shared" si="64"/>
        <v>7621.6306710664712</v>
      </c>
      <c r="K326" s="174" t="b">
        <f>IF(E326&gt;I326,'Electrical System Specification'!AC$4*'Electrical System Specification'!J$16*'Electrical System Specification'!D$16*'Electrical System Specification'!D$17*'Electrical System Specification'!X$16)</f>
        <v>0</v>
      </c>
      <c r="L326" s="174">
        <f>IF(E326&lt;I326,'Electrical System Specification'!X$16*'Electrical System Specification'!Q$16*'Electrical System Specification'!AC$4*'Electrical System Specification'!J$16)</f>
        <v>0.83082440000000002</v>
      </c>
      <c r="M326" s="174">
        <f t="shared" si="65"/>
        <v>0.83082440000000002</v>
      </c>
      <c r="N326" s="174">
        <f t="shared" si="66"/>
        <v>0</v>
      </c>
      <c r="O326" s="173">
        <f t="shared" si="67"/>
        <v>-6871.6622130335309</v>
      </c>
      <c r="P326" s="174" t="b">
        <f t="shared" si="68"/>
        <v>0</v>
      </c>
      <c r="Q326" s="174">
        <f t="shared" si="76"/>
        <v>0</v>
      </c>
      <c r="R326" s="174">
        <f t="shared" si="75"/>
        <v>0</v>
      </c>
      <c r="S326" s="165">
        <f t="shared" si="69"/>
        <v>0</v>
      </c>
      <c r="T326" t="b">
        <f t="shared" si="70"/>
        <v>0</v>
      </c>
      <c r="U326" s="176">
        <f t="shared" si="71"/>
        <v>0</v>
      </c>
      <c r="V326" s="165">
        <f>IF(U326&lt;V$5,V$5-U326,IF(U326&gt;=V$5,0))*('Electrical System Specification'!D$16*'Electrical System Specification'!Q$16)</f>
        <v>7516.5876862264913</v>
      </c>
      <c r="W326" s="28">
        <f t="shared" si="72"/>
        <v>1140.1666460929375</v>
      </c>
      <c r="X326" s="165">
        <f>IF(U326&gt;V$5,U326-V$5,0)*'Electrical System Specification'!D$17</f>
        <v>0</v>
      </c>
      <c r="Y326">
        <f>(X326*C326)*'Electrical System Specification'!D$17</f>
        <v>0</v>
      </c>
      <c r="Z326" s="165">
        <f t="shared" si="73"/>
        <v>1140.1666460929375</v>
      </c>
      <c r="AA326" s="165">
        <f t="shared" si="74"/>
        <v>30841.238917366052</v>
      </c>
      <c r="AB326" s="165"/>
    </row>
    <row r="327" spans="3:28" x14ac:dyDescent="0.2">
      <c r="C327" s="148">
        <v>4.9763450839478161</v>
      </c>
      <c r="D327">
        <f t="shared" si="62"/>
        <v>89.788588605489096</v>
      </c>
      <c r="E327" s="164">
        <v>10574.468085106384</v>
      </c>
      <c r="F327" s="165">
        <f>E327/'Electrical System Specification'!AC$4</f>
        <v>10790.273556231004</v>
      </c>
      <c r="G327" s="146">
        <f>F327/('Electrical System Specification'!X$16*'Electrical System Specification'!J$16*'Electrical System Specification'!D$17)</f>
        <v>13434.774585675339</v>
      </c>
      <c r="H327" s="165"/>
      <c r="I327" s="173">
        <f t="shared" si="63"/>
        <v>6871.6622130335309</v>
      </c>
      <c r="J327" s="173">
        <f t="shared" si="64"/>
        <v>7621.6306710664712</v>
      </c>
      <c r="K327" s="174">
        <f>IF(E327&gt;I327,'Electrical System Specification'!AC$4*'Electrical System Specification'!J$16*'Electrical System Specification'!D$16*'Electrical System Specification'!D$17*'Electrical System Specification'!X$16)</f>
        <v>0.70838712000000004</v>
      </c>
      <c r="L327" s="174" t="b">
        <f>IF(E327&lt;I327,'Electrical System Specification'!X$16*'Electrical System Specification'!Q$16*'Electrical System Specification'!AC$4*'Electrical System Specification'!J$16)</f>
        <v>0</v>
      </c>
      <c r="M327" s="174">
        <f t="shared" si="65"/>
        <v>0.70838712000000004</v>
      </c>
      <c r="N327" s="174">
        <f t="shared" si="66"/>
        <v>7490.8169923404266</v>
      </c>
      <c r="O327" s="173">
        <f t="shared" si="67"/>
        <v>3702.8058720728532</v>
      </c>
      <c r="P327" s="174">
        <f t="shared" si="68"/>
        <v>5227.0937281762735</v>
      </c>
      <c r="Q327" s="174">
        <f t="shared" si="76"/>
        <v>8270.8960076684452</v>
      </c>
      <c r="R327" s="174">
        <f t="shared" si="75"/>
        <v>0</v>
      </c>
      <c r="S327" s="165" t="b">
        <f t="shared" si="69"/>
        <v>0</v>
      </c>
      <c r="T327">
        <f t="shared" si="70"/>
        <v>13497.98973584472</v>
      </c>
      <c r="U327" s="176">
        <f t="shared" si="71"/>
        <v>13497.98973584472</v>
      </c>
      <c r="V327" s="165">
        <f>IF(U327&lt;V$5,V$5-U327,IF(U327&gt;=V$5,0))*('Electrical System Specification'!D$16*'Electrical System Specification'!Q$16)</f>
        <v>0</v>
      </c>
      <c r="W327" s="28">
        <f t="shared" si="72"/>
        <v>0</v>
      </c>
      <c r="X327" s="165">
        <f>IF(U327&gt;V$5,U327-V$5,0)*'Electrical System Specification'!D$17</f>
        <v>4235.9931978113091</v>
      </c>
      <c r="Y327">
        <f>(X327*C327)*'Electrical System Specification'!D$17</f>
        <v>18971.787533008228</v>
      </c>
      <c r="Z327" s="165">
        <f t="shared" si="73"/>
        <v>-18971.787533008228</v>
      </c>
      <c r="AA327" s="165">
        <f t="shared" si="74"/>
        <v>11869.451384357824</v>
      </c>
      <c r="AB327" s="165"/>
    </row>
    <row r="328" spans="3:28" x14ac:dyDescent="0.2">
      <c r="C328" s="148">
        <v>20.840214319097555</v>
      </c>
      <c r="D328">
        <f t="shared" si="62"/>
        <v>110.62880292458665</v>
      </c>
      <c r="E328" s="164">
        <v>10325.657071339176</v>
      </c>
      <c r="F328" s="165">
        <f>E328/'Electrical System Specification'!AC$4</f>
        <v>10536.384766672629</v>
      </c>
      <c r="G328" s="146">
        <f>F328/('Electrical System Specification'!X$16*'Electrical System Specification'!J$16*'Electrical System Specification'!D$17)</f>
        <v>13118.662242482978</v>
      </c>
      <c r="H328" s="165"/>
      <c r="I328" s="173">
        <f t="shared" si="63"/>
        <v>6871.6622130335309</v>
      </c>
      <c r="J328" s="173">
        <f t="shared" si="64"/>
        <v>7621.6306710664712</v>
      </c>
      <c r="K328" s="174">
        <f>IF(E328&gt;I328,'Electrical System Specification'!AC$4*'Electrical System Specification'!J$16*'Electrical System Specification'!D$16*'Electrical System Specification'!D$17*'Electrical System Specification'!X$16)</f>
        <v>0.70838712000000004</v>
      </c>
      <c r="L328" s="174" t="b">
        <f>IF(E328&lt;I328,'Electrical System Specification'!X$16*'Electrical System Specification'!Q$16*'Electrical System Specification'!AC$4*'Electrical System Specification'!J$16)</f>
        <v>0</v>
      </c>
      <c r="M328" s="174">
        <f t="shared" si="65"/>
        <v>0.70838712000000004</v>
      </c>
      <c r="N328" s="174">
        <f t="shared" si="66"/>
        <v>7314.5624748735936</v>
      </c>
      <c r="O328" s="173">
        <f t="shared" si="67"/>
        <v>3453.9948583056448</v>
      </c>
      <c r="P328" s="174">
        <f t="shared" si="68"/>
        <v>4875.8577912958735</v>
      </c>
      <c r="Q328" s="174">
        <f t="shared" si="76"/>
        <v>8270.8960076684452</v>
      </c>
      <c r="R328" s="174">
        <f t="shared" si="75"/>
        <v>0</v>
      </c>
      <c r="S328" s="165" t="b">
        <f t="shared" si="69"/>
        <v>0</v>
      </c>
      <c r="T328">
        <f t="shared" si="70"/>
        <v>13146.753798964319</v>
      </c>
      <c r="U328" s="176">
        <f t="shared" si="71"/>
        <v>13146.753798964319</v>
      </c>
      <c r="V328" s="165">
        <f>IF(U328&lt;V$5,V$5-U328,IF(U328&gt;=V$5,0))*('Electrical System Specification'!D$16*'Electrical System Specification'!Q$16)</f>
        <v>0</v>
      </c>
      <c r="W328" s="28">
        <f t="shared" si="72"/>
        <v>0</v>
      </c>
      <c r="X328" s="165">
        <f>IF(U328&gt;V$5,U328-V$5,0)*'Electrical System Specification'!D$17</f>
        <v>3919.8808546189484</v>
      </c>
      <c r="Y328">
        <f>(X328*C328)*'Electrical System Specification'!D$17</f>
        <v>73522.041404027565</v>
      </c>
      <c r="Z328" s="165">
        <f t="shared" si="73"/>
        <v>-73522.041404027565</v>
      </c>
      <c r="AA328" s="165">
        <f t="shared" si="74"/>
        <v>-61652.59001966974</v>
      </c>
      <c r="AB328" s="165"/>
    </row>
    <row r="329" spans="3:28" x14ac:dyDescent="0.2">
      <c r="C329" s="148">
        <v>0.14114401255485984</v>
      </c>
      <c r="D329">
        <f t="shared" si="62"/>
        <v>110.76994693714151</v>
      </c>
      <c r="E329" s="164">
        <v>10325.657071339176</v>
      </c>
      <c r="F329" s="165">
        <f>E329/'Electrical System Specification'!AC$4</f>
        <v>10536.384766672629</v>
      </c>
      <c r="G329" s="146">
        <f>F329/('Electrical System Specification'!X$16*'Electrical System Specification'!J$16*'Electrical System Specification'!D$17)</f>
        <v>13118.662242482978</v>
      </c>
      <c r="H329" s="165"/>
      <c r="I329" s="173">
        <f t="shared" si="63"/>
        <v>6871.6622130335309</v>
      </c>
      <c r="J329" s="173">
        <f t="shared" si="64"/>
        <v>7621.6306710664712</v>
      </c>
      <c r="K329" s="174">
        <f>IF(E329&gt;I329,'Electrical System Specification'!AC$4*'Electrical System Specification'!J$16*'Electrical System Specification'!D$16*'Electrical System Specification'!D$17*'Electrical System Specification'!X$16)</f>
        <v>0.70838712000000004</v>
      </c>
      <c r="L329" s="174" t="b">
        <f>IF(E329&lt;I329,'Electrical System Specification'!X$16*'Electrical System Specification'!Q$16*'Electrical System Specification'!AC$4*'Electrical System Specification'!J$16)</f>
        <v>0</v>
      </c>
      <c r="M329" s="174">
        <f t="shared" si="65"/>
        <v>0.70838712000000004</v>
      </c>
      <c r="N329" s="174">
        <f t="shared" si="66"/>
        <v>7314.5624748735936</v>
      </c>
      <c r="O329" s="173">
        <f t="shared" si="67"/>
        <v>3453.9948583056448</v>
      </c>
      <c r="P329" s="174">
        <f t="shared" si="68"/>
        <v>4875.8577912958735</v>
      </c>
      <c r="Q329" s="174">
        <f t="shared" si="76"/>
        <v>8270.8960076684452</v>
      </c>
      <c r="R329" s="174">
        <f t="shared" si="75"/>
        <v>0</v>
      </c>
      <c r="S329" s="165" t="b">
        <f t="shared" si="69"/>
        <v>0</v>
      </c>
      <c r="T329">
        <f t="shared" si="70"/>
        <v>13146.753798964319</v>
      </c>
      <c r="U329" s="176">
        <f t="shared" si="71"/>
        <v>13146.753798964319</v>
      </c>
      <c r="V329" s="165">
        <f>IF(U329&lt;V$5,V$5-U329,IF(U329&gt;=V$5,0))*('Electrical System Specification'!D$16*'Electrical System Specification'!Q$16)</f>
        <v>0</v>
      </c>
      <c r="W329" s="28">
        <f t="shared" si="72"/>
        <v>0</v>
      </c>
      <c r="X329" s="165">
        <f>IF(U329&gt;V$5,U329-V$5,0)*'Electrical System Specification'!D$17</f>
        <v>3919.8808546189484</v>
      </c>
      <c r="Y329">
        <f>(X329*C329)*'Electrical System Specification'!D$17</f>
        <v>497.94094130210237</v>
      </c>
      <c r="Z329" s="165">
        <f t="shared" si="73"/>
        <v>-497.94094130210237</v>
      </c>
      <c r="AA329" s="165">
        <f t="shared" si="74"/>
        <v>-62150.530960971846</v>
      </c>
      <c r="AB329" s="165"/>
    </row>
    <row r="330" spans="3:28" x14ac:dyDescent="0.2">
      <c r="C330" s="148">
        <v>0.142715096892297</v>
      </c>
      <c r="D330">
        <f t="shared" ref="D330:D393" si="77">C330+D329</f>
        <v>110.91266203403381</v>
      </c>
      <c r="E330" s="164">
        <v>10325.657071339176</v>
      </c>
      <c r="F330" s="165">
        <f>E330/'Electrical System Specification'!AC$4</f>
        <v>10536.384766672629</v>
      </c>
      <c r="G330" s="146">
        <f>F330/('Electrical System Specification'!X$16*'Electrical System Specification'!J$16*'Electrical System Specification'!D$17)</f>
        <v>13118.662242482978</v>
      </c>
      <c r="H330" s="165"/>
      <c r="I330" s="173">
        <f t="shared" ref="I330:I393" si="78">J$5</f>
        <v>6871.6622130335309</v>
      </c>
      <c r="J330" s="173">
        <f t="shared" ref="J330:J393" si="79">J$7</f>
        <v>7621.6306710664712</v>
      </c>
      <c r="K330" s="174">
        <f>IF(E330&gt;I330,'Electrical System Specification'!AC$4*'Electrical System Specification'!J$16*'Electrical System Specification'!D$16*'Electrical System Specification'!D$17*'Electrical System Specification'!X$16)</f>
        <v>0.70838712000000004</v>
      </c>
      <c r="L330" s="174" t="b">
        <f>IF(E330&lt;I330,'Electrical System Specification'!X$16*'Electrical System Specification'!Q$16*'Electrical System Specification'!AC$4*'Electrical System Specification'!J$16)</f>
        <v>0</v>
      </c>
      <c r="M330" s="174">
        <f t="shared" ref="M330:M393" si="80">IF(I330&gt;E330,L330,IF(I330&lt;E330,K330))</f>
        <v>0.70838712000000004</v>
      </c>
      <c r="N330" s="174">
        <f t="shared" ref="N330:N393" si="81">M330*E330</f>
        <v>7314.5624748735936</v>
      </c>
      <c r="O330" s="173">
        <f t="shared" ref="O330:O393" si="82">E330-I330</f>
        <v>3453.9948583056448</v>
      </c>
      <c r="P330" s="174">
        <f t="shared" ref="P330:P393" si="83">IF(O330&gt;0,O330/K330)</f>
        <v>4875.8577912958735</v>
      </c>
      <c r="Q330" s="174">
        <f t="shared" si="76"/>
        <v>8270.8960076684452</v>
      </c>
      <c r="R330" s="174">
        <f t="shared" si="75"/>
        <v>0</v>
      </c>
      <c r="S330" s="165" t="b">
        <f t="shared" ref="S330:S393" si="84">IF(P330=FALSE,R330,IF(R330=FALSE,P330))</f>
        <v>0</v>
      </c>
      <c r="T330">
        <f t="shared" ref="T330:T393" si="85">IF(O330&gt;0,(I330/P$4)+(O330/Q$4))</f>
        <v>13146.753798964319</v>
      </c>
      <c r="U330" s="176">
        <f t="shared" ref="U330:U393" si="86">IF(T330=FALSE,S330,T330)</f>
        <v>13146.753798964319</v>
      </c>
      <c r="V330" s="165">
        <f>IF(U330&lt;V$5,V$5-U330,IF(U330&gt;=V$5,0))*('Electrical System Specification'!D$16*'Electrical System Specification'!Q$16)</f>
        <v>0</v>
      </c>
      <c r="W330" s="28">
        <f t="shared" ref="W330:W393" si="87">V330*C330</f>
        <v>0</v>
      </c>
      <c r="X330" s="165">
        <f>IF(U330&gt;V$5,U330-V$5,0)*'Electrical System Specification'!D$17</f>
        <v>3919.8808546189484</v>
      </c>
      <c r="Y330">
        <f>(X330*C330)*'Electrical System Specification'!D$17</f>
        <v>503.48355837588286</v>
      </c>
      <c r="Z330" s="165">
        <f t="shared" ref="Z330:Z393" si="88">(W330-Y330)</f>
        <v>-503.48355837588286</v>
      </c>
      <c r="AA330" s="165">
        <f t="shared" ref="AA330:AA393" si="89">Z330+AA329</f>
        <v>-62654.014519347729</v>
      </c>
      <c r="AB330" s="165"/>
    </row>
    <row r="331" spans="3:28" x14ac:dyDescent="0.2">
      <c r="C331" s="148">
        <v>0.14431357377246506</v>
      </c>
      <c r="D331">
        <f t="shared" si="77"/>
        <v>111.05697560780628</v>
      </c>
      <c r="E331" s="164">
        <v>10325.657071339176</v>
      </c>
      <c r="F331" s="165">
        <f>E331/'Electrical System Specification'!AC$4</f>
        <v>10536.384766672629</v>
      </c>
      <c r="G331" s="146">
        <f>F331/('Electrical System Specification'!X$16*'Electrical System Specification'!J$16*'Electrical System Specification'!D$17)</f>
        <v>13118.662242482978</v>
      </c>
      <c r="H331" s="165"/>
      <c r="I331" s="173">
        <f t="shared" si="78"/>
        <v>6871.6622130335309</v>
      </c>
      <c r="J331" s="173">
        <f t="shared" si="79"/>
        <v>7621.6306710664712</v>
      </c>
      <c r="K331" s="174">
        <f>IF(E331&gt;I331,'Electrical System Specification'!AC$4*'Electrical System Specification'!J$16*'Electrical System Specification'!D$16*'Electrical System Specification'!D$17*'Electrical System Specification'!X$16)</f>
        <v>0.70838712000000004</v>
      </c>
      <c r="L331" s="174" t="b">
        <f>IF(E331&lt;I331,'Electrical System Specification'!X$16*'Electrical System Specification'!Q$16*'Electrical System Specification'!AC$4*'Electrical System Specification'!J$16)</f>
        <v>0</v>
      </c>
      <c r="M331" s="174">
        <f t="shared" si="80"/>
        <v>0.70838712000000004</v>
      </c>
      <c r="N331" s="174">
        <f t="shared" si="81"/>
        <v>7314.5624748735936</v>
      </c>
      <c r="O331" s="173">
        <f t="shared" si="82"/>
        <v>3453.9948583056448</v>
      </c>
      <c r="P331" s="174">
        <f t="shared" si="83"/>
        <v>4875.8577912958735</v>
      </c>
      <c r="Q331" s="174">
        <f t="shared" si="76"/>
        <v>8270.8960076684452</v>
      </c>
      <c r="R331" s="174">
        <f t="shared" si="75"/>
        <v>0</v>
      </c>
      <c r="S331" s="165" t="b">
        <f t="shared" si="84"/>
        <v>0</v>
      </c>
      <c r="T331">
        <f t="shared" si="85"/>
        <v>13146.753798964319</v>
      </c>
      <c r="U331" s="176">
        <f t="shared" si="86"/>
        <v>13146.753798964319</v>
      </c>
      <c r="V331" s="165">
        <f>IF(U331&lt;V$5,V$5-U331,IF(U331&gt;=V$5,0))*('Electrical System Specification'!D$16*'Electrical System Specification'!Q$16)</f>
        <v>0</v>
      </c>
      <c r="W331" s="28">
        <f t="shared" si="87"/>
        <v>0</v>
      </c>
      <c r="X331" s="165">
        <f>IF(U331&gt;V$5,U331-V$5,0)*'Electrical System Specification'!D$17</f>
        <v>3919.8808546189484</v>
      </c>
      <c r="Y331">
        <f>(X331*C331)*'Electrical System Specification'!D$17</f>
        <v>509.12281340309249</v>
      </c>
      <c r="Z331" s="165">
        <f t="shared" si="88"/>
        <v>-509.12281340309249</v>
      </c>
      <c r="AA331" s="165">
        <f t="shared" si="89"/>
        <v>-63163.137332750819</v>
      </c>
      <c r="AB331" s="165"/>
    </row>
    <row r="332" spans="3:28" x14ac:dyDescent="0.2">
      <c r="C332" s="148">
        <v>0.15</v>
      </c>
      <c r="D332">
        <f t="shared" si="77"/>
        <v>111.20697560780629</v>
      </c>
      <c r="E332" s="164">
        <v>10325.657071339176</v>
      </c>
      <c r="F332" s="165">
        <f>E332/'Electrical System Specification'!AC$4</f>
        <v>10536.384766672629</v>
      </c>
      <c r="G332" s="146">
        <f>F332/('Electrical System Specification'!X$16*'Electrical System Specification'!J$16*'Electrical System Specification'!D$17)</f>
        <v>13118.662242482978</v>
      </c>
      <c r="H332" s="165"/>
      <c r="I332" s="173">
        <f t="shared" si="78"/>
        <v>6871.6622130335309</v>
      </c>
      <c r="J332" s="173">
        <f t="shared" si="79"/>
        <v>7621.6306710664712</v>
      </c>
      <c r="K332" s="174">
        <f>IF(E332&gt;I332,'Electrical System Specification'!AC$4*'Electrical System Specification'!J$16*'Electrical System Specification'!D$16*'Electrical System Specification'!D$17*'Electrical System Specification'!X$16)</f>
        <v>0.70838712000000004</v>
      </c>
      <c r="L332" s="174" t="b">
        <f>IF(E332&lt;I332,'Electrical System Specification'!X$16*'Electrical System Specification'!Q$16*'Electrical System Specification'!AC$4*'Electrical System Specification'!J$16)</f>
        <v>0</v>
      </c>
      <c r="M332" s="174">
        <f t="shared" si="80"/>
        <v>0.70838712000000004</v>
      </c>
      <c r="N332" s="174">
        <f t="shared" si="81"/>
        <v>7314.5624748735936</v>
      </c>
      <c r="O332" s="173">
        <f t="shared" si="82"/>
        <v>3453.9948583056448</v>
      </c>
      <c r="P332" s="174">
        <f t="shared" si="83"/>
        <v>4875.8577912958735</v>
      </c>
      <c r="Q332" s="174">
        <f t="shared" si="76"/>
        <v>8270.8960076684452</v>
      </c>
      <c r="R332" s="174">
        <f t="shared" si="75"/>
        <v>0</v>
      </c>
      <c r="S332" s="165" t="b">
        <f t="shared" si="84"/>
        <v>0</v>
      </c>
      <c r="T332">
        <f t="shared" si="85"/>
        <v>13146.753798964319</v>
      </c>
      <c r="U332" s="176">
        <f t="shared" si="86"/>
        <v>13146.753798964319</v>
      </c>
      <c r="V332" s="165">
        <f>IF(U332&lt;V$5,V$5-U332,IF(U332&gt;=V$5,0))*('Electrical System Specification'!D$16*'Electrical System Specification'!Q$16)</f>
        <v>0</v>
      </c>
      <c r="W332" s="28">
        <f t="shared" si="87"/>
        <v>0</v>
      </c>
      <c r="X332" s="165">
        <f>IF(U332&gt;V$5,U332-V$5,0)*'Electrical System Specification'!D$17</f>
        <v>3919.8808546189484</v>
      </c>
      <c r="Y332">
        <f>(X332*C332)*'Electrical System Specification'!D$17</f>
        <v>529.18391537355797</v>
      </c>
      <c r="Z332" s="165">
        <f t="shared" si="88"/>
        <v>-529.18391537355797</v>
      </c>
      <c r="AA332" s="165">
        <f t="shared" si="89"/>
        <v>-63692.321248124375</v>
      </c>
      <c r="AB332" s="165"/>
    </row>
    <row r="333" spans="3:28" x14ac:dyDescent="0.2">
      <c r="C333" s="148">
        <v>0.147298479340045</v>
      </c>
      <c r="D333">
        <f t="shared" si="77"/>
        <v>111.35427408714634</v>
      </c>
      <c r="E333" s="164">
        <v>13465.906457145509</v>
      </c>
      <c r="F333" s="165">
        <f>E333/'Electrical System Specification'!AC$4</f>
        <v>13740.720874638275</v>
      </c>
      <c r="G333" s="146">
        <f>F333/('Electrical System Specification'!X$16*'Electrical System Specification'!J$16*'Electrical System Specification'!D$17)</f>
        <v>17108.323216592304</v>
      </c>
      <c r="H333" s="165"/>
      <c r="I333" s="173">
        <f t="shared" si="78"/>
        <v>6871.6622130335309</v>
      </c>
      <c r="J333" s="173">
        <f t="shared" si="79"/>
        <v>7621.6306710664712</v>
      </c>
      <c r="K333" s="174">
        <f>IF(E333&gt;I333,'Electrical System Specification'!AC$4*'Electrical System Specification'!J$16*'Electrical System Specification'!D$16*'Electrical System Specification'!D$17*'Electrical System Specification'!X$16)</f>
        <v>0.70838712000000004</v>
      </c>
      <c r="L333" s="174" t="b">
        <f>IF(E333&lt;I333,'Electrical System Specification'!X$16*'Electrical System Specification'!Q$16*'Electrical System Specification'!AC$4*'Electrical System Specification'!J$16)</f>
        <v>0</v>
      </c>
      <c r="M333" s="174">
        <f t="shared" si="80"/>
        <v>0.70838712000000004</v>
      </c>
      <c r="N333" s="174">
        <f t="shared" si="81"/>
        <v>9539.0746933667106</v>
      </c>
      <c r="O333" s="173">
        <f t="shared" si="82"/>
        <v>6594.2442441119783</v>
      </c>
      <c r="P333" s="174">
        <f t="shared" si="83"/>
        <v>9308.8144291951248</v>
      </c>
      <c r="Q333" s="174">
        <f t="shared" si="76"/>
        <v>8270.8960076684452</v>
      </c>
      <c r="R333" s="174">
        <f t="shared" si="75"/>
        <v>0</v>
      </c>
      <c r="S333" s="165" t="b">
        <f t="shared" si="84"/>
        <v>0</v>
      </c>
      <c r="T333">
        <f t="shared" si="85"/>
        <v>17579.71043686357</v>
      </c>
      <c r="U333" s="176">
        <f t="shared" si="86"/>
        <v>17579.71043686357</v>
      </c>
      <c r="V333" s="165">
        <f>IF(U333&lt;V$5,V$5-U333,IF(U333&gt;=V$5,0))*('Electrical System Specification'!D$16*'Electrical System Specification'!Q$16)</f>
        <v>0</v>
      </c>
      <c r="W333" s="28">
        <f t="shared" si="87"/>
        <v>0</v>
      </c>
      <c r="X333" s="165">
        <f>IF(U333&gt;V$5,U333-V$5,0)*'Electrical System Specification'!D$17</f>
        <v>7909.5418287282746</v>
      </c>
      <c r="Y333">
        <f>(X333*C333)*'Electrical System Specification'!D$17</f>
        <v>1048.5571352833383</v>
      </c>
      <c r="Z333" s="165">
        <f t="shared" si="88"/>
        <v>-1048.5571352833383</v>
      </c>
      <c r="AA333" s="165">
        <f t="shared" si="89"/>
        <v>-64740.878383407711</v>
      </c>
      <c r="AB333" s="165"/>
    </row>
    <row r="334" spans="3:28" x14ac:dyDescent="0.2">
      <c r="C334" s="148">
        <v>0.18453</v>
      </c>
      <c r="D334">
        <f t="shared" si="77"/>
        <v>111.53880408714633</v>
      </c>
      <c r="E334" s="164">
        <v>13465.906457145509</v>
      </c>
      <c r="F334" s="165">
        <f>E334/'Electrical System Specification'!AC$4</f>
        <v>13740.720874638275</v>
      </c>
      <c r="G334" s="146">
        <f>F334/('Electrical System Specification'!X$16*'Electrical System Specification'!J$16*'Electrical System Specification'!D$17)</f>
        <v>17108.323216592304</v>
      </c>
      <c r="H334" s="165"/>
      <c r="I334" s="173">
        <f t="shared" si="78"/>
        <v>6871.6622130335309</v>
      </c>
      <c r="J334" s="173">
        <f t="shared" si="79"/>
        <v>7621.6306710664712</v>
      </c>
      <c r="K334" s="174">
        <f>IF(E334&gt;I334,'Electrical System Specification'!AC$4*'Electrical System Specification'!J$16*'Electrical System Specification'!D$16*'Electrical System Specification'!D$17*'Electrical System Specification'!X$16)</f>
        <v>0.70838712000000004</v>
      </c>
      <c r="L334" s="174" t="b">
        <f>IF(E334&lt;I334,'Electrical System Specification'!X$16*'Electrical System Specification'!Q$16*'Electrical System Specification'!AC$4*'Electrical System Specification'!J$16)</f>
        <v>0</v>
      </c>
      <c r="M334" s="174">
        <f t="shared" si="80"/>
        <v>0.70838712000000004</v>
      </c>
      <c r="N334" s="174">
        <f t="shared" si="81"/>
        <v>9539.0746933667106</v>
      </c>
      <c r="O334" s="173">
        <f t="shared" si="82"/>
        <v>6594.2442441119783</v>
      </c>
      <c r="P334" s="174">
        <f t="shared" si="83"/>
        <v>9308.8144291951248</v>
      </c>
      <c r="Q334" s="174">
        <f t="shared" si="76"/>
        <v>8270.8960076684452</v>
      </c>
      <c r="R334" s="174">
        <f t="shared" si="75"/>
        <v>0</v>
      </c>
      <c r="S334" s="165" t="b">
        <f t="shared" si="84"/>
        <v>0</v>
      </c>
      <c r="T334">
        <f t="shared" si="85"/>
        <v>17579.71043686357</v>
      </c>
      <c r="U334" s="176">
        <f t="shared" si="86"/>
        <v>17579.71043686357</v>
      </c>
      <c r="V334" s="165">
        <f>IF(U334&lt;V$5,V$5-U334,IF(U334&gt;=V$5,0))*('Electrical System Specification'!D$16*'Electrical System Specification'!Q$16)</f>
        <v>0</v>
      </c>
      <c r="W334" s="28">
        <f t="shared" si="87"/>
        <v>0</v>
      </c>
      <c r="X334" s="165">
        <f>IF(U334&gt;V$5,U334-V$5,0)*'Electrical System Specification'!D$17</f>
        <v>7909.5418287282746</v>
      </c>
      <c r="Y334">
        <f>(X334*C334)*'Electrical System Specification'!D$17</f>
        <v>1313.5929782897056</v>
      </c>
      <c r="Z334" s="165">
        <f t="shared" si="88"/>
        <v>-1313.5929782897056</v>
      </c>
      <c r="AA334" s="165">
        <f t="shared" si="89"/>
        <v>-66054.471361697419</v>
      </c>
      <c r="AB334" s="165"/>
    </row>
    <row r="335" spans="3:28" x14ac:dyDescent="0.2">
      <c r="C335" s="148">
        <v>0.28413344025354037</v>
      </c>
      <c r="D335">
        <f t="shared" si="77"/>
        <v>111.82293752739987</v>
      </c>
      <c r="E335" s="164">
        <v>13465.906457145509</v>
      </c>
      <c r="F335" s="165">
        <f>E335/'Electrical System Specification'!AC$4</f>
        <v>13740.720874638275</v>
      </c>
      <c r="G335" s="146">
        <f>F335/('Electrical System Specification'!X$16*'Electrical System Specification'!J$16*'Electrical System Specification'!D$17)</f>
        <v>17108.323216592304</v>
      </c>
      <c r="H335" s="165"/>
      <c r="I335" s="173">
        <f t="shared" si="78"/>
        <v>6871.6622130335309</v>
      </c>
      <c r="J335" s="173">
        <f t="shared" si="79"/>
        <v>7621.6306710664712</v>
      </c>
      <c r="K335" s="174">
        <f>IF(E335&gt;I335,'Electrical System Specification'!AC$4*'Electrical System Specification'!J$16*'Electrical System Specification'!D$16*'Electrical System Specification'!D$17*'Electrical System Specification'!X$16)</f>
        <v>0.70838712000000004</v>
      </c>
      <c r="L335" s="174" t="b">
        <f>IF(E335&lt;I335,'Electrical System Specification'!X$16*'Electrical System Specification'!Q$16*'Electrical System Specification'!AC$4*'Electrical System Specification'!J$16)</f>
        <v>0</v>
      </c>
      <c r="M335" s="174">
        <f t="shared" si="80"/>
        <v>0.70838712000000004</v>
      </c>
      <c r="N335" s="174">
        <f t="shared" si="81"/>
        <v>9539.0746933667106</v>
      </c>
      <c r="O335" s="173">
        <f t="shared" si="82"/>
        <v>6594.2442441119783</v>
      </c>
      <c r="P335" s="174">
        <f t="shared" si="83"/>
        <v>9308.8144291951248</v>
      </c>
      <c r="Q335" s="174">
        <f t="shared" si="76"/>
        <v>8270.8960076684452</v>
      </c>
      <c r="R335" s="174">
        <f t="shared" si="75"/>
        <v>0</v>
      </c>
      <c r="S335" s="165" t="b">
        <f t="shared" si="84"/>
        <v>0</v>
      </c>
      <c r="T335">
        <f t="shared" si="85"/>
        <v>17579.71043686357</v>
      </c>
      <c r="U335" s="176">
        <f t="shared" si="86"/>
        <v>17579.71043686357</v>
      </c>
      <c r="V335" s="165">
        <f>IF(U335&lt;V$5,V$5-U335,IF(U335&gt;=V$5,0))*('Electrical System Specification'!D$16*'Electrical System Specification'!Q$16)</f>
        <v>0</v>
      </c>
      <c r="W335" s="28">
        <f t="shared" si="87"/>
        <v>0</v>
      </c>
      <c r="X335" s="165">
        <f>IF(U335&gt;V$5,U335-V$5,0)*'Electrical System Specification'!D$17</f>
        <v>7909.5418287282746</v>
      </c>
      <c r="Y335">
        <f>(X335*C335)*'Electrical System Specification'!D$17</f>
        <v>2022.6287975632595</v>
      </c>
      <c r="Z335" s="165">
        <f t="shared" si="88"/>
        <v>-2022.6287975632595</v>
      </c>
      <c r="AA335" s="165">
        <f t="shared" si="89"/>
        <v>-68077.100159260677</v>
      </c>
      <c r="AB335" s="165"/>
    </row>
    <row r="336" spans="3:28" x14ac:dyDescent="0.2">
      <c r="C336" s="148">
        <v>0.28449868202897161</v>
      </c>
      <c r="D336">
        <f t="shared" si="77"/>
        <v>112.10743620942884</v>
      </c>
      <c r="E336" s="164">
        <v>13465.906457145509</v>
      </c>
      <c r="F336" s="165">
        <f>E336/'Electrical System Specification'!AC$4</f>
        <v>13740.720874638275</v>
      </c>
      <c r="G336" s="146">
        <f>F336/('Electrical System Specification'!X$16*'Electrical System Specification'!J$16*'Electrical System Specification'!D$17)</f>
        <v>17108.323216592304</v>
      </c>
      <c r="H336" s="165"/>
      <c r="I336" s="173">
        <f t="shared" si="78"/>
        <v>6871.6622130335309</v>
      </c>
      <c r="J336" s="173">
        <f t="shared" si="79"/>
        <v>7621.6306710664712</v>
      </c>
      <c r="K336" s="174">
        <f>IF(E336&gt;I336,'Electrical System Specification'!AC$4*'Electrical System Specification'!J$16*'Electrical System Specification'!D$16*'Electrical System Specification'!D$17*'Electrical System Specification'!X$16)</f>
        <v>0.70838712000000004</v>
      </c>
      <c r="L336" s="174" t="b">
        <f>IF(E336&lt;I336,'Electrical System Specification'!X$16*'Electrical System Specification'!Q$16*'Electrical System Specification'!AC$4*'Electrical System Specification'!J$16)</f>
        <v>0</v>
      </c>
      <c r="M336" s="174">
        <f t="shared" si="80"/>
        <v>0.70838712000000004</v>
      </c>
      <c r="N336" s="174">
        <f t="shared" si="81"/>
        <v>9539.0746933667106</v>
      </c>
      <c r="O336" s="173">
        <f t="shared" si="82"/>
        <v>6594.2442441119783</v>
      </c>
      <c r="P336" s="174">
        <f t="shared" si="83"/>
        <v>9308.8144291951248</v>
      </c>
      <c r="Q336" s="174">
        <f t="shared" si="76"/>
        <v>8270.8960076684452</v>
      </c>
      <c r="R336" s="174">
        <f t="shared" si="75"/>
        <v>0</v>
      </c>
      <c r="S336" s="165" t="b">
        <f t="shared" si="84"/>
        <v>0</v>
      </c>
      <c r="T336">
        <f t="shared" si="85"/>
        <v>17579.71043686357</v>
      </c>
      <c r="U336" s="176">
        <f t="shared" si="86"/>
        <v>17579.71043686357</v>
      </c>
      <c r="V336" s="165">
        <f>IF(U336&lt;V$5,V$5-U336,IF(U336&gt;=V$5,0))*('Electrical System Specification'!D$16*'Electrical System Specification'!Q$16)</f>
        <v>0</v>
      </c>
      <c r="W336" s="28">
        <f t="shared" si="87"/>
        <v>0</v>
      </c>
      <c r="X336" s="165">
        <f>IF(U336&gt;V$5,U336-V$5,0)*'Electrical System Specification'!D$17</f>
        <v>7909.5418287282746</v>
      </c>
      <c r="Y336">
        <f>(X336*C336)*'Electrical System Specification'!D$17</f>
        <v>2025.2288031535945</v>
      </c>
      <c r="Z336" s="165">
        <f t="shared" si="88"/>
        <v>-2025.2288031535945</v>
      </c>
      <c r="AA336" s="165">
        <f t="shared" si="89"/>
        <v>-70102.328962414278</v>
      </c>
      <c r="AB336" s="165"/>
    </row>
    <row r="337" spans="3:28" x14ac:dyDescent="0.2">
      <c r="C337" s="148">
        <v>0.28486140101441343</v>
      </c>
      <c r="D337">
        <f t="shared" si="77"/>
        <v>112.39229761044325</v>
      </c>
      <c r="E337" s="164">
        <v>13465.906457145509</v>
      </c>
      <c r="F337" s="165">
        <f>E337/'Electrical System Specification'!AC$4</f>
        <v>13740.720874638275</v>
      </c>
      <c r="G337" s="146">
        <f>F337/('Electrical System Specification'!X$16*'Electrical System Specification'!J$16*'Electrical System Specification'!D$17)</f>
        <v>17108.323216592304</v>
      </c>
      <c r="H337" s="165"/>
      <c r="I337" s="173">
        <f t="shared" si="78"/>
        <v>6871.6622130335309</v>
      </c>
      <c r="J337" s="173">
        <f t="shared" si="79"/>
        <v>7621.6306710664712</v>
      </c>
      <c r="K337" s="174">
        <f>IF(E337&gt;I337,'Electrical System Specification'!AC$4*'Electrical System Specification'!J$16*'Electrical System Specification'!D$16*'Electrical System Specification'!D$17*'Electrical System Specification'!X$16)</f>
        <v>0.70838712000000004</v>
      </c>
      <c r="L337" s="174" t="b">
        <f>IF(E337&lt;I337,'Electrical System Specification'!X$16*'Electrical System Specification'!Q$16*'Electrical System Specification'!AC$4*'Electrical System Specification'!J$16)</f>
        <v>0</v>
      </c>
      <c r="M337" s="174">
        <f t="shared" si="80"/>
        <v>0.70838712000000004</v>
      </c>
      <c r="N337" s="174">
        <f t="shared" si="81"/>
        <v>9539.0746933667106</v>
      </c>
      <c r="O337" s="173">
        <f t="shared" si="82"/>
        <v>6594.2442441119783</v>
      </c>
      <c r="P337" s="174">
        <f t="shared" si="83"/>
        <v>9308.8144291951248</v>
      </c>
      <c r="Q337" s="174">
        <f t="shared" si="76"/>
        <v>8270.8960076684452</v>
      </c>
      <c r="R337" s="174">
        <f t="shared" si="75"/>
        <v>0</v>
      </c>
      <c r="S337" s="165" t="b">
        <f t="shared" si="84"/>
        <v>0</v>
      </c>
      <c r="T337">
        <f t="shared" si="85"/>
        <v>17579.71043686357</v>
      </c>
      <c r="U337" s="176">
        <f t="shared" si="86"/>
        <v>17579.71043686357</v>
      </c>
      <c r="V337" s="165">
        <f>IF(U337&lt;V$5,V$5-U337,IF(U337&gt;=V$5,0))*('Electrical System Specification'!D$16*'Electrical System Specification'!Q$16)</f>
        <v>0</v>
      </c>
      <c r="W337" s="28">
        <f t="shared" si="87"/>
        <v>0</v>
      </c>
      <c r="X337" s="165">
        <f>IF(U337&gt;V$5,U337-V$5,0)*'Electrical System Specification'!D$17</f>
        <v>7909.5418287282746</v>
      </c>
      <c r="Y337">
        <f>(X337*C337)*'Electrical System Specification'!D$17</f>
        <v>2027.8108500422779</v>
      </c>
      <c r="Z337" s="165">
        <f t="shared" si="88"/>
        <v>-2027.8108500422779</v>
      </c>
      <c r="AA337" s="165">
        <f t="shared" si="89"/>
        <v>-72130.13981245656</v>
      </c>
      <c r="AB337" s="165"/>
    </row>
    <row r="338" spans="3:28" x14ac:dyDescent="0.2">
      <c r="C338" s="148">
        <v>0.28532252849701367</v>
      </c>
      <c r="D338">
        <f t="shared" si="77"/>
        <v>112.67762013894027</v>
      </c>
      <c r="E338" s="164">
        <v>13465.906457145509</v>
      </c>
      <c r="F338" s="165">
        <f>E338/'Electrical System Specification'!AC$4</f>
        <v>13740.720874638275</v>
      </c>
      <c r="G338" s="146">
        <f>F338/('Electrical System Specification'!X$16*'Electrical System Specification'!J$16*'Electrical System Specification'!D$17)</f>
        <v>17108.323216592304</v>
      </c>
      <c r="H338" s="165"/>
      <c r="I338" s="173">
        <f t="shared" si="78"/>
        <v>6871.6622130335309</v>
      </c>
      <c r="J338" s="173">
        <f t="shared" si="79"/>
        <v>7621.6306710664712</v>
      </c>
      <c r="K338" s="174">
        <f>IF(E338&gt;I338,'Electrical System Specification'!AC$4*'Electrical System Specification'!J$16*'Electrical System Specification'!D$16*'Electrical System Specification'!D$17*'Electrical System Specification'!X$16)</f>
        <v>0.70838712000000004</v>
      </c>
      <c r="L338" s="174" t="b">
        <f>IF(E338&lt;I338,'Electrical System Specification'!X$16*'Electrical System Specification'!Q$16*'Electrical System Specification'!AC$4*'Electrical System Specification'!J$16)</f>
        <v>0</v>
      </c>
      <c r="M338" s="174">
        <f t="shared" si="80"/>
        <v>0.70838712000000004</v>
      </c>
      <c r="N338" s="174">
        <f t="shared" si="81"/>
        <v>9539.0746933667106</v>
      </c>
      <c r="O338" s="173">
        <f t="shared" si="82"/>
        <v>6594.2442441119783</v>
      </c>
      <c r="P338" s="174">
        <f t="shared" si="83"/>
        <v>9308.8144291951248</v>
      </c>
      <c r="Q338" s="174">
        <f t="shared" si="76"/>
        <v>8270.8960076684452</v>
      </c>
      <c r="R338" s="174">
        <f t="shared" si="75"/>
        <v>0</v>
      </c>
      <c r="S338" s="165" t="b">
        <f t="shared" si="84"/>
        <v>0</v>
      </c>
      <c r="T338">
        <f t="shared" si="85"/>
        <v>17579.71043686357</v>
      </c>
      <c r="U338" s="176">
        <f t="shared" si="86"/>
        <v>17579.71043686357</v>
      </c>
      <c r="V338" s="165">
        <f>IF(U338&lt;V$5,V$5-U338,IF(U338&gt;=V$5,0))*('Electrical System Specification'!D$16*'Electrical System Specification'!Q$16)</f>
        <v>0</v>
      </c>
      <c r="W338" s="28">
        <f t="shared" si="87"/>
        <v>0</v>
      </c>
      <c r="X338" s="165">
        <f>IF(U338&gt;V$5,U338-V$5,0)*'Electrical System Specification'!D$17</f>
        <v>7909.5418287282746</v>
      </c>
      <c r="Y338">
        <f>(X338*C338)*'Electrical System Specification'!D$17</f>
        <v>2031.0934264430803</v>
      </c>
      <c r="Z338" s="165">
        <f t="shared" si="88"/>
        <v>-2031.0934264430803</v>
      </c>
      <c r="AA338" s="165">
        <f t="shared" si="89"/>
        <v>-74161.233238899644</v>
      </c>
      <c r="AB338" s="165"/>
    </row>
    <row r="339" spans="3:28" x14ac:dyDescent="0.2">
      <c r="C339" s="148">
        <v>0.28574662488255348</v>
      </c>
      <c r="D339">
        <f t="shared" si="77"/>
        <v>112.96336676382282</v>
      </c>
      <c r="E339" s="164">
        <v>13465.906457145509</v>
      </c>
      <c r="F339" s="165">
        <f>E339/'Electrical System Specification'!AC$4</f>
        <v>13740.720874638275</v>
      </c>
      <c r="G339" s="146">
        <f>F339/('Electrical System Specification'!X$16*'Electrical System Specification'!J$16*'Electrical System Specification'!D$17)</f>
        <v>17108.323216592304</v>
      </c>
      <c r="H339" s="165"/>
      <c r="I339" s="173">
        <f t="shared" si="78"/>
        <v>6871.6622130335309</v>
      </c>
      <c r="J339" s="173">
        <f t="shared" si="79"/>
        <v>7621.6306710664712</v>
      </c>
      <c r="K339" s="174">
        <f>IF(E339&gt;I339,'Electrical System Specification'!AC$4*'Electrical System Specification'!J$16*'Electrical System Specification'!D$16*'Electrical System Specification'!D$17*'Electrical System Specification'!X$16)</f>
        <v>0.70838712000000004</v>
      </c>
      <c r="L339" s="174" t="b">
        <f>IF(E339&lt;I339,'Electrical System Specification'!X$16*'Electrical System Specification'!Q$16*'Electrical System Specification'!AC$4*'Electrical System Specification'!J$16)</f>
        <v>0</v>
      </c>
      <c r="M339" s="174">
        <f t="shared" si="80"/>
        <v>0.70838712000000004</v>
      </c>
      <c r="N339" s="174">
        <f t="shared" si="81"/>
        <v>9539.0746933667106</v>
      </c>
      <c r="O339" s="173">
        <f t="shared" si="82"/>
        <v>6594.2442441119783</v>
      </c>
      <c r="P339" s="174">
        <f t="shared" si="83"/>
        <v>9308.8144291951248</v>
      </c>
      <c r="Q339" s="174">
        <f t="shared" si="76"/>
        <v>8270.8960076684452</v>
      </c>
      <c r="R339" s="174">
        <f t="shared" si="75"/>
        <v>0</v>
      </c>
      <c r="S339" s="165" t="b">
        <f t="shared" si="84"/>
        <v>0</v>
      </c>
      <c r="T339">
        <f t="shared" si="85"/>
        <v>17579.71043686357</v>
      </c>
      <c r="U339" s="176">
        <f t="shared" si="86"/>
        <v>17579.71043686357</v>
      </c>
      <c r="V339" s="165">
        <f>IF(U339&lt;V$5,V$5-U339,IF(U339&gt;=V$5,0))*('Electrical System Specification'!D$16*'Electrical System Specification'!Q$16)</f>
        <v>0</v>
      </c>
      <c r="W339" s="28">
        <f t="shared" si="87"/>
        <v>0</v>
      </c>
      <c r="X339" s="165">
        <f>IF(U339&gt;V$5,U339-V$5,0)*'Electrical System Specification'!D$17</f>
        <v>7909.5418287282746</v>
      </c>
      <c r="Y339">
        <f>(X339*C339)*'Electrical System Specification'!D$17</f>
        <v>2034.1123937338359</v>
      </c>
      <c r="Z339" s="165">
        <f t="shared" si="88"/>
        <v>-2034.1123937338359</v>
      </c>
      <c r="AA339" s="165">
        <f t="shared" si="89"/>
        <v>-76195.345632633485</v>
      </c>
      <c r="AB339" s="165"/>
    </row>
    <row r="340" spans="3:28" x14ac:dyDescent="0.2">
      <c r="C340" s="148">
        <v>0.28613369017114243</v>
      </c>
      <c r="D340">
        <f t="shared" si="77"/>
        <v>113.24950045399396</v>
      </c>
      <c r="E340" s="164">
        <v>13465.906457145509</v>
      </c>
      <c r="F340" s="165">
        <f>E340/'Electrical System Specification'!AC$4</f>
        <v>13740.720874638275</v>
      </c>
      <c r="G340" s="146">
        <f>F340/('Electrical System Specification'!X$16*'Electrical System Specification'!J$16*'Electrical System Specification'!D$17)</f>
        <v>17108.323216592304</v>
      </c>
      <c r="H340" s="165"/>
      <c r="I340" s="173">
        <f t="shared" si="78"/>
        <v>6871.6622130335309</v>
      </c>
      <c r="J340" s="173">
        <f t="shared" si="79"/>
        <v>7621.6306710664712</v>
      </c>
      <c r="K340" s="174">
        <f>IF(E340&gt;I340,'Electrical System Specification'!AC$4*'Electrical System Specification'!J$16*'Electrical System Specification'!D$16*'Electrical System Specification'!D$17*'Electrical System Specification'!X$16)</f>
        <v>0.70838712000000004</v>
      </c>
      <c r="L340" s="174" t="b">
        <f>IF(E340&lt;I340,'Electrical System Specification'!X$16*'Electrical System Specification'!Q$16*'Electrical System Specification'!AC$4*'Electrical System Specification'!J$16)</f>
        <v>0</v>
      </c>
      <c r="M340" s="174">
        <f t="shared" si="80"/>
        <v>0.70838712000000004</v>
      </c>
      <c r="N340" s="174">
        <f t="shared" si="81"/>
        <v>9539.0746933667106</v>
      </c>
      <c r="O340" s="173">
        <f t="shared" si="82"/>
        <v>6594.2442441119783</v>
      </c>
      <c r="P340" s="174">
        <f t="shared" si="83"/>
        <v>9308.8144291951248</v>
      </c>
      <c r="Q340" s="174">
        <f t="shared" si="76"/>
        <v>8270.8960076684452</v>
      </c>
      <c r="R340" s="174">
        <f t="shared" si="75"/>
        <v>0</v>
      </c>
      <c r="S340" s="165" t="b">
        <f t="shared" si="84"/>
        <v>0</v>
      </c>
      <c r="T340">
        <f t="shared" si="85"/>
        <v>17579.71043686357</v>
      </c>
      <c r="U340" s="176">
        <f t="shared" si="86"/>
        <v>17579.71043686357</v>
      </c>
      <c r="V340" s="165">
        <f>IF(U340&lt;V$5,V$5-U340,IF(U340&gt;=V$5,0))*('Electrical System Specification'!D$16*'Electrical System Specification'!Q$16)</f>
        <v>0</v>
      </c>
      <c r="W340" s="28">
        <f t="shared" si="87"/>
        <v>0</v>
      </c>
      <c r="X340" s="165">
        <f>IF(U340&gt;V$5,U340-V$5,0)*'Electrical System Specification'!D$17</f>
        <v>7909.5418287282746</v>
      </c>
      <c r="Y340">
        <f>(X340*C340)*'Electrical System Specification'!D$17</f>
        <v>2036.8677519153246</v>
      </c>
      <c r="Z340" s="165">
        <f t="shared" si="88"/>
        <v>-2036.8677519153246</v>
      </c>
      <c r="AA340" s="165">
        <f t="shared" si="89"/>
        <v>-78232.213384548813</v>
      </c>
      <c r="AB340" s="165"/>
    </row>
    <row r="341" spans="3:28" x14ac:dyDescent="0.2">
      <c r="C341" s="148">
        <v>0.28650350130605889</v>
      </c>
      <c r="D341">
        <f t="shared" si="77"/>
        <v>113.53600395530002</v>
      </c>
      <c r="E341" s="164">
        <v>13465.906457145509</v>
      </c>
      <c r="F341" s="165">
        <f>E341/'Electrical System Specification'!AC$4</f>
        <v>13740.720874638275</v>
      </c>
      <c r="G341" s="146">
        <f>F341/('Electrical System Specification'!X$16*'Electrical System Specification'!J$16*'Electrical System Specification'!D$17)</f>
        <v>17108.323216592304</v>
      </c>
      <c r="H341" s="165"/>
      <c r="I341" s="173">
        <f t="shared" si="78"/>
        <v>6871.6622130335309</v>
      </c>
      <c r="J341" s="173">
        <f t="shared" si="79"/>
        <v>7621.6306710664712</v>
      </c>
      <c r="K341" s="174">
        <f>IF(E341&gt;I341,'Electrical System Specification'!AC$4*'Electrical System Specification'!J$16*'Electrical System Specification'!D$16*'Electrical System Specification'!D$17*'Electrical System Specification'!X$16)</f>
        <v>0.70838712000000004</v>
      </c>
      <c r="L341" s="174" t="b">
        <f>IF(E341&lt;I341,'Electrical System Specification'!X$16*'Electrical System Specification'!Q$16*'Electrical System Specification'!AC$4*'Electrical System Specification'!J$16)</f>
        <v>0</v>
      </c>
      <c r="M341" s="174">
        <f t="shared" si="80"/>
        <v>0.70838712000000004</v>
      </c>
      <c r="N341" s="174">
        <f t="shared" si="81"/>
        <v>9539.0746933667106</v>
      </c>
      <c r="O341" s="173">
        <f t="shared" si="82"/>
        <v>6594.2442441119783</v>
      </c>
      <c r="P341" s="174">
        <f t="shared" si="83"/>
        <v>9308.8144291951248</v>
      </c>
      <c r="Q341" s="174">
        <f t="shared" si="76"/>
        <v>8270.8960076684452</v>
      </c>
      <c r="R341" s="174">
        <f t="shared" ref="R341:R404" si="90">IF(Q341&gt;I341,0,Q341/L341)</f>
        <v>0</v>
      </c>
      <c r="S341" s="165" t="b">
        <f t="shared" si="84"/>
        <v>0</v>
      </c>
      <c r="T341">
        <f t="shared" si="85"/>
        <v>17579.71043686357</v>
      </c>
      <c r="U341" s="176">
        <f t="shared" si="86"/>
        <v>17579.71043686357</v>
      </c>
      <c r="V341" s="165">
        <f>IF(U341&lt;V$5,V$5-U341,IF(U341&gt;=V$5,0))*('Electrical System Specification'!D$16*'Electrical System Specification'!Q$16)</f>
        <v>0</v>
      </c>
      <c r="W341" s="28">
        <f t="shared" si="87"/>
        <v>0</v>
      </c>
      <c r="X341" s="165">
        <f>IF(U341&gt;V$5,U341-V$5,0)*'Electrical System Specification'!D$17</f>
        <v>7909.5418287282746</v>
      </c>
      <c r="Y341">
        <f>(X341*C341)*'Electrical System Specification'!D$17</f>
        <v>2039.5002848916406</v>
      </c>
      <c r="Z341" s="165">
        <f t="shared" si="88"/>
        <v>-2039.5002848916406</v>
      </c>
      <c r="AA341" s="165">
        <f t="shared" si="89"/>
        <v>-80271.713669440447</v>
      </c>
      <c r="AB341" s="165"/>
    </row>
    <row r="342" spans="3:28" x14ac:dyDescent="0.2">
      <c r="C342" s="148">
        <v>0.28687128948626284</v>
      </c>
      <c r="D342">
        <f t="shared" si="77"/>
        <v>113.82287524478627</v>
      </c>
      <c r="E342" s="164">
        <v>13465.906457145509</v>
      </c>
      <c r="F342" s="165">
        <f>E342/'Electrical System Specification'!AC$4</f>
        <v>13740.720874638275</v>
      </c>
      <c r="G342" s="146">
        <f>F342/('Electrical System Specification'!X$16*'Electrical System Specification'!J$16*'Electrical System Specification'!D$17)</f>
        <v>17108.323216592304</v>
      </c>
      <c r="H342" s="165"/>
      <c r="I342" s="173">
        <f t="shared" si="78"/>
        <v>6871.6622130335309</v>
      </c>
      <c r="J342" s="173">
        <f t="shared" si="79"/>
        <v>7621.6306710664712</v>
      </c>
      <c r="K342" s="174">
        <f>IF(E342&gt;I342,'Electrical System Specification'!AC$4*'Electrical System Specification'!J$16*'Electrical System Specification'!D$16*'Electrical System Specification'!D$17*'Electrical System Specification'!X$16)</f>
        <v>0.70838712000000004</v>
      </c>
      <c r="L342" s="174" t="b">
        <f>IF(E342&lt;I342,'Electrical System Specification'!X$16*'Electrical System Specification'!Q$16*'Electrical System Specification'!AC$4*'Electrical System Specification'!J$16)</f>
        <v>0</v>
      </c>
      <c r="M342" s="174">
        <f t="shared" si="80"/>
        <v>0.70838712000000004</v>
      </c>
      <c r="N342" s="174">
        <f t="shared" si="81"/>
        <v>9539.0746933667106</v>
      </c>
      <c r="O342" s="173">
        <f t="shared" si="82"/>
        <v>6594.2442441119783</v>
      </c>
      <c r="P342" s="174">
        <f t="shared" si="83"/>
        <v>9308.8144291951248</v>
      </c>
      <c r="Q342" s="174">
        <f t="shared" si="76"/>
        <v>8270.8960076684452</v>
      </c>
      <c r="R342" s="174">
        <f t="shared" si="90"/>
        <v>0</v>
      </c>
      <c r="S342" s="165" t="b">
        <f t="shared" si="84"/>
        <v>0</v>
      </c>
      <c r="T342">
        <f t="shared" si="85"/>
        <v>17579.71043686357</v>
      </c>
      <c r="U342" s="176">
        <f t="shared" si="86"/>
        <v>17579.71043686357</v>
      </c>
      <c r="V342" s="165">
        <f>IF(U342&lt;V$5,V$5-U342,IF(U342&gt;=V$5,0))*('Electrical System Specification'!D$16*'Electrical System Specification'!Q$16)</f>
        <v>0</v>
      </c>
      <c r="W342" s="28">
        <f t="shared" si="87"/>
        <v>0</v>
      </c>
      <c r="X342" s="165">
        <f>IF(U342&gt;V$5,U342-V$5,0)*'Electrical System Specification'!D$17</f>
        <v>7909.5418287282746</v>
      </c>
      <c r="Y342">
        <f>(X342*C342)*'Electrical System Specification'!D$17</f>
        <v>2042.1184172875323</v>
      </c>
      <c r="Z342" s="165">
        <f t="shared" si="88"/>
        <v>-2042.1184172875323</v>
      </c>
      <c r="AA342" s="165">
        <f t="shared" si="89"/>
        <v>-82313.832086727984</v>
      </c>
      <c r="AB342" s="165"/>
    </row>
    <row r="343" spans="3:28" x14ac:dyDescent="0.2">
      <c r="C343" s="148">
        <v>0.28724871622054965</v>
      </c>
      <c r="D343">
        <f t="shared" si="77"/>
        <v>114.11012396100682</v>
      </c>
      <c r="E343" s="164">
        <v>13465.906457145509</v>
      </c>
      <c r="F343" s="165">
        <f>E343/'Electrical System Specification'!AC$4</f>
        <v>13740.720874638275</v>
      </c>
      <c r="G343" s="146">
        <f>F343/('Electrical System Specification'!X$16*'Electrical System Specification'!J$16*'Electrical System Specification'!D$17)</f>
        <v>17108.323216592304</v>
      </c>
      <c r="H343" s="165"/>
      <c r="I343" s="173">
        <f t="shared" si="78"/>
        <v>6871.6622130335309</v>
      </c>
      <c r="J343" s="173">
        <f t="shared" si="79"/>
        <v>7621.6306710664712</v>
      </c>
      <c r="K343" s="174">
        <f>IF(E343&gt;I343,'Electrical System Specification'!AC$4*'Electrical System Specification'!J$16*'Electrical System Specification'!D$16*'Electrical System Specification'!D$17*'Electrical System Specification'!X$16)</f>
        <v>0.70838712000000004</v>
      </c>
      <c r="L343" s="174" t="b">
        <f>IF(E343&lt;I343,'Electrical System Specification'!X$16*'Electrical System Specification'!Q$16*'Electrical System Specification'!AC$4*'Electrical System Specification'!J$16)</f>
        <v>0</v>
      </c>
      <c r="M343" s="174">
        <f t="shared" si="80"/>
        <v>0.70838712000000004</v>
      </c>
      <c r="N343" s="174">
        <f t="shared" si="81"/>
        <v>9539.0746933667106</v>
      </c>
      <c r="O343" s="173">
        <f t="shared" si="82"/>
        <v>6594.2442441119783</v>
      </c>
      <c r="P343" s="174">
        <f t="shared" si="83"/>
        <v>9308.8144291951248</v>
      </c>
      <c r="Q343" s="174">
        <f t="shared" si="76"/>
        <v>8270.8960076684452</v>
      </c>
      <c r="R343" s="174">
        <f t="shared" si="90"/>
        <v>0</v>
      </c>
      <c r="S343" s="165" t="b">
        <f t="shared" si="84"/>
        <v>0</v>
      </c>
      <c r="T343">
        <f t="shared" si="85"/>
        <v>17579.71043686357</v>
      </c>
      <c r="U343" s="176">
        <f t="shared" si="86"/>
        <v>17579.71043686357</v>
      </c>
      <c r="V343" s="165">
        <f>IF(U343&lt;V$5,V$5-U343,IF(U343&gt;=V$5,0))*('Electrical System Specification'!D$16*'Electrical System Specification'!Q$16)</f>
        <v>0</v>
      </c>
      <c r="W343" s="28">
        <f t="shared" si="87"/>
        <v>0</v>
      </c>
      <c r="X343" s="165">
        <f>IF(U343&gt;V$5,U343-V$5,0)*'Electrical System Specification'!D$17</f>
        <v>7909.5418287282746</v>
      </c>
      <c r="Y343">
        <f>(X343*C343)*'Electrical System Specification'!D$17</f>
        <v>2044.8051625754417</v>
      </c>
      <c r="Z343" s="165">
        <f t="shared" si="88"/>
        <v>-2044.8051625754417</v>
      </c>
      <c r="AA343" s="165">
        <f t="shared" si="89"/>
        <v>-84358.637249303429</v>
      </c>
      <c r="AB343" s="165"/>
    </row>
    <row r="344" spans="3:28" x14ac:dyDescent="0.2">
      <c r="C344" s="148">
        <v>0.28763730462884834</v>
      </c>
      <c r="D344">
        <f t="shared" si="77"/>
        <v>114.39776126563567</v>
      </c>
      <c r="E344" s="164">
        <v>13465.906457145509</v>
      </c>
      <c r="F344" s="165">
        <f>E344/'Electrical System Specification'!AC$4</f>
        <v>13740.720874638275</v>
      </c>
      <c r="G344" s="146">
        <f>F344/('Electrical System Specification'!X$16*'Electrical System Specification'!J$16*'Electrical System Specification'!D$17)</f>
        <v>17108.323216592304</v>
      </c>
      <c r="H344" s="165"/>
      <c r="I344" s="173">
        <f t="shared" si="78"/>
        <v>6871.6622130335309</v>
      </c>
      <c r="J344" s="173">
        <f t="shared" si="79"/>
        <v>7621.6306710664712</v>
      </c>
      <c r="K344" s="174">
        <f>IF(E344&gt;I344,'Electrical System Specification'!AC$4*'Electrical System Specification'!J$16*'Electrical System Specification'!D$16*'Electrical System Specification'!D$17*'Electrical System Specification'!X$16)</f>
        <v>0.70838712000000004</v>
      </c>
      <c r="L344" s="174" t="b">
        <f>IF(E344&lt;I344,'Electrical System Specification'!X$16*'Electrical System Specification'!Q$16*'Electrical System Specification'!AC$4*'Electrical System Specification'!J$16)</f>
        <v>0</v>
      </c>
      <c r="M344" s="174">
        <f t="shared" si="80"/>
        <v>0.70838712000000004</v>
      </c>
      <c r="N344" s="174">
        <f t="shared" si="81"/>
        <v>9539.0746933667106</v>
      </c>
      <c r="O344" s="173">
        <f t="shared" si="82"/>
        <v>6594.2442441119783</v>
      </c>
      <c r="P344" s="174">
        <f t="shared" si="83"/>
        <v>9308.8144291951248</v>
      </c>
      <c r="Q344" s="174">
        <f t="shared" si="76"/>
        <v>8270.8960076684452</v>
      </c>
      <c r="R344" s="174">
        <f t="shared" si="90"/>
        <v>0</v>
      </c>
      <c r="S344" s="165" t="b">
        <f t="shared" si="84"/>
        <v>0</v>
      </c>
      <c r="T344">
        <f t="shared" si="85"/>
        <v>17579.71043686357</v>
      </c>
      <c r="U344" s="176">
        <f t="shared" si="86"/>
        <v>17579.71043686357</v>
      </c>
      <c r="V344" s="165">
        <f>IF(U344&lt;V$5,V$5-U344,IF(U344&gt;=V$5,0))*('Electrical System Specification'!D$16*'Electrical System Specification'!Q$16)</f>
        <v>0</v>
      </c>
      <c r="W344" s="28">
        <f t="shared" si="87"/>
        <v>0</v>
      </c>
      <c r="X344" s="165">
        <f>IF(U344&gt;V$5,U344-V$5,0)*'Electrical System Specification'!D$17</f>
        <v>7909.5418287282746</v>
      </c>
      <c r="Y344">
        <f>(X344*C344)*'Electrical System Specification'!D$17</f>
        <v>2047.5713632180798</v>
      </c>
      <c r="Z344" s="165">
        <f t="shared" si="88"/>
        <v>-2047.5713632180798</v>
      </c>
      <c r="AA344" s="165">
        <f t="shared" si="89"/>
        <v>-86406.208612521514</v>
      </c>
      <c r="AB344" s="165"/>
    </row>
    <row r="345" spans="3:28" x14ac:dyDescent="0.2">
      <c r="C345" s="148">
        <v>0.28805176246033259</v>
      </c>
      <c r="D345">
        <f t="shared" si="77"/>
        <v>114.68581302809599</v>
      </c>
      <c r="E345" s="164">
        <v>13465.906457145509</v>
      </c>
      <c r="F345" s="165">
        <f>E345/'Electrical System Specification'!AC$4</f>
        <v>13740.720874638275</v>
      </c>
      <c r="G345" s="146">
        <f>F345/('Electrical System Specification'!X$16*'Electrical System Specification'!J$16*'Electrical System Specification'!D$17)</f>
        <v>17108.323216592304</v>
      </c>
      <c r="H345" s="165"/>
      <c r="I345" s="173">
        <f t="shared" si="78"/>
        <v>6871.6622130335309</v>
      </c>
      <c r="J345" s="173">
        <f t="shared" si="79"/>
        <v>7621.6306710664712</v>
      </c>
      <c r="K345" s="174">
        <f>IF(E345&gt;I345,'Electrical System Specification'!AC$4*'Electrical System Specification'!J$16*'Electrical System Specification'!D$16*'Electrical System Specification'!D$17*'Electrical System Specification'!X$16)</f>
        <v>0.70838712000000004</v>
      </c>
      <c r="L345" s="174" t="b">
        <f>IF(E345&lt;I345,'Electrical System Specification'!X$16*'Electrical System Specification'!Q$16*'Electrical System Specification'!AC$4*'Electrical System Specification'!J$16)</f>
        <v>0</v>
      </c>
      <c r="M345" s="174">
        <f t="shared" si="80"/>
        <v>0.70838712000000004</v>
      </c>
      <c r="N345" s="174">
        <f t="shared" si="81"/>
        <v>9539.0746933667106</v>
      </c>
      <c r="O345" s="173">
        <f t="shared" si="82"/>
        <v>6594.2442441119783</v>
      </c>
      <c r="P345" s="174">
        <f t="shared" si="83"/>
        <v>9308.8144291951248</v>
      </c>
      <c r="Q345" s="174">
        <f t="shared" si="76"/>
        <v>8270.8960076684452</v>
      </c>
      <c r="R345" s="174">
        <f t="shared" si="90"/>
        <v>0</v>
      </c>
      <c r="S345" s="165" t="b">
        <f t="shared" si="84"/>
        <v>0</v>
      </c>
      <c r="T345">
        <f t="shared" si="85"/>
        <v>17579.71043686357</v>
      </c>
      <c r="U345" s="176">
        <f t="shared" si="86"/>
        <v>17579.71043686357</v>
      </c>
      <c r="V345" s="165">
        <f>IF(U345&lt;V$5,V$5-U345,IF(U345&gt;=V$5,0))*('Electrical System Specification'!D$16*'Electrical System Specification'!Q$16)</f>
        <v>0</v>
      </c>
      <c r="W345" s="28">
        <f t="shared" si="87"/>
        <v>0</v>
      </c>
      <c r="X345" s="165">
        <f>IF(U345&gt;V$5,U345-V$5,0)*'Electrical System Specification'!D$17</f>
        <v>7909.5418287282746</v>
      </c>
      <c r="Y345">
        <f>(X345*C345)*'Electrical System Specification'!D$17</f>
        <v>2050.5217176170117</v>
      </c>
      <c r="Z345" s="165">
        <f t="shared" si="88"/>
        <v>-2050.5217176170117</v>
      </c>
      <c r="AA345" s="165">
        <f t="shared" si="89"/>
        <v>-88456.730330138525</v>
      </c>
      <c r="AB345" s="165"/>
    </row>
    <row r="346" spans="3:28" x14ac:dyDescent="0.2">
      <c r="C346" s="148">
        <v>0.28847433572583397</v>
      </c>
      <c r="D346">
        <f t="shared" si="77"/>
        <v>114.97428736382183</v>
      </c>
      <c r="E346" s="164">
        <v>13465.906457145509</v>
      </c>
      <c r="F346" s="165">
        <f>E346/'Electrical System Specification'!AC$4</f>
        <v>13740.720874638275</v>
      </c>
      <c r="G346" s="146">
        <f>F346/('Electrical System Specification'!X$16*'Electrical System Specification'!J$16*'Electrical System Specification'!D$17)</f>
        <v>17108.323216592304</v>
      </c>
      <c r="H346" s="165"/>
      <c r="I346" s="173">
        <f t="shared" si="78"/>
        <v>6871.6622130335309</v>
      </c>
      <c r="J346" s="173">
        <f t="shared" si="79"/>
        <v>7621.6306710664712</v>
      </c>
      <c r="K346" s="174">
        <f>IF(E346&gt;I346,'Electrical System Specification'!AC$4*'Electrical System Specification'!J$16*'Electrical System Specification'!D$16*'Electrical System Specification'!D$17*'Electrical System Specification'!X$16)</f>
        <v>0.70838712000000004</v>
      </c>
      <c r="L346" s="174" t="b">
        <f>IF(E346&lt;I346,'Electrical System Specification'!X$16*'Electrical System Specification'!Q$16*'Electrical System Specification'!AC$4*'Electrical System Specification'!J$16)</f>
        <v>0</v>
      </c>
      <c r="M346" s="174">
        <f t="shared" si="80"/>
        <v>0.70838712000000004</v>
      </c>
      <c r="N346" s="174">
        <f t="shared" si="81"/>
        <v>9539.0746933667106</v>
      </c>
      <c r="O346" s="173">
        <f t="shared" si="82"/>
        <v>6594.2442441119783</v>
      </c>
      <c r="P346" s="174">
        <f t="shared" si="83"/>
        <v>9308.8144291951248</v>
      </c>
      <c r="Q346" s="174">
        <f t="shared" si="76"/>
        <v>8270.8960076684452</v>
      </c>
      <c r="R346" s="174">
        <f t="shared" si="90"/>
        <v>0</v>
      </c>
      <c r="S346" s="165" t="b">
        <f t="shared" si="84"/>
        <v>0</v>
      </c>
      <c r="T346">
        <f t="shared" si="85"/>
        <v>17579.71043686357</v>
      </c>
      <c r="U346" s="176">
        <f t="shared" si="86"/>
        <v>17579.71043686357</v>
      </c>
      <c r="V346" s="165">
        <f>IF(U346&lt;V$5,V$5-U346,IF(U346&gt;=V$5,0))*('Electrical System Specification'!D$16*'Electrical System Specification'!Q$16)</f>
        <v>0</v>
      </c>
      <c r="W346" s="28">
        <f t="shared" si="87"/>
        <v>0</v>
      </c>
      <c r="X346" s="165">
        <f>IF(U346&gt;V$5,U346-V$5,0)*'Electrical System Specification'!D$17</f>
        <v>7909.5418287282746</v>
      </c>
      <c r="Y346">
        <f>(X346*C346)*'Electrical System Specification'!D$17</f>
        <v>2053.5298424442785</v>
      </c>
      <c r="Z346" s="165">
        <f t="shared" si="88"/>
        <v>-2053.5298424442785</v>
      </c>
      <c r="AA346" s="165">
        <f t="shared" si="89"/>
        <v>-90510.260172582799</v>
      </c>
      <c r="AB346" s="165"/>
    </row>
    <row r="347" spans="3:28" x14ac:dyDescent="0.2">
      <c r="C347" s="148">
        <v>0.28890147835109453</v>
      </c>
      <c r="D347">
        <f t="shared" si="77"/>
        <v>115.26318884217292</v>
      </c>
      <c r="E347" s="164">
        <v>13465.906457145509</v>
      </c>
      <c r="F347" s="165">
        <f>E347/'Electrical System Specification'!AC$4</f>
        <v>13740.720874638275</v>
      </c>
      <c r="G347" s="146">
        <f>F347/('Electrical System Specification'!X$16*'Electrical System Specification'!J$16*'Electrical System Specification'!D$17)</f>
        <v>17108.323216592304</v>
      </c>
      <c r="H347" s="165"/>
      <c r="I347" s="173">
        <f t="shared" si="78"/>
        <v>6871.6622130335309</v>
      </c>
      <c r="J347" s="173">
        <f t="shared" si="79"/>
        <v>7621.6306710664712</v>
      </c>
      <c r="K347" s="174">
        <f>IF(E347&gt;I347,'Electrical System Specification'!AC$4*'Electrical System Specification'!J$16*'Electrical System Specification'!D$16*'Electrical System Specification'!D$17*'Electrical System Specification'!X$16)</f>
        <v>0.70838712000000004</v>
      </c>
      <c r="L347" s="174" t="b">
        <f>IF(E347&lt;I347,'Electrical System Specification'!X$16*'Electrical System Specification'!Q$16*'Electrical System Specification'!AC$4*'Electrical System Specification'!J$16)</f>
        <v>0</v>
      </c>
      <c r="M347" s="174">
        <f t="shared" si="80"/>
        <v>0.70838712000000004</v>
      </c>
      <c r="N347" s="174">
        <f t="shared" si="81"/>
        <v>9539.0746933667106</v>
      </c>
      <c r="O347" s="173">
        <f t="shared" si="82"/>
        <v>6594.2442441119783</v>
      </c>
      <c r="P347" s="174">
        <f t="shared" si="83"/>
        <v>9308.8144291951248</v>
      </c>
      <c r="Q347" s="174">
        <f t="shared" si="76"/>
        <v>8270.8960076684452</v>
      </c>
      <c r="R347" s="174">
        <f t="shared" si="90"/>
        <v>0</v>
      </c>
      <c r="S347" s="165" t="b">
        <f t="shared" si="84"/>
        <v>0</v>
      </c>
      <c r="T347">
        <f t="shared" si="85"/>
        <v>17579.71043686357</v>
      </c>
      <c r="U347" s="176">
        <f t="shared" si="86"/>
        <v>17579.71043686357</v>
      </c>
      <c r="V347" s="165">
        <f>IF(U347&lt;V$5,V$5-U347,IF(U347&gt;=V$5,0))*('Electrical System Specification'!D$16*'Electrical System Specification'!Q$16)</f>
        <v>0</v>
      </c>
      <c r="W347" s="28">
        <f t="shared" si="87"/>
        <v>0</v>
      </c>
      <c r="X347" s="165">
        <f>IF(U347&gt;V$5,U347-V$5,0)*'Electrical System Specification'!D$17</f>
        <v>7909.5418287282746</v>
      </c>
      <c r="Y347">
        <f>(X347*C347)*'Electrical System Specification'!D$17</f>
        <v>2056.5704946594765</v>
      </c>
      <c r="Z347" s="165">
        <f t="shared" si="88"/>
        <v>-2056.5704946594765</v>
      </c>
      <c r="AA347" s="165">
        <f t="shared" si="89"/>
        <v>-92566.830667242277</v>
      </c>
      <c r="AB347" s="165"/>
    </row>
    <row r="348" spans="3:28" x14ac:dyDescent="0.2">
      <c r="C348" s="148">
        <v>0.28934332872528229</v>
      </c>
      <c r="D348">
        <f t="shared" si="77"/>
        <v>115.5525321708982</v>
      </c>
      <c r="E348" s="164">
        <v>13465.906457145509</v>
      </c>
      <c r="F348" s="165">
        <f>E348/'Electrical System Specification'!AC$4</f>
        <v>13740.720874638275</v>
      </c>
      <c r="G348" s="146">
        <f>F348/('Electrical System Specification'!X$16*'Electrical System Specification'!J$16*'Electrical System Specification'!D$17)</f>
        <v>17108.323216592304</v>
      </c>
      <c r="H348" s="165"/>
      <c r="I348" s="173">
        <f t="shared" si="78"/>
        <v>6871.6622130335309</v>
      </c>
      <c r="J348" s="173">
        <f t="shared" si="79"/>
        <v>7621.6306710664712</v>
      </c>
      <c r="K348" s="174">
        <f>IF(E348&gt;I348,'Electrical System Specification'!AC$4*'Electrical System Specification'!J$16*'Electrical System Specification'!D$16*'Electrical System Specification'!D$17*'Electrical System Specification'!X$16)</f>
        <v>0.70838712000000004</v>
      </c>
      <c r="L348" s="174" t="b">
        <f>IF(E348&lt;I348,'Electrical System Specification'!X$16*'Electrical System Specification'!Q$16*'Electrical System Specification'!AC$4*'Electrical System Specification'!J$16)</f>
        <v>0</v>
      </c>
      <c r="M348" s="174">
        <f t="shared" si="80"/>
        <v>0.70838712000000004</v>
      </c>
      <c r="N348" s="174">
        <f t="shared" si="81"/>
        <v>9539.0746933667106</v>
      </c>
      <c r="O348" s="173">
        <f t="shared" si="82"/>
        <v>6594.2442441119783</v>
      </c>
      <c r="P348" s="174">
        <f t="shared" si="83"/>
        <v>9308.8144291951248</v>
      </c>
      <c r="Q348" s="174">
        <f t="shared" si="76"/>
        <v>8270.8960076684452</v>
      </c>
      <c r="R348" s="174">
        <f t="shared" si="90"/>
        <v>0</v>
      </c>
      <c r="S348" s="165" t="b">
        <f t="shared" si="84"/>
        <v>0</v>
      </c>
      <c r="T348">
        <f t="shared" si="85"/>
        <v>17579.71043686357</v>
      </c>
      <c r="U348" s="176">
        <f t="shared" si="86"/>
        <v>17579.71043686357</v>
      </c>
      <c r="V348" s="165">
        <f>IF(U348&lt;V$5,V$5-U348,IF(U348&gt;=V$5,0))*('Electrical System Specification'!D$16*'Electrical System Specification'!Q$16)</f>
        <v>0</v>
      </c>
      <c r="W348" s="28">
        <f t="shared" si="87"/>
        <v>0</v>
      </c>
      <c r="X348" s="165">
        <f>IF(U348&gt;V$5,U348-V$5,0)*'Electrical System Specification'!D$17</f>
        <v>7909.5418287282746</v>
      </c>
      <c r="Y348">
        <f>(X348*C348)*'Electrical System Specification'!D$17</f>
        <v>2059.7158452744861</v>
      </c>
      <c r="Z348" s="165">
        <f t="shared" si="88"/>
        <v>-2059.7158452744861</v>
      </c>
      <c r="AA348" s="165">
        <f t="shared" si="89"/>
        <v>-94626.546512516768</v>
      </c>
      <c r="AB348" s="165"/>
    </row>
    <row r="349" spans="3:28" x14ac:dyDescent="0.2">
      <c r="C349" s="148">
        <v>0.28981054868718709</v>
      </c>
      <c r="D349">
        <f t="shared" si="77"/>
        <v>115.84234271958539</v>
      </c>
      <c r="E349" s="164">
        <v>13465.906457145509</v>
      </c>
      <c r="F349" s="165">
        <f>E349/'Electrical System Specification'!AC$4</f>
        <v>13740.720874638275</v>
      </c>
      <c r="G349" s="146">
        <f>F349/('Electrical System Specification'!X$16*'Electrical System Specification'!J$16*'Electrical System Specification'!D$17)</f>
        <v>17108.323216592304</v>
      </c>
      <c r="H349" s="165"/>
      <c r="I349" s="173">
        <f t="shared" si="78"/>
        <v>6871.6622130335309</v>
      </c>
      <c r="J349" s="173">
        <f t="shared" si="79"/>
        <v>7621.6306710664712</v>
      </c>
      <c r="K349" s="174">
        <f>IF(E349&gt;I349,'Electrical System Specification'!AC$4*'Electrical System Specification'!J$16*'Electrical System Specification'!D$16*'Electrical System Specification'!D$17*'Electrical System Specification'!X$16)</f>
        <v>0.70838712000000004</v>
      </c>
      <c r="L349" s="174" t="b">
        <f>IF(E349&lt;I349,'Electrical System Specification'!X$16*'Electrical System Specification'!Q$16*'Electrical System Specification'!AC$4*'Electrical System Specification'!J$16)</f>
        <v>0</v>
      </c>
      <c r="M349" s="174">
        <f t="shared" si="80"/>
        <v>0.70838712000000004</v>
      </c>
      <c r="N349" s="174">
        <f t="shared" si="81"/>
        <v>9539.0746933667106</v>
      </c>
      <c r="O349" s="173">
        <f t="shared" si="82"/>
        <v>6594.2442441119783</v>
      </c>
      <c r="P349" s="174">
        <f t="shared" si="83"/>
        <v>9308.8144291951248</v>
      </c>
      <c r="Q349" s="174">
        <f t="shared" si="76"/>
        <v>8270.8960076684452</v>
      </c>
      <c r="R349" s="174">
        <f t="shared" si="90"/>
        <v>0</v>
      </c>
      <c r="S349" s="165" t="b">
        <f t="shared" si="84"/>
        <v>0</v>
      </c>
      <c r="T349">
        <f t="shared" si="85"/>
        <v>17579.71043686357</v>
      </c>
      <c r="U349" s="176">
        <f t="shared" si="86"/>
        <v>17579.71043686357</v>
      </c>
      <c r="V349" s="165">
        <f>IF(U349&lt;V$5,V$5-U349,IF(U349&gt;=V$5,0))*('Electrical System Specification'!D$16*'Electrical System Specification'!Q$16)</f>
        <v>0</v>
      </c>
      <c r="W349" s="28">
        <f t="shared" si="87"/>
        <v>0</v>
      </c>
      <c r="X349" s="165">
        <f>IF(U349&gt;V$5,U349-V$5,0)*'Electrical System Specification'!D$17</f>
        <v>7909.5418287282746</v>
      </c>
      <c r="Y349">
        <f>(X349*C349)*'Electrical System Specification'!D$17</f>
        <v>2063.0417915231988</v>
      </c>
      <c r="Z349" s="165">
        <f t="shared" si="88"/>
        <v>-2063.0417915231988</v>
      </c>
      <c r="AA349" s="165">
        <f t="shared" si="89"/>
        <v>-96689.588304039964</v>
      </c>
      <c r="AB349" s="165"/>
    </row>
    <row r="350" spans="3:28" x14ac:dyDescent="0.2">
      <c r="C350" s="148">
        <v>0.29033255373485506</v>
      </c>
      <c r="D350">
        <f t="shared" si="77"/>
        <v>116.13267527332025</v>
      </c>
      <c r="E350" s="164">
        <v>13465.906457145509</v>
      </c>
      <c r="F350" s="165">
        <f>E350/'Electrical System Specification'!AC$4</f>
        <v>13740.720874638275</v>
      </c>
      <c r="G350" s="146">
        <f>F350/('Electrical System Specification'!X$16*'Electrical System Specification'!J$16*'Electrical System Specification'!D$17)</f>
        <v>17108.323216592304</v>
      </c>
      <c r="H350" s="165"/>
      <c r="I350" s="173">
        <f t="shared" si="78"/>
        <v>6871.6622130335309</v>
      </c>
      <c r="J350" s="173">
        <f t="shared" si="79"/>
        <v>7621.6306710664712</v>
      </c>
      <c r="K350" s="174">
        <f>IF(E350&gt;I350,'Electrical System Specification'!AC$4*'Electrical System Specification'!J$16*'Electrical System Specification'!D$16*'Electrical System Specification'!D$17*'Electrical System Specification'!X$16)</f>
        <v>0.70838712000000004</v>
      </c>
      <c r="L350" s="174" t="b">
        <f>IF(E350&lt;I350,'Electrical System Specification'!X$16*'Electrical System Specification'!Q$16*'Electrical System Specification'!AC$4*'Electrical System Specification'!J$16)</f>
        <v>0</v>
      </c>
      <c r="M350" s="174">
        <f t="shared" si="80"/>
        <v>0.70838712000000004</v>
      </c>
      <c r="N350" s="174">
        <f t="shared" si="81"/>
        <v>9539.0746933667106</v>
      </c>
      <c r="O350" s="173">
        <f t="shared" si="82"/>
        <v>6594.2442441119783</v>
      </c>
      <c r="P350" s="174">
        <f t="shared" si="83"/>
        <v>9308.8144291951248</v>
      </c>
      <c r="Q350" s="174">
        <f t="shared" ref="Q350:Q413" si="91">IF(O350&lt;0,I350-(O350*-1),IF(O350&gt;0,I350/L$9))</f>
        <v>8270.8960076684452</v>
      </c>
      <c r="R350" s="174">
        <f t="shared" si="90"/>
        <v>0</v>
      </c>
      <c r="S350" s="165" t="b">
        <f t="shared" si="84"/>
        <v>0</v>
      </c>
      <c r="T350">
        <f t="shared" si="85"/>
        <v>17579.71043686357</v>
      </c>
      <c r="U350" s="176">
        <f t="shared" si="86"/>
        <v>17579.71043686357</v>
      </c>
      <c r="V350" s="165">
        <f>IF(U350&lt;V$5,V$5-U350,IF(U350&gt;=V$5,0))*('Electrical System Specification'!D$16*'Electrical System Specification'!Q$16)</f>
        <v>0</v>
      </c>
      <c r="W350" s="28">
        <f t="shared" si="87"/>
        <v>0</v>
      </c>
      <c r="X350" s="165">
        <f>IF(U350&gt;V$5,U350-V$5,0)*'Electrical System Specification'!D$17</f>
        <v>7909.5418287282746</v>
      </c>
      <c r="Y350">
        <f>(X350*C350)*'Electrical System Specification'!D$17</f>
        <v>2066.757730206602</v>
      </c>
      <c r="Z350" s="165">
        <f t="shared" si="88"/>
        <v>-2066.757730206602</v>
      </c>
      <c r="AA350" s="165">
        <f t="shared" si="89"/>
        <v>-98756.34603424657</v>
      </c>
      <c r="AB350" s="165"/>
    </row>
    <row r="351" spans="3:28" x14ac:dyDescent="0.2">
      <c r="C351" s="148">
        <v>0.29091391322733312</v>
      </c>
      <c r="D351">
        <f t="shared" si="77"/>
        <v>116.42358918654757</v>
      </c>
      <c r="E351" s="164">
        <v>13465.906457145509</v>
      </c>
      <c r="F351" s="165">
        <f>E351/'Electrical System Specification'!AC$4</f>
        <v>13740.720874638275</v>
      </c>
      <c r="G351" s="146">
        <f>F351/('Electrical System Specification'!X$16*'Electrical System Specification'!J$16*'Electrical System Specification'!D$17)</f>
        <v>17108.323216592304</v>
      </c>
      <c r="H351" s="165"/>
      <c r="I351" s="173">
        <f t="shared" si="78"/>
        <v>6871.6622130335309</v>
      </c>
      <c r="J351" s="173">
        <f t="shared" si="79"/>
        <v>7621.6306710664712</v>
      </c>
      <c r="K351" s="174">
        <f>IF(E351&gt;I351,'Electrical System Specification'!AC$4*'Electrical System Specification'!J$16*'Electrical System Specification'!D$16*'Electrical System Specification'!D$17*'Electrical System Specification'!X$16)</f>
        <v>0.70838712000000004</v>
      </c>
      <c r="L351" s="174" t="b">
        <f>IF(E351&lt;I351,'Electrical System Specification'!X$16*'Electrical System Specification'!Q$16*'Electrical System Specification'!AC$4*'Electrical System Specification'!J$16)</f>
        <v>0</v>
      </c>
      <c r="M351" s="174">
        <f t="shared" si="80"/>
        <v>0.70838712000000004</v>
      </c>
      <c r="N351" s="174">
        <f t="shared" si="81"/>
        <v>9539.0746933667106</v>
      </c>
      <c r="O351" s="173">
        <f t="shared" si="82"/>
        <v>6594.2442441119783</v>
      </c>
      <c r="P351" s="174">
        <f t="shared" si="83"/>
        <v>9308.8144291951248</v>
      </c>
      <c r="Q351" s="174">
        <f t="shared" si="91"/>
        <v>8270.8960076684452</v>
      </c>
      <c r="R351" s="174">
        <f t="shared" si="90"/>
        <v>0</v>
      </c>
      <c r="S351" s="165" t="b">
        <f t="shared" si="84"/>
        <v>0</v>
      </c>
      <c r="T351">
        <f t="shared" si="85"/>
        <v>17579.71043686357</v>
      </c>
      <c r="U351" s="176">
        <f t="shared" si="86"/>
        <v>17579.71043686357</v>
      </c>
      <c r="V351" s="165">
        <f>IF(U351&lt;V$5,V$5-U351,IF(U351&gt;=V$5,0))*('Electrical System Specification'!D$16*'Electrical System Specification'!Q$16)</f>
        <v>0</v>
      </c>
      <c r="W351" s="28">
        <f t="shared" si="87"/>
        <v>0</v>
      </c>
      <c r="X351" s="165">
        <f>IF(U351&gt;V$5,U351-V$5,0)*'Electrical System Specification'!D$17</f>
        <v>7909.5418287282746</v>
      </c>
      <c r="Y351">
        <f>(X351*C351)*'Electrical System Specification'!D$17</f>
        <v>2070.896188707557</v>
      </c>
      <c r="Z351" s="165">
        <f t="shared" si="88"/>
        <v>-2070.896188707557</v>
      </c>
      <c r="AA351" s="165">
        <f t="shared" si="89"/>
        <v>-100827.24222295413</v>
      </c>
      <c r="AB351" s="165"/>
    </row>
    <row r="352" spans="3:28" x14ac:dyDescent="0.2">
      <c r="C352" s="148">
        <v>0.29151150358888639</v>
      </c>
      <c r="D352">
        <f t="shared" si="77"/>
        <v>116.71510069013647</v>
      </c>
      <c r="E352" s="164">
        <v>13465.906457145509</v>
      </c>
      <c r="F352" s="165">
        <f>E352/'Electrical System Specification'!AC$4</f>
        <v>13740.720874638275</v>
      </c>
      <c r="G352" s="146">
        <f>F352/('Electrical System Specification'!X$16*'Electrical System Specification'!J$16*'Electrical System Specification'!D$17)</f>
        <v>17108.323216592304</v>
      </c>
      <c r="H352" s="165"/>
      <c r="I352" s="173">
        <f t="shared" si="78"/>
        <v>6871.6622130335309</v>
      </c>
      <c r="J352" s="173">
        <f t="shared" si="79"/>
        <v>7621.6306710664712</v>
      </c>
      <c r="K352" s="174">
        <f>IF(E352&gt;I352,'Electrical System Specification'!AC$4*'Electrical System Specification'!J$16*'Electrical System Specification'!D$16*'Electrical System Specification'!D$17*'Electrical System Specification'!X$16)</f>
        <v>0.70838712000000004</v>
      </c>
      <c r="L352" s="174" t="b">
        <f>IF(E352&lt;I352,'Electrical System Specification'!X$16*'Electrical System Specification'!Q$16*'Electrical System Specification'!AC$4*'Electrical System Specification'!J$16)</f>
        <v>0</v>
      </c>
      <c r="M352" s="174">
        <f t="shared" si="80"/>
        <v>0.70838712000000004</v>
      </c>
      <c r="N352" s="174">
        <f t="shared" si="81"/>
        <v>9539.0746933667106</v>
      </c>
      <c r="O352" s="173">
        <f t="shared" si="82"/>
        <v>6594.2442441119783</v>
      </c>
      <c r="P352" s="174">
        <f t="shared" si="83"/>
        <v>9308.8144291951248</v>
      </c>
      <c r="Q352" s="174">
        <f t="shared" si="91"/>
        <v>8270.8960076684452</v>
      </c>
      <c r="R352" s="174">
        <f t="shared" si="90"/>
        <v>0</v>
      </c>
      <c r="S352" s="165" t="b">
        <f t="shared" si="84"/>
        <v>0</v>
      </c>
      <c r="T352">
        <f t="shared" si="85"/>
        <v>17579.71043686357</v>
      </c>
      <c r="U352" s="176">
        <f t="shared" si="86"/>
        <v>17579.71043686357</v>
      </c>
      <c r="V352" s="165">
        <f>IF(U352&lt;V$5,V$5-U352,IF(U352&gt;=V$5,0))*('Electrical System Specification'!D$16*'Electrical System Specification'!Q$16)</f>
        <v>0</v>
      </c>
      <c r="W352" s="28">
        <f t="shared" si="87"/>
        <v>0</v>
      </c>
      <c r="X352" s="165">
        <f>IF(U352&gt;V$5,U352-V$5,0)*'Electrical System Specification'!D$17</f>
        <v>7909.5418287282746</v>
      </c>
      <c r="Y352">
        <f>(X352*C352)*'Electrical System Specification'!D$17</f>
        <v>2075.1501880725923</v>
      </c>
      <c r="Z352" s="165">
        <f t="shared" si="88"/>
        <v>-2075.1501880725923</v>
      </c>
      <c r="AA352" s="165">
        <f t="shared" si="89"/>
        <v>-102902.39241102673</v>
      </c>
      <c r="AB352" s="165"/>
    </row>
    <row r="353" spans="3:28" x14ac:dyDescent="0.2">
      <c r="C353" s="148">
        <v>0.28730632375949722</v>
      </c>
      <c r="D353">
        <f t="shared" si="77"/>
        <v>117.00240701389596</v>
      </c>
      <c r="E353" s="164">
        <v>3225.0722167563076</v>
      </c>
      <c r="F353" s="165">
        <f>E353/'Electrical System Specification'!AC$4</f>
        <v>3290.8900170982733</v>
      </c>
      <c r="G353" s="146">
        <f>F353/('Electrical System Specification'!X$16*'Electrical System Specification'!J$16*'Electrical System Specification'!D$17)</f>
        <v>4097.4276820288278</v>
      </c>
      <c r="H353" s="165"/>
      <c r="I353" s="173">
        <f t="shared" si="78"/>
        <v>6871.6622130335309</v>
      </c>
      <c r="J353" s="173">
        <f t="shared" si="79"/>
        <v>7621.6306710664712</v>
      </c>
      <c r="K353" s="174" t="b">
        <f>IF(E353&gt;I353,'Electrical System Specification'!AC$4*'Electrical System Specification'!J$16*'Electrical System Specification'!D$16*'Electrical System Specification'!D$17*'Electrical System Specification'!X$16)</f>
        <v>0</v>
      </c>
      <c r="L353" s="174">
        <f>IF(E353&lt;I353,'Electrical System Specification'!X$16*'Electrical System Specification'!Q$16*'Electrical System Specification'!AC$4*'Electrical System Specification'!J$16)</f>
        <v>0.83082440000000002</v>
      </c>
      <c r="M353" s="174">
        <f t="shared" si="80"/>
        <v>0.83082440000000002</v>
      </c>
      <c r="N353" s="174">
        <f t="shared" si="81"/>
        <v>2679.4686894432293</v>
      </c>
      <c r="O353" s="173">
        <f t="shared" si="82"/>
        <v>-3646.5899962772232</v>
      </c>
      <c r="P353" s="174" t="b">
        <f t="shared" si="83"/>
        <v>0</v>
      </c>
      <c r="Q353" s="174">
        <f t="shared" si="91"/>
        <v>3225.0722167563076</v>
      </c>
      <c r="R353" s="174">
        <f t="shared" si="90"/>
        <v>3881.7735935009946</v>
      </c>
      <c r="S353" s="165">
        <f t="shared" si="84"/>
        <v>3881.7735935009946</v>
      </c>
      <c r="T353" t="b">
        <f t="shared" si="85"/>
        <v>0</v>
      </c>
      <c r="U353" s="176">
        <f t="shared" si="86"/>
        <v>3881.7735935009946</v>
      </c>
      <c r="V353" s="165">
        <f>IF(U353&lt;V$5,V$5-U353,IF(U353&gt;=V$5,0))*('Electrical System Specification'!D$16*'Electrical System Specification'!Q$16)</f>
        <v>4197.6712637831406</v>
      </c>
      <c r="W353" s="28">
        <f t="shared" si="87"/>
        <v>1206.0174991484168</v>
      </c>
      <c r="X353" s="165">
        <f>IF(U353&gt;V$5,U353-V$5,0)*'Electrical System Specification'!D$17</f>
        <v>0</v>
      </c>
      <c r="Y353">
        <f>(X353*C353)*'Electrical System Specification'!D$17</f>
        <v>0</v>
      </c>
      <c r="Z353" s="165">
        <f t="shared" si="88"/>
        <v>1206.0174991484168</v>
      </c>
      <c r="AA353" s="165">
        <f t="shared" si="89"/>
        <v>-101696.3749118783</v>
      </c>
      <c r="AB353" s="165"/>
    </row>
    <row r="354" spans="3:28" x14ac:dyDescent="0.2">
      <c r="C354" s="148">
        <v>0.27874103300357755</v>
      </c>
      <c r="D354">
        <f t="shared" si="77"/>
        <v>117.28114804689955</v>
      </c>
      <c r="E354" s="164">
        <v>11746.270514507263</v>
      </c>
      <c r="F354" s="165">
        <f>E354/'Electrical System Specification'!AC$4</f>
        <v>11985.990320925779</v>
      </c>
      <c r="G354" s="146">
        <f>F354/('Electrical System Specification'!X$16*'Electrical System Specification'!J$16*'Electrical System Specification'!D$17)</f>
        <v>14923.539918479231</v>
      </c>
      <c r="H354" s="165"/>
      <c r="I354" s="173">
        <f t="shared" si="78"/>
        <v>6871.6622130335309</v>
      </c>
      <c r="J354" s="173">
        <f t="shared" si="79"/>
        <v>7621.6306710664712</v>
      </c>
      <c r="K354" s="174">
        <f>IF(E354&gt;I354,'Electrical System Specification'!AC$4*'Electrical System Specification'!J$16*'Electrical System Specification'!D$16*'Electrical System Specification'!D$17*'Electrical System Specification'!X$16)</f>
        <v>0.70838712000000004</v>
      </c>
      <c r="L354" s="174" t="b">
        <f>IF(E354&lt;I354,'Electrical System Specification'!X$16*'Electrical System Specification'!Q$16*'Electrical System Specification'!AC$4*'Electrical System Specification'!J$16)</f>
        <v>0</v>
      </c>
      <c r="M354" s="174">
        <f t="shared" si="80"/>
        <v>0.70838712000000004</v>
      </c>
      <c r="N354" s="174">
        <f t="shared" si="81"/>
        <v>8320.9067405127189</v>
      </c>
      <c r="O354" s="173">
        <f t="shared" si="82"/>
        <v>4874.6083014737324</v>
      </c>
      <c r="P354" s="174">
        <f t="shared" si="83"/>
        <v>6881.2774312917099</v>
      </c>
      <c r="Q354" s="174">
        <f t="shared" si="91"/>
        <v>8270.8960076684452</v>
      </c>
      <c r="R354" s="174">
        <f t="shared" si="90"/>
        <v>0</v>
      </c>
      <c r="S354" s="165" t="b">
        <f t="shared" si="84"/>
        <v>0</v>
      </c>
      <c r="T354">
        <f t="shared" si="85"/>
        <v>15152.173438960155</v>
      </c>
      <c r="U354" s="176">
        <f t="shared" si="86"/>
        <v>15152.173438960155</v>
      </c>
      <c r="V354" s="165">
        <f>IF(U354&lt;V$5,V$5-U354,IF(U354&gt;=V$5,0))*('Electrical System Specification'!D$16*'Electrical System Specification'!Q$16)</f>
        <v>0</v>
      </c>
      <c r="W354" s="28">
        <f t="shared" si="87"/>
        <v>0</v>
      </c>
      <c r="X354" s="165">
        <f>IF(U354&gt;V$5,U354-V$5,0)*'Electrical System Specification'!D$17</f>
        <v>5724.7585306152014</v>
      </c>
      <c r="Y354">
        <f>(X354*C354)*'Electrical System Specification'!D$17</f>
        <v>1436.1525958677516</v>
      </c>
      <c r="Z354" s="165">
        <f t="shared" si="88"/>
        <v>-1436.1525958677516</v>
      </c>
      <c r="AA354" s="165">
        <f t="shared" si="89"/>
        <v>-103132.52750774605</v>
      </c>
      <c r="AB354" s="165"/>
    </row>
    <row r="355" spans="3:28" x14ac:dyDescent="0.2">
      <c r="C355" s="148">
        <v>0.27096230310228681</v>
      </c>
      <c r="D355">
        <f t="shared" si="77"/>
        <v>117.55211035000183</v>
      </c>
      <c r="E355" s="164">
        <v>8719.2170294856278</v>
      </c>
      <c r="F355" s="165">
        <f>E355/'Electrical System Specification'!AC$4</f>
        <v>8897.1602341690086</v>
      </c>
      <c r="G355" s="146">
        <f>F355/('Electrical System Specification'!X$16*'Electrical System Specification'!J$16*'Electrical System Specification'!D$17)</f>
        <v>11077.693403766383</v>
      </c>
      <c r="H355" s="165"/>
      <c r="I355" s="173">
        <f t="shared" si="78"/>
        <v>6871.6622130335309</v>
      </c>
      <c r="J355" s="173">
        <f t="shared" si="79"/>
        <v>7621.6306710664712</v>
      </c>
      <c r="K355" s="174">
        <f>IF(E355&gt;I355,'Electrical System Specification'!AC$4*'Electrical System Specification'!J$16*'Electrical System Specification'!D$16*'Electrical System Specification'!D$17*'Electrical System Specification'!X$16)</f>
        <v>0.70838712000000004</v>
      </c>
      <c r="L355" s="174" t="b">
        <f>IF(E355&lt;I355,'Electrical System Specification'!X$16*'Electrical System Specification'!Q$16*'Electrical System Specification'!AC$4*'Electrical System Specification'!J$16)</f>
        <v>0</v>
      </c>
      <c r="M355" s="174">
        <f t="shared" si="80"/>
        <v>0.70838712000000004</v>
      </c>
      <c r="N355" s="174">
        <f t="shared" si="81"/>
        <v>6176.5810401722792</v>
      </c>
      <c r="O355" s="173">
        <f t="shared" si="82"/>
        <v>1847.5548164520969</v>
      </c>
      <c r="P355" s="174">
        <f t="shared" si="83"/>
        <v>2608.1146371663235</v>
      </c>
      <c r="Q355" s="174">
        <f t="shared" si="91"/>
        <v>8270.8960076684452</v>
      </c>
      <c r="R355" s="174">
        <f t="shared" si="90"/>
        <v>0</v>
      </c>
      <c r="S355" s="165" t="b">
        <f t="shared" si="84"/>
        <v>0</v>
      </c>
      <c r="T355">
        <f t="shared" si="85"/>
        <v>10879.010644834769</v>
      </c>
      <c r="U355" s="176">
        <f t="shared" si="86"/>
        <v>10879.010644834769</v>
      </c>
      <c r="V355" s="165">
        <f>IF(U355&lt;V$5,V$5-U355,IF(U355&gt;=V$5,0))*('Electrical System Specification'!D$16*'Electrical System Specification'!Q$16)</f>
        <v>0</v>
      </c>
      <c r="W355" s="28">
        <f t="shared" si="87"/>
        <v>0</v>
      </c>
      <c r="X355" s="165">
        <f>IF(U355&gt;V$5,U355-V$5,0)*'Electrical System Specification'!D$17</f>
        <v>1878.9120159023532</v>
      </c>
      <c r="Y355">
        <f>(X355*C355)*'Electrical System Specification'!D$17</f>
        <v>458.20289443991595</v>
      </c>
      <c r="Z355" s="165">
        <f t="shared" si="88"/>
        <v>-458.20289443991595</v>
      </c>
      <c r="AA355" s="165">
        <f t="shared" si="89"/>
        <v>-103590.73040218597</v>
      </c>
      <c r="AB355" s="165"/>
    </row>
    <row r="356" spans="3:28" x14ac:dyDescent="0.2">
      <c r="C356" s="148">
        <v>0.26381934930746526</v>
      </c>
      <c r="D356">
        <f t="shared" si="77"/>
        <v>117.81592969930929</v>
      </c>
      <c r="E356" s="164">
        <v>0</v>
      </c>
      <c r="F356" s="165">
        <f>E356/'Electrical System Specification'!AC$4</f>
        <v>0</v>
      </c>
      <c r="G356" s="146">
        <f>F356/('Electrical System Specification'!X$16*'Electrical System Specification'!J$16*'Electrical System Specification'!D$17)</f>
        <v>0</v>
      </c>
      <c r="H356" s="165"/>
      <c r="I356" s="173">
        <f t="shared" si="78"/>
        <v>6871.6622130335309</v>
      </c>
      <c r="J356" s="173">
        <f t="shared" si="79"/>
        <v>7621.6306710664712</v>
      </c>
      <c r="K356" s="174" t="b">
        <f>IF(E356&gt;I356,'Electrical System Specification'!AC$4*'Electrical System Specification'!J$16*'Electrical System Specification'!D$16*'Electrical System Specification'!D$17*'Electrical System Specification'!X$16)</f>
        <v>0</v>
      </c>
      <c r="L356" s="174">
        <f>IF(E356&lt;I356,'Electrical System Specification'!X$16*'Electrical System Specification'!Q$16*'Electrical System Specification'!AC$4*'Electrical System Specification'!J$16)</f>
        <v>0.83082440000000002</v>
      </c>
      <c r="M356" s="174">
        <f t="shared" si="80"/>
        <v>0.83082440000000002</v>
      </c>
      <c r="N356" s="174">
        <f t="shared" si="81"/>
        <v>0</v>
      </c>
      <c r="O356" s="173">
        <f t="shared" si="82"/>
        <v>-6871.6622130335309</v>
      </c>
      <c r="P356" s="174" t="b">
        <f t="shared" si="83"/>
        <v>0</v>
      </c>
      <c r="Q356" s="174">
        <f t="shared" si="91"/>
        <v>0</v>
      </c>
      <c r="R356" s="174">
        <f t="shared" si="90"/>
        <v>0</v>
      </c>
      <c r="S356" s="165">
        <f t="shared" si="84"/>
        <v>0</v>
      </c>
      <c r="T356" t="b">
        <f t="shared" si="85"/>
        <v>0</v>
      </c>
      <c r="U356" s="176">
        <f t="shared" si="86"/>
        <v>0</v>
      </c>
      <c r="V356" s="165">
        <f>IF(U356&lt;V$5,V$5-U356,IF(U356&gt;=V$5,0))*('Electrical System Specification'!D$16*'Electrical System Specification'!Q$16)</f>
        <v>7516.5876862264913</v>
      </c>
      <c r="W356" s="28">
        <f t="shared" si="87"/>
        <v>1983.0212723927787</v>
      </c>
      <c r="X356" s="165">
        <f>IF(U356&gt;V$5,U356-V$5,0)*'Electrical System Specification'!D$17</f>
        <v>0</v>
      </c>
      <c r="Y356">
        <f>(X356*C356)*'Electrical System Specification'!D$17</f>
        <v>0</v>
      </c>
      <c r="Z356" s="165">
        <f t="shared" si="88"/>
        <v>1983.0212723927787</v>
      </c>
      <c r="AA356" s="165">
        <f t="shared" si="89"/>
        <v>-101607.70912979319</v>
      </c>
      <c r="AB356" s="165"/>
    </row>
    <row r="357" spans="3:28" x14ac:dyDescent="0.2">
      <c r="C357" s="148">
        <v>0.26433045226732005</v>
      </c>
      <c r="D357">
        <f t="shared" si="77"/>
        <v>118.08026015157661</v>
      </c>
      <c r="E357" s="164">
        <v>0</v>
      </c>
      <c r="F357" s="165">
        <f>E357/'Electrical System Specification'!AC$4</f>
        <v>0</v>
      </c>
      <c r="G357" s="146">
        <f>F357/('Electrical System Specification'!X$16*'Electrical System Specification'!J$16*'Electrical System Specification'!D$17)</f>
        <v>0</v>
      </c>
      <c r="H357" s="165"/>
      <c r="I357" s="173">
        <f t="shared" si="78"/>
        <v>6871.6622130335309</v>
      </c>
      <c r="J357" s="173">
        <f t="shared" si="79"/>
        <v>7621.6306710664712</v>
      </c>
      <c r="K357" s="174" t="b">
        <f>IF(E357&gt;I357,'Electrical System Specification'!AC$4*'Electrical System Specification'!J$16*'Electrical System Specification'!D$16*'Electrical System Specification'!D$17*'Electrical System Specification'!X$16)</f>
        <v>0</v>
      </c>
      <c r="L357" s="174">
        <f>IF(E357&lt;I357,'Electrical System Specification'!X$16*'Electrical System Specification'!Q$16*'Electrical System Specification'!AC$4*'Electrical System Specification'!J$16)</f>
        <v>0.83082440000000002</v>
      </c>
      <c r="M357" s="174">
        <f t="shared" si="80"/>
        <v>0.83082440000000002</v>
      </c>
      <c r="N357" s="174">
        <f t="shared" si="81"/>
        <v>0</v>
      </c>
      <c r="O357" s="173">
        <f t="shared" si="82"/>
        <v>-6871.6622130335309</v>
      </c>
      <c r="P357" s="174" t="b">
        <f t="shared" si="83"/>
        <v>0</v>
      </c>
      <c r="Q357" s="174">
        <f t="shared" si="91"/>
        <v>0</v>
      </c>
      <c r="R357" s="174">
        <f t="shared" si="90"/>
        <v>0</v>
      </c>
      <c r="S357" s="165">
        <f t="shared" si="84"/>
        <v>0</v>
      </c>
      <c r="T357" t="b">
        <f t="shared" si="85"/>
        <v>0</v>
      </c>
      <c r="U357" s="176">
        <f t="shared" si="86"/>
        <v>0</v>
      </c>
      <c r="V357" s="165">
        <f>IF(U357&lt;V$5,V$5-U357,IF(U357&gt;=V$5,0))*('Electrical System Specification'!D$16*'Electrical System Specification'!Q$16)</f>
        <v>7516.5876862264913</v>
      </c>
      <c r="W357" s="28">
        <f t="shared" si="87"/>
        <v>1986.8630226072173</v>
      </c>
      <c r="X357" s="165">
        <f>IF(U357&gt;V$5,U357-V$5,0)*'Electrical System Specification'!D$17</f>
        <v>0</v>
      </c>
      <c r="Y357">
        <f>(X357*C357)*'Electrical System Specification'!D$17</f>
        <v>0</v>
      </c>
      <c r="Z357" s="165">
        <f t="shared" si="88"/>
        <v>1986.8630226072173</v>
      </c>
      <c r="AA357" s="165">
        <f t="shared" si="89"/>
        <v>-99620.846107185978</v>
      </c>
      <c r="AB357" s="165"/>
    </row>
    <row r="358" spans="3:28" x14ac:dyDescent="0.2">
      <c r="C358" s="148">
        <v>0.26125709785040441</v>
      </c>
      <c r="D358">
        <f t="shared" si="77"/>
        <v>118.34151724942701</v>
      </c>
      <c r="E358" s="164">
        <v>0</v>
      </c>
      <c r="F358" s="165">
        <f>E358/'Electrical System Specification'!AC$4</f>
        <v>0</v>
      </c>
      <c r="G358" s="146">
        <f>F358/('Electrical System Specification'!X$16*'Electrical System Specification'!J$16*'Electrical System Specification'!D$17)</f>
        <v>0</v>
      </c>
      <c r="H358" s="165"/>
      <c r="I358" s="173">
        <f t="shared" si="78"/>
        <v>6871.6622130335309</v>
      </c>
      <c r="J358" s="173">
        <f t="shared" si="79"/>
        <v>7621.6306710664712</v>
      </c>
      <c r="K358" s="174" t="b">
        <f>IF(E358&gt;I358,'Electrical System Specification'!AC$4*'Electrical System Specification'!J$16*'Electrical System Specification'!D$16*'Electrical System Specification'!D$17*'Electrical System Specification'!X$16)</f>
        <v>0</v>
      </c>
      <c r="L358" s="174">
        <f>IF(E358&lt;I358,'Electrical System Specification'!X$16*'Electrical System Specification'!Q$16*'Electrical System Specification'!AC$4*'Electrical System Specification'!J$16)</f>
        <v>0.83082440000000002</v>
      </c>
      <c r="M358" s="174">
        <f t="shared" si="80"/>
        <v>0.83082440000000002</v>
      </c>
      <c r="N358" s="174">
        <f t="shared" si="81"/>
        <v>0</v>
      </c>
      <c r="O358" s="173">
        <f t="shared" si="82"/>
        <v>-6871.6622130335309</v>
      </c>
      <c r="P358" s="174" t="b">
        <f t="shared" si="83"/>
        <v>0</v>
      </c>
      <c r="Q358" s="174">
        <f t="shared" si="91"/>
        <v>0</v>
      </c>
      <c r="R358" s="174">
        <f t="shared" si="90"/>
        <v>0</v>
      </c>
      <c r="S358" s="165">
        <f t="shared" si="84"/>
        <v>0</v>
      </c>
      <c r="T358" t="b">
        <f t="shared" si="85"/>
        <v>0</v>
      </c>
      <c r="U358" s="176">
        <f t="shared" si="86"/>
        <v>0</v>
      </c>
      <c r="V358" s="165">
        <f>IF(U358&lt;V$5,V$5-U358,IF(U358&gt;=V$5,0))*('Electrical System Specification'!D$16*'Electrical System Specification'!Q$16)</f>
        <v>7516.5876862264913</v>
      </c>
      <c r="W358" s="28">
        <f t="shared" si="87"/>
        <v>1963.7618846416192</v>
      </c>
      <c r="X358" s="165">
        <f>IF(U358&gt;V$5,U358-V$5,0)*'Electrical System Specification'!D$17</f>
        <v>0</v>
      </c>
      <c r="Y358">
        <f>(X358*C358)*'Electrical System Specification'!D$17</f>
        <v>0</v>
      </c>
      <c r="Z358" s="165">
        <f t="shared" si="88"/>
        <v>1963.7618846416192</v>
      </c>
      <c r="AA358" s="165">
        <f t="shared" si="89"/>
        <v>-97657.084222544363</v>
      </c>
      <c r="AB358" s="165"/>
    </row>
    <row r="359" spans="3:28" x14ac:dyDescent="0.2">
      <c r="C359" s="148">
        <v>0.25765159319157177</v>
      </c>
      <c r="D359">
        <f t="shared" si="77"/>
        <v>118.59916884261858</v>
      </c>
      <c r="E359" s="164">
        <v>0</v>
      </c>
      <c r="F359" s="165">
        <f>E359/'Electrical System Specification'!AC$4</f>
        <v>0</v>
      </c>
      <c r="G359" s="146">
        <f>F359/('Electrical System Specification'!X$16*'Electrical System Specification'!J$16*'Electrical System Specification'!D$17)</f>
        <v>0</v>
      </c>
      <c r="H359" s="165"/>
      <c r="I359" s="173">
        <f t="shared" si="78"/>
        <v>6871.6622130335309</v>
      </c>
      <c r="J359" s="173">
        <f t="shared" si="79"/>
        <v>7621.6306710664712</v>
      </c>
      <c r="K359" s="174" t="b">
        <f>IF(E359&gt;I359,'Electrical System Specification'!AC$4*'Electrical System Specification'!J$16*'Electrical System Specification'!D$16*'Electrical System Specification'!D$17*'Electrical System Specification'!X$16)</f>
        <v>0</v>
      </c>
      <c r="L359" s="174">
        <f>IF(E359&lt;I359,'Electrical System Specification'!X$16*'Electrical System Specification'!Q$16*'Electrical System Specification'!AC$4*'Electrical System Specification'!J$16)</f>
        <v>0.83082440000000002</v>
      </c>
      <c r="M359" s="174">
        <f t="shared" si="80"/>
        <v>0.83082440000000002</v>
      </c>
      <c r="N359" s="174">
        <f t="shared" si="81"/>
        <v>0</v>
      </c>
      <c r="O359" s="173">
        <f t="shared" si="82"/>
        <v>-6871.6622130335309</v>
      </c>
      <c r="P359" s="174" t="b">
        <f t="shared" si="83"/>
        <v>0</v>
      </c>
      <c r="Q359" s="174">
        <f t="shared" si="91"/>
        <v>0</v>
      </c>
      <c r="R359" s="174">
        <f t="shared" si="90"/>
        <v>0</v>
      </c>
      <c r="S359" s="165">
        <f t="shared" si="84"/>
        <v>0</v>
      </c>
      <c r="T359" t="b">
        <f t="shared" si="85"/>
        <v>0</v>
      </c>
      <c r="U359" s="176">
        <f t="shared" si="86"/>
        <v>0</v>
      </c>
      <c r="V359" s="165">
        <f>IF(U359&lt;V$5,V$5-U359,IF(U359&gt;=V$5,0))*('Electrical System Specification'!D$16*'Electrical System Specification'!Q$16)</f>
        <v>7516.5876862264913</v>
      </c>
      <c r="W359" s="28">
        <f t="shared" si="87"/>
        <v>1936.6607927204057</v>
      </c>
      <c r="X359" s="165">
        <f>IF(U359&gt;V$5,U359-V$5,0)*'Electrical System Specification'!D$17</f>
        <v>0</v>
      </c>
      <c r="Y359">
        <f>(X359*C359)*'Electrical System Specification'!D$17</f>
        <v>0</v>
      </c>
      <c r="Z359" s="165">
        <f t="shared" si="88"/>
        <v>1936.6607927204057</v>
      </c>
      <c r="AA359" s="165">
        <f t="shared" si="89"/>
        <v>-95720.423429823961</v>
      </c>
      <c r="AB359" s="165"/>
    </row>
    <row r="360" spans="3:28" x14ac:dyDescent="0.2">
      <c r="C360" s="148">
        <v>0.25219692833237661</v>
      </c>
      <c r="D360">
        <f t="shared" si="77"/>
        <v>118.85136577095096</v>
      </c>
      <c r="E360" s="164">
        <v>0</v>
      </c>
      <c r="F360" s="165">
        <f>E360/'Electrical System Specification'!AC$4</f>
        <v>0</v>
      </c>
      <c r="G360" s="146">
        <f>F360/('Electrical System Specification'!X$16*'Electrical System Specification'!J$16*'Electrical System Specification'!D$17)</f>
        <v>0</v>
      </c>
      <c r="H360" s="165"/>
      <c r="I360" s="173">
        <f t="shared" si="78"/>
        <v>6871.6622130335309</v>
      </c>
      <c r="J360" s="173">
        <f t="shared" si="79"/>
        <v>7621.6306710664712</v>
      </c>
      <c r="K360" s="174" t="b">
        <f>IF(E360&gt;I360,'Electrical System Specification'!AC$4*'Electrical System Specification'!J$16*'Electrical System Specification'!D$16*'Electrical System Specification'!D$17*'Electrical System Specification'!X$16)</f>
        <v>0</v>
      </c>
      <c r="L360" s="174">
        <f>IF(E360&lt;I360,'Electrical System Specification'!X$16*'Electrical System Specification'!Q$16*'Electrical System Specification'!AC$4*'Electrical System Specification'!J$16)</f>
        <v>0.83082440000000002</v>
      </c>
      <c r="M360" s="174">
        <f t="shared" si="80"/>
        <v>0.83082440000000002</v>
      </c>
      <c r="N360" s="174">
        <f t="shared" si="81"/>
        <v>0</v>
      </c>
      <c r="O360" s="173">
        <f t="shared" si="82"/>
        <v>-6871.6622130335309</v>
      </c>
      <c r="P360" s="174" t="b">
        <f t="shared" si="83"/>
        <v>0</v>
      </c>
      <c r="Q360" s="174">
        <f t="shared" si="91"/>
        <v>0</v>
      </c>
      <c r="R360" s="174">
        <f t="shared" si="90"/>
        <v>0</v>
      </c>
      <c r="S360" s="165">
        <f t="shared" si="84"/>
        <v>0</v>
      </c>
      <c r="T360" t="b">
        <f t="shared" si="85"/>
        <v>0</v>
      </c>
      <c r="U360" s="176">
        <f t="shared" si="86"/>
        <v>0</v>
      </c>
      <c r="V360" s="165">
        <f>IF(U360&lt;V$5,V$5-U360,IF(U360&gt;=V$5,0))*('Electrical System Specification'!D$16*'Electrical System Specification'!Q$16)</f>
        <v>7516.5876862264913</v>
      </c>
      <c r="W360" s="28">
        <f t="shared" si="87"/>
        <v>1895.660326007287</v>
      </c>
      <c r="X360" s="165">
        <f>IF(U360&gt;V$5,U360-V$5,0)*'Electrical System Specification'!D$17</f>
        <v>0</v>
      </c>
      <c r="Y360">
        <f>(X360*C360)*'Electrical System Specification'!D$17</f>
        <v>0</v>
      </c>
      <c r="Z360" s="165">
        <f t="shared" si="88"/>
        <v>1895.660326007287</v>
      </c>
      <c r="AA360" s="165">
        <f t="shared" si="89"/>
        <v>-93824.763103816673</v>
      </c>
      <c r="AB360" s="165"/>
    </row>
    <row r="361" spans="3:28" x14ac:dyDescent="0.2">
      <c r="C361" s="148">
        <v>0.2455247247924548</v>
      </c>
      <c r="D361">
        <f t="shared" si="77"/>
        <v>119.09689049574342</v>
      </c>
      <c r="E361" s="164">
        <v>0</v>
      </c>
      <c r="F361" s="165">
        <f>E361/'Electrical System Specification'!AC$4</f>
        <v>0</v>
      </c>
      <c r="G361" s="146">
        <f>F361/('Electrical System Specification'!X$16*'Electrical System Specification'!J$16*'Electrical System Specification'!D$17)</f>
        <v>0</v>
      </c>
      <c r="H361" s="165"/>
      <c r="I361" s="173">
        <f t="shared" si="78"/>
        <v>6871.6622130335309</v>
      </c>
      <c r="J361" s="173">
        <f t="shared" si="79"/>
        <v>7621.6306710664712</v>
      </c>
      <c r="K361" s="174" t="b">
        <f>IF(E361&gt;I361,'Electrical System Specification'!AC$4*'Electrical System Specification'!J$16*'Electrical System Specification'!D$16*'Electrical System Specification'!D$17*'Electrical System Specification'!X$16)</f>
        <v>0</v>
      </c>
      <c r="L361" s="174">
        <f>IF(E361&lt;I361,'Electrical System Specification'!X$16*'Electrical System Specification'!Q$16*'Electrical System Specification'!AC$4*'Electrical System Specification'!J$16)</f>
        <v>0.83082440000000002</v>
      </c>
      <c r="M361" s="174">
        <f t="shared" si="80"/>
        <v>0.83082440000000002</v>
      </c>
      <c r="N361" s="174">
        <f t="shared" si="81"/>
        <v>0</v>
      </c>
      <c r="O361" s="173">
        <f t="shared" si="82"/>
        <v>-6871.6622130335309</v>
      </c>
      <c r="P361" s="174" t="b">
        <f t="shared" si="83"/>
        <v>0</v>
      </c>
      <c r="Q361" s="174">
        <f t="shared" si="91"/>
        <v>0</v>
      </c>
      <c r="R361" s="174">
        <f t="shared" si="90"/>
        <v>0</v>
      </c>
      <c r="S361" s="165">
        <f t="shared" si="84"/>
        <v>0</v>
      </c>
      <c r="T361" t="b">
        <f t="shared" si="85"/>
        <v>0</v>
      </c>
      <c r="U361" s="176">
        <f t="shared" si="86"/>
        <v>0</v>
      </c>
      <c r="V361" s="165">
        <f>IF(U361&lt;V$5,V$5-U361,IF(U361&gt;=V$5,0))*('Electrical System Specification'!D$16*'Electrical System Specification'!Q$16)</f>
        <v>7516.5876862264913</v>
      </c>
      <c r="W361" s="28">
        <f t="shared" si="87"/>
        <v>1845.5081230391138</v>
      </c>
      <c r="X361" s="165">
        <f>IF(U361&gt;V$5,U361-V$5,0)*'Electrical System Specification'!D$17</f>
        <v>0</v>
      </c>
      <c r="Y361">
        <f>(X361*C361)*'Electrical System Specification'!D$17</f>
        <v>0</v>
      </c>
      <c r="Z361" s="165">
        <f t="shared" si="88"/>
        <v>1845.5081230391138</v>
      </c>
      <c r="AA361" s="165">
        <f t="shared" si="89"/>
        <v>-91979.254980777565</v>
      </c>
      <c r="AB361" s="165"/>
    </row>
    <row r="362" spans="3:28" x14ac:dyDescent="0.2">
      <c r="C362" s="148">
        <v>0.23864764307612391</v>
      </c>
      <c r="D362">
        <f t="shared" si="77"/>
        <v>119.33553813881954</v>
      </c>
      <c r="E362" s="164">
        <v>0</v>
      </c>
      <c r="F362" s="165">
        <f>E362/'Electrical System Specification'!AC$4</f>
        <v>0</v>
      </c>
      <c r="G362" s="146">
        <f>F362/('Electrical System Specification'!X$16*'Electrical System Specification'!J$16*'Electrical System Specification'!D$17)</f>
        <v>0</v>
      </c>
      <c r="H362" s="165"/>
      <c r="I362" s="173">
        <f t="shared" si="78"/>
        <v>6871.6622130335309</v>
      </c>
      <c r="J362" s="173">
        <f t="shared" si="79"/>
        <v>7621.6306710664712</v>
      </c>
      <c r="K362" s="174" t="b">
        <f>IF(E362&gt;I362,'Electrical System Specification'!AC$4*'Electrical System Specification'!J$16*'Electrical System Specification'!D$16*'Electrical System Specification'!D$17*'Electrical System Specification'!X$16)</f>
        <v>0</v>
      </c>
      <c r="L362" s="174">
        <f>IF(E362&lt;I362,'Electrical System Specification'!X$16*'Electrical System Specification'!Q$16*'Electrical System Specification'!AC$4*'Electrical System Specification'!J$16)</f>
        <v>0.83082440000000002</v>
      </c>
      <c r="M362" s="174">
        <f t="shared" si="80"/>
        <v>0.83082440000000002</v>
      </c>
      <c r="N362" s="174">
        <f t="shared" si="81"/>
        <v>0</v>
      </c>
      <c r="O362" s="173">
        <f t="shared" si="82"/>
        <v>-6871.6622130335309</v>
      </c>
      <c r="P362" s="174" t="b">
        <f t="shared" si="83"/>
        <v>0</v>
      </c>
      <c r="Q362" s="174">
        <f t="shared" si="91"/>
        <v>0</v>
      </c>
      <c r="R362" s="174">
        <f t="shared" si="90"/>
        <v>0</v>
      </c>
      <c r="S362" s="165">
        <f t="shared" si="84"/>
        <v>0</v>
      </c>
      <c r="T362" t="b">
        <f t="shared" si="85"/>
        <v>0</v>
      </c>
      <c r="U362" s="176">
        <f t="shared" si="86"/>
        <v>0</v>
      </c>
      <c r="V362" s="165">
        <f>IF(U362&lt;V$5,V$5-U362,IF(U362&gt;=V$5,0))*('Electrical System Specification'!D$16*'Electrical System Specification'!Q$16)</f>
        <v>7516.5876862264913</v>
      </c>
      <c r="W362" s="28">
        <f t="shared" si="87"/>
        <v>1793.8159352929677</v>
      </c>
      <c r="X362" s="165">
        <f>IF(U362&gt;V$5,U362-V$5,0)*'Electrical System Specification'!D$17</f>
        <v>0</v>
      </c>
      <c r="Y362">
        <f>(X362*C362)*'Electrical System Specification'!D$17</f>
        <v>0</v>
      </c>
      <c r="Z362" s="165">
        <f t="shared" si="88"/>
        <v>1793.8159352929677</v>
      </c>
      <c r="AA362" s="165">
        <f t="shared" si="89"/>
        <v>-90185.4390454846</v>
      </c>
      <c r="AB362" s="165"/>
    </row>
    <row r="363" spans="3:28" x14ac:dyDescent="0.2">
      <c r="C363" s="148">
        <v>0.23189643678154395</v>
      </c>
      <c r="D363">
        <f t="shared" si="77"/>
        <v>119.56743457560108</v>
      </c>
      <c r="E363" s="164">
        <v>0</v>
      </c>
      <c r="F363" s="165">
        <f>E363/'Electrical System Specification'!AC$4</f>
        <v>0</v>
      </c>
      <c r="G363" s="146">
        <f>F363/('Electrical System Specification'!X$16*'Electrical System Specification'!J$16*'Electrical System Specification'!D$17)</f>
        <v>0</v>
      </c>
      <c r="H363" s="165"/>
      <c r="I363" s="173">
        <f t="shared" si="78"/>
        <v>6871.6622130335309</v>
      </c>
      <c r="J363" s="173">
        <f t="shared" si="79"/>
        <v>7621.6306710664712</v>
      </c>
      <c r="K363" s="174" t="b">
        <f>IF(E363&gt;I363,'Electrical System Specification'!AC$4*'Electrical System Specification'!J$16*'Electrical System Specification'!D$16*'Electrical System Specification'!D$17*'Electrical System Specification'!X$16)</f>
        <v>0</v>
      </c>
      <c r="L363" s="174">
        <f>IF(E363&lt;I363,'Electrical System Specification'!X$16*'Electrical System Specification'!Q$16*'Electrical System Specification'!AC$4*'Electrical System Specification'!J$16)</f>
        <v>0.83082440000000002</v>
      </c>
      <c r="M363" s="174">
        <f t="shared" si="80"/>
        <v>0.83082440000000002</v>
      </c>
      <c r="N363" s="174">
        <f t="shared" si="81"/>
        <v>0</v>
      </c>
      <c r="O363" s="173">
        <f t="shared" si="82"/>
        <v>-6871.6622130335309</v>
      </c>
      <c r="P363" s="174" t="b">
        <f t="shared" si="83"/>
        <v>0</v>
      </c>
      <c r="Q363" s="174">
        <f t="shared" si="91"/>
        <v>0</v>
      </c>
      <c r="R363" s="174">
        <f t="shared" si="90"/>
        <v>0</v>
      </c>
      <c r="S363" s="165">
        <f t="shared" si="84"/>
        <v>0</v>
      </c>
      <c r="T363" t="b">
        <f t="shared" si="85"/>
        <v>0</v>
      </c>
      <c r="U363" s="176">
        <f t="shared" si="86"/>
        <v>0</v>
      </c>
      <c r="V363" s="165">
        <f>IF(U363&lt;V$5,V$5-U363,IF(U363&gt;=V$5,0))*('Electrical System Specification'!D$16*'Electrical System Specification'!Q$16)</f>
        <v>7516.5876862264913</v>
      </c>
      <c r="W363" s="28">
        <f t="shared" si="87"/>
        <v>1743.0699011919532</v>
      </c>
      <c r="X363" s="165">
        <f>IF(U363&gt;V$5,U363-V$5,0)*'Electrical System Specification'!D$17</f>
        <v>0</v>
      </c>
      <c r="Y363">
        <f>(X363*C363)*'Electrical System Specification'!D$17</f>
        <v>0</v>
      </c>
      <c r="Z363" s="165">
        <f t="shared" si="88"/>
        <v>1743.0699011919532</v>
      </c>
      <c r="AA363" s="165">
        <f t="shared" si="89"/>
        <v>-88442.36914429265</v>
      </c>
      <c r="AB363" s="165"/>
    </row>
    <row r="364" spans="3:28" x14ac:dyDescent="0.2">
      <c r="C364" s="148">
        <v>0.22546099579466719</v>
      </c>
      <c r="D364">
        <f t="shared" si="77"/>
        <v>119.79289557139575</v>
      </c>
      <c r="E364" s="164">
        <v>0</v>
      </c>
      <c r="F364" s="165">
        <f>E364/'Electrical System Specification'!AC$4</f>
        <v>0</v>
      </c>
      <c r="G364" s="146">
        <f>F364/('Electrical System Specification'!X$16*'Electrical System Specification'!J$16*'Electrical System Specification'!D$17)</f>
        <v>0</v>
      </c>
      <c r="H364" s="165"/>
      <c r="I364" s="173">
        <f t="shared" si="78"/>
        <v>6871.6622130335309</v>
      </c>
      <c r="J364" s="173">
        <f t="shared" si="79"/>
        <v>7621.6306710664712</v>
      </c>
      <c r="K364" s="174" t="b">
        <f>IF(E364&gt;I364,'Electrical System Specification'!AC$4*'Electrical System Specification'!J$16*'Electrical System Specification'!D$16*'Electrical System Specification'!D$17*'Electrical System Specification'!X$16)</f>
        <v>0</v>
      </c>
      <c r="L364" s="174">
        <f>IF(E364&lt;I364,'Electrical System Specification'!X$16*'Electrical System Specification'!Q$16*'Electrical System Specification'!AC$4*'Electrical System Specification'!J$16)</f>
        <v>0.83082440000000002</v>
      </c>
      <c r="M364" s="174">
        <f t="shared" si="80"/>
        <v>0.83082440000000002</v>
      </c>
      <c r="N364" s="174">
        <f t="shared" si="81"/>
        <v>0</v>
      </c>
      <c r="O364" s="173">
        <f t="shared" si="82"/>
        <v>-6871.6622130335309</v>
      </c>
      <c r="P364" s="174" t="b">
        <f t="shared" si="83"/>
        <v>0</v>
      </c>
      <c r="Q364" s="174">
        <f t="shared" si="91"/>
        <v>0</v>
      </c>
      <c r="R364" s="174">
        <f t="shared" si="90"/>
        <v>0</v>
      </c>
      <c r="S364" s="165">
        <f t="shared" si="84"/>
        <v>0</v>
      </c>
      <c r="T364" t="b">
        <f t="shared" si="85"/>
        <v>0</v>
      </c>
      <c r="U364" s="176">
        <f t="shared" si="86"/>
        <v>0</v>
      </c>
      <c r="V364" s="165">
        <f>IF(U364&lt;V$5,V$5-U364,IF(U364&gt;=V$5,0))*('Electrical System Specification'!D$16*'Electrical System Specification'!Q$16)</f>
        <v>7516.5876862264913</v>
      </c>
      <c r="W364" s="28">
        <f t="shared" si="87"/>
        <v>1694.6973447145581</v>
      </c>
      <c r="X364" s="165">
        <f>IF(U364&gt;V$5,U364-V$5,0)*'Electrical System Specification'!D$17</f>
        <v>0</v>
      </c>
      <c r="Y364">
        <f>(X364*C364)*'Electrical System Specification'!D$17</f>
        <v>0</v>
      </c>
      <c r="Z364" s="165">
        <f t="shared" si="88"/>
        <v>1694.6973447145581</v>
      </c>
      <c r="AA364" s="165">
        <f t="shared" si="89"/>
        <v>-86747.671799578093</v>
      </c>
      <c r="AB364" s="165"/>
    </row>
    <row r="365" spans="3:28" x14ac:dyDescent="0.2">
      <c r="C365" s="148">
        <v>0.21529611892368394</v>
      </c>
      <c r="D365">
        <f t="shared" si="77"/>
        <v>120.00819169031944</v>
      </c>
      <c r="E365" s="164">
        <v>3586.4720281922669</v>
      </c>
      <c r="F365" s="165">
        <f>E365/'Electrical System Specification'!AC$4</f>
        <v>3659.6653348900682</v>
      </c>
      <c r="G365" s="146">
        <f>F365/('Electrical System Specification'!X$16*'Electrical System Specification'!J$16*'Electrical System Specification'!D$17)</f>
        <v>4556.583165110399</v>
      </c>
      <c r="H365" s="165"/>
      <c r="I365" s="173">
        <f t="shared" si="78"/>
        <v>6871.6622130335309</v>
      </c>
      <c r="J365" s="173">
        <f t="shared" si="79"/>
        <v>7621.6306710664712</v>
      </c>
      <c r="K365" s="174" t="b">
        <f>IF(E365&gt;I365,'Electrical System Specification'!AC$4*'Electrical System Specification'!J$16*'Electrical System Specification'!D$16*'Electrical System Specification'!D$17*'Electrical System Specification'!X$16)</f>
        <v>0</v>
      </c>
      <c r="L365" s="174">
        <f>IF(E365&lt;I365,'Electrical System Specification'!X$16*'Electrical System Specification'!Q$16*'Electrical System Specification'!AC$4*'Electrical System Specification'!J$16)</f>
        <v>0.83082440000000002</v>
      </c>
      <c r="M365" s="174">
        <f t="shared" si="80"/>
        <v>0.83082440000000002</v>
      </c>
      <c r="N365" s="174">
        <f t="shared" si="81"/>
        <v>2979.7284709396231</v>
      </c>
      <c r="O365" s="173">
        <f t="shared" si="82"/>
        <v>-3285.190184841264</v>
      </c>
      <c r="P365" s="174" t="b">
        <f t="shared" si="83"/>
        <v>0</v>
      </c>
      <c r="Q365" s="174">
        <f t="shared" si="91"/>
        <v>3586.4720281922669</v>
      </c>
      <c r="R365" s="174">
        <f t="shared" si="90"/>
        <v>4316.7629985256417</v>
      </c>
      <c r="S365" s="165">
        <f t="shared" si="84"/>
        <v>4316.7629985256417</v>
      </c>
      <c r="T365" t="b">
        <f t="shared" si="85"/>
        <v>0</v>
      </c>
      <c r="U365" s="176">
        <f t="shared" si="86"/>
        <v>4316.7629985256417</v>
      </c>
      <c r="V365" s="165">
        <f>IF(U365&lt;V$5,V$5-U365,IF(U365&gt;=V$5,0))*('Electrical System Specification'!D$16*'Electrical System Specification'!Q$16)</f>
        <v>3825.755322487068</v>
      </c>
      <c r="W365" s="28">
        <f t="shared" si="87"/>
        <v>823.67027288309259</v>
      </c>
      <c r="X365" s="165">
        <f>IF(U365&gt;V$5,U365-V$5,0)*'Electrical System Specification'!D$17</f>
        <v>0</v>
      </c>
      <c r="Y365">
        <f>(X365*C365)*'Electrical System Specification'!D$17</f>
        <v>0</v>
      </c>
      <c r="Z365" s="165">
        <f t="shared" si="88"/>
        <v>823.67027288309259</v>
      </c>
      <c r="AA365" s="165">
        <f t="shared" si="89"/>
        <v>-85924.001526695007</v>
      </c>
      <c r="AB365" s="165"/>
    </row>
    <row r="366" spans="3:28" x14ac:dyDescent="0.2">
      <c r="C366" s="148">
        <v>0.2094111148869465</v>
      </c>
      <c r="D366">
        <f t="shared" si="77"/>
        <v>120.21760280520638</v>
      </c>
      <c r="E366" s="164">
        <v>3360.752424212963</v>
      </c>
      <c r="F366" s="165">
        <f>E366/'Electrical System Specification'!AC$4</f>
        <v>3429.3392083805747</v>
      </c>
      <c r="G366" s="146">
        <f>F366/('Electrical System Specification'!X$16*'Electrical System Specification'!J$16*'Electrical System Specification'!D$17)</f>
        <v>4269.808267817838</v>
      </c>
      <c r="H366" s="165"/>
      <c r="I366" s="173">
        <f t="shared" si="78"/>
        <v>6871.6622130335309</v>
      </c>
      <c r="J366" s="173">
        <f t="shared" si="79"/>
        <v>7621.6306710664712</v>
      </c>
      <c r="K366" s="174" t="b">
        <f>IF(E366&gt;I366,'Electrical System Specification'!AC$4*'Electrical System Specification'!J$16*'Electrical System Specification'!D$16*'Electrical System Specification'!D$17*'Electrical System Specification'!X$16)</f>
        <v>0</v>
      </c>
      <c r="L366" s="174">
        <f>IF(E366&lt;I366,'Electrical System Specification'!X$16*'Electrical System Specification'!Q$16*'Electrical System Specification'!AC$4*'Electrical System Specification'!J$16)</f>
        <v>0.83082440000000002</v>
      </c>
      <c r="M366" s="174">
        <f t="shared" si="80"/>
        <v>0.83082440000000002</v>
      </c>
      <c r="N366" s="174">
        <f t="shared" si="81"/>
        <v>2792.1951163952804</v>
      </c>
      <c r="O366" s="173">
        <f t="shared" si="82"/>
        <v>-3510.9097888205679</v>
      </c>
      <c r="P366" s="174" t="b">
        <f t="shared" si="83"/>
        <v>0</v>
      </c>
      <c r="Q366" s="174">
        <f t="shared" si="91"/>
        <v>3360.752424212963</v>
      </c>
      <c r="R366" s="174">
        <f t="shared" si="90"/>
        <v>4045.0815168800568</v>
      </c>
      <c r="S366" s="165">
        <f t="shared" si="84"/>
        <v>4045.0815168800568</v>
      </c>
      <c r="T366" t="b">
        <f t="shared" si="85"/>
        <v>0</v>
      </c>
      <c r="U366" s="176">
        <f t="shared" si="86"/>
        <v>4045.0815168800568</v>
      </c>
      <c r="V366" s="165">
        <f>IF(U366&lt;V$5,V$5-U366,IF(U366&gt;=V$5,0))*('Electrical System Specification'!D$16*'Electrical System Specification'!Q$16)</f>
        <v>4058.0429892940433</v>
      </c>
      <c r="W366" s="28">
        <f t="shared" si="87"/>
        <v>849.79930664722269</v>
      </c>
      <c r="X366" s="165">
        <f>IF(U366&gt;V$5,U366-V$5,0)*'Electrical System Specification'!D$17</f>
        <v>0</v>
      </c>
      <c r="Y366">
        <f>(X366*C366)*'Electrical System Specification'!D$17</f>
        <v>0</v>
      </c>
      <c r="Z366" s="165">
        <f t="shared" si="88"/>
        <v>849.79930664722269</v>
      </c>
      <c r="AA366" s="165">
        <f t="shared" si="89"/>
        <v>-85074.20222004778</v>
      </c>
      <c r="AB366" s="165"/>
    </row>
    <row r="367" spans="3:28" x14ac:dyDescent="0.2">
      <c r="C367" s="148">
        <v>0.20383641490826632</v>
      </c>
      <c r="D367">
        <f t="shared" si="77"/>
        <v>120.42143922011465</v>
      </c>
      <c r="E367" s="164">
        <v>8936.3363461116351</v>
      </c>
      <c r="F367" s="165">
        <f>E367/'Electrical System Specification'!AC$4</f>
        <v>9118.7105572567707</v>
      </c>
      <c r="G367" s="146">
        <f>F367/('Electrical System Specification'!X$16*'Electrical System Specification'!J$16*'Electrical System Specification'!D$17)</f>
        <v>11353.54170682899</v>
      </c>
      <c r="H367" s="165"/>
      <c r="I367" s="173">
        <f t="shared" si="78"/>
        <v>6871.6622130335309</v>
      </c>
      <c r="J367" s="173">
        <f t="shared" si="79"/>
        <v>7621.6306710664712</v>
      </c>
      <c r="K367" s="174">
        <f>IF(E367&gt;I367,'Electrical System Specification'!AC$4*'Electrical System Specification'!J$16*'Electrical System Specification'!D$16*'Electrical System Specification'!D$17*'Electrical System Specification'!X$16)</f>
        <v>0.70838712000000004</v>
      </c>
      <c r="L367" s="174" t="b">
        <f>IF(E367&lt;I367,'Electrical System Specification'!X$16*'Electrical System Specification'!Q$16*'Electrical System Specification'!AC$4*'Electrical System Specification'!J$16)</f>
        <v>0</v>
      </c>
      <c r="M367" s="174">
        <f t="shared" si="80"/>
        <v>0.70838712000000004</v>
      </c>
      <c r="N367" s="174">
        <f t="shared" si="81"/>
        <v>6330.3855675733448</v>
      </c>
      <c r="O367" s="173">
        <f t="shared" si="82"/>
        <v>2064.6741330781042</v>
      </c>
      <c r="P367" s="174">
        <f t="shared" si="83"/>
        <v>2914.6127516803299</v>
      </c>
      <c r="Q367" s="174">
        <f t="shared" si="91"/>
        <v>8270.8960076684452</v>
      </c>
      <c r="R367" s="174">
        <f t="shared" si="90"/>
        <v>0</v>
      </c>
      <c r="S367" s="165" t="b">
        <f t="shared" si="84"/>
        <v>0</v>
      </c>
      <c r="T367">
        <f t="shared" si="85"/>
        <v>11185.508759348775</v>
      </c>
      <c r="U367" s="176">
        <f t="shared" si="86"/>
        <v>11185.508759348775</v>
      </c>
      <c r="V367" s="165">
        <f>IF(U367&lt;V$5,V$5-U367,IF(U367&gt;=V$5,0))*('Electrical System Specification'!D$16*'Electrical System Specification'!Q$16)</f>
        <v>0</v>
      </c>
      <c r="W367" s="28">
        <f t="shared" si="87"/>
        <v>0</v>
      </c>
      <c r="X367" s="165">
        <f>IF(U367&gt;V$5,U367-V$5,0)*'Electrical System Specification'!D$17</f>
        <v>2154.760318964959</v>
      </c>
      <c r="Y367">
        <f>(X367*C367)*'Electrical System Specification'!D$17</f>
        <v>395.2967565639687</v>
      </c>
      <c r="Z367" s="165">
        <f t="shared" si="88"/>
        <v>-395.2967565639687</v>
      </c>
      <c r="AA367" s="165">
        <f t="shared" si="89"/>
        <v>-85469.498976611751</v>
      </c>
      <c r="AB367" s="165"/>
    </row>
    <row r="368" spans="3:28" x14ac:dyDescent="0.2">
      <c r="C368" s="148">
        <v>0.19844103083690764</v>
      </c>
      <c r="D368">
        <f t="shared" si="77"/>
        <v>120.61988025095155</v>
      </c>
      <c r="E368" s="164">
        <v>9033.1602859967606</v>
      </c>
      <c r="F368" s="165">
        <f>E368/'Electrical System Specification'!AC$4</f>
        <v>9217.5104959150613</v>
      </c>
      <c r="G368" s="146">
        <f>F368/('Electrical System Specification'!X$16*'Electrical System Specification'!J$16*'Electrical System Specification'!D$17)</f>
        <v>11476.555724780943</v>
      </c>
      <c r="H368" s="165"/>
      <c r="I368" s="173">
        <f t="shared" si="78"/>
        <v>6871.6622130335309</v>
      </c>
      <c r="J368" s="173">
        <f t="shared" si="79"/>
        <v>7621.6306710664712</v>
      </c>
      <c r="K368" s="174">
        <f>IF(E368&gt;I368,'Electrical System Specification'!AC$4*'Electrical System Specification'!J$16*'Electrical System Specification'!D$16*'Electrical System Specification'!D$17*'Electrical System Specification'!X$16)</f>
        <v>0.70838712000000004</v>
      </c>
      <c r="L368" s="174" t="b">
        <f>IF(E368&lt;I368,'Electrical System Specification'!X$16*'Electrical System Specification'!Q$16*'Electrical System Specification'!AC$4*'Electrical System Specification'!J$16)</f>
        <v>0</v>
      </c>
      <c r="M368" s="174">
        <f t="shared" si="80"/>
        <v>0.70838712000000004</v>
      </c>
      <c r="N368" s="174">
        <f t="shared" si="81"/>
        <v>6398.9743994956216</v>
      </c>
      <c r="O368" s="173">
        <f t="shared" si="82"/>
        <v>2161.4980729632298</v>
      </c>
      <c r="P368" s="174">
        <f t="shared" si="83"/>
        <v>3051.2949938491679</v>
      </c>
      <c r="Q368" s="174">
        <f t="shared" si="91"/>
        <v>8270.8960076684452</v>
      </c>
      <c r="R368" s="174">
        <f t="shared" si="90"/>
        <v>0</v>
      </c>
      <c r="S368" s="165" t="b">
        <f t="shared" si="84"/>
        <v>0</v>
      </c>
      <c r="T368">
        <f t="shared" si="85"/>
        <v>11322.191001517613</v>
      </c>
      <c r="U368" s="176">
        <f t="shared" si="86"/>
        <v>11322.191001517613</v>
      </c>
      <c r="V368" s="165">
        <f>IF(U368&lt;V$5,V$5-U368,IF(U368&gt;=V$5,0))*('Electrical System Specification'!D$16*'Electrical System Specification'!Q$16)</f>
        <v>0</v>
      </c>
      <c r="W368" s="28">
        <f t="shared" si="87"/>
        <v>0</v>
      </c>
      <c r="X368" s="165">
        <f>IF(U368&gt;V$5,U368-V$5,0)*'Electrical System Specification'!D$17</f>
        <v>2277.7743369169129</v>
      </c>
      <c r="Y368">
        <f>(X368*C368)*'Electrical System Specification'!D$17</f>
        <v>406.8034986884814</v>
      </c>
      <c r="Z368" s="165">
        <f t="shared" si="88"/>
        <v>-406.8034986884814</v>
      </c>
      <c r="AA368" s="165">
        <f t="shared" si="89"/>
        <v>-85876.302475300239</v>
      </c>
      <c r="AB368" s="165"/>
    </row>
    <row r="369" spans="3:28" x14ac:dyDescent="0.2">
      <c r="C369" s="148">
        <v>0.19308051880974655</v>
      </c>
      <c r="D369">
        <f t="shared" si="77"/>
        <v>120.8129607697613</v>
      </c>
      <c r="E369" s="164">
        <v>3173.5043426934617</v>
      </c>
      <c r="F369" s="165">
        <f>E369/'Electrical System Specification'!AC$4</f>
        <v>3238.2697374423078</v>
      </c>
      <c r="G369" s="146">
        <f>F369/('Electrical System Specification'!X$16*'Electrical System Specification'!J$16*'Electrical System Specification'!D$17)</f>
        <v>4031.9111228675579</v>
      </c>
      <c r="H369" s="165"/>
      <c r="I369" s="173">
        <f t="shared" si="78"/>
        <v>6871.6622130335309</v>
      </c>
      <c r="J369" s="173">
        <f t="shared" si="79"/>
        <v>7621.6306710664712</v>
      </c>
      <c r="K369" s="174" t="b">
        <f>IF(E369&gt;I369,'Electrical System Specification'!AC$4*'Electrical System Specification'!J$16*'Electrical System Specification'!D$16*'Electrical System Specification'!D$17*'Electrical System Specification'!X$16)</f>
        <v>0</v>
      </c>
      <c r="L369" s="174">
        <f>IF(E369&lt;I369,'Electrical System Specification'!X$16*'Electrical System Specification'!Q$16*'Electrical System Specification'!AC$4*'Electrical System Specification'!J$16)</f>
        <v>0.83082440000000002</v>
      </c>
      <c r="M369" s="174">
        <f t="shared" si="80"/>
        <v>0.83082440000000002</v>
      </c>
      <c r="N369" s="174">
        <f t="shared" si="81"/>
        <v>2636.6248414156898</v>
      </c>
      <c r="O369" s="173">
        <f t="shared" si="82"/>
        <v>-3698.1578703400692</v>
      </c>
      <c r="P369" s="174" t="b">
        <f t="shared" si="83"/>
        <v>0</v>
      </c>
      <c r="Q369" s="174">
        <f t="shared" si="91"/>
        <v>3173.5043426934617</v>
      </c>
      <c r="R369" s="174">
        <f t="shared" si="90"/>
        <v>3819.7052742955811</v>
      </c>
      <c r="S369" s="165">
        <f t="shared" si="84"/>
        <v>3819.7052742955811</v>
      </c>
      <c r="T369" t="b">
        <f t="shared" si="85"/>
        <v>0</v>
      </c>
      <c r="U369" s="176">
        <f t="shared" si="86"/>
        <v>3819.7052742955811</v>
      </c>
      <c r="V369" s="165">
        <f>IF(U369&lt;V$5,V$5-U369,IF(U369&gt;=V$5,0))*('Electrical System Specification'!D$16*'Electrical System Specification'!Q$16)</f>
        <v>4250.7396767037699</v>
      </c>
      <c r="W369" s="28">
        <f t="shared" si="87"/>
        <v>820.73502210313825</v>
      </c>
      <c r="X369" s="165">
        <f>IF(U369&gt;V$5,U369-V$5,0)*'Electrical System Specification'!D$17</f>
        <v>0</v>
      </c>
      <c r="Y369">
        <f>(X369*C369)*'Electrical System Specification'!D$17</f>
        <v>0</v>
      </c>
      <c r="Z369" s="165">
        <f t="shared" si="88"/>
        <v>820.73502210313825</v>
      </c>
      <c r="AA369" s="165">
        <f t="shared" si="89"/>
        <v>-85055.567453197102</v>
      </c>
      <c r="AB369" s="165"/>
    </row>
    <row r="370" spans="3:28" x14ac:dyDescent="0.2">
      <c r="C370" s="148">
        <v>0.1877620403311743</v>
      </c>
      <c r="D370">
        <f t="shared" si="77"/>
        <v>121.00072281009248</v>
      </c>
      <c r="E370" s="164">
        <v>8253.2119062426591</v>
      </c>
      <c r="F370" s="165">
        <f>E370/'Electrical System Specification'!AC$4</f>
        <v>8421.6448022884269</v>
      </c>
      <c r="G370" s="146">
        <f>F370/('Electrical System Specification'!X$16*'Electrical System Specification'!J$16*'Electrical System Specification'!D$17)</f>
        <v>10485.637733811976</v>
      </c>
      <c r="H370" s="165"/>
      <c r="I370" s="173">
        <f t="shared" si="78"/>
        <v>6871.6622130335309</v>
      </c>
      <c r="J370" s="173">
        <f t="shared" si="79"/>
        <v>7621.6306710664712</v>
      </c>
      <c r="K370" s="174">
        <f>IF(E370&gt;I370,'Electrical System Specification'!AC$4*'Electrical System Specification'!J$16*'Electrical System Specification'!D$16*'Electrical System Specification'!D$17*'Electrical System Specification'!X$16)</f>
        <v>0.70838712000000004</v>
      </c>
      <c r="L370" s="174" t="b">
        <f>IF(E370&lt;I370,'Electrical System Specification'!X$16*'Electrical System Specification'!Q$16*'Electrical System Specification'!AC$4*'Electrical System Specification'!J$16)</f>
        <v>0</v>
      </c>
      <c r="M370" s="174">
        <f t="shared" si="80"/>
        <v>0.70838712000000004</v>
      </c>
      <c r="N370" s="174">
        <f t="shared" si="81"/>
        <v>5846.4690130129475</v>
      </c>
      <c r="O370" s="173">
        <f t="shared" si="82"/>
        <v>1381.5496932091282</v>
      </c>
      <c r="P370" s="174">
        <f t="shared" si="83"/>
        <v>1950.2750038836507</v>
      </c>
      <c r="Q370" s="174">
        <f t="shared" si="91"/>
        <v>8270.8960076684452</v>
      </c>
      <c r="R370" s="174">
        <f t="shared" si="90"/>
        <v>0</v>
      </c>
      <c r="S370" s="165" t="b">
        <f t="shared" si="84"/>
        <v>0</v>
      </c>
      <c r="T370">
        <f t="shared" si="85"/>
        <v>10221.171011552096</v>
      </c>
      <c r="U370" s="176">
        <f t="shared" si="86"/>
        <v>10221.171011552096</v>
      </c>
      <c r="V370" s="165">
        <f>IF(U370&lt;V$5,V$5-U370,IF(U370&gt;=V$5,0))*('Electrical System Specification'!D$16*'Electrical System Specification'!Q$16)</f>
        <v>0</v>
      </c>
      <c r="W370" s="28">
        <f t="shared" si="87"/>
        <v>0</v>
      </c>
      <c r="X370" s="165">
        <f>IF(U370&gt;V$5,U370-V$5,0)*'Electrical System Specification'!D$17</f>
        <v>1286.8563459479481</v>
      </c>
      <c r="Y370">
        <f>(X370*C370)*'Electrical System Specification'!D$17</f>
        <v>217.46049581547561</v>
      </c>
      <c r="Z370" s="165">
        <f t="shared" si="88"/>
        <v>-217.46049581547561</v>
      </c>
      <c r="AA370" s="165">
        <f t="shared" si="89"/>
        <v>-85273.027949012583</v>
      </c>
      <c r="AB370" s="165"/>
    </row>
    <row r="371" spans="3:28" x14ac:dyDescent="0.2">
      <c r="C371" s="148">
        <v>0.18285203829198374</v>
      </c>
      <c r="D371">
        <f t="shared" si="77"/>
        <v>121.18357484838447</v>
      </c>
      <c r="E371" s="164">
        <v>3014.721736766166</v>
      </c>
      <c r="F371" s="165">
        <f>E371/'Electrical System Specification'!AC$4</f>
        <v>3076.2466701695571</v>
      </c>
      <c r="G371" s="146">
        <f>F371/('Electrical System Specification'!X$16*'Electrical System Specification'!J$16*'Electrical System Specification'!D$17)</f>
        <v>3830.1791301478625</v>
      </c>
      <c r="H371" s="165"/>
      <c r="I371" s="173">
        <f t="shared" si="78"/>
        <v>6871.6622130335309</v>
      </c>
      <c r="J371" s="173">
        <f t="shared" si="79"/>
        <v>7621.6306710664712</v>
      </c>
      <c r="K371" s="174" t="b">
        <f>IF(E371&gt;I371,'Electrical System Specification'!AC$4*'Electrical System Specification'!J$16*'Electrical System Specification'!D$16*'Electrical System Specification'!D$17*'Electrical System Specification'!X$16)</f>
        <v>0</v>
      </c>
      <c r="L371" s="174">
        <f>IF(E371&lt;I371,'Electrical System Specification'!X$16*'Electrical System Specification'!Q$16*'Electrical System Specification'!AC$4*'Electrical System Specification'!J$16)</f>
        <v>0.83082440000000002</v>
      </c>
      <c r="M371" s="174">
        <f t="shared" si="80"/>
        <v>0.83082440000000002</v>
      </c>
      <c r="N371" s="174">
        <f t="shared" si="81"/>
        <v>2504.7043781157081</v>
      </c>
      <c r="O371" s="173">
        <f t="shared" si="82"/>
        <v>-3856.9404762673648</v>
      </c>
      <c r="P371" s="174" t="b">
        <f t="shared" si="83"/>
        <v>0</v>
      </c>
      <c r="Q371" s="174">
        <f t="shared" si="91"/>
        <v>3014.721736766166</v>
      </c>
      <c r="R371" s="174">
        <f t="shared" si="90"/>
        <v>3628.5907548769223</v>
      </c>
      <c r="S371" s="165">
        <f t="shared" si="84"/>
        <v>3628.5907548769223</v>
      </c>
      <c r="T371" t="b">
        <f t="shared" si="85"/>
        <v>0</v>
      </c>
      <c r="U371" s="176">
        <f t="shared" si="86"/>
        <v>3628.5907548769223</v>
      </c>
      <c r="V371" s="165">
        <f>IF(U371&lt;V$5,V$5-U371,IF(U371&gt;=V$5,0))*('Electrical System Specification'!D$16*'Electrical System Specification'!Q$16)</f>
        <v>4414.1425908067222</v>
      </c>
      <c r="W371" s="28">
        <f t="shared" si="87"/>
        <v>807.13497004046701</v>
      </c>
      <c r="X371" s="165">
        <f>IF(U371&gt;V$5,U371-V$5,0)*'Electrical System Specification'!D$17</f>
        <v>0</v>
      </c>
      <c r="Y371">
        <f>(X371*C371)*'Electrical System Specification'!D$17</f>
        <v>0</v>
      </c>
      <c r="Z371" s="165">
        <f t="shared" si="88"/>
        <v>807.13497004046701</v>
      </c>
      <c r="AA371" s="165">
        <f t="shared" si="89"/>
        <v>-84465.892978972115</v>
      </c>
      <c r="AB371" s="165"/>
    </row>
    <row r="372" spans="3:28" x14ac:dyDescent="0.2">
      <c r="C372" s="148">
        <v>0.17799713121697103</v>
      </c>
      <c r="D372">
        <f t="shared" si="77"/>
        <v>121.36157197960144</v>
      </c>
      <c r="E372" s="164">
        <v>0</v>
      </c>
      <c r="F372" s="165">
        <f>E372/'Electrical System Specification'!AC$4</f>
        <v>0</v>
      </c>
      <c r="G372" s="146">
        <f>F372/('Electrical System Specification'!X$16*'Electrical System Specification'!J$16*'Electrical System Specification'!D$17)</f>
        <v>0</v>
      </c>
      <c r="H372" s="165"/>
      <c r="I372" s="173">
        <f t="shared" si="78"/>
        <v>6871.6622130335309</v>
      </c>
      <c r="J372" s="173">
        <f t="shared" si="79"/>
        <v>7621.6306710664712</v>
      </c>
      <c r="K372" s="174" t="b">
        <f>IF(E372&gt;I372,'Electrical System Specification'!AC$4*'Electrical System Specification'!J$16*'Electrical System Specification'!D$16*'Electrical System Specification'!D$17*'Electrical System Specification'!X$16)</f>
        <v>0</v>
      </c>
      <c r="L372" s="174">
        <f>IF(E372&lt;I372,'Electrical System Specification'!X$16*'Electrical System Specification'!Q$16*'Electrical System Specification'!AC$4*'Electrical System Specification'!J$16)</f>
        <v>0.83082440000000002</v>
      </c>
      <c r="M372" s="174">
        <f t="shared" si="80"/>
        <v>0.83082440000000002</v>
      </c>
      <c r="N372" s="174">
        <f t="shared" si="81"/>
        <v>0</v>
      </c>
      <c r="O372" s="173">
        <f t="shared" si="82"/>
        <v>-6871.6622130335309</v>
      </c>
      <c r="P372" s="174" t="b">
        <f t="shared" si="83"/>
        <v>0</v>
      </c>
      <c r="Q372" s="174">
        <f t="shared" si="91"/>
        <v>0</v>
      </c>
      <c r="R372" s="174">
        <f t="shared" si="90"/>
        <v>0</v>
      </c>
      <c r="S372" s="165">
        <f t="shared" si="84"/>
        <v>0</v>
      </c>
      <c r="T372" t="b">
        <f t="shared" si="85"/>
        <v>0</v>
      </c>
      <c r="U372" s="176">
        <f t="shared" si="86"/>
        <v>0</v>
      </c>
      <c r="V372" s="165">
        <f>IF(U372&lt;V$5,V$5-U372,IF(U372&gt;=V$5,0))*('Electrical System Specification'!D$16*'Electrical System Specification'!Q$16)</f>
        <v>7516.5876862264913</v>
      </c>
      <c r="W372" s="28">
        <f t="shared" si="87"/>
        <v>1337.9310446891254</v>
      </c>
      <c r="X372" s="165">
        <f>IF(U372&gt;V$5,U372-V$5,0)*'Electrical System Specification'!D$17</f>
        <v>0</v>
      </c>
      <c r="Y372">
        <f>(X372*C372)*'Electrical System Specification'!D$17</f>
        <v>0</v>
      </c>
      <c r="Z372" s="165">
        <f t="shared" si="88"/>
        <v>1337.9310446891254</v>
      </c>
      <c r="AA372" s="165">
        <f t="shared" si="89"/>
        <v>-83127.961934282983</v>
      </c>
      <c r="AB372" s="165"/>
    </row>
    <row r="373" spans="3:28" x14ac:dyDescent="0.2">
      <c r="C373" s="148">
        <v>0.17311132767403248</v>
      </c>
      <c r="D373">
        <f t="shared" si="77"/>
        <v>121.53468330727547</v>
      </c>
      <c r="E373" s="164">
        <v>2795.128700768385</v>
      </c>
      <c r="F373" s="165">
        <f>E373/'Electrical System Specification'!AC$4</f>
        <v>2852.172143641209</v>
      </c>
      <c r="G373" s="146">
        <f>F373/('Electrical System Specification'!X$16*'Electrical System Specification'!J$16*'Electrical System Specification'!D$17)</f>
        <v>3551.1879870028502</v>
      </c>
      <c r="H373" s="165"/>
      <c r="I373" s="173">
        <f t="shared" si="78"/>
        <v>6871.6622130335309</v>
      </c>
      <c r="J373" s="173">
        <f t="shared" si="79"/>
        <v>7621.6306710664712</v>
      </c>
      <c r="K373" s="174" t="b">
        <f>IF(E373&gt;I373,'Electrical System Specification'!AC$4*'Electrical System Specification'!J$16*'Electrical System Specification'!D$16*'Electrical System Specification'!D$17*'Electrical System Specification'!X$16)</f>
        <v>0</v>
      </c>
      <c r="L373" s="174">
        <f>IF(E373&lt;I373,'Electrical System Specification'!X$16*'Electrical System Specification'!Q$16*'Electrical System Specification'!AC$4*'Electrical System Specification'!J$16)</f>
        <v>0.83082440000000002</v>
      </c>
      <c r="M373" s="174">
        <f t="shared" si="80"/>
        <v>0.83082440000000002</v>
      </c>
      <c r="N373" s="174">
        <f t="shared" si="81"/>
        <v>2322.2611257386729</v>
      </c>
      <c r="O373" s="173">
        <f t="shared" si="82"/>
        <v>-4076.5335122651459</v>
      </c>
      <c r="P373" s="174" t="b">
        <f t="shared" si="83"/>
        <v>0</v>
      </c>
      <c r="Q373" s="174">
        <f t="shared" si="91"/>
        <v>2795.128700768385</v>
      </c>
      <c r="R373" s="174">
        <f t="shared" si="90"/>
        <v>3364.2833561079633</v>
      </c>
      <c r="S373" s="165">
        <f t="shared" si="84"/>
        <v>3364.2833561079633</v>
      </c>
      <c r="T373" t="b">
        <f t="shared" si="85"/>
        <v>0</v>
      </c>
      <c r="U373" s="176">
        <f t="shared" si="86"/>
        <v>3364.2833561079633</v>
      </c>
      <c r="V373" s="165">
        <f>IF(U373&lt;V$5,V$5-U373,IF(U373&gt;=V$5,0))*('Electrical System Specification'!D$16*'Electrical System Specification'!Q$16)</f>
        <v>4640.1254167541829</v>
      </c>
      <c r="W373" s="28">
        <f t="shared" si="87"/>
        <v>803.2582714683399</v>
      </c>
      <c r="X373" s="165">
        <f>IF(U373&gt;V$5,U373-V$5,0)*'Electrical System Specification'!D$17</f>
        <v>0</v>
      </c>
      <c r="Y373">
        <f>(X373*C373)*'Electrical System Specification'!D$17</f>
        <v>0</v>
      </c>
      <c r="Z373" s="165">
        <f t="shared" si="88"/>
        <v>803.2582714683399</v>
      </c>
      <c r="AA373" s="165">
        <f t="shared" si="89"/>
        <v>-82324.703662814645</v>
      </c>
      <c r="AB373" s="165"/>
    </row>
    <row r="374" spans="3:28" x14ac:dyDescent="0.2">
      <c r="C374" s="148">
        <v>0.1680529794830373</v>
      </c>
      <c r="D374">
        <f t="shared" si="77"/>
        <v>121.70273628675851</v>
      </c>
      <c r="E374" s="164">
        <v>8482.7895723044257</v>
      </c>
      <c r="F374" s="165">
        <f>E374/'Electrical System Specification'!AC$4</f>
        <v>8655.9077268412511</v>
      </c>
      <c r="G374" s="146">
        <f>F374/('Electrical System Specification'!X$16*'Electrical System Specification'!J$16*'Electrical System Specification'!D$17)</f>
        <v>10777.31426719614</v>
      </c>
      <c r="H374" s="165"/>
      <c r="I374" s="173">
        <f t="shared" si="78"/>
        <v>6871.6622130335309</v>
      </c>
      <c r="J374" s="173">
        <f t="shared" si="79"/>
        <v>7621.6306710664712</v>
      </c>
      <c r="K374" s="174">
        <f>IF(E374&gt;I374,'Electrical System Specification'!AC$4*'Electrical System Specification'!J$16*'Electrical System Specification'!D$16*'Electrical System Specification'!D$17*'Electrical System Specification'!X$16)</f>
        <v>0.70838712000000004</v>
      </c>
      <c r="L374" s="174" t="b">
        <f>IF(E374&lt;I374,'Electrical System Specification'!X$16*'Electrical System Specification'!Q$16*'Electrical System Specification'!AC$4*'Electrical System Specification'!J$16)</f>
        <v>0</v>
      </c>
      <c r="M374" s="174">
        <f t="shared" si="80"/>
        <v>0.70838712000000004</v>
      </c>
      <c r="N374" s="174">
        <f t="shared" si="81"/>
        <v>6009.0988746907642</v>
      </c>
      <c r="O374" s="173">
        <f t="shared" si="82"/>
        <v>1611.1273592708949</v>
      </c>
      <c r="P374" s="174">
        <f t="shared" si="83"/>
        <v>2274.3600409771634</v>
      </c>
      <c r="Q374" s="174">
        <f t="shared" si="91"/>
        <v>8270.8960076684452</v>
      </c>
      <c r="R374" s="174">
        <f t="shared" si="90"/>
        <v>0</v>
      </c>
      <c r="S374" s="165" t="b">
        <f t="shared" si="84"/>
        <v>0</v>
      </c>
      <c r="T374">
        <f t="shared" si="85"/>
        <v>10545.25604864561</v>
      </c>
      <c r="U374" s="176">
        <f t="shared" si="86"/>
        <v>10545.25604864561</v>
      </c>
      <c r="V374" s="165">
        <f>IF(U374&lt;V$5,V$5-U374,IF(U374&gt;=V$5,0))*('Electrical System Specification'!D$16*'Electrical System Specification'!Q$16)</f>
        <v>0</v>
      </c>
      <c r="W374" s="28">
        <f t="shared" si="87"/>
        <v>0</v>
      </c>
      <c r="X374" s="165">
        <f>IF(U374&gt;V$5,U374-V$5,0)*'Electrical System Specification'!D$17</f>
        <v>1578.53287933211</v>
      </c>
      <c r="Y374">
        <f>(X374*C374)*'Electrical System Specification'!D$17</f>
        <v>238.74943822532899</v>
      </c>
      <c r="Z374" s="165">
        <f t="shared" si="88"/>
        <v>-238.74943822532899</v>
      </c>
      <c r="AA374" s="165">
        <f t="shared" si="89"/>
        <v>-82563.453101039981</v>
      </c>
      <c r="AB374" s="165"/>
    </row>
    <row r="375" spans="3:28" x14ac:dyDescent="0.2">
      <c r="C375" s="148">
        <v>0.16307065027232898</v>
      </c>
      <c r="D375">
        <f t="shared" si="77"/>
        <v>121.86580693703084</v>
      </c>
      <c r="E375" s="164">
        <v>2827.4869989526278</v>
      </c>
      <c r="F375" s="165">
        <f>E375/'Electrical System Specification'!AC$4</f>
        <v>2885.1908152577835</v>
      </c>
      <c r="G375" s="146">
        <f>F375/('Electrical System Specification'!X$16*'Electrical System Specification'!J$16*'Electrical System Specification'!D$17)</f>
        <v>3592.2989382660785</v>
      </c>
      <c r="H375" s="165"/>
      <c r="I375" s="173">
        <f t="shared" si="78"/>
        <v>6871.6622130335309</v>
      </c>
      <c r="J375" s="173">
        <f t="shared" si="79"/>
        <v>7621.6306710664712</v>
      </c>
      <c r="K375" s="174" t="b">
        <f>IF(E375&gt;I375,'Electrical System Specification'!AC$4*'Electrical System Specification'!J$16*'Electrical System Specification'!D$16*'Electrical System Specification'!D$17*'Electrical System Specification'!X$16)</f>
        <v>0</v>
      </c>
      <c r="L375" s="174">
        <f>IF(E375&lt;I375,'Electrical System Specification'!X$16*'Electrical System Specification'!Q$16*'Electrical System Specification'!AC$4*'Electrical System Specification'!J$16)</f>
        <v>0.83082440000000002</v>
      </c>
      <c r="M375" s="174">
        <f t="shared" si="80"/>
        <v>0.83082440000000002</v>
      </c>
      <c r="N375" s="174">
        <f t="shared" si="81"/>
        <v>2349.1451894126176</v>
      </c>
      <c r="O375" s="173">
        <f t="shared" si="82"/>
        <v>-4044.1752140809031</v>
      </c>
      <c r="P375" s="174" t="b">
        <f t="shared" si="83"/>
        <v>0</v>
      </c>
      <c r="Q375" s="174">
        <f t="shared" si="91"/>
        <v>2827.4869989526278</v>
      </c>
      <c r="R375" s="174">
        <f t="shared" si="90"/>
        <v>3403.2305730941794</v>
      </c>
      <c r="S375" s="165">
        <f t="shared" si="84"/>
        <v>3403.2305730941794</v>
      </c>
      <c r="T375" t="b">
        <f t="shared" si="85"/>
        <v>0</v>
      </c>
      <c r="U375" s="176">
        <f t="shared" si="86"/>
        <v>3403.2305730941794</v>
      </c>
      <c r="V375" s="165">
        <f>IF(U375&lt;V$5,V$5-U375,IF(U375&gt;=V$5,0))*('Electrical System Specification'!D$16*'Electrical System Specification'!Q$16)</f>
        <v>4606.8255462309689</v>
      </c>
      <c r="W375" s="28">
        <f t="shared" si="87"/>
        <v>751.23803751506125</v>
      </c>
      <c r="X375" s="165">
        <f>IF(U375&gt;V$5,U375-V$5,0)*'Electrical System Specification'!D$17</f>
        <v>0</v>
      </c>
      <c r="Y375">
        <f>(X375*C375)*'Electrical System Specification'!D$17</f>
        <v>0</v>
      </c>
      <c r="Z375" s="165">
        <f t="shared" si="88"/>
        <v>751.23803751506125</v>
      </c>
      <c r="AA375" s="165">
        <f t="shared" si="89"/>
        <v>-81812.215063524913</v>
      </c>
      <c r="AB375" s="165"/>
    </row>
    <row r="376" spans="3:28" x14ac:dyDescent="0.2">
      <c r="C376" s="148">
        <v>0.15862815335102889</v>
      </c>
      <c r="D376">
        <f t="shared" si="77"/>
        <v>122.02443509038187</v>
      </c>
      <c r="E376" s="164">
        <v>8860.1844589240736</v>
      </c>
      <c r="F376" s="165">
        <f>E376/'Electrical System Specification'!AC$4</f>
        <v>9041.0045499225234</v>
      </c>
      <c r="G376" s="146">
        <f>F376/('Electrical System Specification'!X$16*'Electrical System Specification'!J$16*'Electrical System Specification'!D$17)</f>
        <v>11256.791361525131</v>
      </c>
      <c r="H376" s="165"/>
      <c r="I376" s="173">
        <f t="shared" si="78"/>
        <v>6871.6622130335309</v>
      </c>
      <c r="J376" s="173">
        <f t="shared" si="79"/>
        <v>7621.6306710664712</v>
      </c>
      <c r="K376" s="174">
        <f>IF(E376&gt;I376,'Electrical System Specification'!AC$4*'Electrical System Specification'!J$16*'Electrical System Specification'!D$16*'Electrical System Specification'!D$17*'Electrical System Specification'!X$16)</f>
        <v>0.70838712000000004</v>
      </c>
      <c r="L376" s="174" t="b">
        <f>IF(E376&lt;I376,'Electrical System Specification'!X$16*'Electrical System Specification'!Q$16*'Electrical System Specification'!AC$4*'Electrical System Specification'!J$16)</f>
        <v>0</v>
      </c>
      <c r="M376" s="174">
        <f t="shared" si="80"/>
        <v>0.70838712000000004</v>
      </c>
      <c r="N376" s="174">
        <f t="shared" si="81"/>
        <v>6276.4405515259832</v>
      </c>
      <c r="O376" s="173">
        <f t="shared" si="82"/>
        <v>1988.5222458905428</v>
      </c>
      <c r="P376" s="174">
        <f t="shared" si="83"/>
        <v>2807.112368009377</v>
      </c>
      <c r="Q376" s="174">
        <f t="shared" si="91"/>
        <v>8270.8960076684452</v>
      </c>
      <c r="R376" s="174">
        <f t="shared" si="90"/>
        <v>0</v>
      </c>
      <c r="S376" s="165" t="b">
        <f t="shared" si="84"/>
        <v>0</v>
      </c>
      <c r="T376">
        <f t="shared" si="85"/>
        <v>11078.008375677822</v>
      </c>
      <c r="U376" s="176">
        <f t="shared" si="86"/>
        <v>11078.008375677822</v>
      </c>
      <c r="V376" s="165">
        <f>IF(U376&lt;V$5,V$5-U376,IF(U376&gt;=V$5,0))*('Electrical System Specification'!D$16*'Electrical System Specification'!Q$16)</f>
        <v>0</v>
      </c>
      <c r="W376" s="28">
        <f t="shared" si="87"/>
        <v>0</v>
      </c>
      <c r="X376" s="165">
        <f>IF(U376&gt;V$5,U376-V$5,0)*'Electrical System Specification'!D$17</f>
        <v>2058.0099736611014</v>
      </c>
      <c r="Y376">
        <f>(X376*C376)*'Electrical System Specification'!D$17</f>
        <v>293.81248952987409</v>
      </c>
      <c r="Z376" s="165">
        <f t="shared" si="88"/>
        <v>-293.81248952987409</v>
      </c>
      <c r="AA376" s="165">
        <f t="shared" si="89"/>
        <v>-82106.027553054781</v>
      </c>
      <c r="AB376" s="165"/>
    </row>
    <row r="377" spans="3:28" x14ac:dyDescent="0.2">
      <c r="C377" s="148">
        <v>0.15433060894490444</v>
      </c>
      <c r="D377">
        <f t="shared" si="77"/>
        <v>122.17876569932677</v>
      </c>
      <c r="E377" s="164">
        <v>8933.0961251709105</v>
      </c>
      <c r="F377" s="165">
        <f>E377/'Electrical System Specification'!AC$4</f>
        <v>9115.404209358072</v>
      </c>
      <c r="G377" s="146">
        <f>F377/('Electrical System Specification'!X$16*'Electrical System Specification'!J$16*'Electrical System Specification'!D$17)</f>
        <v>11349.425032817959</v>
      </c>
      <c r="H377" s="165"/>
      <c r="I377" s="173">
        <f t="shared" si="78"/>
        <v>6871.6622130335309</v>
      </c>
      <c r="J377" s="173">
        <f t="shared" si="79"/>
        <v>7621.6306710664712</v>
      </c>
      <c r="K377" s="174">
        <f>IF(E377&gt;I377,'Electrical System Specification'!AC$4*'Electrical System Specification'!J$16*'Electrical System Specification'!D$16*'Electrical System Specification'!D$17*'Electrical System Specification'!X$16)</f>
        <v>0.70838712000000004</v>
      </c>
      <c r="L377" s="174" t="b">
        <f>IF(E377&lt;I377,'Electrical System Specification'!X$16*'Electrical System Specification'!Q$16*'Electrical System Specification'!AC$4*'Electrical System Specification'!J$16)</f>
        <v>0</v>
      </c>
      <c r="M377" s="174">
        <f t="shared" si="80"/>
        <v>0.70838712000000004</v>
      </c>
      <c r="N377" s="174">
        <f t="shared" si="81"/>
        <v>6328.0902367929812</v>
      </c>
      <c r="O377" s="173">
        <f t="shared" si="82"/>
        <v>2061.4339121373796</v>
      </c>
      <c r="P377" s="174">
        <f t="shared" si="83"/>
        <v>2910.0386694458525</v>
      </c>
      <c r="Q377" s="174">
        <f t="shared" si="91"/>
        <v>8270.8960076684452</v>
      </c>
      <c r="R377" s="174">
        <f t="shared" si="90"/>
        <v>0</v>
      </c>
      <c r="S377" s="165" t="b">
        <f t="shared" si="84"/>
        <v>0</v>
      </c>
      <c r="T377">
        <f t="shared" si="85"/>
        <v>11180.934677114297</v>
      </c>
      <c r="U377" s="176">
        <f t="shared" si="86"/>
        <v>11180.934677114297</v>
      </c>
      <c r="V377" s="165">
        <f>IF(U377&lt;V$5,V$5-U377,IF(U377&gt;=V$5,0))*('Electrical System Specification'!D$16*'Electrical System Specification'!Q$16)</f>
        <v>0</v>
      </c>
      <c r="W377" s="28">
        <f t="shared" si="87"/>
        <v>0</v>
      </c>
      <c r="X377" s="165">
        <f>IF(U377&gt;V$5,U377-V$5,0)*'Electrical System Specification'!D$17</f>
        <v>2150.6436449539292</v>
      </c>
      <c r="Y377">
        <f>(X377*C377)*'Electrical System Specification'!D$17</f>
        <v>298.71912901430591</v>
      </c>
      <c r="Z377" s="165">
        <f t="shared" si="88"/>
        <v>-298.71912901430591</v>
      </c>
      <c r="AA377" s="165">
        <f t="shared" si="89"/>
        <v>-82404.74668206909</v>
      </c>
      <c r="AB377" s="165"/>
    </row>
    <row r="378" spans="3:28" x14ac:dyDescent="0.2">
      <c r="C378" s="148">
        <v>0.14990622868564935</v>
      </c>
      <c r="D378">
        <f t="shared" si="77"/>
        <v>122.32867192801243</v>
      </c>
      <c r="E378" s="164">
        <v>9302.548255787071</v>
      </c>
      <c r="F378" s="165">
        <f>E378/'Electrical System Specification'!AC$4</f>
        <v>9492.3961793745621</v>
      </c>
      <c r="G378" s="146">
        <f>F378/('Electrical System Specification'!X$16*'Electrical System Specification'!J$16*'Electrical System Specification'!D$17)</f>
        <v>11818.810921079938</v>
      </c>
      <c r="H378" s="165"/>
      <c r="I378" s="173">
        <f t="shared" si="78"/>
        <v>6871.6622130335309</v>
      </c>
      <c r="J378" s="173">
        <f t="shared" si="79"/>
        <v>7621.6306710664712</v>
      </c>
      <c r="K378" s="174">
        <f>IF(E378&gt;I378,'Electrical System Specification'!AC$4*'Electrical System Specification'!J$16*'Electrical System Specification'!D$16*'Electrical System Specification'!D$17*'Electrical System Specification'!X$16)</f>
        <v>0.70838712000000004</v>
      </c>
      <c r="L378" s="174" t="b">
        <f>IF(E378&lt;I378,'Electrical System Specification'!X$16*'Electrical System Specification'!Q$16*'Electrical System Specification'!AC$4*'Electrical System Specification'!J$16)</f>
        <v>0</v>
      </c>
      <c r="M378" s="174">
        <f t="shared" si="80"/>
        <v>0.70838712000000004</v>
      </c>
      <c r="N378" s="174">
        <f t="shared" si="81"/>
        <v>6589.8053675780266</v>
      </c>
      <c r="O378" s="173">
        <f t="shared" si="82"/>
        <v>2430.8860427535401</v>
      </c>
      <c r="P378" s="174">
        <f t="shared" si="83"/>
        <v>3431.5785452924947</v>
      </c>
      <c r="Q378" s="174">
        <f t="shared" si="91"/>
        <v>8270.8960076684452</v>
      </c>
      <c r="R378" s="174">
        <f t="shared" si="90"/>
        <v>0</v>
      </c>
      <c r="S378" s="165" t="b">
        <f t="shared" si="84"/>
        <v>0</v>
      </c>
      <c r="T378">
        <f t="shared" si="85"/>
        <v>11702.474552960939</v>
      </c>
      <c r="U378" s="176">
        <f t="shared" si="86"/>
        <v>11702.474552960939</v>
      </c>
      <c r="V378" s="165">
        <f>IF(U378&lt;V$5,V$5-U378,IF(U378&gt;=V$5,0))*('Electrical System Specification'!D$16*'Electrical System Specification'!Q$16)</f>
        <v>0</v>
      </c>
      <c r="W378" s="28">
        <f t="shared" si="87"/>
        <v>0</v>
      </c>
      <c r="X378" s="165">
        <f>IF(U378&gt;V$5,U378-V$5,0)*'Electrical System Specification'!D$17</f>
        <v>2620.0295332159067</v>
      </c>
      <c r="Y378">
        <f>(X378*C378)*'Electrical System Specification'!D$17</f>
        <v>353.48287173247695</v>
      </c>
      <c r="Z378" s="165">
        <f t="shared" si="88"/>
        <v>-353.48287173247695</v>
      </c>
      <c r="AA378" s="165">
        <f t="shared" si="89"/>
        <v>-82758.229553801561</v>
      </c>
      <c r="AB378" s="165"/>
    </row>
    <row r="379" spans="3:28" x14ac:dyDescent="0.2">
      <c r="C379" s="148">
        <v>0.14540274772967207</v>
      </c>
      <c r="D379">
        <f t="shared" si="77"/>
        <v>122.4740746757421</v>
      </c>
      <c r="E379" s="164">
        <v>9062.2313113949367</v>
      </c>
      <c r="F379" s="165">
        <f>E379/'Electrical System Specification'!AC$4</f>
        <v>9247.1748075458545</v>
      </c>
      <c r="G379" s="146">
        <f>F379/('Electrical System Specification'!X$16*'Electrical System Specification'!J$16*'Electrical System Specification'!D$17)</f>
        <v>11513.490223051265</v>
      </c>
      <c r="H379" s="165"/>
      <c r="I379" s="173">
        <f t="shared" si="78"/>
        <v>6871.6622130335309</v>
      </c>
      <c r="J379" s="173">
        <f t="shared" si="79"/>
        <v>7621.6306710664712</v>
      </c>
      <c r="K379" s="174">
        <f>IF(E379&gt;I379,'Electrical System Specification'!AC$4*'Electrical System Specification'!J$16*'Electrical System Specification'!D$16*'Electrical System Specification'!D$17*'Electrical System Specification'!X$16)</f>
        <v>0.70838712000000004</v>
      </c>
      <c r="L379" s="174" t="b">
        <f>IF(E379&lt;I379,'Electrical System Specification'!X$16*'Electrical System Specification'!Q$16*'Electrical System Specification'!AC$4*'Electrical System Specification'!J$16)</f>
        <v>0</v>
      </c>
      <c r="M379" s="174">
        <f t="shared" si="80"/>
        <v>0.70838712000000004</v>
      </c>
      <c r="N379" s="174">
        <f t="shared" si="81"/>
        <v>6419.5679394528825</v>
      </c>
      <c r="O379" s="173">
        <f t="shared" si="82"/>
        <v>2190.5690983614058</v>
      </c>
      <c r="P379" s="174">
        <f t="shared" si="83"/>
        <v>3092.3333252606367</v>
      </c>
      <c r="Q379" s="174">
        <f t="shared" si="91"/>
        <v>8270.8960076684452</v>
      </c>
      <c r="R379" s="174">
        <f t="shared" si="90"/>
        <v>0</v>
      </c>
      <c r="S379" s="165" t="b">
        <f t="shared" si="84"/>
        <v>0</v>
      </c>
      <c r="T379">
        <f t="shared" si="85"/>
        <v>11363.229332929082</v>
      </c>
      <c r="U379" s="176">
        <f t="shared" si="86"/>
        <v>11363.229332929082</v>
      </c>
      <c r="V379" s="165">
        <f>IF(U379&lt;V$5,V$5-U379,IF(U379&gt;=V$5,0))*('Electrical System Specification'!D$16*'Electrical System Specification'!Q$16)</f>
        <v>0</v>
      </c>
      <c r="W379" s="28">
        <f t="shared" si="87"/>
        <v>0</v>
      </c>
      <c r="X379" s="165">
        <f>IF(U379&gt;V$5,U379-V$5,0)*'Electrical System Specification'!D$17</f>
        <v>2314.7088351872358</v>
      </c>
      <c r="Y379">
        <f>(X379*C379)*'Electrical System Specification'!D$17</f>
        <v>302.90852234733546</v>
      </c>
      <c r="Z379" s="165">
        <f t="shared" si="88"/>
        <v>-302.90852234733546</v>
      </c>
      <c r="AA379" s="165">
        <f t="shared" si="89"/>
        <v>-83061.138076148898</v>
      </c>
      <c r="AB379" s="165"/>
    </row>
    <row r="380" spans="3:28" x14ac:dyDescent="0.2">
      <c r="C380" s="148">
        <v>-0.43748377175060532</v>
      </c>
      <c r="D380">
        <f t="shared" si="77"/>
        <v>122.0365909039915</v>
      </c>
      <c r="E380" s="164">
        <v>5253.6319273318131</v>
      </c>
      <c r="F380" s="165">
        <f>E380/'Electrical System Specification'!AC$4</f>
        <v>5360.8489054406255</v>
      </c>
      <c r="G380" s="146">
        <f>F380/('Electrical System Specification'!X$16*'Electrical System Specification'!J$16*'Electrical System Specification'!D$17)</f>
        <v>6674.6960822757928</v>
      </c>
      <c r="H380" s="165"/>
      <c r="I380" s="173">
        <f t="shared" si="78"/>
        <v>6871.6622130335309</v>
      </c>
      <c r="J380" s="173">
        <f t="shared" si="79"/>
        <v>7621.6306710664712</v>
      </c>
      <c r="K380" s="174" t="b">
        <f>IF(E380&gt;I380,'Electrical System Specification'!AC$4*'Electrical System Specification'!J$16*'Electrical System Specification'!D$16*'Electrical System Specification'!D$17*'Electrical System Specification'!X$16)</f>
        <v>0</v>
      </c>
      <c r="L380" s="174">
        <f>IF(E380&lt;I380,'Electrical System Specification'!X$16*'Electrical System Specification'!Q$16*'Electrical System Specification'!AC$4*'Electrical System Specification'!J$16)</f>
        <v>0.83082440000000002</v>
      </c>
      <c r="M380" s="174">
        <f t="shared" si="80"/>
        <v>0.83082440000000002</v>
      </c>
      <c r="N380" s="174">
        <f t="shared" si="81"/>
        <v>4364.8455938462976</v>
      </c>
      <c r="O380" s="173">
        <f t="shared" si="82"/>
        <v>-1618.0302857017177</v>
      </c>
      <c r="P380" s="174" t="b">
        <f t="shared" si="83"/>
        <v>0</v>
      </c>
      <c r="Q380" s="174">
        <f t="shared" si="91"/>
        <v>5253.6319273318131</v>
      </c>
      <c r="R380" s="174">
        <f t="shared" si="90"/>
        <v>6323.396288471803</v>
      </c>
      <c r="S380" s="165">
        <f t="shared" si="84"/>
        <v>6323.396288471803</v>
      </c>
      <c r="T380" t="b">
        <f t="shared" si="85"/>
        <v>0</v>
      </c>
      <c r="U380" s="176">
        <f t="shared" si="86"/>
        <v>6323.396288471803</v>
      </c>
      <c r="V380" s="165">
        <f>IF(U380&lt;V$5,V$5-U380,IF(U380&gt;=V$5,0))*('Electrical System Specification'!D$16*'Electrical System Specification'!Q$16)</f>
        <v>2110.0838595831001</v>
      </c>
      <c r="W380" s="28">
        <f t="shared" si="87"/>
        <v>-923.1274456004893</v>
      </c>
      <c r="X380" s="165">
        <f>IF(U380&gt;V$5,U380-V$5,0)*'Electrical System Specification'!D$17</f>
        <v>0</v>
      </c>
      <c r="Y380">
        <f>(X380*C380)*'Electrical System Specification'!D$17</f>
        <v>0</v>
      </c>
      <c r="Z380" s="165">
        <f t="shared" si="88"/>
        <v>-923.1274456004893</v>
      </c>
      <c r="AA380" s="165">
        <f t="shared" si="89"/>
        <v>-83984.265521749388</v>
      </c>
      <c r="AB380" s="165"/>
    </row>
    <row r="381" spans="3:28" x14ac:dyDescent="0.2">
      <c r="C381" s="148">
        <v>0.15206784939068071</v>
      </c>
      <c r="D381">
        <f t="shared" si="77"/>
        <v>122.18865875338217</v>
      </c>
      <c r="E381" s="164">
        <v>3038.0917074529143</v>
      </c>
      <c r="F381" s="165">
        <f>E381/'Electrical System Specification'!AC$4</f>
        <v>3100.0935790335861</v>
      </c>
      <c r="G381" s="146">
        <f>F381/('Electrical System Specification'!X$16*'Electrical System Specification'!J$16*'Electrical System Specification'!D$17)</f>
        <v>3859.8704853747527</v>
      </c>
      <c r="H381" s="165"/>
      <c r="I381" s="173">
        <f t="shared" si="78"/>
        <v>6871.6622130335309</v>
      </c>
      <c r="J381" s="173">
        <f t="shared" si="79"/>
        <v>7621.6306710664712</v>
      </c>
      <c r="K381" s="174" t="b">
        <f>IF(E381&gt;I381,'Electrical System Specification'!AC$4*'Electrical System Specification'!J$16*'Electrical System Specification'!D$16*'Electrical System Specification'!D$17*'Electrical System Specification'!X$16)</f>
        <v>0</v>
      </c>
      <c r="L381" s="174">
        <f>IF(E381&lt;I381,'Electrical System Specification'!X$16*'Electrical System Specification'!Q$16*'Electrical System Specification'!AC$4*'Electrical System Specification'!J$16)</f>
        <v>0.83082440000000002</v>
      </c>
      <c r="M381" s="174">
        <f t="shared" si="80"/>
        <v>0.83082440000000002</v>
      </c>
      <c r="N381" s="174">
        <f t="shared" si="81"/>
        <v>2524.120719989543</v>
      </c>
      <c r="O381" s="173">
        <f t="shared" si="82"/>
        <v>-3833.5705055806166</v>
      </c>
      <c r="P381" s="174" t="b">
        <f t="shared" si="83"/>
        <v>0</v>
      </c>
      <c r="Q381" s="174">
        <f t="shared" si="91"/>
        <v>3038.0917074529143</v>
      </c>
      <c r="R381" s="174">
        <f t="shared" si="90"/>
        <v>3656.7194071971335</v>
      </c>
      <c r="S381" s="165">
        <f t="shared" si="84"/>
        <v>3656.7194071971335</v>
      </c>
      <c r="T381" t="b">
        <f t="shared" si="85"/>
        <v>0</v>
      </c>
      <c r="U381" s="176">
        <f t="shared" si="86"/>
        <v>3656.7194071971335</v>
      </c>
      <c r="V381" s="165">
        <f>IF(U381&lt;V$5,V$5-U381,IF(U381&gt;=V$5,0))*('Electrical System Specification'!D$16*'Electrical System Specification'!Q$16)</f>
        <v>4390.0925930729427</v>
      </c>
      <c r="W381" s="28">
        <f t="shared" si="87"/>
        <v>667.59193925455918</v>
      </c>
      <c r="X381" s="165">
        <f>IF(U381&gt;V$5,U381-V$5,0)*'Electrical System Specification'!D$17</f>
        <v>0</v>
      </c>
      <c r="Y381">
        <f>(X381*C381)*'Electrical System Specification'!D$17</f>
        <v>0</v>
      </c>
      <c r="Z381" s="165">
        <f t="shared" si="88"/>
        <v>667.59193925455918</v>
      </c>
      <c r="AA381" s="165">
        <f t="shared" si="89"/>
        <v>-83316.673582494826</v>
      </c>
      <c r="AB381" s="165"/>
    </row>
    <row r="382" spans="3:28" x14ac:dyDescent="0.2">
      <c r="C382" s="148">
        <v>0.15314081528676013</v>
      </c>
      <c r="D382">
        <f t="shared" si="77"/>
        <v>122.34179956866893</v>
      </c>
      <c r="E382" s="164">
        <v>0</v>
      </c>
      <c r="F382" s="165">
        <f>E382/'Electrical System Specification'!AC$4</f>
        <v>0</v>
      </c>
      <c r="G382" s="146">
        <f>F382/('Electrical System Specification'!X$16*'Electrical System Specification'!J$16*'Electrical System Specification'!D$17)</f>
        <v>0</v>
      </c>
      <c r="H382" s="165"/>
      <c r="I382" s="173">
        <f t="shared" si="78"/>
        <v>6871.6622130335309</v>
      </c>
      <c r="J382" s="173">
        <f t="shared" si="79"/>
        <v>7621.6306710664712</v>
      </c>
      <c r="K382" s="174" t="b">
        <f>IF(E382&gt;I382,'Electrical System Specification'!AC$4*'Electrical System Specification'!J$16*'Electrical System Specification'!D$16*'Electrical System Specification'!D$17*'Electrical System Specification'!X$16)</f>
        <v>0</v>
      </c>
      <c r="L382" s="174">
        <f>IF(E382&lt;I382,'Electrical System Specification'!X$16*'Electrical System Specification'!Q$16*'Electrical System Specification'!AC$4*'Electrical System Specification'!J$16)</f>
        <v>0.83082440000000002</v>
      </c>
      <c r="M382" s="174">
        <f t="shared" si="80"/>
        <v>0.83082440000000002</v>
      </c>
      <c r="N382" s="174">
        <f t="shared" si="81"/>
        <v>0</v>
      </c>
      <c r="O382" s="173">
        <f t="shared" si="82"/>
        <v>-6871.6622130335309</v>
      </c>
      <c r="P382" s="174" t="b">
        <f t="shared" si="83"/>
        <v>0</v>
      </c>
      <c r="Q382" s="174">
        <f t="shared" si="91"/>
        <v>0</v>
      </c>
      <c r="R382" s="174">
        <f t="shared" si="90"/>
        <v>0</v>
      </c>
      <c r="S382" s="165">
        <f t="shared" si="84"/>
        <v>0</v>
      </c>
      <c r="T382" t="b">
        <f t="shared" si="85"/>
        <v>0</v>
      </c>
      <c r="U382" s="176">
        <f t="shared" si="86"/>
        <v>0</v>
      </c>
      <c r="V382" s="165">
        <f>IF(U382&lt;V$5,V$5-U382,IF(U382&gt;=V$5,0))*('Electrical System Specification'!D$16*'Electrical System Specification'!Q$16)</f>
        <v>7516.5876862264913</v>
      </c>
      <c r="W382" s="28">
        <f t="shared" si="87"/>
        <v>1151.0963664431467</v>
      </c>
      <c r="X382" s="165">
        <f>IF(U382&gt;V$5,U382-V$5,0)*'Electrical System Specification'!D$17</f>
        <v>0</v>
      </c>
      <c r="Y382">
        <f>(X382*C382)*'Electrical System Specification'!D$17</f>
        <v>0</v>
      </c>
      <c r="Z382" s="165">
        <f t="shared" si="88"/>
        <v>1151.0963664431467</v>
      </c>
      <c r="AA382" s="165">
        <f t="shared" si="89"/>
        <v>-82165.577216051679</v>
      </c>
      <c r="AB382" s="165"/>
    </row>
    <row r="383" spans="3:28" x14ac:dyDescent="0.2">
      <c r="C383" s="148">
        <v>0.1565317194401194</v>
      </c>
      <c r="D383">
        <f t="shared" si="77"/>
        <v>122.49833128810906</v>
      </c>
      <c r="E383" s="164">
        <v>0</v>
      </c>
      <c r="F383" s="165">
        <f>E383/'Electrical System Specification'!AC$4</f>
        <v>0</v>
      </c>
      <c r="G383" s="146">
        <f>F383/('Electrical System Specification'!X$16*'Electrical System Specification'!J$16*'Electrical System Specification'!D$17)</f>
        <v>0</v>
      </c>
      <c r="H383" s="165"/>
      <c r="I383" s="173">
        <f t="shared" si="78"/>
        <v>6871.6622130335309</v>
      </c>
      <c r="J383" s="173">
        <f t="shared" si="79"/>
        <v>7621.6306710664712</v>
      </c>
      <c r="K383" s="174" t="b">
        <f>IF(E383&gt;I383,'Electrical System Specification'!AC$4*'Electrical System Specification'!J$16*'Electrical System Specification'!D$16*'Electrical System Specification'!D$17*'Electrical System Specification'!X$16)</f>
        <v>0</v>
      </c>
      <c r="L383" s="174">
        <f>IF(E383&lt;I383,'Electrical System Specification'!X$16*'Electrical System Specification'!Q$16*'Electrical System Specification'!AC$4*'Electrical System Specification'!J$16)</f>
        <v>0.83082440000000002</v>
      </c>
      <c r="M383" s="174">
        <f t="shared" si="80"/>
        <v>0.83082440000000002</v>
      </c>
      <c r="N383" s="174">
        <f t="shared" si="81"/>
        <v>0</v>
      </c>
      <c r="O383" s="173">
        <f t="shared" si="82"/>
        <v>-6871.6622130335309</v>
      </c>
      <c r="P383" s="174" t="b">
        <f t="shared" si="83"/>
        <v>0</v>
      </c>
      <c r="Q383" s="174">
        <f t="shared" si="91"/>
        <v>0</v>
      </c>
      <c r="R383" s="174">
        <f t="shared" si="90"/>
        <v>0</v>
      </c>
      <c r="S383" s="165">
        <f t="shared" si="84"/>
        <v>0</v>
      </c>
      <c r="T383" t="b">
        <f t="shared" si="85"/>
        <v>0</v>
      </c>
      <c r="U383" s="176">
        <f t="shared" si="86"/>
        <v>0</v>
      </c>
      <c r="V383" s="165">
        <f>IF(U383&lt;V$5,V$5-U383,IF(U383&gt;=V$5,0))*('Electrical System Specification'!D$16*'Electrical System Specification'!Q$16)</f>
        <v>7516.5876862264913</v>
      </c>
      <c r="W383" s="28">
        <f t="shared" si="87"/>
        <v>1176.5843948474615</v>
      </c>
      <c r="X383" s="165">
        <f>IF(U383&gt;V$5,U383-V$5,0)*'Electrical System Specification'!D$17</f>
        <v>0</v>
      </c>
      <c r="Y383">
        <f>(X383*C383)*'Electrical System Specification'!D$17</f>
        <v>0</v>
      </c>
      <c r="Z383" s="165">
        <f t="shared" si="88"/>
        <v>1176.5843948474615</v>
      </c>
      <c r="AA383" s="165">
        <f t="shared" si="89"/>
        <v>-80988.992821204214</v>
      </c>
      <c r="AB383" s="165"/>
    </row>
    <row r="384" spans="3:28" x14ac:dyDescent="0.2">
      <c r="C384" s="148">
        <v>0.16378211903795437</v>
      </c>
      <c r="D384">
        <f t="shared" si="77"/>
        <v>122.66211340714702</v>
      </c>
      <c r="E384" s="164">
        <v>0</v>
      </c>
      <c r="F384" s="165">
        <f>E384/'Electrical System Specification'!AC$4</f>
        <v>0</v>
      </c>
      <c r="G384" s="146">
        <f>F384/('Electrical System Specification'!X$16*'Electrical System Specification'!J$16*'Electrical System Specification'!D$17)</f>
        <v>0</v>
      </c>
      <c r="H384" s="165"/>
      <c r="I384" s="173">
        <f t="shared" si="78"/>
        <v>6871.6622130335309</v>
      </c>
      <c r="J384" s="173">
        <f t="shared" si="79"/>
        <v>7621.6306710664712</v>
      </c>
      <c r="K384" s="174" t="b">
        <f>IF(E384&gt;I384,'Electrical System Specification'!AC$4*'Electrical System Specification'!J$16*'Electrical System Specification'!D$16*'Electrical System Specification'!D$17*'Electrical System Specification'!X$16)</f>
        <v>0</v>
      </c>
      <c r="L384" s="174">
        <f>IF(E384&lt;I384,'Electrical System Specification'!X$16*'Electrical System Specification'!Q$16*'Electrical System Specification'!AC$4*'Electrical System Specification'!J$16)</f>
        <v>0.83082440000000002</v>
      </c>
      <c r="M384" s="174">
        <f t="shared" si="80"/>
        <v>0.83082440000000002</v>
      </c>
      <c r="N384" s="174">
        <f t="shared" si="81"/>
        <v>0</v>
      </c>
      <c r="O384" s="173">
        <f t="shared" si="82"/>
        <v>-6871.6622130335309</v>
      </c>
      <c r="P384" s="174" t="b">
        <f t="shared" si="83"/>
        <v>0</v>
      </c>
      <c r="Q384" s="174">
        <f t="shared" si="91"/>
        <v>0</v>
      </c>
      <c r="R384" s="174">
        <f t="shared" si="90"/>
        <v>0</v>
      </c>
      <c r="S384" s="165">
        <f t="shared" si="84"/>
        <v>0</v>
      </c>
      <c r="T384" t="b">
        <f t="shared" si="85"/>
        <v>0</v>
      </c>
      <c r="U384" s="176">
        <f t="shared" si="86"/>
        <v>0</v>
      </c>
      <c r="V384" s="165">
        <f>IF(U384&lt;V$5,V$5-U384,IF(U384&gt;=V$5,0))*('Electrical System Specification'!D$16*'Electrical System Specification'!Q$16)</f>
        <v>7516.5876862264913</v>
      </c>
      <c r="W384" s="28">
        <f t="shared" si="87"/>
        <v>1231.0826591847692</v>
      </c>
      <c r="X384" s="165">
        <f>IF(U384&gt;V$5,U384-V$5,0)*'Electrical System Specification'!D$17</f>
        <v>0</v>
      </c>
      <c r="Y384">
        <f>(X384*C384)*'Electrical System Specification'!D$17</f>
        <v>0</v>
      </c>
      <c r="Z384" s="165">
        <f t="shared" si="88"/>
        <v>1231.0826591847692</v>
      </c>
      <c r="AA384" s="165">
        <f t="shared" si="89"/>
        <v>-79757.910162019441</v>
      </c>
      <c r="AB384" s="165"/>
    </row>
    <row r="385" spans="3:28" x14ac:dyDescent="0.2">
      <c r="C385" s="148">
        <v>0.16662561417978863</v>
      </c>
      <c r="D385">
        <f t="shared" si="77"/>
        <v>122.82873902132681</v>
      </c>
      <c r="E385" s="164">
        <v>0</v>
      </c>
      <c r="F385" s="165">
        <f>E385/'Electrical System Specification'!AC$4</f>
        <v>0</v>
      </c>
      <c r="G385" s="146">
        <f>F385/('Electrical System Specification'!X$16*'Electrical System Specification'!J$16*'Electrical System Specification'!D$17)</f>
        <v>0</v>
      </c>
      <c r="H385" s="165"/>
      <c r="I385" s="173">
        <f t="shared" si="78"/>
        <v>6871.6622130335309</v>
      </c>
      <c r="J385" s="173">
        <f t="shared" si="79"/>
        <v>7621.6306710664712</v>
      </c>
      <c r="K385" s="174" t="b">
        <f>IF(E385&gt;I385,'Electrical System Specification'!AC$4*'Electrical System Specification'!J$16*'Electrical System Specification'!D$16*'Electrical System Specification'!D$17*'Electrical System Specification'!X$16)</f>
        <v>0</v>
      </c>
      <c r="L385" s="174">
        <f>IF(E385&lt;I385,'Electrical System Specification'!X$16*'Electrical System Specification'!Q$16*'Electrical System Specification'!AC$4*'Electrical System Specification'!J$16)</f>
        <v>0.83082440000000002</v>
      </c>
      <c r="M385" s="174">
        <f t="shared" si="80"/>
        <v>0.83082440000000002</v>
      </c>
      <c r="N385" s="174">
        <f t="shared" si="81"/>
        <v>0</v>
      </c>
      <c r="O385" s="173">
        <f t="shared" si="82"/>
        <v>-6871.6622130335309</v>
      </c>
      <c r="P385" s="174" t="b">
        <f t="shared" si="83"/>
        <v>0</v>
      </c>
      <c r="Q385" s="174">
        <f t="shared" si="91"/>
        <v>0</v>
      </c>
      <c r="R385" s="174">
        <f t="shared" si="90"/>
        <v>0</v>
      </c>
      <c r="S385" s="165">
        <f t="shared" si="84"/>
        <v>0</v>
      </c>
      <c r="T385" t="b">
        <f t="shared" si="85"/>
        <v>0</v>
      </c>
      <c r="U385" s="176">
        <f t="shared" si="86"/>
        <v>0</v>
      </c>
      <c r="V385" s="165">
        <f>IF(U385&lt;V$5,V$5-U385,IF(U385&gt;=V$5,0))*('Electrical System Specification'!D$16*'Electrical System Specification'!Q$16)</f>
        <v>7516.5876862264913</v>
      </c>
      <c r="W385" s="28">
        <f t="shared" si="87"/>
        <v>1252.4560397537255</v>
      </c>
      <c r="X385" s="165">
        <f>IF(U385&gt;V$5,U385-V$5,0)*'Electrical System Specification'!D$17</f>
        <v>0</v>
      </c>
      <c r="Y385">
        <f>(X385*C385)*'Electrical System Specification'!D$17</f>
        <v>0</v>
      </c>
      <c r="Z385" s="165">
        <f t="shared" si="88"/>
        <v>1252.4560397537255</v>
      </c>
      <c r="AA385" s="165">
        <f t="shared" si="89"/>
        <v>-78505.454122265714</v>
      </c>
      <c r="AB385" s="165"/>
    </row>
    <row r="386" spans="3:28" x14ac:dyDescent="0.2">
      <c r="C386" s="148">
        <v>0.17164593589216109</v>
      </c>
      <c r="D386">
        <f t="shared" si="77"/>
        <v>123.00038495721897</v>
      </c>
      <c r="E386" s="164">
        <v>0</v>
      </c>
      <c r="F386" s="165">
        <f>E386/'Electrical System Specification'!AC$4</f>
        <v>0</v>
      </c>
      <c r="G386" s="146">
        <f>F386/('Electrical System Specification'!X$16*'Electrical System Specification'!J$16*'Electrical System Specification'!D$17)</f>
        <v>0</v>
      </c>
      <c r="H386" s="165"/>
      <c r="I386" s="173">
        <f t="shared" si="78"/>
        <v>6871.6622130335309</v>
      </c>
      <c r="J386" s="173">
        <f t="shared" si="79"/>
        <v>7621.6306710664712</v>
      </c>
      <c r="K386" s="174" t="b">
        <f>IF(E386&gt;I386,'Electrical System Specification'!AC$4*'Electrical System Specification'!J$16*'Electrical System Specification'!D$16*'Electrical System Specification'!D$17*'Electrical System Specification'!X$16)</f>
        <v>0</v>
      </c>
      <c r="L386" s="174">
        <f>IF(E386&lt;I386,'Electrical System Specification'!X$16*'Electrical System Specification'!Q$16*'Electrical System Specification'!AC$4*'Electrical System Specification'!J$16)</f>
        <v>0.83082440000000002</v>
      </c>
      <c r="M386" s="174">
        <f t="shared" si="80"/>
        <v>0.83082440000000002</v>
      </c>
      <c r="N386" s="174">
        <f t="shared" si="81"/>
        <v>0</v>
      </c>
      <c r="O386" s="173">
        <f t="shared" si="82"/>
        <v>-6871.6622130335309</v>
      </c>
      <c r="P386" s="174" t="b">
        <f t="shared" si="83"/>
        <v>0</v>
      </c>
      <c r="Q386" s="174">
        <f t="shared" si="91"/>
        <v>0</v>
      </c>
      <c r="R386" s="174">
        <f t="shared" si="90"/>
        <v>0</v>
      </c>
      <c r="S386" s="165">
        <f t="shared" si="84"/>
        <v>0</v>
      </c>
      <c r="T386" t="b">
        <f t="shared" si="85"/>
        <v>0</v>
      </c>
      <c r="U386" s="176">
        <f t="shared" si="86"/>
        <v>0</v>
      </c>
      <c r="V386" s="165">
        <f>IF(U386&lt;V$5,V$5-U386,IF(U386&gt;=V$5,0))*('Electrical System Specification'!D$16*'Electrical System Specification'!Q$16)</f>
        <v>7516.5876862264913</v>
      </c>
      <c r="W386" s="28">
        <f t="shared" si="87"/>
        <v>1290.1917281178398</v>
      </c>
      <c r="X386" s="165">
        <f>IF(U386&gt;V$5,U386-V$5,0)*'Electrical System Specification'!D$17</f>
        <v>0</v>
      </c>
      <c r="Y386">
        <f>(X386*C386)*'Electrical System Specification'!D$17</f>
        <v>0</v>
      </c>
      <c r="Z386" s="165">
        <f t="shared" si="88"/>
        <v>1290.1917281178398</v>
      </c>
      <c r="AA386" s="165">
        <f t="shared" si="89"/>
        <v>-77215.262394147867</v>
      </c>
      <c r="AB386" s="165"/>
    </row>
    <row r="387" spans="3:28" x14ac:dyDescent="0.2">
      <c r="C387" s="148">
        <v>0.18114790096928787</v>
      </c>
      <c r="D387">
        <f t="shared" si="77"/>
        <v>123.18153285818826</v>
      </c>
      <c r="E387" s="164">
        <v>0</v>
      </c>
      <c r="F387" s="165">
        <f>E387/'Electrical System Specification'!AC$4</f>
        <v>0</v>
      </c>
      <c r="G387" s="146">
        <f>F387/('Electrical System Specification'!X$16*'Electrical System Specification'!J$16*'Electrical System Specification'!D$17)</f>
        <v>0</v>
      </c>
      <c r="H387" s="165"/>
      <c r="I387" s="173">
        <f t="shared" si="78"/>
        <v>6871.6622130335309</v>
      </c>
      <c r="J387" s="173">
        <f t="shared" si="79"/>
        <v>7621.6306710664712</v>
      </c>
      <c r="K387" s="174" t="b">
        <f>IF(E387&gt;I387,'Electrical System Specification'!AC$4*'Electrical System Specification'!J$16*'Electrical System Specification'!D$16*'Electrical System Specification'!D$17*'Electrical System Specification'!X$16)</f>
        <v>0</v>
      </c>
      <c r="L387" s="174">
        <f>IF(E387&lt;I387,'Electrical System Specification'!X$16*'Electrical System Specification'!Q$16*'Electrical System Specification'!AC$4*'Electrical System Specification'!J$16)</f>
        <v>0.83082440000000002</v>
      </c>
      <c r="M387" s="174">
        <f t="shared" si="80"/>
        <v>0.83082440000000002</v>
      </c>
      <c r="N387" s="174">
        <f t="shared" si="81"/>
        <v>0</v>
      </c>
      <c r="O387" s="173">
        <f t="shared" si="82"/>
        <v>-6871.6622130335309</v>
      </c>
      <c r="P387" s="174" t="b">
        <f t="shared" si="83"/>
        <v>0</v>
      </c>
      <c r="Q387" s="174">
        <f t="shared" si="91"/>
        <v>0</v>
      </c>
      <c r="R387" s="174">
        <f t="shared" si="90"/>
        <v>0</v>
      </c>
      <c r="S387" s="165">
        <f t="shared" si="84"/>
        <v>0</v>
      </c>
      <c r="T387" t="b">
        <f t="shared" si="85"/>
        <v>0</v>
      </c>
      <c r="U387" s="176">
        <f t="shared" si="86"/>
        <v>0</v>
      </c>
      <c r="V387" s="165">
        <f>IF(U387&lt;V$5,V$5-U387,IF(U387&gt;=V$5,0))*('Electrical System Specification'!D$16*'Electrical System Specification'!Q$16)</f>
        <v>7516.5876862264913</v>
      </c>
      <c r="W387" s="28">
        <f t="shared" si="87"/>
        <v>1361.614081811525</v>
      </c>
      <c r="X387" s="165">
        <f>IF(U387&gt;V$5,U387-V$5,0)*'Electrical System Specification'!D$17</f>
        <v>0</v>
      </c>
      <c r="Y387">
        <f>(X387*C387)*'Electrical System Specification'!D$17</f>
        <v>0</v>
      </c>
      <c r="Z387" s="165">
        <f t="shared" si="88"/>
        <v>1361.614081811525</v>
      </c>
      <c r="AA387" s="165">
        <f t="shared" si="89"/>
        <v>-75853.648312336343</v>
      </c>
      <c r="AB387" s="165"/>
    </row>
    <row r="388" spans="3:28" x14ac:dyDescent="0.2">
      <c r="C388" s="148">
        <v>0.19145245179427345</v>
      </c>
      <c r="D388">
        <f t="shared" si="77"/>
        <v>123.37298530998254</v>
      </c>
      <c r="E388" s="164">
        <v>0</v>
      </c>
      <c r="F388" s="165">
        <f>E388/'Electrical System Specification'!AC$4</f>
        <v>0</v>
      </c>
      <c r="G388" s="146">
        <f>F388/('Electrical System Specification'!X$16*'Electrical System Specification'!J$16*'Electrical System Specification'!D$17)</f>
        <v>0</v>
      </c>
      <c r="H388" s="165"/>
      <c r="I388" s="173">
        <f t="shared" si="78"/>
        <v>6871.6622130335309</v>
      </c>
      <c r="J388" s="173">
        <f t="shared" si="79"/>
        <v>7621.6306710664712</v>
      </c>
      <c r="K388" s="174" t="b">
        <f>IF(E388&gt;I388,'Electrical System Specification'!AC$4*'Electrical System Specification'!J$16*'Electrical System Specification'!D$16*'Electrical System Specification'!D$17*'Electrical System Specification'!X$16)</f>
        <v>0</v>
      </c>
      <c r="L388" s="174">
        <f>IF(E388&lt;I388,'Electrical System Specification'!X$16*'Electrical System Specification'!Q$16*'Electrical System Specification'!AC$4*'Electrical System Specification'!J$16)</f>
        <v>0.83082440000000002</v>
      </c>
      <c r="M388" s="174">
        <f t="shared" si="80"/>
        <v>0.83082440000000002</v>
      </c>
      <c r="N388" s="174">
        <f t="shared" si="81"/>
        <v>0</v>
      </c>
      <c r="O388" s="173">
        <f t="shared" si="82"/>
        <v>-6871.6622130335309</v>
      </c>
      <c r="P388" s="174" t="b">
        <f t="shared" si="83"/>
        <v>0</v>
      </c>
      <c r="Q388" s="174">
        <f t="shared" si="91"/>
        <v>0</v>
      </c>
      <c r="R388" s="174">
        <f t="shared" si="90"/>
        <v>0</v>
      </c>
      <c r="S388" s="165">
        <f t="shared" si="84"/>
        <v>0</v>
      </c>
      <c r="T388" t="b">
        <f t="shared" si="85"/>
        <v>0</v>
      </c>
      <c r="U388" s="176">
        <f t="shared" si="86"/>
        <v>0</v>
      </c>
      <c r="V388" s="165">
        <f>IF(U388&lt;V$5,V$5-U388,IF(U388&gt;=V$5,0))*('Electrical System Specification'!D$16*'Electrical System Specification'!Q$16)</f>
        <v>7516.5876862264913</v>
      </c>
      <c r="W388" s="28">
        <f t="shared" si="87"/>
        <v>1439.0691416547068</v>
      </c>
      <c r="X388" s="165">
        <f>IF(U388&gt;V$5,U388-V$5,0)*'Electrical System Specification'!D$17</f>
        <v>0</v>
      </c>
      <c r="Y388">
        <f>(X388*C388)*'Electrical System Specification'!D$17</f>
        <v>0</v>
      </c>
      <c r="Z388" s="165">
        <f t="shared" si="88"/>
        <v>1439.0691416547068</v>
      </c>
      <c r="AA388" s="165">
        <f t="shared" si="89"/>
        <v>-74414.579170681638</v>
      </c>
      <c r="AB388" s="165"/>
    </row>
    <row r="389" spans="3:28" x14ac:dyDescent="0.2">
      <c r="C389" s="148">
        <v>0.19920770165937668</v>
      </c>
      <c r="D389">
        <f t="shared" si="77"/>
        <v>123.57219301164191</v>
      </c>
      <c r="E389" s="164">
        <v>0</v>
      </c>
      <c r="F389" s="165">
        <f>E389/'Electrical System Specification'!AC$4</f>
        <v>0</v>
      </c>
      <c r="G389" s="146">
        <f>F389/('Electrical System Specification'!X$16*'Electrical System Specification'!J$16*'Electrical System Specification'!D$17)</f>
        <v>0</v>
      </c>
      <c r="H389" s="165"/>
      <c r="I389" s="173">
        <f t="shared" si="78"/>
        <v>6871.6622130335309</v>
      </c>
      <c r="J389" s="173">
        <f t="shared" si="79"/>
        <v>7621.6306710664712</v>
      </c>
      <c r="K389" s="174" t="b">
        <f>IF(E389&gt;I389,'Electrical System Specification'!AC$4*'Electrical System Specification'!J$16*'Electrical System Specification'!D$16*'Electrical System Specification'!D$17*'Electrical System Specification'!X$16)</f>
        <v>0</v>
      </c>
      <c r="L389" s="174">
        <f>IF(E389&lt;I389,'Electrical System Specification'!X$16*'Electrical System Specification'!Q$16*'Electrical System Specification'!AC$4*'Electrical System Specification'!J$16)</f>
        <v>0.83082440000000002</v>
      </c>
      <c r="M389" s="174">
        <f t="shared" si="80"/>
        <v>0.83082440000000002</v>
      </c>
      <c r="N389" s="174">
        <f t="shared" si="81"/>
        <v>0</v>
      </c>
      <c r="O389" s="173">
        <f t="shared" si="82"/>
        <v>-6871.6622130335309</v>
      </c>
      <c r="P389" s="174" t="b">
        <f t="shared" si="83"/>
        <v>0</v>
      </c>
      <c r="Q389" s="174">
        <f t="shared" si="91"/>
        <v>0</v>
      </c>
      <c r="R389" s="174">
        <f t="shared" si="90"/>
        <v>0</v>
      </c>
      <c r="S389" s="165">
        <f t="shared" si="84"/>
        <v>0</v>
      </c>
      <c r="T389" t="b">
        <f t="shared" si="85"/>
        <v>0</v>
      </c>
      <c r="U389" s="176">
        <f t="shared" si="86"/>
        <v>0</v>
      </c>
      <c r="V389" s="165">
        <f>IF(U389&lt;V$5,V$5-U389,IF(U389&gt;=V$5,0))*('Electrical System Specification'!D$16*'Electrical System Specification'!Q$16)</f>
        <v>7516.5876862264913</v>
      </c>
      <c r="W389" s="28">
        <f t="shared" si="87"/>
        <v>1497.3621572943514</v>
      </c>
      <c r="X389" s="165">
        <f>IF(U389&gt;V$5,U389-V$5,0)*'Electrical System Specification'!D$17</f>
        <v>0</v>
      </c>
      <c r="Y389">
        <f>(X389*C389)*'Electrical System Specification'!D$17</f>
        <v>0</v>
      </c>
      <c r="Z389" s="165">
        <f t="shared" si="88"/>
        <v>1497.3621572943514</v>
      </c>
      <c r="AA389" s="165">
        <f t="shared" si="89"/>
        <v>-72917.217013387286</v>
      </c>
      <c r="AB389" s="165"/>
    </row>
    <row r="390" spans="3:28" x14ac:dyDescent="0.2">
      <c r="C390" s="148">
        <v>0.20402897813065191</v>
      </c>
      <c r="D390">
        <f t="shared" si="77"/>
        <v>123.77622198977257</v>
      </c>
      <c r="E390" s="164">
        <v>0</v>
      </c>
      <c r="F390" s="165">
        <f>E390/'Electrical System Specification'!AC$4</f>
        <v>0</v>
      </c>
      <c r="G390" s="146">
        <f>F390/('Electrical System Specification'!X$16*'Electrical System Specification'!J$16*'Electrical System Specification'!D$17)</f>
        <v>0</v>
      </c>
      <c r="H390" s="165"/>
      <c r="I390" s="173">
        <f t="shared" si="78"/>
        <v>6871.6622130335309</v>
      </c>
      <c r="J390" s="173">
        <f t="shared" si="79"/>
        <v>7621.6306710664712</v>
      </c>
      <c r="K390" s="174" t="b">
        <f>IF(E390&gt;I390,'Electrical System Specification'!AC$4*'Electrical System Specification'!J$16*'Electrical System Specification'!D$16*'Electrical System Specification'!D$17*'Electrical System Specification'!X$16)</f>
        <v>0</v>
      </c>
      <c r="L390" s="174">
        <f>IF(E390&lt;I390,'Electrical System Specification'!X$16*'Electrical System Specification'!Q$16*'Electrical System Specification'!AC$4*'Electrical System Specification'!J$16)</f>
        <v>0.83082440000000002</v>
      </c>
      <c r="M390" s="174">
        <f t="shared" si="80"/>
        <v>0.83082440000000002</v>
      </c>
      <c r="N390" s="174">
        <f t="shared" si="81"/>
        <v>0</v>
      </c>
      <c r="O390" s="173">
        <f t="shared" si="82"/>
        <v>-6871.6622130335309</v>
      </c>
      <c r="P390" s="174" t="b">
        <f t="shared" si="83"/>
        <v>0</v>
      </c>
      <c r="Q390" s="174">
        <f t="shared" si="91"/>
        <v>0</v>
      </c>
      <c r="R390" s="174">
        <f t="shared" si="90"/>
        <v>0</v>
      </c>
      <c r="S390" s="165">
        <f t="shared" si="84"/>
        <v>0</v>
      </c>
      <c r="T390" t="b">
        <f t="shared" si="85"/>
        <v>0</v>
      </c>
      <c r="U390" s="176">
        <f t="shared" si="86"/>
        <v>0</v>
      </c>
      <c r="V390" s="165">
        <f>IF(U390&lt;V$5,V$5-U390,IF(U390&gt;=V$5,0))*('Electrical System Specification'!D$16*'Electrical System Specification'!Q$16)</f>
        <v>7516.5876862264913</v>
      </c>
      <c r="W390" s="28">
        <f t="shared" si="87"/>
        <v>1533.6017046502323</v>
      </c>
      <c r="X390" s="165">
        <f>IF(U390&gt;V$5,U390-V$5,0)*'Electrical System Specification'!D$17</f>
        <v>0</v>
      </c>
      <c r="Y390">
        <f>(X390*C390)*'Electrical System Specification'!D$17</f>
        <v>0</v>
      </c>
      <c r="Z390" s="165">
        <f t="shared" si="88"/>
        <v>1533.6017046502323</v>
      </c>
      <c r="AA390" s="165">
        <f t="shared" si="89"/>
        <v>-71383.615308737048</v>
      </c>
      <c r="AB390" s="165"/>
    </row>
    <row r="391" spans="3:28" x14ac:dyDescent="0.2">
      <c r="C391" s="148">
        <v>0.16</v>
      </c>
      <c r="D391">
        <f t="shared" si="77"/>
        <v>123.93622198977256</v>
      </c>
      <c r="E391" s="164">
        <v>13465.906457145509</v>
      </c>
      <c r="F391" s="165">
        <f>E391/'Electrical System Specification'!AC$4</f>
        <v>13740.720874638275</v>
      </c>
      <c r="G391" s="146">
        <f>F391/('Electrical System Specification'!X$16*'Electrical System Specification'!J$16*'Electrical System Specification'!D$17)</f>
        <v>17108.323216592304</v>
      </c>
      <c r="H391" s="165"/>
      <c r="I391" s="173">
        <f t="shared" si="78"/>
        <v>6871.6622130335309</v>
      </c>
      <c r="J391" s="173">
        <f t="shared" si="79"/>
        <v>7621.6306710664712</v>
      </c>
      <c r="K391" s="174">
        <f>IF(E391&gt;I391,'Electrical System Specification'!AC$4*'Electrical System Specification'!J$16*'Electrical System Specification'!D$16*'Electrical System Specification'!D$17*'Electrical System Specification'!X$16)</f>
        <v>0.70838712000000004</v>
      </c>
      <c r="L391" s="174" t="b">
        <f>IF(E391&lt;I391,'Electrical System Specification'!X$16*'Electrical System Specification'!Q$16*'Electrical System Specification'!AC$4*'Electrical System Specification'!J$16)</f>
        <v>0</v>
      </c>
      <c r="M391" s="174">
        <f t="shared" si="80"/>
        <v>0.70838712000000004</v>
      </c>
      <c r="N391" s="174">
        <f t="shared" si="81"/>
        <v>9539.0746933667106</v>
      </c>
      <c r="O391" s="173">
        <f t="shared" si="82"/>
        <v>6594.2442441119783</v>
      </c>
      <c r="P391" s="174">
        <f t="shared" si="83"/>
        <v>9308.8144291951248</v>
      </c>
      <c r="Q391" s="174">
        <f t="shared" si="91"/>
        <v>8270.8960076684452</v>
      </c>
      <c r="R391" s="174">
        <f t="shared" si="90"/>
        <v>0</v>
      </c>
      <c r="S391" s="165" t="b">
        <f t="shared" si="84"/>
        <v>0</v>
      </c>
      <c r="T391">
        <f t="shared" si="85"/>
        <v>17579.71043686357</v>
      </c>
      <c r="U391" s="176">
        <f t="shared" si="86"/>
        <v>17579.71043686357</v>
      </c>
      <c r="V391" s="165">
        <f>IF(U391&lt;V$5,V$5-U391,IF(U391&gt;=V$5,0))*('Electrical System Specification'!D$16*'Electrical System Specification'!Q$16)</f>
        <v>0</v>
      </c>
      <c r="W391" s="28">
        <f t="shared" si="87"/>
        <v>0</v>
      </c>
      <c r="X391" s="165">
        <f>IF(U391&gt;V$5,U391-V$5,0)*'Electrical System Specification'!D$17</f>
        <v>7909.5418287282746</v>
      </c>
      <c r="Y391">
        <f>(X391*C391)*'Electrical System Specification'!D$17</f>
        <v>1138.9740233368716</v>
      </c>
      <c r="Z391" s="165">
        <f t="shared" si="88"/>
        <v>-1138.9740233368716</v>
      </c>
      <c r="AA391" s="165">
        <f t="shared" si="89"/>
        <v>-72522.589332073912</v>
      </c>
      <c r="AB391" s="165"/>
    </row>
    <row r="392" spans="3:28" x14ac:dyDescent="0.2">
      <c r="C392" s="148">
        <v>0.24</v>
      </c>
      <c r="D392">
        <f t="shared" si="77"/>
        <v>124.17622198977256</v>
      </c>
      <c r="E392" s="164">
        <v>13465.906457145509</v>
      </c>
      <c r="F392" s="165">
        <f>E392/'Electrical System Specification'!AC$4</f>
        <v>13740.720874638275</v>
      </c>
      <c r="G392" s="146">
        <f>F392/('Electrical System Specification'!X$16*'Electrical System Specification'!J$16*'Electrical System Specification'!D$17)</f>
        <v>17108.323216592304</v>
      </c>
      <c r="H392" s="165"/>
      <c r="I392" s="173">
        <f t="shared" si="78"/>
        <v>6871.6622130335309</v>
      </c>
      <c r="J392" s="173">
        <f t="shared" si="79"/>
        <v>7621.6306710664712</v>
      </c>
      <c r="K392" s="174">
        <f>IF(E392&gt;I392,'Electrical System Specification'!AC$4*'Electrical System Specification'!J$16*'Electrical System Specification'!D$16*'Electrical System Specification'!D$17*'Electrical System Specification'!X$16)</f>
        <v>0.70838712000000004</v>
      </c>
      <c r="L392" s="174" t="b">
        <f>IF(E392&lt;I392,'Electrical System Specification'!X$16*'Electrical System Specification'!Q$16*'Electrical System Specification'!AC$4*'Electrical System Specification'!J$16)</f>
        <v>0</v>
      </c>
      <c r="M392" s="174">
        <f t="shared" si="80"/>
        <v>0.70838712000000004</v>
      </c>
      <c r="N392" s="174">
        <f t="shared" si="81"/>
        <v>9539.0746933667106</v>
      </c>
      <c r="O392" s="173">
        <f t="shared" si="82"/>
        <v>6594.2442441119783</v>
      </c>
      <c r="P392" s="174">
        <f t="shared" si="83"/>
        <v>9308.8144291951248</v>
      </c>
      <c r="Q392" s="174">
        <f t="shared" si="91"/>
        <v>8270.8960076684452</v>
      </c>
      <c r="R392" s="174">
        <f t="shared" si="90"/>
        <v>0</v>
      </c>
      <c r="S392" s="165" t="b">
        <f t="shared" si="84"/>
        <v>0</v>
      </c>
      <c r="T392">
        <f t="shared" si="85"/>
        <v>17579.71043686357</v>
      </c>
      <c r="U392" s="176">
        <f t="shared" si="86"/>
        <v>17579.71043686357</v>
      </c>
      <c r="V392" s="165">
        <f>IF(U392&lt;V$5,V$5-U392,IF(U392&gt;=V$5,0))*('Electrical System Specification'!D$16*'Electrical System Specification'!Q$16)</f>
        <v>0</v>
      </c>
      <c r="W392" s="28">
        <f t="shared" si="87"/>
        <v>0</v>
      </c>
      <c r="X392" s="165">
        <f>IF(U392&gt;V$5,U392-V$5,0)*'Electrical System Specification'!D$17</f>
        <v>7909.5418287282746</v>
      </c>
      <c r="Y392">
        <f>(X392*C392)*'Electrical System Specification'!D$17</f>
        <v>1708.4610350053072</v>
      </c>
      <c r="Z392" s="165">
        <f t="shared" si="88"/>
        <v>-1708.4610350053072</v>
      </c>
      <c r="AA392" s="165">
        <f t="shared" si="89"/>
        <v>-74231.050367079224</v>
      </c>
      <c r="AB392" s="165"/>
    </row>
    <row r="393" spans="3:28" x14ac:dyDescent="0.2">
      <c r="C393" s="148">
        <v>0.28413344025354037</v>
      </c>
      <c r="D393">
        <f t="shared" si="77"/>
        <v>124.4603554300261</v>
      </c>
      <c r="E393" s="164">
        <v>13465.906457145509</v>
      </c>
      <c r="F393" s="165">
        <f>E393/'Electrical System Specification'!AC$4</f>
        <v>13740.720874638275</v>
      </c>
      <c r="G393" s="146">
        <f>F393/('Electrical System Specification'!X$16*'Electrical System Specification'!J$16*'Electrical System Specification'!D$17)</f>
        <v>17108.323216592304</v>
      </c>
      <c r="H393" s="165"/>
      <c r="I393" s="173">
        <f t="shared" si="78"/>
        <v>6871.6622130335309</v>
      </c>
      <c r="J393" s="173">
        <f t="shared" si="79"/>
        <v>7621.6306710664712</v>
      </c>
      <c r="K393" s="174">
        <f>IF(E393&gt;I393,'Electrical System Specification'!AC$4*'Electrical System Specification'!J$16*'Electrical System Specification'!D$16*'Electrical System Specification'!D$17*'Electrical System Specification'!X$16)</f>
        <v>0.70838712000000004</v>
      </c>
      <c r="L393" s="174" t="b">
        <f>IF(E393&lt;I393,'Electrical System Specification'!X$16*'Electrical System Specification'!Q$16*'Electrical System Specification'!AC$4*'Electrical System Specification'!J$16)</f>
        <v>0</v>
      </c>
      <c r="M393" s="174">
        <f t="shared" si="80"/>
        <v>0.70838712000000004</v>
      </c>
      <c r="N393" s="174">
        <f t="shared" si="81"/>
        <v>9539.0746933667106</v>
      </c>
      <c r="O393" s="173">
        <f t="shared" si="82"/>
        <v>6594.2442441119783</v>
      </c>
      <c r="P393" s="174">
        <f t="shared" si="83"/>
        <v>9308.8144291951248</v>
      </c>
      <c r="Q393" s="174">
        <f t="shared" si="91"/>
        <v>8270.8960076684452</v>
      </c>
      <c r="R393" s="174">
        <f t="shared" si="90"/>
        <v>0</v>
      </c>
      <c r="S393" s="165" t="b">
        <f t="shared" si="84"/>
        <v>0</v>
      </c>
      <c r="T393">
        <f t="shared" si="85"/>
        <v>17579.71043686357</v>
      </c>
      <c r="U393" s="176">
        <f t="shared" si="86"/>
        <v>17579.71043686357</v>
      </c>
      <c r="V393" s="165">
        <f>IF(U393&lt;V$5,V$5-U393,IF(U393&gt;=V$5,0))*('Electrical System Specification'!D$16*'Electrical System Specification'!Q$16)</f>
        <v>0</v>
      </c>
      <c r="W393" s="28">
        <f t="shared" si="87"/>
        <v>0</v>
      </c>
      <c r="X393" s="165">
        <f>IF(U393&gt;V$5,U393-V$5,0)*'Electrical System Specification'!D$17</f>
        <v>7909.5418287282746</v>
      </c>
      <c r="Y393">
        <f>(X393*C393)*'Electrical System Specification'!D$17</f>
        <v>2022.6287975632595</v>
      </c>
      <c r="Z393" s="165">
        <f t="shared" si="88"/>
        <v>-2022.6287975632595</v>
      </c>
      <c r="AA393" s="165">
        <f t="shared" si="89"/>
        <v>-76253.679164642483</v>
      </c>
      <c r="AB393" s="165"/>
    </row>
    <row r="394" spans="3:28" x14ac:dyDescent="0.2">
      <c r="C394" s="148">
        <v>0.28449868202897161</v>
      </c>
      <c r="D394">
        <f t="shared" ref="D394:D457" si="92">C394+D393</f>
        <v>124.74485411205507</v>
      </c>
      <c r="E394" s="164">
        <v>13465.906457145509</v>
      </c>
      <c r="F394" s="165">
        <f>E394/'Electrical System Specification'!AC$4</f>
        <v>13740.720874638275</v>
      </c>
      <c r="G394" s="146">
        <f>F394/('Electrical System Specification'!X$16*'Electrical System Specification'!J$16*'Electrical System Specification'!D$17)</f>
        <v>17108.323216592304</v>
      </c>
      <c r="H394" s="165"/>
      <c r="I394" s="173">
        <f t="shared" ref="I394:I457" si="93">J$5</f>
        <v>6871.6622130335309</v>
      </c>
      <c r="J394" s="173">
        <f t="shared" ref="J394:J457" si="94">J$7</f>
        <v>7621.6306710664712</v>
      </c>
      <c r="K394" s="174">
        <f>IF(E394&gt;I394,'Electrical System Specification'!AC$4*'Electrical System Specification'!J$16*'Electrical System Specification'!D$16*'Electrical System Specification'!D$17*'Electrical System Specification'!X$16)</f>
        <v>0.70838712000000004</v>
      </c>
      <c r="L394" s="174" t="b">
        <f>IF(E394&lt;I394,'Electrical System Specification'!X$16*'Electrical System Specification'!Q$16*'Electrical System Specification'!AC$4*'Electrical System Specification'!J$16)</f>
        <v>0</v>
      </c>
      <c r="M394" s="174">
        <f t="shared" ref="M394:M457" si="95">IF(I394&gt;E394,L394,IF(I394&lt;E394,K394))</f>
        <v>0.70838712000000004</v>
      </c>
      <c r="N394" s="174">
        <f t="shared" ref="N394:N457" si="96">M394*E394</f>
        <v>9539.0746933667106</v>
      </c>
      <c r="O394" s="173">
        <f t="shared" ref="O394:O457" si="97">E394-I394</f>
        <v>6594.2442441119783</v>
      </c>
      <c r="P394" s="174">
        <f t="shared" ref="P394:P457" si="98">IF(O394&gt;0,O394/K394)</f>
        <v>9308.8144291951248</v>
      </c>
      <c r="Q394" s="174">
        <f t="shared" si="91"/>
        <v>8270.8960076684452</v>
      </c>
      <c r="R394" s="174">
        <f t="shared" si="90"/>
        <v>0</v>
      </c>
      <c r="S394" s="165" t="b">
        <f t="shared" ref="S394:S457" si="99">IF(P394=FALSE,R394,IF(R394=FALSE,P394))</f>
        <v>0</v>
      </c>
      <c r="T394">
        <f t="shared" ref="T394:T457" si="100">IF(O394&gt;0,(I394/P$4)+(O394/Q$4))</f>
        <v>17579.71043686357</v>
      </c>
      <c r="U394" s="176">
        <f t="shared" ref="U394:U457" si="101">IF(T394=FALSE,S394,T394)</f>
        <v>17579.71043686357</v>
      </c>
      <c r="V394" s="165">
        <f>IF(U394&lt;V$5,V$5-U394,IF(U394&gt;=V$5,0))*('Electrical System Specification'!D$16*'Electrical System Specification'!Q$16)</f>
        <v>0</v>
      </c>
      <c r="W394" s="28">
        <f t="shared" ref="W394:W457" si="102">V394*C394</f>
        <v>0</v>
      </c>
      <c r="X394" s="165">
        <f>IF(U394&gt;V$5,U394-V$5,0)*'Electrical System Specification'!D$17</f>
        <v>7909.5418287282746</v>
      </c>
      <c r="Y394">
        <f>(X394*C394)*'Electrical System Specification'!D$17</f>
        <v>2025.2288031535945</v>
      </c>
      <c r="Z394" s="165">
        <f t="shared" ref="Z394:Z457" si="103">(W394-Y394)</f>
        <v>-2025.2288031535945</v>
      </c>
      <c r="AA394" s="165">
        <f t="shared" ref="AA394:AA457" si="104">Z394+AA393</f>
        <v>-78278.907967796084</v>
      </c>
      <c r="AB394" s="165"/>
    </row>
    <row r="395" spans="3:28" x14ac:dyDescent="0.2">
      <c r="C395" s="148">
        <v>0.28486140101441343</v>
      </c>
      <c r="D395">
        <f t="shared" si="92"/>
        <v>125.02971551306948</v>
      </c>
      <c r="E395" s="164">
        <v>13465.906457145509</v>
      </c>
      <c r="F395" s="165">
        <f>E395/'Electrical System Specification'!AC$4</f>
        <v>13740.720874638275</v>
      </c>
      <c r="G395" s="146">
        <f>F395/('Electrical System Specification'!X$16*'Electrical System Specification'!J$16*'Electrical System Specification'!D$17)</f>
        <v>17108.323216592304</v>
      </c>
      <c r="H395" s="165"/>
      <c r="I395" s="173">
        <f t="shared" si="93"/>
        <v>6871.6622130335309</v>
      </c>
      <c r="J395" s="173">
        <f t="shared" si="94"/>
        <v>7621.6306710664712</v>
      </c>
      <c r="K395" s="174">
        <f>IF(E395&gt;I395,'Electrical System Specification'!AC$4*'Electrical System Specification'!J$16*'Electrical System Specification'!D$16*'Electrical System Specification'!D$17*'Electrical System Specification'!X$16)</f>
        <v>0.70838712000000004</v>
      </c>
      <c r="L395" s="174" t="b">
        <f>IF(E395&lt;I395,'Electrical System Specification'!X$16*'Electrical System Specification'!Q$16*'Electrical System Specification'!AC$4*'Electrical System Specification'!J$16)</f>
        <v>0</v>
      </c>
      <c r="M395" s="174">
        <f t="shared" si="95"/>
        <v>0.70838712000000004</v>
      </c>
      <c r="N395" s="174">
        <f t="shared" si="96"/>
        <v>9539.0746933667106</v>
      </c>
      <c r="O395" s="173">
        <f t="shared" si="97"/>
        <v>6594.2442441119783</v>
      </c>
      <c r="P395" s="174">
        <f t="shared" si="98"/>
        <v>9308.8144291951248</v>
      </c>
      <c r="Q395" s="174">
        <f t="shared" si="91"/>
        <v>8270.8960076684452</v>
      </c>
      <c r="R395" s="174">
        <f t="shared" si="90"/>
        <v>0</v>
      </c>
      <c r="S395" s="165" t="b">
        <f t="shared" si="99"/>
        <v>0</v>
      </c>
      <c r="T395">
        <f t="shared" si="100"/>
        <v>17579.71043686357</v>
      </c>
      <c r="U395" s="176">
        <f t="shared" si="101"/>
        <v>17579.71043686357</v>
      </c>
      <c r="V395" s="165">
        <f>IF(U395&lt;V$5,V$5-U395,IF(U395&gt;=V$5,0))*('Electrical System Specification'!D$16*'Electrical System Specification'!Q$16)</f>
        <v>0</v>
      </c>
      <c r="W395" s="28">
        <f t="shared" si="102"/>
        <v>0</v>
      </c>
      <c r="X395" s="165">
        <f>IF(U395&gt;V$5,U395-V$5,0)*'Electrical System Specification'!D$17</f>
        <v>7909.5418287282746</v>
      </c>
      <c r="Y395">
        <f>(X395*C395)*'Electrical System Specification'!D$17</f>
        <v>2027.8108500422779</v>
      </c>
      <c r="Z395" s="165">
        <f t="shared" si="103"/>
        <v>-2027.8108500422779</v>
      </c>
      <c r="AA395" s="165">
        <f t="shared" si="104"/>
        <v>-80306.718817838366</v>
      </c>
      <c r="AB395" s="165"/>
    </row>
    <row r="396" spans="3:28" x14ac:dyDescent="0.2">
      <c r="C396" s="148">
        <v>0.28532252849701367</v>
      </c>
      <c r="D396">
        <f t="shared" si="92"/>
        <v>125.3150380415665</v>
      </c>
      <c r="E396" s="164">
        <v>13465.906457145509</v>
      </c>
      <c r="F396" s="165">
        <f>E396/'Electrical System Specification'!AC$4</f>
        <v>13740.720874638275</v>
      </c>
      <c r="G396" s="146">
        <f>F396/('Electrical System Specification'!X$16*'Electrical System Specification'!J$16*'Electrical System Specification'!D$17)</f>
        <v>17108.323216592304</v>
      </c>
      <c r="H396" s="165"/>
      <c r="I396" s="173">
        <f t="shared" si="93"/>
        <v>6871.6622130335309</v>
      </c>
      <c r="J396" s="173">
        <f t="shared" si="94"/>
        <v>7621.6306710664712</v>
      </c>
      <c r="K396" s="174">
        <f>IF(E396&gt;I396,'Electrical System Specification'!AC$4*'Electrical System Specification'!J$16*'Electrical System Specification'!D$16*'Electrical System Specification'!D$17*'Electrical System Specification'!X$16)</f>
        <v>0.70838712000000004</v>
      </c>
      <c r="L396" s="174" t="b">
        <f>IF(E396&lt;I396,'Electrical System Specification'!X$16*'Electrical System Specification'!Q$16*'Electrical System Specification'!AC$4*'Electrical System Specification'!J$16)</f>
        <v>0</v>
      </c>
      <c r="M396" s="174">
        <f t="shared" si="95"/>
        <v>0.70838712000000004</v>
      </c>
      <c r="N396" s="174">
        <f t="shared" si="96"/>
        <v>9539.0746933667106</v>
      </c>
      <c r="O396" s="173">
        <f t="shared" si="97"/>
        <v>6594.2442441119783</v>
      </c>
      <c r="P396" s="174">
        <f t="shared" si="98"/>
        <v>9308.8144291951248</v>
      </c>
      <c r="Q396" s="174">
        <f t="shared" si="91"/>
        <v>8270.8960076684452</v>
      </c>
      <c r="R396" s="174">
        <f t="shared" si="90"/>
        <v>0</v>
      </c>
      <c r="S396" s="165" t="b">
        <f t="shared" si="99"/>
        <v>0</v>
      </c>
      <c r="T396">
        <f t="shared" si="100"/>
        <v>17579.71043686357</v>
      </c>
      <c r="U396" s="176">
        <f t="shared" si="101"/>
        <v>17579.71043686357</v>
      </c>
      <c r="V396" s="165">
        <f>IF(U396&lt;V$5,V$5-U396,IF(U396&gt;=V$5,0))*('Electrical System Specification'!D$16*'Electrical System Specification'!Q$16)</f>
        <v>0</v>
      </c>
      <c r="W396" s="28">
        <f t="shared" si="102"/>
        <v>0</v>
      </c>
      <c r="X396" s="165">
        <f>IF(U396&gt;V$5,U396-V$5,0)*'Electrical System Specification'!D$17</f>
        <v>7909.5418287282746</v>
      </c>
      <c r="Y396">
        <f>(X396*C396)*'Electrical System Specification'!D$17</f>
        <v>2031.0934264430803</v>
      </c>
      <c r="Z396" s="165">
        <f t="shared" si="103"/>
        <v>-2031.0934264430803</v>
      </c>
      <c r="AA396" s="165">
        <f t="shared" si="104"/>
        <v>-82337.812244281449</v>
      </c>
      <c r="AB396" s="165"/>
    </row>
    <row r="397" spans="3:28" x14ac:dyDescent="0.2">
      <c r="C397" s="148">
        <v>0.28574662488255348</v>
      </c>
      <c r="D397">
        <f t="shared" si="92"/>
        <v>125.60078466644904</v>
      </c>
      <c r="E397" s="164">
        <v>13465.906457145509</v>
      </c>
      <c r="F397" s="165">
        <f>E397/'Electrical System Specification'!AC$4</f>
        <v>13740.720874638275</v>
      </c>
      <c r="G397" s="146">
        <f>F397/('Electrical System Specification'!X$16*'Electrical System Specification'!J$16*'Electrical System Specification'!D$17)</f>
        <v>17108.323216592304</v>
      </c>
      <c r="H397" s="165"/>
      <c r="I397" s="173">
        <f t="shared" si="93"/>
        <v>6871.6622130335309</v>
      </c>
      <c r="J397" s="173">
        <f t="shared" si="94"/>
        <v>7621.6306710664712</v>
      </c>
      <c r="K397" s="174">
        <f>IF(E397&gt;I397,'Electrical System Specification'!AC$4*'Electrical System Specification'!J$16*'Electrical System Specification'!D$16*'Electrical System Specification'!D$17*'Electrical System Specification'!X$16)</f>
        <v>0.70838712000000004</v>
      </c>
      <c r="L397" s="174" t="b">
        <f>IF(E397&lt;I397,'Electrical System Specification'!X$16*'Electrical System Specification'!Q$16*'Electrical System Specification'!AC$4*'Electrical System Specification'!J$16)</f>
        <v>0</v>
      </c>
      <c r="M397" s="174">
        <f t="shared" si="95"/>
        <v>0.70838712000000004</v>
      </c>
      <c r="N397" s="174">
        <f t="shared" si="96"/>
        <v>9539.0746933667106</v>
      </c>
      <c r="O397" s="173">
        <f t="shared" si="97"/>
        <v>6594.2442441119783</v>
      </c>
      <c r="P397" s="174">
        <f t="shared" si="98"/>
        <v>9308.8144291951248</v>
      </c>
      <c r="Q397" s="174">
        <f t="shared" si="91"/>
        <v>8270.8960076684452</v>
      </c>
      <c r="R397" s="174">
        <f t="shared" si="90"/>
        <v>0</v>
      </c>
      <c r="S397" s="165" t="b">
        <f t="shared" si="99"/>
        <v>0</v>
      </c>
      <c r="T397">
        <f t="shared" si="100"/>
        <v>17579.71043686357</v>
      </c>
      <c r="U397" s="176">
        <f t="shared" si="101"/>
        <v>17579.71043686357</v>
      </c>
      <c r="V397" s="165">
        <f>IF(U397&lt;V$5,V$5-U397,IF(U397&gt;=V$5,0))*('Electrical System Specification'!D$16*'Electrical System Specification'!Q$16)</f>
        <v>0</v>
      </c>
      <c r="W397" s="28">
        <f t="shared" si="102"/>
        <v>0</v>
      </c>
      <c r="X397" s="165">
        <f>IF(U397&gt;V$5,U397-V$5,0)*'Electrical System Specification'!D$17</f>
        <v>7909.5418287282746</v>
      </c>
      <c r="Y397">
        <f>(X397*C397)*'Electrical System Specification'!D$17</f>
        <v>2034.1123937338359</v>
      </c>
      <c r="Z397" s="165">
        <f t="shared" si="103"/>
        <v>-2034.1123937338359</v>
      </c>
      <c r="AA397" s="165">
        <f t="shared" si="104"/>
        <v>-84371.924638015291</v>
      </c>
      <c r="AB397" s="165"/>
    </row>
    <row r="398" spans="3:28" x14ac:dyDescent="0.2">
      <c r="C398" s="148">
        <v>0.28613369017114243</v>
      </c>
      <c r="D398">
        <f t="shared" si="92"/>
        <v>125.88691835662019</v>
      </c>
      <c r="E398" s="164">
        <v>13465.906457145509</v>
      </c>
      <c r="F398" s="165">
        <f>E398/'Electrical System Specification'!AC$4</f>
        <v>13740.720874638275</v>
      </c>
      <c r="G398" s="146">
        <f>F398/('Electrical System Specification'!X$16*'Electrical System Specification'!J$16*'Electrical System Specification'!D$17)</f>
        <v>17108.323216592304</v>
      </c>
      <c r="H398" s="165"/>
      <c r="I398" s="173">
        <f t="shared" si="93"/>
        <v>6871.6622130335309</v>
      </c>
      <c r="J398" s="173">
        <f t="shared" si="94"/>
        <v>7621.6306710664712</v>
      </c>
      <c r="K398" s="174">
        <f>IF(E398&gt;I398,'Electrical System Specification'!AC$4*'Electrical System Specification'!J$16*'Electrical System Specification'!D$16*'Electrical System Specification'!D$17*'Electrical System Specification'!X$16)</f>
        <v>0.70838712000000004</v>
      </c>
      <c r="L398" s="174" t="b">
        <f>IF(E398&lt;I398,'Electrical System Specification'!X$16*'Electrical System Specification'!Q$16*'Electrical System Specification'!AC$4*'Electrical System Specification'!J$16)</f>
        <v>0</v>
      </c>
      <c r="M398" s="174">
        <f t="shared" si="95"/>
        <v>0.70838712000000004</v>
      </c>
      <c r="N398" s="174">
        <f t="shared" si="96"/>
        <v>9539.0746933667106</v>
      </c>
      <c r="O398" s="173">
        <f t="shared" si="97"/>
        <v>6594.2442441119783</v>
      </c>
      <c r="P398" s="174">
        <f t="shared" si="98"/>
        <v>9308.8144291951248</v>
      </c>
      <c r="Q398" s="174">
        <f t="shared" si="91"/>
        <v>8270.8960076684452</v>
      </c>
      <c r="R398" s="174">
        <f t="shared" si="90"/>
        <v>0</v>
      </c>
      <c r="S398" s="165" t="b">
        <f t="shared" si="99"/>
        <v>0</v>
      </c>
      <c r="T398">
        <f t="shared" si="100"/>
        <v>17579.71043686357</v>
      </c>
      <c r="U398" s="176">
        <f t="shared" si="101"/>
        <v>17579.71043686357</v>
      </c>
      <c r="V398" s="165">
        <f>IF(U398&lt;V$5,V$5-U398,IF(U398&gt;=V$5,0))*('Electrical System Specification'!D$16*'Electrical System Specification'!Q$16)</f>
        <v>0</v>
      </c>
      <c r="W398" s="28">
        <f t="shared" si="102"/>
        <v>0</v>
      </c>
      <c r="X398" s="165">
        <f>IF(U398&gt;V$5,U398-V$5,0)*'Electrical System Specification'!D$17</f>
        <v>7909.5418287282746</v>
      </c>
      <c r="Y398">
        <f>(X398*C398)*'Electrical System Specification'!D$17</f>
        <v>2036.8677519153246</v>
      </c>
      <c r="Z398" s="165">
        <f t="shared" si="103"/>
        <v>-2036.8677519153246</v>
      </c>
      <c r="AA398" s="165">
        <f t="shared" si="104"/>
        <v>-86408.792389930619</v>
      </c>
      <c r="AB398" s="165"/>
    </row>
    <row r="399" spans="3:28" x14ac:dyDescent="0.2">
      <c r="C399" s="148">
        <v>0.28650350130605889</v>
      </c>
      <c r="D399">
        <f t="shared" si="92"/>
        <v>126.17342185792624</v>
      </c>
      <c r="E399" s="164">
        <v>13465.906457145509</v>
      </c>
      <c r="F399" s="165">
        <f>E399/'Electrical System Specification'!AC$4</f>
        <v>13740.720874638275</v>
      </c>
      <c r="G399" s="146">
        <f>F399/('Electrical System Specification'!X$16*'Electrical System Specification'!J$16*'Electrical System Specification'!D$17)</f>
        <v>17108.323216592304</v>
      </c>
      <c r="H399" s="165"/>
      <c r="I399" s="173">
        <f t="shared" si="93"/>
        <v>6871.6622130335309</v>
      </c>
      <c r="J399" s="173">
        <f t="shared" si="94"/>
        <v>7621.6306710664712</v>
      </c>
      <c r="K399" s="174">
        <f>IF(E399&gt;I399,'Electrical System Specification'!AC$4*'Electrical System Specification'!J$16*'Electrical System Specification'!D$16*'Electrical System Specification'!D$17*'Electrical System Specification'!X$16)</f>
        <v>0.70838712000000004</v>
      </c>
      <c r="L399" s="174" t="b">
        <f>IF(E399&lt;I399,'Electrical System Specification'!X$16*'Electrical System Specification'!Q$16*'Electrical System Specification'!AC$4*'Electrical System Specification'!J$16)</f>
        <v>0</v>
      </c>
      <c r="M399" s="174">
        <f t="shared" si="95"/>
        <v>0.70838712000000004</v>
      </c>
      <c r="N399" s="174">
        <f t="shared" si="96"/>
        <v>9539.0746933667106</v>
      </c>
      <c r="O399" s="173">
        <f t="shared" si="97"/>
        <v>6594.2442441119783</v>
      </c>
      <c r="P399" s="174">
        <f t="shared" si="98"/>
        <v>9308.8144291951248</v>
      </c>
      <c r="Q399" s="174">
        <f t="shared" si="91"/>
        <v>8270.8960076684452</v>
      </c>
      <c r="R399" s="174">
        <f t="shared" si="90"/>
        <v>0</v>
      </c>
      <c r="S399" s="165" t="b">
        <f t="shared" si="99"/>
        <v>0</v>
      </c>
      <c r="T399">
        <f t="shared" si="100"/>
        <v>17579.71043686357</v>
      </c>
      <c r="U399" s="176">
        <f t="shared" si="101"/>
        <v>17579.71043686357</v>
      </c>
      <c r="V399" s="165">
        <f>IF(U399&lt;V$5,V$5-U399,IF(U399&gt;=V$5,0))*('Electrical System Specification'!D$16*'Electrical System Specification'!Q$16)</f>
        <v>0</v>
      </c>
      <c r="W399" s="28">
        <f t="shared" si="102"/>
        <v>0</v>
      </c>
      <c r="X399" s="165">
        <f>IF(U399&gt;V$5,U399-V$5,0)*'Electrical System Specification'!D$17</f>
        <v>7909.5418287282746</v>
      </c>
      <c r="Y399">
        <f>(X399*C399)*'Electrical System Specification'!D$17</f>
        <v>2039.5002848916406</v>
      </c>
      <c r="Z399" s="165">
        <f t="shared" si="103"/>
        <v>-2039.5002848916406</v>
      </c>
      <c r="AA399" s="165">
        <f t="shared" si="104"/>
        <v>-88448.292674822253</v>
      </c>
      <c r="AB399" s="165"/>
    </row>
    <row r="400" spans="3:28" x14ac:dyDescent="0.2">
      <c r="C400" s="148">
        <v>0.28687128948626284</v>
      </c>
      <c r="D400">
        <f t="shared" si="92"/>
        <v>126.4602931474125</v>
      </c>
      <c r="E400" s="164">
        <v>13465.906457145509</v>
      </c>
      <c r="F400" s="165">
        <f>E400/'Electrical System Specification'!AC$4</f>
        <v>13740.720874638275</v>
      </c>
      <c r="G400" s="146">
        <f>F400/('Electrical System Specification'!X$16*'Electrical System Specification'!J$16*'Electrical System Specification'!D$17)</f>
        <v>17108.323216592304</v>
      </c>
      <c r="H400" s="165"/>
      <c r="I400" s="173">
        <f t="shared" si="93"/>
        <v>6871.6622130335309</v>
      </c>
      <c r="J400" s="173">
        <f t="shared" si="94"/>
        <v>7621.6306710664712</v>
      </c>
      <c r="K400" s="174">
        <f>IF(E400&gt;I400,'Electrical System Specification'!AC$4*'Electrical System Specification'!J$16*'Electrical System Specification'!D$16*'Electrical System Specification'!D$17*'Electrical System Specification'!X$16)</f>
        <v>0.70838712000000004</v>
      </c>
      <c r="L400" s="174" t="b">
        <f>IF(E400&lt;I400,'Electrical System Specification'!X$16*'Electrical System Specification'!Q$16*'Electrical System Specification'!AC$4*'Electrical System Specification'!J$16)</f>
        <v>0</v>
      </c>
      <c r="M400" s="174">
        <f t="shared" si="95"/>
        <v>0.70838712000000004</v>
      </c>
      <c r="N400" s="174">
        <f t="shared" si="96"/>
        <v>9539.0746933667106</v>
      </c>
      <c r="O400" s="173">
        <f t="shared" si="97"/>
        <v>6594.2442441119783</v>
      </c>
      <c r="P400" s="174">
        <f t="shared" si="98"/>
        <v>9308.8144291951248</v>
      </c>
      <c r="Q400" s="174">
        <f t="shared" si="91"/>
        <v>8270.8960076684452</v>
      </c>
      <c r="R400" s="174">
        <f t="shared" si="90"/>
        <v>0</v>
      </c>
      <c r="S400" s="165" t="b">
        <f t="shared" si="99"/>
        <v>0</v>
      </c>
      <c r="T400">
        <f t="shared" si="100"/>
        <v>17579.71043686357</v>
      </c>
      <c r="U400" s="176">
        <f t="shared" si="101"/>
        <v>17579.71043686357</v>
      </c>
      <c r="V400" s="165">
        <f>IF(U400&lt;V$5,V$5-U400,IF(U400&gt;=V$5,0))*('Electrical System Specification'!D$16*'Electrical System Specification'!Q$16)</f>
        <v>0</v>
      </c>
      <c r="W400" s="28">
        <f t="shared" si="102"/>
        <v>0</v>
      </c>
      <c r="X400" s="165">
        <f>IF(U400&gt;V$5,U400-V$5,0)*'Electrical System Specification'!D$17</f>
        <v>7909.5418287282746</v>
      </c>
      <c r="Y400">
        <f>(X400*C400)*'Electrical System Specification'!D$17</f>
        <v>2042.1184172875323</v>
      </c>
      <c r="Z400" s="165">
        <f t="shared" si="103"/>
        <v>-2042.1184172875323</v>
      </c>
      <c r="AA400" s="165">
        <f t="shared" si="104"/>
        <v>-90490.411092109789</v>
      </c>
      <c r="AB400" s="165"/>
    </row>
    <row r="401" spans="3:28" x14ac:dyDescent="0.2">
      <c r="C401" s="148">
        <v>0.28724871622054965</v>
      </c>
      <c r="D401">
        <f t="shared" si="92"/>
        <v>126.74754186363305</v>
      </c>
      <c r="E401" s="164">
        <v>13465.906457145509</v>
      </c>
      <c r="F401" s="165">
        <f>E401/'Electrical System Specification'!AC$4</f>
        <v>13740.720874638275</v>
      </c>
      <c r="G401" s="146">
        <f>F401/('Electrical System Specification'!X$16*'Electrical System Specification'!J$16*'Electrical System Specification'!D$17)</f>
        <v>17108.323216592304</v>
      </c>
      <c r="H401" s="165"/>
      <c r="I401" s="173">
        <f t="shared" si="93"/>
        <v>6871.6622130335309</v>
      </c>
      <c r="J401" s="173">
        <f t="shared" si="94"/>
        <v>7621.6306710664712</v>
      </c>
      <c r="K401" s="174">
        <f>IF(E401&gt;I401,'Electrical System Specification'!AC$4*'Electrical System Specification'!J$16*'Electrical System Specification'!D$16*'Electrical System Specification'!D$17*'Electrical System Specification'!X$16)</f>
        <v>0.70838712000000004</v>
      </c>
      <c r="L401" s="174" t="b">
        <f>IF(E401&lt;I401,'Electrical System Specification'!X$16*'Electrical System Specification'!Q$16*'Electrical System Specification'!AC$4*'Electrical System Specification'!J$16)</f>
        <v>0</v>
      </c>
      <c r="M401" s="174">
        <f t="shared" si="95"/>
        <v>0.70838712000000004</v>
      </c>
      <c r="N401" s="174">
        <f t="shared" si="96"/>
        <v>9539.0746933667106</v>
      </c>
      <c r="O401" s="173">
        <f t="shared" si="97"/>
        <v>6594.2442441119783</v>
      </c>
      <c r="P401" s="174">
        <f t="shared" si="98"/>
        <v>9308.8144291951248</v>
      </c>
      <c r="Q401" s="174">
        <f t="shared" si="91"/>
        <v>8270.8960076684452</v>
      </c>
      <c r="R401" s="174">
        <f t="shared" si="90"/>
        <v>0</v>
      </c>
      <c r="S401" s="165" t="b">
        <f t="shared" si="99"/>
        <v>0</v>
      </c>
      <c r="T401">
        <f t="shared" si="100"/>
        <v>17579.71043686357</v>
      </c>
      <c r="U401" s="176">
        <f t="shared" si="101"/>
        <v>17579.71043686357</v>
      </c>
      <c r="V401" s="165">
        <f>IF(U401&lt;V$5,V$5-U401,IF(U401&gt;=V$5,0))*('Electrical System Specification'!D$16*'Electrical System Specification'!Q$16)</f>
        <v>0</v>
      </c>
      <c r="W401" s="28">
        <f t="shared" si="102"/>
        <v>0</v>
      </c>
      <c r="X401" s="165">
        <f>IF(U401&gt;V$5,U401-V$5,0)*'Electrical System Specification'!D$17</f>
        <v>7909.5418287282746</v>
      </c>
      <c r="Y401">
        <f>(X401*C401)*'Electrical System Specification'!D$17</f>
        <v>2044.8051625754417</v>
      </c>
      <c r="Z401" s="165">
        <f t="shared" si="103"/>
        <v>-2044.8051625754417</v>
      </c>
      <c r="AA401" s="165">
        <f t="shared" si="104"/>
        <v>-92535.216254685234</v>
      </c>
      <c r="AB401" s="165"/>
    </row>
    <row r="402" spans="3:28" x14ac:dyDescent="0.2">
      <c r="C402" s="148">
        <v>0.28763730462884834</v>
      </c>
      <c r="D402">
        <f t="shared" si="92"/>
        <v>127.03517916826189</v>
      </c>
      <c r="E402" s="164">
        <v>13465.906457145509</v>
      </c>
      <c r="F402" s="165">
        <f>E402/'Electrical System Specification'!AC$4</f>
        <v>13740.720874638275</v>
      </c>
      <c r="G402" s="146">
        <f>F402/('Electrical System Specification'!X$16*'Electrical System Specification'!J$16*'Electrical System Specification'!D$17)</f>
        <v>17108.323216592304</v>
      </c>
      <c r="H402" s="165"/>
      <c r="I402" s="173">
        <f t="shared" si="93"/>
        <v>6871.6622130335309</v>
      </c>
      <c r="J402" s="173">
        <f t="shared" si="94"/>
        <v>7621.6306710664712</v>
      </c>
      <c r="K402" s="174">
        <f>IF(E402&gt;I402,'Electrical System Specification'!AC$4*'Electrical System Specification'!J$16*'Electrical System Specification'!D$16*'Electrical System Specification'!D$17*'Electrical System Specification'!X$16)</f>
        <v>0.70838712000000004</v>
      </c>
      <c r="L402" s="174" t="b">
        <f>IF(E402&lt;I402,'Electrical System Specification'!X$16*'Electrical System Specification'!Q$16*'Electrical System Specification'!AC$4*'Electrical System Specification'!J$16)</f>
        <v>0</v>
      </c>
      <c r="M402" s="174">
        <f t="shared" si="95"/>
        <v>0.70838712000000004</v>
      </c>
      <c r="N402" s="174">
        <f t="shared" si="96"/>
        <v>9539.0746933667106</v>
      </c>
      <c r="O402" s="173">
        <f t="shared" si="97"/>
        <v>6594.2442441119783</v>
      </c>
      <c r="P402" s="174">
        <f t="shared" si="98"/>
        <v>9308.8144291951248</v>
      </c>
      <c r="Q402" s="174">
        <f t="shared" si="91"/>
        <v>8270.8960076684452</v>
      </c>
      <c r="R402" s="174">
        <f t="shared" si="90"/>
        <v>0</v>
      </c>
      <c r="S402" s="165" t="b">
        <f t="shared" si="99"/>
        <v>0</v>
      </c>
      <c r="T402">
        <f t="shared" si="100"/>
        <v>17579.71043686357</v>
      </c>
      <c r="U402" s="176">
        <f t="shared" si="101"/>
        <v>17579.71043686357</v>
      </c>
      <c r="V402" s="165">
        <f>IF(U402&lt;V$5,V$5-U402,IF(U402&gt;=V$5,0))*('Electrical System Specification'!D$16*'Electrical System Specification'!Q$16)</f>
        <v>0</v>
      </c>
      <c r="W402" s="28">
        <f t="shared" si="102"/>
        <v>0</v>
      </c>
      <c r="X402" s="165">
        <f>IF(U402&gt;V$5,U402-V$5,0)*'Electrical System Specification'!D$17</f>
        <v>7909.5418287282746</v>
      </c>
      <c r="Y402">
        <f>(X402*C402)*'Electrical System Specification'!D$17</f>
        <v>2047.5713632180798</v>
      </c>
      <c r="Z402" s="165">
        <f t="shared" si="103"/>
        <v>-2047.5713632180798</v>
      </c>
      <c r="AA402" s="165">
        <f t="shared" si="104"/>
        <v>-94582.787617903319</v>
      </c>
      <c r="AB402" s="165"/>
    </row>
    <row r="403" spans="3:28" x14ac:dyDescent="0.2">
      <c r="C403" s="148">
        <v>0.28805176246033259</v>
      </c>
      <c r="D403">
        <f t="shared" si="92"/>
        <v>127.32323093072222</v>
      </c>
      <c r="E403" s="164">
        <v>13465.906457145509</v>
      </c>
      <c r="F403" s="165">
        <f>E403/'Electrical System Specification'!AC$4</f>
        <v>13740.720874638275</v>
      </c>
      <c r="G403" s="146">
        <f>F403/('Electrical System Specification'!X$16*'Electrical System Specification'!J$16*'Electrical System Specification'!D$17)</f>
        <v>17108.323216592304</v>
      </c>
      <c r="H403" s="165"/>
      <c r="I403" s="173">
        <f t="shared" si="93"/>
        <v>6871.6622130335309</v>
      </c>
      <c r="J403" s="173">
        <f t="shared" si="94"/>
        <v>7621.6306710664712</v>
      </c>
      <c r="K403" s="174">
        <f>IF(E403&gt;I403,'Electrical System Specification'!AC$4*'Electrical System Specification'!J$16*'Electrical System Specification'!D$16*'Electrical System Specification'!D$17*'Electrical System Specification'!X$16)</f>
        <v>0.70838712000000004</v>
      </c>
      <c r="L403" s="174" t="b">
        <f>IF(E403&lt;I403,'Electrical System Specification'!X$16*'Electrical System Specification'!Q$16*'Electrical System Specification'!AC$4*'Electrical System Specification'!J$16)</f>
        <v>0</v>
      </c>
      <c r="M403" s="174">
        <f t="shared" si="95"/>
        <v>0.70838712000000004</v>
      </c>
      <c r="N403" s="174">
        <f t="shared" si="96"/>
        <v>9539.0746933667106</v>
      </c>
      <c r="O403" s="173">
        <f t="shared" si="97"/>
        <v>6594.2442441119783</v>
      </c>
      <c r="P403" s="174">
        <f t="shared" si="98"/>
        <v>9308.8144291951248</v>
      </c>
      <c r="Q403" s="174">
        <f t="shared" si="91"/>
        <v>8270.8960076684452</v>
      </c>
      <c r="R403" s="174">
        <f t="shared" si="90"/>
        <v>0</v>
      </c>
      <c r="S403" s="165" t="b">
        <f t="shared" si="99"/>
        <v>0</v>
      </c>
      <c r="T403">
        <f t="shared" si="100"/>
        <v>17579.71043686357</v>
      </c>
      <c r="U403" s="176">
        <f t="shared" si="101"/>
        <v>17579.71043686357</v>
      </c>
      <c r="V403" s="165">
        <f>IF(U403&lt;V$5,V$5-U403,IF(U403&gt;=V$5,0))*('Electrical System Specification'!D$16*'Electrical System Specification'!Q$16)</f>
        <v>0</v>
      </c>
      <c r="W403" s="28">
        <f t="shared" si="102"/>
        <v>0</v>
      </c>
      <c r="X403" s="165">
        <f>IF(U403&gt;V$5,U403-V$5,0)*'Electrical System Specification'!D$17</f>
        <v>7909.5418287282746</v>
      </c>
      <c r="Y403">
        <f>(X403*C403)*'Electrical System Specification'!D$17</f>
        <v>2050.5217176170117</v>
      </c>
      <c r="Z403" s="165">
        <f t="shared" si="103"/>
        <v>-2050.5217176170117</v>
      </c>
      <c r="AA403" s="165">
        <f t="shared" si="104"/>
        <v>-96633.309335520331</v>
      </c>
      <c r="AB403" s="165"/>
    </row>
    <row r="404" spans="3:28" x14ac:dyDescent="0.2">
      <c r="C404" s="148">
        <v>0.28847433572583397</v>
      </c>
      <c r="D404">
        <f t="shared" si="92"/>
        <v>127.61170526644806</v>
      </c>
      <c r="E404" s="164">
        <v>13465.906457145509</v>
      </c>
      <c r="F404" s="165">
        <f>E404/'Electrical System Specification'!AC$4</f>
        <v>13740.720874638275</v>
      </c>
      <c r="G404" s="146">
        <f>F404/('Electrical System Specification'!X$16*'Electrical System Specification'!J$16*'Electrical System Specification'!D$17)</f>
        <v>17108.323216592304</v>
      </c>
      <c r="H404" s="165"/>
      <c r="I404" s="173">
        <f t="shared" si="93"/>
        <v>6871.6622130335309</v>
      </c>
      <c r="J404" s="173">
        <f t="shared" si="94"/>
        <v>7621.6306710664712</v>
      </c>
      <c r="K404" s="174">
        <f>IF(E404&gt;I404,'Electrical System Specification'!AC$4*'Electrical System Specification'!J$16*'Electrical System Specification'!D$16*'Electrical System Specification'!D$17*'Electrical System Specification'!X$16)</f>
        <v>0.70838712000000004</v>
      </c>
      <c r="L404" s="174" t="b">
        <f>IF(E404&lt;I404,'Electrical System Specification'!X$16*'Electrical System Specification'!Q$16*'Electrical System Specification'!AC$4*'Electrical System Specification'!J$16)</f>
        <v>0</v>
      </c>
      <c r="M404" s="174">
        <f t="shared" si="95"/>
        <v>0.70838712000000004</v>
      </c>
      <c r="N404" s="174">
        <f t="shared" si="96"/>
        <v>9539.0746933667106</v>
      </c>
      <c r="O404" s="173">
        <f t="shared" si="97"/>
        <v>6594.2442441119783</v>
      </c>
      <c r="P404" s="174">
        <f t="shared" si="98"/>
        <v>9308.8144291951248</v>
      </c>
      <c r="Q404" s="174">
        <f t="shared" si="91"/>
        <v>8270.8960076684452</v>
      </c>
      <c r="R404" s="174">
        <f t="shared" si="90"/>
        <v>0</v>
      </c>
      <c r="S404" s="165" t="b">
        <f t="shared" si="99"/>
        <v>0</v>
      </c>
      <c r="T404">
        <f t="shared" si="100"/>
        <v>17579.71043686357</v>
      </c>
      <c r="U404" s="176">
        <f t="shared" si="101"/>
        <v>17579.71043686357</v>
      </c>
      <c r="V404" s="165">
        <f>IF(U404&lt;V$5,V$5-U404,IF(U404&gt;=V$5,0))*('Electrical System Specification'!D$16*'Electrical System Specification'!Q$16)</f>
        <v>0</v>
      </c>
      <c r="W404" s="28">
        <f t="shared" si="102"/>
        <v>0</v>
      </c>
      <c r="X404" s="165">
        <f>IF(U404&gt;V$5,U404-V$5,0)*'Electrical System Specification'!D$17</f>
        <v>7909.5418287282746</v>
      </c>
      <c r="Y404">
        <f>(X404*C404)*'Electrical System Specification'!D$17</f>
        <v>2053.5298424442785</v>
      </c>
      <c r="Z404" s="165">
        <f t="shared" si="103"/>
        <v>-2053.5298424442785</v>
      </c>
      <c r="AA404" s="165">
        <f t="shared" si="104"/>
        <v>-98686.839177964604</v>
      </c>
      <c r="AB404" s="165"/>
    </row>
    <row r="405" spans="3:28" x14ac:dyDescent="0.2">
      <c r="C405" s="148">
        <v>0.28890147835109453</v>
      </c>
      <c r="D405">
        <f t="shared" si="92"/>
        <v>127.90060674479915</v>
      </c>
      <c r="E405" s="164">
        <v>13465.906457145509</v>
      </c>
      <c r="F405" s="165">
        <f>E405/'Electrical System Specification'!AC$4</f>
        <v>13740.720874638275</v>
      </c>
      <c r="G405" s="146">
        <f>F405/('Electrical System Specification'!X$16*'Electrical System Specification'!J$16*'Electrical System Specification'!D$17)</f>
        <v>17108.323216592304</v>
      </c>
      <c r="H405" s="165"/>
      <c r="I405" s="173">
        <f t="shared" si="93"/>
        <v>6871.6622130335309</v>
      </c>
      <c r="J405" s="173">
        <f t="shared" si="94"/>
        <v>7621.6306710664712</v>
      </c>
      <c r="K405" s="174">
        <f>IF(E405&gt;I405,'Electrical System Specification'!AC$4*'Electrical System Specification'!J$16*'Electrical System Specification'!D$16*'Electrical System Specification'!D$17*'Electrical System Specification'!X$16)</f>
        <v>0.70838712000000004</v>
      </c>
      <c r="L405" s="174" t="b">
        <f>IF(E405&lt;I405,'Electrical System Specification'!X$16*'Electrical System Specification'!Q$16*'Electrical System Specification'!AC$4*'Electrical System Specification'!J$16)</f>
        <v>0</v>
      </c>
      <c r="M405" s="174">
        <f t="shared" si="95"/>
        <v>0.70838712000000004</v>
      </c>
      <c r="N405" s="174">
        <f t="shared" si="96"/>
        <v>9539.0746933667106</v>
      </c>
      <c r="O405" s="173">
        <f t="shared" si="97"/>
        <v>6594.2442441119783</v>
      </c>
      <c r="P405" s="174">
        <f t="shared" si="98"/>
        <v>9308.8144291951248</v>
      </c>
      <c r="Q405" s="174">
        <f t="shared" si="91"/>
        <v>8270.8960076684452</v>
      </c>
      <c r="R405" s="174">
        <f t="shared" ref="R405:R468" si="105">IF(Q405&gt;I405,0,Q405/L405)</f>
        <v>0</v>
      </c>
      <c r="S405" s="165" t="b">
        <f t="shared" si="99"/>
        <v>0</v>
      </c>
      <c r="T405">
        <f t="shared" si="100"/>
        <v>17579.71043686357</v>
      </c>
      <c r="U405" s="176">
        <f t="shared" si="101"/>
        <v>17579.71043686357</v>
      </c>
      <c r="V405" s="165">
        <f>IF(U405&lt;V$5,V$5-U405,IF(U405&gt;=V$5,0))*('Electrical System Specification'!D$16*'Electrical System Specification'!Q$16)</f>
        <v>0</v>
      </c>
      <c r="W405" s="28">
        <f t="shared" si="102"/>
        <v>0</v>
      </c>
      <c r="X405" s="165">
        <f>IF(U405&gt;V$5,U405-V$5,0)*'Electrical System Specification'!D$17</f>
        <v>7909.5418287282746</v>
      </c>
      <c r="Y405">
        <f>(X405*C405)*'Electrical System Specification'!D$17</f>
        <v>2056.5704946594765</v>
      </c>
      <c r="Z405" s="165">
        <f t="shared" si="103"/>
        <v>-2056.5704946594765</v>
      </c>
      <c r="AA405" s="165">
        <f t="shared" si="104"/>
        <v>-100743.40967262408</v>
      </c>
      <c r="AB405" s="165"/>
    </row>
    <row r="406" spans="3:28" x14ac:dyDescent="0.2">
      <c r="C406" s="148">
        <v>0.28934332872528229</v>
      </c>
      <c r="D406">
        <f t="shared" si="92"/>
        <v>128.18995007352444</v>
      </c>
      <c r="E406" s="164">
        <v>13465.906457145509</v>
      </c>
      <c r="F406" s="165">
        <f>E406/'Electrical System Specification'!AC$4</f>
        <v>13740.720874638275</v>
      </c>
      <c r="G406" s="146">
        <f>F406/('Electrical System Specification'!X$16*'Electrical System Specification'!J$16*'Electrical System Specification'!D$17)</f>
        <v>17108.323216592304</v>
      </c>
      <c r="H406" s="165"/>
      <c r="I406" s="173">
        <f t="shared" si="93"/>
        <v>6871.6622130335309</v>
      </c>
      <c r="J406" s="173">
        <f t="shared" si="94"/>
        <v>7621.6306710664712</v>
      </c>
      <c r="K406" s="174">
        <f>IF(E406&gt;I406,'Electrical System Specification'!AC$4*'Electrical System Specification'!J$16*'Electrical System Specification'!D$16*'Electrical System Specification'!D$17*'Electrical System Specification'!X$16)</f>
        <v>0.70838712000000004</v>
      </c>
      <c r="L406" s="174" t="b">
        <f>IF(E406&lt;I406,'Electrical System Specification'!X$16*'Electrical System Specification'!Q$16*'Electrical System Specification'!AC$4*'Electrical System Specification'!J$16)</f>
        <v>0</v>
      </c>
      <c r="M406" s="174">
        <f t="shared" si="95"/>
        <v>0.70838712000000004</v>
      </c>
      <c r="N406" s="174">
        <f t="shared" si="96"/>
        <v>9539.0746933667106</v>
      </c>
      <c r="O406" s="173">
        <f t="shared" si="97"/>
        <v>6594.2442441119783</v>
      </c>
      <c r="P406" s="174">
        <f t="shared" si="98"/>
        <v>9308.8144291951248</v>
      </c>
      <c r="Q406" s="174">
        <f t="shared" si="91"/>
        <v>8270.8960076684452</v>
      </c>
      <c r="R406" s="174">
        <f t="shared" si="105"/>
        <v>0</v>
      </c>
      <c r="S406" s="165" t="b">
        <f t="shared" si="99"/>
        <v>0</v>
      </c>
      <c r="T406">
        <f t="shared" si="100"/>
        <v>17579.71043686357</v>
      </c>
      <c r="U406" s="176">
        <f t="shared" si="101"/>
        <v>17579.71043686357</v>
      </c>
      <c r="V406" s="165">
        <f>IF(U406&lt;V$5,V$5-U406,IF(U406&gt;=V$5,0))*('Electrical System Specification'!D$16*'Electrical System Specification'!Q$16)</f>
        <v>0</v>
      </c>
      <c r="W406" s="28">
        <f t="shared" si="102"/>
        <v>0</v>
      </c>
      <c r="X406" s="165">
        <f>IF(U406&gt;V$5,U406-V$5,0)*'Electrical System Specification'!D$17</f>
        <v>7909.5418287282746</v>
      </c>
      <c r="Y406">
        <f>(X406*C406)*'Electrical System Specification'!D$17</f>
        <v>2059.7158452744861</v>
      </c>
      <c r="Z406" s="165">
        <f t="shared" si="103"/>
        <v>-2059.7158452744861</v>
      </c>
      <c r="AA406" s="165">
        <f t="shared" si="104"/>
        <v>-102803.12551789857</v>
      </c>
      <c r="AB406" s="165"/>
    </row>
    <row r="407" spans="3:28" x14ac:dyDescent="0.2">
      <c r="C407" s="148">
        <v>0.28981054868718709</v>
      </c>
      <c r="D407">
        <f t="shared" si="92"/>
        <v>128.47976062221164</v>
      </c>
      <c r="E407" s="164">
        <v>13465.906457145509</v>
      </c>
      <c r="F407" s="165">
        <f>E407/'Electrical System Specification'!AC$4</f>
        <v>13740.720874638275</v>
      </c>
      <c r="G407" s="146">
        <f>F407/('Electrical System Specification'!X$16*'Electrical System Specification'!J$16*'Electrical System Specification'!D$17)</f>
        <v>17108.323216592304</v>
      </c>
      <c r="H407" s="165"/>
      <c r="I407" s="173">
        <f t="shared" si="93"/>
        <v>6871.6622130335309</v>
      </c>
      <c r="J407" s="173">
        <f t="shared" si="94"/>
        <v>7621.6306710664712</v>
      </c>
      <c r="K407" s="174">
        <f>IF(E407&gt;I407,'Electrical System Specification'!AC$4*'Electrical System Specification'!J$16*'Electrical System Specification'!D$16*'Electrical System Specification'!D$17*'Electrical System Specification'!X$16)</f>
        <v>0.70838712000000004</v>
      </c>
      <c r="L407" s="174" t="b">
        <f>IF(E407&lt;I407,'Electrical System Specification'!X$16*'Electrical System Specification'!Q$16*'Electrical System Specification'!AC$4*'Electrical System Specification'!J$16)</f>
        <v>0</v>
      </c>
      <c r="M407" s="174">
        <f t="shared" si="95"/>
        <v>0.70838712000000004</v>
      </c>
      <c r="N407" s="174">
        <f t="shared" si="96"/>
        <v>9539.0746933667106</v>
      </c>
      <c r="O407" s="173">
        <f t="shared" si="97"/>
        <v>6594.2442441119783</v>
      </c>
      <c r="P407" s="174">
        <f t="shared" si="98"/>
        <v>9308.8144291951248</v>
      </c>
      <c r="Q407" s="174">
        <f t="shared" si="91"/>
        <v>8270.8960076684452</v>
      </c>
      <c r="R407" s="174">
        <f t="shared" si="105"/>
        <v>0</v>
      </c>
      <c r="S407" s="165" t="b">
        <f t="shared" si="99"/>
        <v>0</v>
      </c>
      <c r="T407">
        <f t="shared" si="100"/>
        <v>17579.71043686357</v>
      </c>
      <c r="U407" s="176">
        <f t="shared" si="101"/>
        <v>17579.71043686357</v>
      </c>
      <c r="V407" s="165">
        <f>IF(U407&lt;V$5,V$5-U407,IF(U407&gt;=V$5,0))*('Electrical System Specification'!D$16*'Electrical System Specification'!Q$16)</f>
        <v>0</v>
      </c>
      <c r="W407" s="28">
        <f t="shared" si="102"/>
        <v>0</v>
      </c>
      <c r="X407" s="165">
        <f>IF(U407&gt;V$5,U407-V$5,0)*'Electrical System Specification'!D$17</f>
        <v>7909.5418287282746</v>
      </c>
      <c r="Y407">
        <f>(X407*C407)*'Electrical System Specification'!D$17</f>
        <v>2063.0417915231988</v>
      </c>
      <c r="Z407" s="165">
        <f t="shared" si="103"/>
        <v>-2063.0417915231988</v>
      </c>
      <c r="AA407" s="165">
        <f t="shared" si="104"/>
        <v>-104866.16730942177</v>
      </c>
      <c r="AB407" s="165"/>
    </row>
    <row r="408" spans="3:28" x14ac:dyDescent="0.2">
      <c r="C408" s="148">
        <v>0.29033255373485506</v>
      </c>
      <c r="D408">
        <f t="shared" si="92"/>
        <v>128.7700931759465</v>
      </c>
      <c r="E408" s="164">
        <v>13465.906457145509</v>
      </c>
      <c r="F408" s="165">
        <f>E408/'Electrical System Specification'!AC$4</f>
        <v>13740.720874638275</v>
      </c>
      <c r="G408" s="146">
        <f>F408/('Electrical System Specification'!X$16*'Electrical System Specification'!J$16*'Electrical System Specification'!D$17)</f>
        <v>17108.323216592304</v>
      </c>
      <c r="H408" s="165"/>
      <c r="I408" s="173">
        <f t="shared" si="93"/>
        <v>6871.6622130335309</v>
      </c>
      <c r="J408" s="173">
        <f t="shared" si="94"/>
        <v>7621.6306710664712</v>
      </c>
      <c r="K408" s="174">
        <f>IF(E408&gt;I408,'Electrical System Specification'!AC$4*'Electrical System Specification'!J$16*'Electrical System Specification'!D$16*'Electrical System Specification'!D$17*'Electrical System Specification'!X$16)</f>
        <v>0.70838712000000004</v>
      </c>
      <c r="L408" s="174" t="b">
        <f>IF(E408&lt;I408,'Electrical System Specification'!X$16*'Electrical System Specification'!Q$16*'Electrical System Specification'!AC$4*'Electrical System Specification'!J$16)</f>
        <v>0</v>
      </c>
      <c r="M408" s="174">
        <f t="shared" si="95"/>
        <v>0.70838712000000004</v>
      </c>
      <c r="N408" s="174">
        <f t="shared" si="96"/>
        <v>9539.0746933667106</v>
      </c>
      <c r="O408" s="173">
        <f t="shared" si="97"/>
        <v>6594.2442441119783</v>
      </c>
      <c r="P408" s="174">
        <f t="shared" si="98"/>
        <v>9308.8144291951248</v>
      </c>
      <c r="Q408" s="174">
        <f t="shared" si="91"/>
        <v>8270.8960076684452</v>
      </c>
      <c r="R408" s="174">
        <f t="shared" si="105"/>
        <v>0</v>
      </c>
      <c r="S408" s="165" t="b">
        <f t="shared" si="99"/>
        <v>0</v>
      </c>
      <c r="T408">
        <f t="shared" si="100"/>
        <v>17579.71043686357</v>
      </c>
      <c r="U408" s="176">
        <f t="shared" si="101"/>
        <v>17579.71043686357</v>
      </c>
      <c r="V408" s="165">
        <f>IF(U408&lt;V$5,V$5-U408,IF(U408&gt;=V$5,0))*('Electrical System Specification'!D$16*'Electrical System Specification'!Q$16)</f>
        <v>0</v>
      </c>
      <c r="W408" s="28">
        <f t="shared" si="102"/>
        <v>0</v>
      </c>
      <c r="X408" s="165">
        <f>IF(U408&gt;V$5,U408-V$5,0)*'Electrical System Specification'!D$17</f>
        <v>7909.5418287282746</v>
      </c>
      <c r="Y408">
        <f>(X408*C408)*'Electrical System Specification'!D$17</f>
        <v>2066.757730206602</v>
      </c>
      <c r="Z408" s="165">
        <f t="shared" si="103"/>
        <v>-2066.757730206602</v>
      </c>
      <c r="AA408" s="165">
        <f t="shared" si="104"/>
        <v>-106932.92503962838</v>
      </c>
      <c r="AB408" s="165"/>
    </row>
    <row r="409" spans="3:28" x14ac:dyDescent="0.2">
      <c r="C409" s="148">
        <v>0.29091391322733312</v>
      </c>
      <c r="D409">
        <f t="shared" si="92"/>
        <v>129.06100708917384</v>
      </c>
      <c r="E409" s="164">
        <v>13465.906457145509</v>
      </c>
      <c r="F409" s="165">
        <f>E409/'Electrical System Specification'!AC$4</f>
        <v>13740.720874638275</v>
      </c>
      <c r="G409" s="146">
        <f>F409/('Electrical System Specification'!X$16*'Electrical System Specification'!J$16*'Electrical System Specification'!D$17)</f>
        <v>17108.323216592304</v>
      </c>
      <c r="H409" s="165"/>
      <c r="I409" s="173">
        <f t="shared" si="93"/>
        <v>6871.6622130335309</v>
      </c>
      <c r="J409" s="173">
        <f t="shared" si="94"/>
        <v>7621.6306710664712</v>
      </c>
      <c r="K409" s="174">
        <f>IF(E409&gt;I409,'Electrical System Specification'!AC$4*'Electrical System Specification'!J$16*'Electrical System Specification'!D$16*'Electrical System Specification'!D$17*'Electrical System Specification'!X$16)</f>
        <v>0.70838712000000004</v>
      </c>
      <c r="L409" s="174" t="b">
        <f>IF(E409&lt;I409,'Electrical System Specification'!X$16*'Electrical System Specification'!Q$16*'Electrical System Specification'!AC$4*'Electrical System Specification'!J$16)</f>
        <v>0</v>
      </c>
      <c r="M409" s="174">
        <f t="shared" si="95"/>
        <v>0.70838712000000004</v>
      </c>
      <c r="N409" s="174">
        <f t="shared" si="96"/>
        <v>9539.0746933667106</v>
      </c>
      <c r="O409" s="173">
        <f t="shared" si="97"/>
        <v>6594.2442441119783</v>
      </c>
      <c r="P409" s="174">
        <f t="shared" si="98"/>
        <v>9308.8144291951248</v>
      </c>
      <c r="Q409" s="174">
        <f t="shared" si="91"/>
        <v>8270.8960076684452</v>
      </c>
      <c r="R409" s="174">
        <f t="shared" si="105"/>
        <v>0</v>
      </c>
      <c r="S409" s="165" t="b">
        <f t="shared" si="99"/>
        <v>0</v>
      </c>
      <c r="T409">
        <f t="shared" si="100"/>
        <v>17579.71043686357</v>
      </c>
      <c r="U409" s="176">
        <f t="shared" si="101"/>
        <v>17579.71043686357</v>
      </c>
      <c r="V409" s="165">
        <f>IF(U409&lt;V$5,V$5-U409,IF(U409&gt;=V$5,0))*('Electrical System Specification'!D$16*'Electrical System Specification'!Q$16)</f>
        <v>0</v>
      </c>
      <c r="W409" s="28">
        <f t="shared" si="102"/>
        <v>0</v>
      </c>
      <c r="X409" s="165">
        <f>IF(U409&gt;V$5,U409-V$5,0)*'Electrical System Specification'!D$17</f>
        <v>7909.5418287282746</v>
      </c>
      <c r="Y409">
        <f>(X409*C409)*'Electrical System Specification'!D$17</f>
        <v>2070.896188707557</v>
      </c>
      <c r="Z409" s="165">
        <f t="shared" si="103"/>
        <v>-2070.896188707557</v>
      </c>
      <c r="AA409" s="165">
        <f t="shared" si="104"/>
        <v>-109003.82122833593</v>
      </c>
      <c r="AB409" s="165"/>
    </row>
    <row r="410" spans="3:28" x14ac:dyDescent="0.2">
      <c r="C410" s="148">
        <v>0.29151150358888639</v>
      </c>
      <c r="D410">
        <f t="shared" si="92"/>
        <v>129.35251859276272</v>
      </c>
      <c r="E410" s="164">
        <v>13465.906457145509</v>
      </c>
      <c r="F410" s="165">
        <f>E410/'Electrical System Specification'!AC$4</f>
        <v>13740.720874638275</v>
      </c>
      <c r="G410" s="146">
        <f>F410/('Electrical System Specification'!X$16*'Electrical System Specification'!J$16*'Electrical System Specification'!D$17)</f>
        <v>17108.323216592304</v>
      </c>
      <c r="H410" s="165"/>
      <c r="I410" s="173">
        <f t="shared" si="93"/>
        <v>6871.6622130335309</v>
      </c>
      <c r="J410" s="173">
        <f t="shared" si="94"/>
        <v>7621.6306710664712</v>
      </c>
      <c r="K410" s="174">
        <f>IF(E410&gt;I410,'Electrical System Specification'!AC$4*'Electrical System Specification'!J$16*'Electrical System Specification'!D$16*'Electrical System Specification'!D$17*'Electrical System Specification'!X$16)</f>
        <v>0.70838712000000004</v>
      </c>
      <c r="L410" s="174" t="b">
        <f>IF(E410&lt;I410,'Electrical System Specification'!X$16*'Electrical System Specification'!Q$16*'Electrical System Specification'!AC$4*'Electrical System Specification'!J$16)</f>
        <v>0</v>
      </c>
      <c r="M410" s="174">
        <f t="shared" si="95"/>
        <v>0.70838712000000004</v>
      </c>
      <c r="N410" s="174">
        <f t="shared" si="96"/>
        <v>9539.0746933667106</v>
      </c>
      <c r="O410" s="173">
        <f t="shared" si="97"/>
        <v>6594.2442441119783</v>
      </c>
      <c r="P410" s="174">
        <f t="shared" si="98"/>
        <v>9308.8144291951248</v>
      </c>
      <c r="Q410" s="174">
        <f t="shared" si="91"/>
        <v>8270.8960076684452</v>
      </c>
      <c r="R410" s="174">
        <f t="shared" si="105"/>
        <v>0</v>
      </c>
      <c r="S410" s="165" t="b">
        <f t="shared" si="99"/>
        <v>0</v>
      </c>
      <c r="T410">
        <f t="shared" si="100"/>
        <v>17579.71043686357</v>
      </c>
      <c r="U410" s="176">
        <f t="shared" si="101"/>
        <v>17579.71043686357</v>
      </c>
      <c r="V410" s="165">
        <f>IF(U410&lt;V$5,V$5-U410,IF(U410&gt;=V$5,0))*('Electrical System Specification'!D$16*'Electrical System Specification'!Q$16)</f>
        <v>0</v>
      </c>
      <c r="W410" s="28">
        <f t="shared" si="102"/>
        <v>0</v>
      </c>
      <c r="X410" s="165">
        <f>IF(U410&gt;V$5,U410-V$5,0)*'Electrical System Specification'!D$17</f>
        <v>7909.5418287282746</v>
      </c>
      <c r="Y410">
        <f>(X410*C410)*'Electrical System Specification'!D$17</f>
        <v>2075.1501880725923</v>
      </c>
      <c r="Z410" s="165">
        <f t="shared" si="103"/>
        <v>-2075.1501880725923</v>
      </c>
      <c r="AA410" s="165">
        <f t="shared" si="104"/>
        <v>-111078.97141640853</v>
      </c>
      <c r="AB410" s="165"/>
    </row>
    <row r="411" spans="3:28" x14ac:dyDescent="0.2">
      <c r="C411" s="148">
        <v>0.28730632375949722</v>
      </c>
      <c r="D411">
        <f t="shared" si="92"/>
        <v>129.63982491652223</v>
      </c>
      <c r="E411" s="164">
        <v>3225.0722167563076</v>
      </c>
      <c r="F411" s="165">
        <f>E411/'Electrical System Specification'!AC$4</f>
        <v>3290.8900170982733</v>
      </c>
      <c r="G411" s="146">
        <f>F411/('Electrical System Specification'!X$16*'Electrical System Specification'!J$16*'Electrical System Specification'!D$17)</f>
        <v>4097.4276820288278</v>
      </c>
      <c r="H411" s="165"/>
      <c r="I411" s="173">
        <f t="shared" si="93"/>
        <v>6871.6622130335309</v>
      </c>
      <c r="J411" s="173">
        <f t="shared" si="94"/>
        <v>7621.6306710664712</v>
      </c>
      <c r="K411" s="174" t="b">
        <f>IF(E411&gt;I411,'Electrical System Specification'!AC$4*'Electrical System Specification'!J$16*'Electrical System Specification'!D$16*'Electrical System Specification'!D$17*'Electrical System Specification'!X$16)</f>
        <v>0</v>
      </c>
      <c r="L411" s="174">
        <f>IF(E411&lt;I411,'Electrical System Specification'!X$16*'Electrical System Specification'!Q$16*'Electrical System Specification'!AC$4*'Electrical System Specification'!J$16)</f>
        <v>0.83082440000000002</v>
      </c>
      <c r="M411" s="174">
        <f t="shared" si="95"/>
        <v>0.83082440000000002</v>
      </c>
      <c r="N411" s="174">
        <f t="shared" si="96"/>
        <v>2679.4686894432293</v>
      </c>
      <c r="O411" s="173">
        <f t="shared" si="97"/>
        <v>-3646.5899962772232</v>
      </c>
      <c r="P411" s="174" t="b">
        <f t="shared" si="98"/>
        <v>0</v>
      </c>
      <c r="Q411" s="174">
        <f t="shared" si="91"/>
        <v>3225.0722167563076</v>
      </c>
      <c r="R411" s="174">
        <f t="shared" si="105"/>
        <v>3881.7735935009946</v>
      </c>
      <c r="S411" s="165">
        <f t="shared" si="99"/>
        <v>3881.7735935009946</v>
      </c>
      <c r="T411" t="b">
        <f t="shared" si="100"/>
        <v>0</v>
      </c>
      <c r="U411" s="176">
        <f t="shared" si="101"/>
        <v>3881.7735935009946</v>
      </c>
      <c r="V411" s="165">
        <f>IF(U411&lt;V$5,V$5-U411,IF(U411&gt;=V$5,0))*('Electrical System Specification'!D$16*'Electrical System Specification'!Q$16)</f>
        <v>4197.6712637831406</v>
      </c>
      <c r="W411" s="28">
        <f t="shared" si="102"/>
        <v>1206.0174991484168</v>
      </c>
      <c r="X411" s="165">
        <f>IF(U411&gt;V$5,U411-V$5,0)*'Electrical System Specification'!D$17</f>
        <v>0</v>
      </c>
      <c r="Y411">
        <f>(X411*C411)*'Electrical System Specification'!D$17</f>
        <v>0</v>
      </c>
      <c r="Z411" s="165">
        <f t="shared" si="103"/>
        <v>1206.0174991484168</v>
      </c>
      <c r="AA411" s="165">
        <f t="shared" si="104"/>
        <v>-109872.95391726011</v>
      </c>
      <c r="AB411" s="165"/>
    </row>
    <row r="412" spans="3:28" x14ac:dyDescent="0.2">
      <c r="C412" s="148">
        <v>0.27874103300357755</v>
      </c>
      <c r="D412">
        <f t="shared" si="92"/>
        <v>129.9185659495258</v>
      </c>
      <c r="E412" s="164">
        <v>11746.270514507263</v>
      </c>
      <c r="F412" s="165">
        <f>E412/'Electrical System Specification'!AC$4</f>
        <v>11985.990320925779</v>
      </c>
      <c r="G412" s="146">
        <f>F412/('Electrical System Specification'!X$16*'Electrical System Specification'!J$16*'Electrical System Specification'!D$17)</f>
        <v>14923.539918479231</v>
      </c>
      <c r="H412" s="165"/>
      <c r="I412" s="173">
        <f t="shared" si="93"/>
        <v>6871.6622130335309</v>
      </c>
      <c r="J412" s="173">
        <f t="shared" si="94"/>
        <v>7621.6306710664712</v>
      </c>
      <c r="K412" s="174">
        <f>IF(E412&gt;I412,'Electrical System Specification'!AC$4*'Electrical System Specification'!J$16*'Electrical System Specification'!D$16*'Electrical System Specification'!D$17*'Electrical System Specification'!X$16)</f>
        <v>0.70838712000000004</v>
      </c>
      <c r="L412" s="174" t="b">
        <f>IF(E412&lt;I412,'Electrical System Specification'!X$16*'Electrical System Specification'!Q$16*'Electrical System Specification'!AC$4*'Electrical System Specification'!J$16)</f>
        <v>0</v>
      </c>
      <c r="M412" s="174">
        <f t="shared" si="95"/>
        <v>0.70838712000000004</v>
      </c>
      <c r="N412" s="174">
        <f t="shared" si="96"/>
        <v>8320.9067405127189</v>
      </c>
      <c r="O412" s="173">
        <f t="shared" si="97"/>
        <v>4874.6083014737324</v>
      </c>
      <c r="P412" s="174">
        <f t="shared" si="98"/>
        <v>6881.2774312917099</v>
      </c>
      <c r="Q412" s="174">
        <f t="shared" si="91"/>
        <v>8270.8960076684452</v>
      </c>
      <c r="R412" s="174">
        <f t="shared" si="105"/>
        <v>0</v>
      </c>
      <c r="S412" s="165" t="b">
        <f t="shared" si="99"/>
        <v>0</v>
      </c>
      <c r="T412">
        <f t="shared" si="100"/>
        <v>15152.173438960155</v>
      </c>
      <c r="U412" s="176">
        <f t="shared" si="101"/>
        <v>15152.173438960155</v>
      </c>
      <c r="V412" s="165">
        <f>IF(U412&lt;V$5,V$5-U412,IF(U412&gt;=V$5,0))*('Electrical System Specification'!D$16*'Electrical System Specification'!Q$16)</f>
        <v>0</v>
      </c>
      <c r="W412" s="28">
        <f t="shared" si="102"/>
        <v>0</v>
      </c>
      <c r="X412" s="165">
        <f>IF(U412&gt;V$5,U412-V$5,0)*'Electrical System Specification'!D$17</f>
        <v>5724.7585306152014</v>
      </c>
      <c r="Y412">
        <f>(X412*C412)*'Electrical System Specification'!D$17</f>
        <v>1436.1525958677516</v>
      </c>
      <c r="Z412" s="165">
        <f t="shared" si="103"/>
        <v>-1436.1525958677516</v>
      </c>
      <c r="AA412" s="165">
        <f t="shared" si="104"/>
        <v>-111309.10651312786</v>
      </c>
      <c r="AB412" s="165"/>
    </row>
    <row r="413" spans="3:28" x14ac:dyDescent="0.2">
      <c r="C413" s="148">
        <v>0.27096230310228681</v>
      </c>
      <c r="D413">
        <f t="shared" si="92"/>
        <v>130.18952825262809</v>
      </c>
      <c r="E413" s="164">
        <v>8719.2170294856278</v>
      </c>
      <c r="F413" s="165">
        <f>E413/'Electrical System Specification'!AC$4</f>
        <v>8897.1602341690086</v>
      </c>
      <c r="G413" s="146">
        <f>F413/('Electrical System Specification'!X$16*'Electrical System Specification'!J$16*'Electrical System Specification'!D$17)</f>
        <v>11077.693403766383</v>
      </c>
      <c r="H413" s="165"/>
      <c r="I413" s="173">
        <f t="shared" si="93"/>
        <v>6871.6622130335309</v>
      </c>
      <c r="J413" s="173">
        <f t="shared" si="94"/>
        <v>7621.6306710664712</v>
      </c>
      <c r="K413" s="174">
        <f>IF(E413&gt;I413,'Electrical System Specification'!AC$4*'Electrical System Specification'!J$16*'Electrical System Specification'!D$16*'Electrical System Specification'!D$17*'Electrical System Specification'!X$16)</f>
        <v>0.70838712000000004</v>
      </c>
      <c r="L413" s="174" t="b">
        <f>IF(E413&lt;I413,'Electrical System Specification'!X$16*'Electrical System Specification'!Q$16*'Electrical System Specification'!AC$4*'Electrical System Specification'!J$16)</f>
        <v>0</v>
      </c>
      <c r="M413" s="174">
        <f t="shared" si="95"/>
        <v>0.70838712000000004</v>
      </c>
      <c r="N413" s="174">
        <f t="shared" si="96"/>
        <v>6176.5810401722792</v>
      </c>
      <c r="O413" s="173">
        <f t="shared" si="97"/>
        <v>1847.5548164520969</v>
      </c>
      <c r="P413" s="174">
        <f t="shared" si="98"/>
        <v>2608.1146371663235</v>
      </c>
      <c r="Q413" s="174">
        <f t="shared" si="91"/>
        <v>8270.8960076684452</v>
      </c>
      <c r="R413" s="174">
        <f t="shared" si="105"/>
        <v>0</v>
      </c>
      <c r="S413" s="165" t="b">
        <f t="shared" si="99"/>
        <v>0</v>
      </c>
      <c r="T413">
        <f t="shared" si="100"/>
        <v>10879.010644834769</v>
      </c>
      <c r="U413" s="176">
        <f t="shared" si="101"/>
        <v>10879.010644834769</v>
      </c>
      <c r="V413" s="165">
        <f>IF(U413&lt;V$5,V$5-U413,IF(U413&gt;=V$5,0))*('Electrical System Specification'!D$16*'Electrical System Specification'!Q$16)</f>
        <v>0</v>
      </c>
      <c r="W413" s="28">
        <f t="shared" si="102"/>
        <v>0</v>
      </c>
      <c r="X413" s="165">
        <f>IF(U413&gt;V$5,U413-V$5,0)*'Electrical System Specification'!D$17</f>
        <v>1878.9120159023532</v>
      </c>
      <c r="Y413">
        <f>(X413*C413)*'Electrical System Specification'!D$17</f>
        <v>458.20289443991595</v>
      </c>
      <c r="Z413" s="165">
        <f t="shared" si="103"/>
        <v>-458.20289443991595</v>
      </c>
      <c r="AA413" s="165">
        <f t="shared" si="104"/>
        <v>-111767.30940756778</v>
      </c>
      <c r="AB413" s="165"/>
    </row>
    <row r="414" spans="3:28" x14ac:dyDescent="0.2">
      <c r="C414" s="148">
        <v>0.26381934930746526</v>
      </c>
      <c r="D414">
        <f t="shared" si="92"/>
        <v>130.45334760193555</v>
      </c>
      <c r="E414" s="164">
        <v>0</v>
      </c>
      <c r="F414" s="165">
        <f>E414/'Electrical System Specification'!AC$4</f>
        <v>0</v>
      </c>
      <c r="G414" s="146">
        <f>F414/('Electrical System Specification'!X$16*'Electrical System Specification'!J$16*'Electrical System Specification'!D$17)</f>
        <v>0</v>
      </c>
      <c r="H414" s="165"/>
      <c r="I414" s="173">
        <f t="shared" si="93"/>
        <v>6871.6622130335309</v>
      </c>
      <c r="J414" s="173">
        <f t="shared" si="94"/>
        <v>7621.6306710664712</v>
      </c>
      <c r="K414" s="174" t="b">
        <f>IF(E414&gt;I414,'Electrical System Specification'!AC$4*'Electrical System Specification'!J$16*'Electrical System Specification'!D$16*'Electrical System Specification'!D$17*'Electrical System Specification'!X$16)</f>
        <v>0</v>
      </c>
      <c r="L414" s="174">
        <f>IF(E414&lt;I414,'Electrical System Specification'!X$16*'Electrical System Specification'!Q$16*'Electrical System Specification'!AC$4*'Electrical System Specification'!J$16)</f>
        <v>0.83082440000000002</v>
      </c>
      <c r="M414" s="174">
        <f t="shared" si="95"/>
        <v>0.83082440000000002</v>
      </c>
      <c r="N414" s="174">
        <f t="shared" si="96"/>
        <v>0</v>
      </c>
      <c r="O414" s="173">
        <f t="shared" si="97"/>
        <v>-6871.6622130335309</v>
      </c>
      <c r="P414" s="174" t="b">
        <f t="shared" si="98"/>
        <v>0</v>
      </c>
      <c r="Q414" s="174">
        <f t="shared" ref="Q414:Q477" si="106">IF(O414&lt;0,I414-(O414*-1),IF(O414&gt;0,I414/L$9))</f>
        <v>0</v>
      </c>
      <c r="R414" s="174">
        <f t="shared" si="105"/>
        <v>0</v>
      </c>
      <c r="S414" s="165">
        <f t="shared" si="99"/>
        <v>0</v>
      </c>
      <c r="T414" t="b">
        <f t="shared" si="100"/>
        <v>0</v>
      </c>
      <c r="U414" s="176">
        <f t="shared" si="101"/>
        <v>0</v>
      </c>
      <c r="V414" s="165">
        <f>IF(U414&lt;V$5,V$5-U414,IF(U414&gt;=V$5,0))*('Electrical System Specification'!D$16*'Electrical System Specification'!Q$16)</f>
        <v>7516.5876862264913</v>
      </c>
      <c r="W414" s="28">
        <f t="shared" si="102"/>
        <v>1983.0212723927787</v>
      </c>
      <c r="X414" s="165">
        <f>IF(U414&gt;V$5,U414-V$5,0)*'Electrical System Specification'!D$17</f>
        <v>0</v>
      </c>
      <c r="Y414">
        <f>(X414*C414)*'Electrical System Specification'!D$17</f>
        <v>0</v>
      </c>
      <c r="Z414" s="165">
        <f t="shared" si="103"/>
        <v>1983.0212723927787</v>
      </c>
      <c r="AA414" s="165">
        <f t="shared" si="104"/>
        <v>-109784.288135175</v>
      </c>
      <c r="AB414" s="165"/>
    </row>
    <row r="415" spans="3:28" x14ac:dyDescent="0.2">
      <c r="C415" s="148">
        <v>0.26433045226732005</v>
      </c>
      <c r="D415">
        <f t="shared" si="92"/>
        <v>130.71767805420288</v>
      </c>
      <c r="E415" s="164">
        <v>0</v>
      </c>
      <c r="F415" s="165">
        <f>E415/'Electrical System Specification'!AC$4</f>
        <v>0</v>
      </c>
      <c r="G415" s="146">
        <f>F415/('Electrical System Specification'!X$16*'Electrical System Specification'!J$16*'Electrical System Specification'!D$17)</f>
        <v>0</v>
      </c>
      <c r="H415" s="165"/>
      <c r="I415" s="173">
        <f t="shared" si="93"/>
        <v>6871.6622130335309</v>
      </c>
      <c r="J415" s="173">
        <f t="shared" si="94"/>
        <v>7621.6306710664712</v>
      </c>
      <c r="K415" s="174" t="b">
        <f>IF(E415&gt;I415,'Electrical System Specification'!AC$4*'Electrical System Specification'!J$16*'Electrical System Specification'!D$16*'Electrical System Specification'!D$17*'Electrical System Specification'!X$16)</f>
        <v>0</v>
      </c>
      <c r="L415" s="174">
        <f>IF(E415&lt;I415,'Electrical System Specification'!X$16*'Electrical System Specification'!Q$16*'Electrical System Specification'!AC$4*'Electrical System Specification'!J$16)</f>
        <v>0.83082440000000002</v>
      </c>
      <c r="M415" s="174">
        <f t="shared" si="95"/>
        <v>0.83082440000000002</v>
      </c>
      <c r="N415" s="174">
        <f t="shared" si="96"/>
        <v>0</v>
      </c>
      <c r="O415" s="173">
        <f t="shared" si="97"/>
        <v>-6871.6622130335309</v>
      </c>
      <c r="P415" s="174" t="b">
        <f t="shared" si="98"/>
        <v>0</v>
      </c>
      <c r="Q415" s="174">
        <f t="shared" si="106"/>
        <v>0</v>
      </c>
      <c r="R415" s="174">
        <f t="shared" si="105"/>
        <v>0</v>
      </c>
      <c r="S415" s="165">
        <f t="shared" si="99"/>
        <v>0</v>
      </c>
      <c r="T415" t="b">
        <f t="shared" si="100"/>
        <v>0</v>
      </c>
      <c r="U415" s="176">
        <f t="shared" si="101"/>
        <v>0</v>
      </c>
      <c r="V415" s="165">
        <f>IF(U415&lt;V$5,V$5-U415,IF(U415&gt;=V$5,0))*('Electrical System Specification'!D$16*'Electrical System Specification'!Q$16)</f>
        <v>7516.5876862264913</v>
      </c>
      <c r="W415" s="28">
        <f t="shared" si="102"/>
        <v>1986.8630226072173</v>
      </c>
      <c r="X415" s="165">
        <f>IF(U415&gt;V$5,U415-V$5,0)*'Electrical System Specification'!D$17</f>
        <v>0</v>
      </c>
      <c r="Y415">
        <f>(X415*C415)*'Electrical System Specification'!D$17</f>
        <v>0</v>
      </c>
      <c r="Z415" s="165">
        <f t="shared" si="103"/>
        <v>1986.8630226072173</v>
      </c>
      <c r="AA415" s="165">
        <f t="shared" si="104"/>
        <v>-107797.42511256778</v>
      </c>
      <c r="AB415" s="165"/>
    </row>
    <row r="416" spans="3:28" x14ac:dyDescent="0.2">
      <c r="C416" s="148">
        <v>0.26125709785040441</v>
      </c>
      <c r="D416">
        <f t="shared" si="92"/>
        <v>130.97893515205328</v>
      </c>
      <c r="E416" s="164">
        <v>0</v>
      </c>
      <c r="F416" s="165">
        <f>E416/'Electrical System Specification'!AC$4</f>
        <v>0</v>
      </c>
      <c r="G416" s="146">
        <f>F416/('Electrical System Specification'!X$16*'Electrical System Specification'!J$16*'Electrical System Specification'!D$17)</f>
        <v>0</v>
      </c>
      <c r="H416" s="165"/>
      <c r="I416" s="173">
        <f t="shared" si="93"/>
        <v>6871.6622130335309</v>
      </c>
      <c r="J416" s="173">
        <f t="shared" si="94"/>
        <v>7621.6306710664712</v>
      </c>
      <c r="K416" s="174" t="b">
        <f>IF(E416&gt;I416,'Electrical System Specification'!AC$4*'Electrical System Specification'!J$16*'Electrical System Specification'!D$16*'Electrical System Specification'!D$17*'Electrical System Specification'!X$16)</f>
        <v>0</v>
      </c>
      <c r="L416" s="174">
        <f>IF(E416&lt;I416,'Electrical System Specification'!X$16*'Electrical System Specification'!Q$16*'Electrical System Specification'!AC$4*'Electrical System Specification'!J$16)</f>
        <v>0.83082440000000002</v>
      </c>
      <c r="M416" s="174">
        <f t="shared" si="95"/>
        <v>0.83082440000000002</v>
      </c>
      <c r="N416" s="174">
        <f t="shared" si="96"/>
        <v>0</v>
      </c>
      <c r="O416" s="173">
        <f t="shared" si="97"/>
        <v>-6871.6622130335309</v>
      </c>
      <c r="P416" s="174" t="b">
        <f t="shared" si="98"/>
        <v>0</v>
      </c>
      <c r="Q416" s="174">
        <f t="shared" si="106"/>
        <v>0</v>
      </c>
      <c r="R416" s="174">
        <f t="shared" si="105"/>
        <v>0</v>
      </c>
      <c r="S416" s="165">
        <f t="shared" si="99"/>
        <v>0</v>
      </c>
      <c r="T416" t="b">
        <f t="shared" si="100"/>
        <v>0</v>
      </c>
      <c r="U416" s="176">
        <f t="shared" si="101"/>
        <v>0</v>
      </c>
      <c r="V416" s="165">
        <f>IF(U416&lt;V$5,V$5-U416,IF(U416&gt;=V$5,0))*('Electrical System Specification'!D$16*'Electrical System Specification'!Q$16)</f>
        <v>7516.5876862264913</v>
      </c>
      <c r="W416" s="28">
        <f t="shared" si="102"/>
        <v>1963.7618846416192</v>
      </c>
      <c r="X416" s="165">
        <f>IF(U416&gt;V$5,U416-V$5,0)*'Electrical System Specification'!D$17</f>
        <v>0</v>
      </c>
      <c r="Y416">
        <f>(X416*C416)*'Electrical System Specification'!D$17</f>
        <v>0</v>
      </c>
      <c r="Z416" s="165">
        <f t="shared" si="103"/>
        <v>1963.7618846416192</v>
      </c>
      <c r="AA416" s="165">
        <f t="shared" si="104"/>
        <v>-105833.66322792617</v>
      </c>
      <c r="AB416" s="165"/>
    </row>
    <row r="417" spans="3:28" x14ac:dyDescent="0.2">
      <c r="C417" s="148">
        <v>0.25765159319157177</v>
      </c>
      <c r="D417">
        <f t="shared" si="92"/>
        <v>131.23658674524486</v>
      </c>
      <c r="E417" s="164">
        <v>0</v>
      </c>
      <c r="F417" s="165">
        <f>E417/'Electrical System Specification'!AC$4</f>
        <v>0</v>
      </c>
      <c r="G417" s="146">
        <f>F417/('Electrical System Specification'!X$16*'Electrical System Specification'!J$16*'Electrical System Specification'!D$17)</f>
        <v>0</v>
      </c>
      <c r="H417" s="165"/>
      <c r="I417" s="173">
        <f t="shared" si="93"/>
        <v>6871.6622130335309</v>
      </c>
      <c r="J417" s="173">
        <f t="shared" si="94"/>
        <v>7621.6306710664712</v>
      </c>
      <c r="K417" s="174" t="b">
        <f>IF(E417&gt;I417,'Electrical System Specification'!AC$4*'Electrical System Specification'!J$16*'Electrical System Specification'!D$16*'Electrical System Specification'!D$17*'Electrical System Specification'!X$16)</f>
        <v>0</v>
      </c>
      <c r="L417" s="174">
        <f>IF(E417&lt;I417,'Electrical System Specification'!X$16*'Electrical System Specification'!Q$16*'Electrical System Specification'!AC$4*'Electrical System Specification'!J$16)</f>
        <v>0.83082440000000002</v>
      </c>
      <c r="M417" s="174">
        <f t="shared" si="95"/>
        <v>0.83082440000000002</v>
      </c>
      <c r="N417" s="174">
        <f t="shared" si="96"/>
        <v>0</v>
      </c>
      <c r="O417" s="173">
        <f t="shared" si="97"/>
        <v>-6871.6622130335309</v>
      </c>
      <c r="P417" s="174" t="b">
        <f t="shared" si="98"/>
        <v>0</v>
      </c>
      <c r="Q417" s="174">
        <f t="shared" si="106"/>
        <v>0</v>
      </c>
      <c r="R417" s="174">
        <f t="shared" si="105"/>
        <v>0</v>
      </c>
      <c r="S417" s="165">
        <f t="shared" si="99"/>
        <v>0</v>
      </c>
      <c r="T417" t="b">
        <f t="shared" si="100"/>
        <v>0</v>
      </c>
      <c r="U417" s="176">
        <f t="shared" si="101"/>
        <v>0</v>
      </c>
      <c r="V417" s="165">
        <f>IF(U417&lt;V$5,V$5-U417,IF(U417&gt;=V$5,0))*('Electrical System Specification'!D$16*'Electrical System Specification'!Q$16)</f>
        <v>7516.5876862264913</v>
      </c>
      <c r="W417" s="28">
        <f t="shared" si="102"/>
        <v>1936.6607927204057</v>
      </c>
      <c r="X417" s="165">
        <f>IF(U417&gt;V$5,U417-V$5,0)*'Electrical System Specification'!D$17</f>
        <v>0</v>
      </c>
      <c r="Y417">
        <f>(X417*C417)*'Electrical System Specification'!D$17</f>
        <v>0</v>
      </c>
      <c r="Z417" s="165">
        <f t="shared" si="103"/>
        <v>1936.6607927204057</v>
      </c>
      <c r="AA417" s="165">
        <f t="shared" si="104"/>
        <v>-103897.00243520577</v>
      </c>
      <c r="AB417" s="165"/>
    </row>
    <row r="418" spans="3:28" x14ac:dyDescent="0.2">
      <c r="C418" s="148">
        <v>0.25219692833237661</v>
      </c>
      <c r="D418">
        <f t="shared" si="92"/>
        <v>131.48878367357725</v>
      </c>
      <c r="E418" s="164">
        <v>0</v>
      </c>
      <c r="F418" s="165">
        <f>E418/'Electrical System Specification'!AC$4</f>
        <v>0</v>
      </c>
      <c r="G418" s="146">
        <f>F418/('Electrical System Specification'!X$16*'Electrical System Specification'!J$16*'Electrical System Specification'!D$17)</f>
        <v>0</v>
      </c>
      <c r="H418" s="165"/>
      <c r="I418" s="173">
        <f t="shared" si="93"/>
        <v>6871.6622130335309</v>
      </c>
      <c r="J418" s="173">
        <f t="shared" si="94"/>
        <v>7621.6306710664712</v>
      </c>
      <c r="K418" s="174" t="b">
        <f>IF(E418&gt;I418,'Electrical System Specification'!AC$4*'Electrical System Specification'!J$16*'Electrical System Specification'!D$16*'Electrical System Specification'!D$17*'Electrical System Specification'!X$16)</f>
        <v>0</v>
      </c>
      <c r="L418" s="174">
        <f>IF(E418&lt;I418,'Electrical System Specification'!X$16*'Electrical System Specification'!Q$16*'Electrical System Specification'!AC$4*'Electrical System Specification'!J$16)</f>
        <v>0.83082440000000002</v>
      </c>
      <c r="M418" s="174">
        <f t="shared" si="95"/>
        <v>0.83082440000000002</v>
      </c>
      <c r="N418" s="174">
        <f t="shared" si="96"/>
        <v>0</v>
      </c>
      <c r="O418" s="173">
        <f t="shared" si="97"/>
        <v>-6871.6622130335309</v>
      </c>
      <c r="P418" s="174" t="b">
        <f t="shared" si="98"/>
        <v>0</v>
      </c>
      <c r="Q418" s="174">
        <f t="shared" si="106"/>
        <v>0</v>
      </c>
      <c r="R418" s="174">
        <f t="shared" si="105"/>
        <v>0</v>
      </c>
      <c r="S418" s="165">
        <f t="shared" si="99"/>
        <v>0</v>
      </c>
      <c r="T418" t="b">
        <f t="shared" si="100"/>
        <v>0</v>
      </c>
      <c r="U418" s="176">
        <f t="shared" si="101"/>
        <v>0</v>
      </c>
      <c r="V418" s="165">
        <f>IF(U418&lt;V$5,V$5-U418,IF(U418&gt;=V$5,0))*('Electrical System Specification'!D$16*'Electrical System Specification'!Q$16)</f>
        <v>7516.5876862264913</v>
      </c>
      <c r="W418" s="28">
        <f t="shared" si="102"/>
        <v>1895.660326007287</v>
      </c>
      <c r="X418" s="165">
        <f>IF(U418&gt;V$5,U418-V$5,0)*'Electrical System Specification'!D$17</f>
        <v>0</v>
      </c>
      <c r="Y418">
        <f>(X418*C418)*'Electrical System Specification'!D$17</f>
        <v>0</v>
      </c>
      <c r="Z418" s="165">
        <f t="shared" si="103"/>
        <v>1895.660326007287</v>
      </c>
      <c r="AA418" s="165">
        <f t="shared" si="104"/>
        <v>-102001.34210919848</v>
      </c>
      <c r="AB418" s="165"/>
    </row>
    <row r="419" spans="3:28" x14ac:dyDescent="0.2">
      <c r="C419" s="148">
        <v>0.2455247247924548</v>
      </c>
      <c r="D419">
        <f t="shared" si="92"/>
        <v>131.73430839836971</v>
      </c>
      <c r="E419" s="164">
        <v>0</v>
      </c>
      <c r="F419" s="165">
        <f>E419/'Electrical System Specification'!AC$4</f>
        <v>0</v>
      </c>
      <c r="G419" s="146">
        <f>F419/('Electrical System Specification'!X$16*'Electrical System Specification'!J$16*'Electrical System Specification'!D$17)</f>
        <v>0</v>
      </c>
      <c r="H419" s="165"/>
      <c r="I419" s="173">
        <f t="shared" si="93"/>
        <v>6871.6622130335309</v>
      </c>
      <c r="J419" s="173">
        <f t="shared" si="94"/>
        <v>7621.6306710664712</v>
      </c>
      <c r="K419" s="174" t="b">
        <f>IF(E419&gt;I419,'Electrical System Specification'!AC$4*'Electrical System Specification'!J$16*'Electrical System Specification'!D$16*'Electrical System Specification'!D$17*'Electrical System Specification'!X$16)</f>
        <v>0</v>
      </c>
      <c r="L419" s="174">
        <f>IF(E419&lt;I419,'Electrical System Specification'!X$16*'Electrical System Specification'!Q$16*'Electrical System Specification'!AC$4*'Electrical System Specification'!J$16)</f>
        <v>0.83082440000000002</v>
      </c>
      <c r="M419" s="174">
        <f t="shared" si="95"/>
        <v>0.83082440000000002</v>
      </c>
      <c r="N419" s="174">
        <f t="shared" si="96"/>
        <v>0</v>
      </c>
      <c r="O419" s="173">
        <f t="shared" si="97"/>
        <v>-6871.6622130335309</v>
      </c>
      <c r="P419" s="174" t="b">
        <f t="shared" si="98"/>
        <v>0</v>
      </c>
      <c r="Q419" s="174">
        <f t="shared" si="106"/>
        <v>0</v>
      </c>
      <c r="R419" s="174">
        <f t="shared" si="105"/>
        <v>0</v>
      </c>
      <c r="S419" s="165">
        <f t="shared" si="99"/>
        <v>0</v>
      </c>
      <c r="T419" t="b">
        <f t="shared" si="100"/>
        <v>0</v>
      </c>
      <c r="U419" s="176">
        <f t="shared" si="101"/>
        <v>0</v>
      </c>
      <c r="V419" s="165">
        <f>IF(U419&lt;V$5,V$5-U419,IF(U419&gt;=V$5,0))*('Electrical System Specification'!D$16*'Electrical System Specification'!Q$16)</f>
        <v>7516.5876862264913</v>
      </c>
      <c r="W419" s="28">
        <f t="shared" si="102"/>
        <v>1845.5081230391138</v>
      </c>
      <c r="X419" s="165">
        <f>IF(U419&gt;V$5,U419-V$5,0)*'Electrical System Specification'!D$17</f>
        <v>0</v>
      </c>
      <c r="Y419">
        <f>(X419*C419)*'Electrical System Specification'!D$17</f>
        <v>0</v>
      </c>
      <c r="Z419" s="165">
        <f t="shared" si="103"/>
        <v>1845.5081230391138</v>
      </c>
      <c r="AA419" s="165">
        <f t="shared" si="104"/>
        <v>-100155.83398615937</v>
      </c>
      <c r="AB419" s="165"/>
    </row>
    <row r="420" spans="3:28" x14ac:dyDescent="0.2">
      <c r="C420" s="148">
        <v>0.23864764307612391</v>
      </c>
      <c r="D420">
        <f t="shared" si="92"/>
        <v>131.97295604144583</v>
      </c>
      <c r="E420" s="164">
        <v>0</v>
      </c>
      <c r="F420" s="165">
        <f>E420/'Electrical System Specification'!AC$4</f>
        <v>0</v>
      </c>
      <c r="G420" s="146">
        <f>F420/('Electrical System Specification'!X$16*'Electrical System Specification'!J$16*'Electrical System Specification'!D$17)</f>
        <v>0</v>
      </c>
      <c r="H420" s="165"/>
      <c r="I420" s="173">
        <f t="shared" si="93"/>
        <v>6871.6622130335309</v>
      </c>
      <c r="J420" s="173">
        <f t="shared" si="94"/>
        <v>7621.6306710664712</v>
      </c>
      <c r="K420" s="174" t="b">
        <f>IF(E420&gt;I420,'Electrical System Specification'!AC$4*'Electrical System Specification'!J$16*'Electrical System Specification'!D$16*'Electrical System Specification'!D$17*'Electrical System Specification'!X$16)</f>
        <v>0</v>
      </c>
      <c r="L420" s="174">
        <f>IF(E420&lt;I420,'Electrical System Specification'!X$16*'Electrical System Specification'!Q$16*'Electrical System Specification'!AC$4*'Electrical System Specification'!J$16)</f>
        <v>0.83082440000000002</v>
      </c>
      <c r="M420" s="174">
        <f t="shared" si="95"/>
        <v>0.83082440000000002</v>
      </c>
      <c r="N420" s="174">
        <f t="shared" si="96"/>
        <v>0</v>
      </c>
      <c r="O420" s="173">
        <f t="shared" si="97"/>
        <v>-6871.6622130335309</v>
      </c>
      <c r="P420" s="174" t="b">
        <f t="shared" si="98"/>
        <v>0</v>
      </c>
      <c r="Q420" s="174">
        <f t="shared" si="106"/>
        <v>0</v>
      </c>
      <c r="R420" s="174">
        <f t="shared" si="105"/>
        <v>0</v>
      </c>
      <c r="S420" s="165">
        <f t="shared" si="99"/>
        <v>0</v>
      </c>
      <c r="T420" t="b">
        <f t="shared" si="100"/>
        <v>0</v>
      </c>
      <c r="U420" s="176">
        <f t="shared" si="101"/>
        <v>0</v>
      </c>
      <c r="V420" s="165">
        <f>IF(U420&lt;V$5,V$5-U420,IF(U420&gt;=V$5,0))*('Electrical System Specification'!D$16*'Electrical System Specification'!Q$16)</f>
        <v>7516.5876862264913</v>
      </c>
      <c r="W420" s="28">
        <f t="shared" si="102"/>
        <v>1793.8159352929677</v>
      </c>
      <c r="X420" s="165">
        <f>IF(U420&gt;V$5,U420-V$5,0)*'Electrical System Specification'!D$17</f>
        <v>0</v>
      </c>
      <c r="Y420">
        <f>(X420*C420)*'Electrical System Specification'!D$17</f>
        <v>0</v>
      </c>
      <c r="Z420" s="165">
        <f t="shared" si="103"/>
        <v>1793.8159352929677</v>
      </c>
      <c r="AA420" s="165">
        <f t="shared" si="104"/>
        <v>-98362.018050866405</v>
      </c>
      <c r="AB420" s="165"/>
    </row>
    <row r="421" spans="3:28" x14ac:dyDescent="0.2">
      <c r="C421" s="148">
        <v>0.23189643678154395</v>
      </c>
      <c r="D421">
        <f t="shared" si="92"/>
        <v>132.20485247822737</v>
      </c>
      <c r="E421" s="164">
        <v>0</v>
      </c>
      <c r="F421" s="165">
        <f>E421/'Electrical System Specification'!AC$4</f>
        <v>0</v>
      </c>
      <c r="G421" s="146">
        <f>F421/('Electrical System Specification'!X$16*'Electrical System Specification'!J$16*'Electrical System Specification'!D$17)</f>
        <v>0</v>
      </c>
      <c r="H421" s="165"/>
      <c r="I421" s="173">
        <f t="shared" si="93"/>
        <v>6871.6622130335309</v>
      </c>
      <c r="J421" s="173">
        <f t="shared" si="94"/>
        <v>7621.6306710664712</v>
      </c>
      <c r="K421" s="174" t="b">
        <f>IF(E421&gt;I421,'Electrical System Specification'!AC$4*'Electrical System Specification'!J$16*'Electrical System Specification'!D$16*'Electrical System Specification'!D$17*'Electrical System Specification'!X$16)</f>
        <v>0</v>
      </c>
      <c r="L421" s="174">
        <f>IF(E421&lt;I421,'Electrical System Specification'!X$16*'Electrical System Specification'!Q$16*'Electrical System Specification'!AC$4*'Electrical System Specification'!J$16)</f>
        <v>0.83082440000000002</v>
      </c>
      <c r="M421" s="174">
        <f t="shared" si="95"/>
        <v>0.83082440000000002</v>
      </c>
      <c r="N421" s="174">
        <f t="shared" si="96"/>
        <v>0</v>
      </c>
      <c r="O421" s="173">
        <f t="shared" si="97"/>
        <v>-6871.6622130335309</v>
      </c>
      <c r="P421" s="174" t="b">
        <f t="shared" si="98"/>
        <v>0</v>
      </c>
      <c r="Q421" s="174">
        <f t="shared" si="106"/>
        <v>0</v>
      </c>
      <c r="R421" s="174">
        <f t="shared" si="105"/>
        <v>0</v>
      </c>
      <c r="S421" s="165">
        <f t="shared" si="99"/>
        <v>0</v>
      </c>
      <c r="T421" t="b">
        <f t="shared" si="100"/>
        <v>0</v>
      </c>
      <c r="U421" s="176">
        <f t="shared" si="101"/>
        <v>0</v>
      </c>
      <c r="V421" s="165">
        <f>IF(U421&lt;V$5,V$5-U421,IF(U421&gt;=V$5,0))*('Electrical System Specification'!D$16*'Electrical System Specification'!Q$16)</f>
        <v>7516.5876862264913</v>
      </c>
      <c r="W421" s="28">
        <f t="shared" si="102"/>
        <v>1743.0699011919532</v>
      </c>
      <c r="X421" s="165">
        <f>IF(U421&gt;V$5,U421-V$5,0)*'Electrical System Specification'!D$17</f>
        <v>0</v>
      </c>
      <c r="Y421">
        <f>(X421*C421)*'Electrical System Specification'!D$17</f>
        <v>0</v>
      </c>
      <c r="Z421" s="165">
        <f t="shared" si="103"/>
        <v>1743.0699011919532</v>
      </c>
      <c r="AA421" s="165">
        <f t="shared" si="104"/>
        <v>-96618.948149674456</v>
      </c>
      <c r="AB421" s="165"/>
    </row>
    <row r="422" spans="3:28" x14ac:dyDescent="0.2">
      <c r="C422" s="148">
        <v>0.22546099579466719</v>
      </c>
      <c r="D422">
        <f t="shared" si="92"/>
        <v>132.43031347402203</v>
      </c>
      <c r="E422" s="164">
        <v>0</v>
      </c>
      <c r="F422" s="165">
        <f>E422/'Electrical System Specification'!AC$4</f>
        <v>0</v>
      </c>
      <c r="G422" s="146">
        <f>F422/('Electrical System Specification'!X$16*'Electrical System Specification'!J$16*'Electrical System Specification'!D$17)</f>
        <v>0</v>
      </c>
      <c r="H422" s="165"/>
      <c r="I422" s="173">
        <f t="shared" si="93"/>
        <v>6871.6622130335309</v>
      </c>
      <c r="J422" s="173">
        <f t="shared" si="94"/>
        <v>7621.6306710664712</v>
      </c>
      <c r="K422" s="174" t="b">
        <f>IF(E422&gt;I422,'Electrical System Specification'!AC$4*'Electrical System Specification'!J$16*'Electrical System Specification'!D$16*'Electrical System Specification'!D$17*'Electrical System Specification'!X$16)</f>
        <v>0</v>
      </c>
      <c r="L422" s="174">
        <f>IF(E422&lt;I422,'Electrical System Specification'!X$16*'Electrical System Specification'!Q$16*'Electrical System Specification'!AC$4*'Electrical System Specification'!J$16)</f>
        <v>0.83082440000000002</v>
      </c>
      <c r="M422" s="174">
        <f t="shared" si="95"/>
        <v>0.83082440000000002</v>
      </c>
      <c r="N422" s="174">
        <f t="shared" si="96"/>
        <v>0</v>
      </c>
      <c r="O422" s="173">
        <f t="shared" si="97"/>
        <v>-6871.6622130335309</v>
      </c>
      <c r="P422" s="174" t="b">
        <f t="shared" si="98"/>
        <v>0</v>
      </c>
      <c r="Q422" s="174">
        <f t="shared" si="106"/>
        <v>0</v>
      </c>
      <c r="R422" s="174">
        <f t="shared" si="105"/>
        <v>0</v>
      </c>
      <c r="S422" s="165">
        <f t="shared" si="99"/>
        <v>0</v>
      </c>
      <c r="T422" t="b">
        <f t="shared" si="100"/>
        <v>0</v>
      </c>
      <c r="U422" s="176">
        <f t="shared" si="101"/>
        <v>0</v>
      </c>
      <c r="V422" s="165">
        <f>IF(U422&lt;V$5,V$5-U422,IF(U422&gt;=V$5,0))*('Electrical System Specification'!D$16*'Electrical System Specification'!Q$16)</f>
        <v>7516.5876862264913</v>
      </c>
      <c r="W422" s="28">
        <f t="shared" si="102"/>
        <v>1694.6973447145581</v>
      </c>
      <c r="X422" s="165">
        <f>IF(U422&gt;V$5,U422-V$5,0)*'Electrical System Specification'!D$17</f>
        <v>0</v>
      </c>
      <c r="Y422">
        <f>(X422*C422)*'Electrical System Specification'!D$17</f>
        <v>0</v>
      </c>
      <c r="Z422" s="165">
        <f t="shared" si="103"/>
        <v>1694.6973447145581</v>
      </c>
      <c r="AA422" s="165">
        <f t="shared" si="104"/>
        <v>-94924.250804959898</v>
      </c>
      <c r="AB422" s="165"/>
    </row>
    <row r="423" spans="3:28" x14ac:dyDescent="0.2">
      <c r="C423" s="148">
        <v>0.21529611892368394</v>
      </c>
      <c r="D423">
        <f t="shared" si="92"/>
        <v>132.6456095929457</v>
      </c>
      <c r="E423" s="164">
        <v>3586.4720281922669</v>
      </c>
      <c r="F423" s="165">
        <f>E423/'Electrical System Specification'!AC$4</f>
        <v>3659.6653348900682</v>
      </c>
      <c r="G423" s="146">
        <f>F423/('Electrical System Specification'!X$16*'Electrical System Specification'!J$16*'Electrical System Specification'!D$17)</f>
        <v>4556.583165110399</v>
      </c>
      <c r="H423" s="165"/>
      <c r="I423" s="173">
        <f t="shared" si="93"/>
        <v>6871.6622130335309</v>
      </c>
      <c r="J423" s="173">
        <f t="shared" si="94"/>
        <v>7621.6306710664712</v>
      </c>
      <c r="K423" s="174" t="b">
        <f>IF(E423&gt;I423,'Electrical System Specification'!AC$4*'Electrical System Specification'!J$16*'Electrical System Specification'!D$16*'Electrical System Specification'!D$17*'Electrical System Specification'!X$16)</f>
        <v>0</v>
      </c>
      <c r="L423" s="174">
        <f>IF(E423&lt;I423,'Electrical System Specification'!X$16*'Electrical System Specification'!Q$16*'Electrical System Specification'!AC$4*'Electrical System Specification'!J$16)</f>
        <v>0.83082440000000002</v>
      </c>
      <c r="M423" s="174">
        <f t="shared" si="95"/>
        <v>0.83082440000000002</v>
      </c>
      <c r="N423" s="174">
        <f t="shared" si="96"/>
        <v>2979.7284709396231</v>
      </c>
      <c r="O423" s="173">
        <f t="shared" si="97"/>
        <v>-3285.190184841264</v>
      </c>
      <c r="P423" s="174" t="b">
        <f t="shared" si="98"/>
        <v>0</v>
      </c>
      <c r="Q423" s="174">
        <f t="shared" si="106"/>
        <v>3586.4720281922669</v>
      </c>
      <c r="R423" s="174">
        <f t="shared" si="105"/>
        <v>4316.7629985256417</v>
      </c>
      <c r="S423" s="165">
        <f t="shared" si="99"/>
        <v>4316.7629985256417</v>
      </c>
      <c r="T423" t="b">
        <f t="shared" si="100"/>
        <v>0</v>
      </c>
      <c r="U423" s="176">
        <f t="shared" si="101"/>
        <v>4316.7629985256417</v>
      </c>
      <c r="V423" s="165">
        <f>IF(U423&lt;V$5,V$5-U423,IF(U423&gt;=V$5,0))*('Electrical System Specification'!D$16*'Electrical System Specification'!Q$16)</f>
        <v>3825.755322487068</v>
      </c>
      <c r="W423" s="28">
        <f t="shared" si="102"/>
        <v>823.67027288309259</v>
      </c>
      <c r="X423" s="165">
        <f>IF(U423&gt;V$5,U423-V$5,0)*'Electrical System Specification'!D$17</f>
        <v>0</v>
      </c>
      <c r="Y423">
        <f>(X423*C423)*'Electrical System Specification'!D$17</f>
        <v>0</v>
      </c>
      <c r="Z423" s="165">
        <f t="shared" si="103"/>
        <v>823.67027288309259</v>
      </c>
      <c r="AA423" s="165">
        <f t="shared" si="104"/>
        <v>-94100.580532076812</v>
      </c>
      <c r="AB423" s="165"/>
    </row>
    <row r="424" spans="3:28" x14ac:dyDescent="0.2">
      <c r="C424" s="148">
        <v>0.2094111148869465</v>
      </c>
      <c r="D424">
        <f t="shared" si="92"/>
        <v>132.85502070783264</v>
      </c>
      <c r="E424" s="164">
        <v>3360.752424212963</v>
      </c>
      <c r="F424" s="165">
        <f>E424/'Electrical System Specification'!AC$4</f>
        <v>3429.3392083805747</v>
      </c>
      <c r="G424" s="146">
        <f>F424/('Electrical System Specification'!X$16*'Electrical System Specification'!J$16*'Electrical System Specification'!D$17)</f>
        <v>4269.808267817838</v>
      </c>
      <c r="H424" s="165"/>
      <c r="I424" s="173">
        <f t="shared" si="93"/>
        <v>6871.6622130335309</v>
      </c>
      <c r="J424" s="173">
        <f t="shared" si="94"/>
        <v>7621.6306710664712</v>
      </c>
      <c r="K424" s="174" t="b">
        <f>IF(E424&gt;I424,'Electrical System Specification'!AC$4*'Electrical System Specification'!J$16*'Electrical System Specification'!D$16*'Electrical System Specification'!D$17*'Electrical System Specification'!X$16)</f>
        <v>0</v>
      </c>
      <c r="L424" s="174">
        <f>IF(E424&lt;I424,'Electrical System Specification'!X$16*'Electrical System Specification'!Q$16*'Electrical System Specification'!AC$4*'Electrical System Specification'!J$16)</f>
        <v>0.83082440000000002</v>
      </c>
      <c r="M424" s="174">
        <f t="shared" si="95"/>
        <v>0.83082440000000002</v>
      </c>
      <c r="N424" s="174">
        <f t="shared" si="96"/>
        <v>2792.1951163952804</v>
      </c>
      <c r="O424" s="173">
        <f t="shared" si="97"/>
        <v>-3510.9097888205679</v>
      </c>
      <c r="P424" s="174" t="b">
        <f t="shared" si="98"/>
        <v>0</v>
      </c>
      <c r="Q424" s="174">
        <f t="shared" si="106"/>
        <v>3360.752424212963</v>
      </c>
      <c r="R424" s="174">
        <f t="shared" si="105"/>
        <v>4045.0815168800568</v>
      </c>
      <c r="S424" s="165">
        <f t="shared" si="99"/>
        <v>4045.0815168800568</v>
      </c>
      <c r="T424" t="b">
        <f t="shared" si="100"/>
        <v>0</v>
      </c>
      <c r="U424" s="176">
        <f t="shared" si="101"/>
        <v>4045.0815168800568</v>
      </c>
      <c r="V424" s="165">
        <f>IF(U424&lt;V$5,V$5-U424,IF(U424&gt;=V$5,0))*('Electrical System Specification'!D$16*'Electrical System Specification'!Q$16)</f>
        <v>4058.0429892940433</v>
      </c>
      <c r="W424" s="28">
        <f t="shared" si="102"/>
        <v>849.79930664722269</v>
      </c>
      <c r="X424" s="165">
        <f>IF(U424&gt;V$5,U424-V$5,0)*'Electrical System Specification'!D$17</f>
        <v>0</v>
      </c>
      <c r="Y424">
        <f>(X424*C424)*'Electrical System Specification'!D$17</f>
        <v>0</v>
      </c>
      <c r="Z424" s="165">
        <f t="shared" si="103"/>
        <v>849.79930664722269</v>
      </c>
      <c r="AA424" s="165">
        <f t="shared" si="104"/>
        <v>-93250.781225429586</v>
      </c>
      <c r="AB424" s="165"/>
    </row>
    <row r="425" spans="3:28" x14ac:dyDescent="0.2">
      <c r="C425" s="148">
        <v>0.20383641490826632</v>
      </c>
      <c r="D425">
        <f t="shared" si="92"/>
        <v>133.0588571227409</v>
      </c>
      <c r="E425" s="164">
        <v>8936.3363461116351</v>
      </c>
      <c r="F425" s="165">
        <f>E425/'Electrical System Specification'!AC$4</f>
        <v>9118.7105572567707</v>
      </c>
      <c r="G425" s="146">
        <f>F425/('Electrical System Specification'!X$16*'Electrical System Specification'!J$16*'Electrical System Specification'!D$17)</f>
        <v>11353.54170682899</v>
      </c>
      <c r="H425" s="165"/>
      <c r="I425" s="173">
        <f t="shared" si="93"/>
        <v>6871.6622130335309</v>
      </c>
      <c r="J425" s="173">
        <f t="shared" si="94"/>
        <v>7621.6306710664712</v>
      </c>
      <c r="K425" s="174">
        <f>IF(E425&gt;I425,'Electrical System Specification'!AC$4*'Electrical System Specification'!J$16*'Electrical System Specification'!D$16*'Electrical System Specification'!D$17*'Electrical System Specification'!X$16)</f>
        <v>0.70838712000000004</v>
      </c>
      <c r="L425" s="174" t="b">
        <f>IF(E425&lt;I425,'Electrical System Specification'!X$16*'Electrical System Specification'!Q$16*'Electrical System Specification'!AC$4*'Electrical System Specification'!J$16)</f>
        <v>0</v>
      </c>
      <c r="M425" s="174">
        <f t="shared" si="95"/>
        <v>0.70838712000000004</v>
      </c>
      <c r="N425" s="174">
        <f t="shared" si="96"/>
        <v>6330.3855675733448</v>
      </c>
      <c r="O425" s="173">
        <f t="shared" si="97"/>
        <v>2064.6741330781042</v>
      </c>
      <c r="P425" s="174">
        <f t="shared" si="98"/>
        <v>2914.6127516803299</v>
      </c>
      <c r="Q425" s="174">
        <f t="shared" si="106"/>
        <v>8270.8960076684452</v>
      </c>
      <c r="R425" s="174">
        <f t="shared" si="105"/>
        <v>0</v>
      </c>
      <c r="S425" s="165" t="b">
        <f t="shared" si="99"/>
        <v>0</v>
      </c>
      <c r="T425">
        <f t="shared" si="100"/>
        <v>11185.508759348775</v>
      </c>
      <c r="U425" s="176">
        <f t="shared" si="101"/>
        <v>11185.508759348775</v>
      </c>
      <c r="V425" s="165">
        <f>IF(U425&lt;V$5,V$5-U425,IF(U425&gt;=V$5,0))*('Electrical System Specification'!D$16*'Electrical System Specification'!Q$16)</f>
        <v>0</v>
      </c>
      <c r="W425" s="28">
        <f t="shared" si="102"/>
        <v>0</v>
      </c>
      <c r="X425" s="165">
        <f>IF(U425&gt;V$5,U425-V$5,0)*'Electrical System Specification'!D$17</f>
        <v>2154.760318964959</v>
      </c>
      <c r="Y425">
        <f>(X425*C425)*'Electrical System Specification'!D$17</f>
        <v>395.2967565639687</v>
      </c>
      <c r="Z425" s="165">
        <f t="shared" si="103"/>
        <v>-395.2967565639687</v>
      </c>
      <c r="AA425" s="165">
        <f t="shared" si="104"/>
        <v>-93646.077981993556</v>
      </c>
      <c r="AB425" s="165"/>
    </row>
    <row r="426" spans="3:28" x14ac:dyDescent="0.2">
      <c r="C426" s="148">
        <v>0.19844103083690764</v>
      </c>
      <c r="D426">
        <f t="shared" si="92"/>
        <v>133.25729815357781</v>
      </c>
      <c r="E426" s="164">
        <v>9033.1602859967606</v>
      </c>
      <c r="F426" s="165">
        <f>E426/'Electrical System Specification'!AC$4</f>
        <v>9217.5104959150613</v>
      </c>
      <c r="G426" s="146">
        <f>F426/('Electrical System Specification'!X$16*'Electrical System Specification'!J$16*'Electrical System Specification'!D$17)</f>
        <v>11476.555724780943</v>
      </c>
      <c r="H426" s="165"/>
      <c r="I426" s="173">
        <f t="shared" si="93"/>
        <v>6871.6622130335309</v>
      </c>
      <c r="J426" s="173">
        <f t="shared" si="94"/>
        <v>7621.6306710664712</v>
      </c>
      <c r="K426" s="174">
        <f>IF(E426&gt;I426,'Electrical System Specification'!AC$4*'Electrical System Specification'!J$16*'Electrical System Specification'!D$16*'Electrical System Specification'!D$17*'Electrical System Specification'!X$16)</f>
        <v>0.70838712000000004</v>
      </c>
      <c r="L426" s="174" t="b">
        <f>IF(E426&lt;I426,'Electrical System Specification'!X$16*'Electrical System Specification'!Q$16*'Electrical System Specification'!AC$4*'Electrical System Specification'!J$16)</f>
        <v>0</v>
      </c>
      <c r="M426" s="174">
        <f t="shared" si="95"/>
        <v>0.70838712000000004</v>
      </c>
      <c r="N426" s="174">
        <f t="shared" si="96"/>
        <v>6398.9743994956216</v>
      </c>
      <c r="O426" s="173">
        <f t="shared" si="97"/>
        <v>2161.4980729632298</v>
      </c>
      <c r="P426" s="174">
        <f t="shared" si="98"/>
        <v>3051.2949938491679</v>
      </c>
      <c r="Q426" s="174">
        <f t="shared" si="106"/>
        <v>8270.8960076684452</v>
      </c>
      <c r="R426" s="174">
        <f t="shared" si="105"/>
        <v>0</v>
      </c>
      <c r="S426" s="165" t="b">
        <f t="shared" si="99"/>
        <v>0</v>
      </c>
      <c r="T426">
        <f t="shared" si="100"/>
        <v>11322.191001517613</v>
      </c>
      <c r="U426" s="176">
        <f t="shared" si="101"/>
        <v>11322.191001517613</v>
      </c>
      <c r="V426" s="165">
        <f>IF(U426&lt;V$5,V$5-U426,IF(U426&gt;=V$5,0))*('Electrical System Specification'!D$16*'Electrical System Specification'!Q$16)</f>
        <v>0</v>
      </c>
      <c r="W426" s="28">
        <f t="shared" si="102"/>
        <v>0</v>
      </c>
      <c r="X426" s="165">
        <f>IF(U426&gt;V$5,U426-V$5,0)*'Electrical System Specification'!D$17</f>
        <v>2277.7743369169129</v>
      </c>
      <c r="Y426">
        <f>(X426*C426)*'Electrical System Specification'!D$17</f>
        <v>406.8034986884814</v>
      </c>
      <c r="Z426" s="165">
        <f t="shared" si="103"/>
        <v>-406.8034986884814</v>
      </c>
      <c r="AA426" s="165">
        <f t="shared" si="104"/>
        <v>-94052.881480682045</v>
      </c>
      <c r="AB426" s="165"/>
    </row>
    <row r="427" spans="3:28" x14ac:dyDescent="0.2">
      <c r="C427" s="148">
        <v>0.19308051880974655</v>
      </c>
      <c r="D427">
        <f t="shared" si="92"/>
        <v>133.45037867238756</v>
      </c>
      <c r="E427" s="164">
        <v>3173.5043426934617</v>
      </c>
      <c r="F427" s="165">
        <f>E427/'Electrical System Specification'!AC$4</f>
        <v>3238.2697374423078</v>
      </c>
      <c r="G427" s="146">
        <f>F427/('Electrical System Specification'!X$16*'Electrical System Specification'!J$16*'Electrical System Specification'!D$17)</f>
        <v>4031.9111228675579</v>
      </c>
      <c r="H427" s="165"/>
      <c r="I427" s="173">
        <f t="shared" si="93"/>
        <v>6871.6622130335309</v>
      </c>
      <c r="J427" s="173">
        <f t="shared" si="94"/>
        <v>7621.6306710664712</v>
      </c>
      <c r="K427" s="174" t="b">
        <f>IF(E427&gt;I427,'Electrical System Specification'!AC$4*'Electrical System Specification'!J$16*'Electrical System Specification'!D$16*'Electrical System Specification'!D$17*'Electrical System Specification'!X$16)</f>
        <v>0</v>
      </c>
      <c r="L427" s="174">
        <f>IF(E427&lt;I427,'Electrical System Specification'!X$16*'Electrical System Specification'!Q$16*'Electrical System Specification'!AC$4*'Electrical System Specification'!J$16)</f>
        <v>0.83082440000000002</v>
      </c>
      <c r="M427" s="174">
        <f t="shared" si="95"/>
        <v>0.83082440000000002</v>
      </c>
      <c r="N427" s="174">
        <f t="shared" si="96"/>
        <v>2636.6248414156898</v>
      </c>
      <c r="O427" s="173">
        <f t="shared" si="97"/>
        <v>-3698.1578703400692</v>
      </c>
      <c r="P427" s="174" t="b">
        <f t="shared" si="98"/>
        <v>0</v>
      </c>
      <c r="Q427" s="174">
        <f t="shared" si="106"/>
        <v>3173.5043426934617</v>
      </c>
      <c r="R427" s="174">
        <f t="shared" si="105"/>
        <v>3819.7052742955811</v>
      </c>
      <c r="S427" s="165">
        <f t="shared" si="99"/>
        <v>3819.7052742955811</v>
      </c>
      <c r="T427" t="b">
        <f t="shared" si="100"/>
        <v>0</v>
      </c>
      <c r="U427" s="176">
        <f t="shared" si="101"/>
        <v>3819.7052742955811</v>
      </c>
      <c r="V427" s="165">
        <f>IF(U427&lt;V$5,V$5-U427,IF(U427&gt;=V$5,0))*('Electrical System Specification'!D$16*'Electrical System Specification'!Q$16)</f>
        <v>4250.7396767037699</v>
      </c>
      <c r="W427" s="28">
        <f t="shared" si="102"/>
        <v>820.73502210313825</v>
      </c>
      <c r="X427" s="165">
        <f>IF(U427&gt;V$5,U427-V$5,0)*'Electrical System Specification'!D$17</f>
        <v>0</v>
      </c>
      <c r="Y427">
        <f>(X427*C427)*'Electrical System Specification'!D$17</f>
        <v>0</v>
      </c>
      <c r="Z427" s="165">
        <f t="shared" si="103"/>
        <v>820.73502210313825</v>
      </c>
      <c r="AA427" s="165">
        <f t="shared" si="104"/>
        <v>-93232.146458578907</v>
      </c>
      <c r="AB427" s="165"/>
    </row>
    <row r="428" spans="3:28" x14ac:dyDescent="0.2">
      <c r="C428" s="148">
        <v>0.1877620403311743</v>
      </c>
      <c r="D428">
        <f t="shared" si="92"/>
        <v>133.63814071271872</v>
      </c>
      <c r="E428" s="164">
        <v>8253.2119062426591</v>
      </c>
      <c r="F428" s="165">
        <f>E428/'Electrical System Specification'!AC$4</f>
        <v>8421.6448022884269</v>
      </c>
      <c r="G428" s="146">
        <f>F428/('Electrical System Specification'!X$16*'Electrical System Specification'!J$16*'Electrical System Specification'!D$17)</f>
        <v>10485.637733811976</v>
      </c>
      <c r="H428" s="165"/>
      <c r="I428" s="173">
        <f t="shared" si="93"/>
        <v>6871.6622130335309</v>
      </c>
      <c r="J428" s="173">
        <f t="shared" si="94"/>
        <v>7621.6306710664712</v>
      </c>
      <c r="K428" s="174">
        <f>IF(E428&gt;I428,'Electrical System Specification'!AC$4*'Electrical System Specification'!J$16*'Electrical System Specification'!D$16*'Electrical System Specification'!D$17*'Electrical System Specification'!X$16)</f>
        <v>0.70838712000000004</v>
      </c>
      <c r="L428" s="174" t="b">
        <f>IF(E428&lt;I428,'Electrical System Specification'!X$16*'Electrical System Specification'!Q$16*'Electrical System Specification'!AC$4*'Electrical System Specification'!J$16)</f>
        <v>0</v>
      </c>
      <c r="M428" s="174">
        <f t="shared" si="95"/>
        <v>0.70838712000000004</v>
      </c>
      <c r="N428" s="174">
        <f t="shared" si="96"/>
        <v>5846.4690130129475</v>
      </c>
      <c r="O428" s="173">
        <f t="shared" si="97"/>
        <v>1381.5496932091282</v>
      </c>
      <c r="P428" s="174">
        <f t="shared" si="98"/>
        <v>1950.2750038836507</v>
      </c>
      <c r="Q428" s="174">
        <f t="shared" si="106"/>
        <v>8270.8960076684452</v>
      </c>
      <c r="R428" s="174">
        <f t="shared" si="105"/>
        <v>0</v>
      </c>
      <c r="S428" s="165" t="b">
        <f t="shared" si="99"/>
        <v>0</v>
      </c>
      <c r="T428">
        <f t="shared" si="100"/>
        <v>10221.171011552096</v>
      </c>
      <c r="U428" s="176">
        <f t="shared" si="101"/>
        <v>10221.171011552096</v>
      </c>
      <c r="V428" s="165">
        <f>IF(U428&lt;V$5,V$5-U428,IF(U428&gt;=V$5,0))*('Electrical System Specification'!D$16*'Electrical System Specification'!Q$16)</f>
        <v>0</v>
      </c>
      <c r="W428" s="28">
        <f t="shared" si="102"/>
        <v>0</v>
      </c>
      <c r="X428" s="165">
        <f>IF(U428&gt;V$5,U428-V$5,0)*'Electrical System Specification'!D$17</f>
        <v>1286.8563459479481</v>
      </c>
      <c r="Y428">
        <f>(X428*C428)*'Electrical System Specification'!D$17</f>
        <v>217.46049581547561</v>
      </c>
      <c r="Z428" s="165">
        <f t="shared" si="103"/>
        <v>-217.46049581547561</v>
      </c>
      <c r="AA428" s="165">
        <f t="shared" si="104"/>
        <v>-93449.606954394389</v>
      </c>
      <c r="AB428" s="165"/>
    </row>
    <row r="429" spans="3:28" x14ac:dyDescent="0.2">
      <c r="C429" s="148">
        <v>0.18285203829198374</v>
      </c>
      <c r="D429">
        <f t="shared" si="92"/>
        <v>133.82099275101072</v>
      </c>
      <c r="E429" s="164">
        <v>3014.721736766166</v>
      </c>
      <c r="F429" s="165">
        <f>E429/'Electrical System Specification'!AC$4</f>
        <v>3076.2466701695571</v>
      </c>
      <c r="G429" s="146">
        <f>F429/('Electrical System Specification'!X$16*'Electrical System Specification'!J$16*'Electrical System Specification'!D$17)</f>
        <v>3830.1791301478625</v>
      </c>
      <c r="H429" s="165"/>
      <c r="I429" s="173">
        <f t="shared" si="93"/>
        <v>6871.6622130335309</v>
      </c>
      <c r="J429" s="173">
        <f t="shared" si="94"/>
        <v>7621.6306710664712</v>
      </c>
      <c r="K429" s="174" t="b">
        <f>IF(E429&gt;I429,'Electrical System Specification'!AC$4*'Electrical System Specification'!J$16*'Electrical System Specification'!D$16*'Electrical System Specification'!D$17*'Electrical System Specification'!X$16)</f>
        <v>0</v>
      </c>
      <c r="L429" s="174">
        <f>IF(E429&lt;I429,'Electrical System Specification'!X$16*'Electrical System Specification'!Q$16*'Electrical System Specification'!AC$4*'Electrical System Specification'!J$16)</f>
        <v>0.83082440000000002</v>
      </c>
      <c r="M429" s="174">
        <f t="shared" si="95"/>
        <v>0.83082440000000002</v>
      </c>
      <c r="N429" s="174">
        <f t="shared" si="96"/>
        <v>2504.7043781157081</v>
      </c>
      <c r="O429" s="173">
        <f t="shared" si="97"/>
        <v>-3856.9404762673648</v>
      </c>
      <c r="P429" s="174" t="b">
        <f t="shared" si="98"/>
        <v>0</v>
      </c>
      <c r="Q429" s="174">
        <f t="shared" si="106"/>
        <v>3014.721736766166</v>
      </c>
      <c r="R429" s="174">
        <f t="shared" si="105"/>
        <v>3628.5907548769223</v>
      </c>
      <c r="S429" s="165">
        <f t="shared" si="99"/>
        <v>3628.5907548769223</v>
      </c>
      <c r="T429" t="b">
        <f t="shared" si="100"/>
        <v>0</v>
      </c>
      <c r="U429" s="176">
        <f t="shared" si="101"/>
        <v>3628.5907548769223</v>
      </c>
      <c r="V429" s="165">
        <f>IF(U429&lt;V$5,V$5-U429,IF(U429&gt;=V$5,0))*('Electrical System Specification'!D$16*'Electrical System Specification'!Q$16)</f>
        <v>4414.1425908067222</v>
      </c>
      <c r="W429" s="28">
        <f t="shared" si="102"/>
        <v>807.13497004046701</v>
      </c>
      <c r="X429" s="165">
        <f>IF(U429&gt;V$5,U429-V$5,0)*'Electrical System Specification'!D$17</f>
        <v>0</v>
      </c>
      <c r="Y429">
        <f>(X429*C429)*'Electrical System Specification'!D$17</f>
        <v>0</v>
      </c>
      <c r="Z429" s="165">
        <f t="shared" si="103"/>
        <v>807.13497004046701</v>
      </c>
      <c r="AA429" s="165">
        <f t="shared" si="104"/>
        <v>-92642.471984353921</v>
      </c>
      <c r="AB429" s="165"/>
    </row>
    <row r="430" spans="3:28" x14ac:dyDescent="0.2">
      <c r="C430" s="148">
        <v>0.17799713121697103</v>
      </c>
      <c r="D430">
        <f t="shared" si="92"/>
        <v>133.9989898822277</v>
      </c>
      <c r="E430" s="164">
        <v>0</v>
      </c>
      <c r="F430" s="165">
        <f>E430/'Electrical System Specification'!AC$4</f>
        <v>0</v>
      </c>
      <c r="G430" s="146">
        <f>F430/('Electrical System Specification'!X$16*'Electrical System Specification'!J$16*'Electrical System Specification'!D$17)</f>
        <v>0</v>
      </c>
      <c r="H430" s="165"/>
      <c r="I430" s="173">
        <f t="shared" si="93"/>
        <v>6871.6622130335309</v>
      </c>
      <c r="J430" s="173">
        <f t="shared" si="94"/>
        <v>7621.6306710664712</v>
      </c>
      <c r="K430" s="174" t="b">
        <f>IF(E430&gt;I430,'Electrical System Specification'!AC$4*'Electrical System Specification'!J$16*'Electrical System Specification'!D$16*'Electrical System Specification'!D$17*'Electrical System Specification'!X$16)</f>
        <v>0</v>
      </c>
      <c r="L430" s="174">
        <f>IF(E430&lt;I430,'Electrical System Specification'!X$16*'Electrical System Specification'!Q$16*'Electrical System Specification'!AC$4*'Electrical System Specification'!J$16)</f>
        <v>0.83082440000000002</v>
      </c>
      <c r="M430" s="174">
        <f t="shared" si="95"/>
        <v>0.83082440000000002</v>
      </c>
      <c r="N430" s="174">
        <f t="shared" si="96"/>
        <v>0</v>
      </c>
      <c r="O430" s="173">
        <f t="shared" si="97"/>
        <v>-6871.6622130335309</v>
      </c>
      <c r="P430" s="174" t="b">
        <f t="shared" si="98"/>
        <v>0</v>
      </c>
      <c r="Q430" s="174">
        <f t="shared" si="106"/>
        <v>0</v>
      </c>
      <c r="R430" s="174">
        <f t="shared" si="105"/>
        <v>0</v>
      </c>
      <c r="S430" s="165">
        <f t="shared" si="99"/>
        <v>0</v>
      </c>
      <c r="T430" t="b">
        <f t="shared" si="100"/>
        <v>0</v>
      </c>
      <c r="U430" s="176">
        <f t="shared" si="101"/>
        <v>0</v>
      </c>
      <c r="V430" s="165">
        <f>IF(U430&lt;V$5,V$5-U430,IF(U430&gt;=V$5,0))*('Electrical System Specification'!D$16*'Electrical System Specification'!Q$16)</f>
        <v>7516.5876862264913</v>
      </c>
      <c r="W430" s="28">
        <f t="shared" si="102"/>
        <v>1337.9310446891254</v>
      </c>
      <c r="X430" s="165">
        <f>IF(U430&gt;V$5,U430-V$5,0)*'Electrical System Specification'!D$17</f>
        <v>0</v>
      </c>
      <c r="Y430">
        <f>(X430*C430)*'Electrical System Specification'!D$17</f>
        <v>0</v>
      </c>
      <c r="Z430" s="165">
        <f t="shared" si="103"/>
        <v>1337.9310446891254</v>
      </c>
      <c r="AA430" s="165">
        <f t="shared" si="104"/>
        <v>-91304.540939664788</v>
      </c>
      <c r="AB430" s="165"/>
    </row>
    <row r="431" spans="3:28" x14ac:dyDescent="0.2">
      <c r="C431" s="148">
        <v>0.17311132767403248</v>
      </c>
      <c r="D431">
        <f t="shared" si="92"/>
        <v>134.17210120990174</v>
      </c>
      <c r="E431" s="164">
        <v>2795.128700768385</v>
      </c>
      <c r="F431" s="165">
        <f>E431/'Electrical System Specification'!AC$4</f>
        <v>2852.172143641209</v>
      </c>
      <c r="G431" s="146">
        <f>F431/('Electrical System Specification'!X$16*'Electrical System Specification'!J$16*'Electrical System Specification'!D$17)</f>
        <v>3551.1879870028502</v>
      </c>
      <c r="H431" s="165"/>
      <c r="I431" s="173">
        <f t="shared" si="93"/>
        <v>6871.6622130335309</v>
      </c>
      <c r="J431" s="173">
        <f t="shared" si="94"/>
        <v>7621.6306710664712</v>
      </c>
      <c r="K431" s="174" t="b">
        <f>IF(E431&gt;I431,'Electrical System Specification'!AC$4*'Electrical System Specification'!J$16*'Electrical System Specification'!D$16*'Electrical System Specification'!D$17*'Electrical System Specification'!X$16)</f>
        <v>0</v>
      </c>
      <c r="L431" s="174">
        <f>IF(E431&lt;I431,'Electrical System Specification'!X$16*'Electrical System Specification'!Q$16*'Electrical System Specification'!AC$4*'Electrical System Specification'!J$16)</f>
        <v>0.83082440000000002</v>
      </c>
      <c r="M431" s="174">
        <f t="shared" si="95"/>
        <v>0.83082440000000002</v>
      </c>
      <c r="N431" s="174">
        <f t="shared" si="96"/>
        <v>2322.2611257386729</v>
      </c>
      <c r="O431" s="173">
        <f t="shared" si="97"/>
        <v>-4076.5335122651459</v>
      </c>
      <c r="P431" s="174" t="b">
        <f t="shared" si="98"/>
        <v>0</v>
      </c>
      <c r="Q431" s="174">
        <f t="shared" si="106"/>
        <v>2795.128700768385</v>
      </c>
      <c r="R431" s="174">
        <f t="shared" si="105"/>
        <v>3364.2833561079633</v>
      </c>
      <c r="S431" s="165">
        <f t="shared" si="99"/>
        <v>3364.2833561079633</v>
      </c>
      <c r="T431" t="b">
        <f t="shared" si="100"/>
        <v>0</v>
      </c>
      <c r="U431" s="176">
        <f t="shared" si="101"/>
        <v>3364.2833561079633</v>
      </c>
      <c r="V431" s="165">
        <f>IF(U431&lt;V$5,V$5-U431,IF(U431&gt;=V$5,0))*('Electrical System Specification'!D$16*'Electrical System Specification'!Q$16)</f>
        <v>4640.1254167541829</v>
      </c>
      <c r="W431" s="28">
        <f t="shared" si="102"/>
        <v>803.2582714683399</v>
      </c>
      <c r="X431" s="165">
        <f>IF(U431&gt;V$5,U431-V$5,0)*'Electrical System Specification'!D$17</f>
        <v>0</v>
      </c>
      <c r="Y431">
        <f>(X431*C431)*'Electrical System Specification'!D$17</f>
        <v>0</v>
      </c>
      <c r="Z431" s="165">
        <f t="shared" si="103"/>
        <v>803.2582714683399</v>
      </c>
      <c r="AA431" s="165">
        <f t="shared" si="104"/>
        <v>-90501.282668196451</v>
      </c>
      <c r="AB431" s="165"/>
    </row>
    <row r="432" spans="3:28" x14ac:dyDescent="0.2">
      <c r="C432" s="148">
        <v>0.1680529794830373</v>
      </c>
      <c r="D432">
        <f t="shared" si="92"/>
        <v>134.34015418938478</v>
      </c>
      <c r="E432" s="164">
        <v>8482.7895723044257</v>
      </c>
      <c r="F432" s="165">
        <f>E432/'Electrical System Specification'!AC$4</f>
        <v>8655.9077268412511</v>
      </c>
      <c r="G432" s="146">
        <f>F432/('Electrical System Specification'!X$16*'Electrical System Specification'!J$16*'Electrical System Specification'!D$17)</f>
        <v>10777.31426719614</v>
      </c>
      <c r="H432" s="165"/>
      <c r="I432" s="173">
        <f t="shared" si="93"/>
        <v>6871.6622130335309</v>
      </c>
      <c r="J432" s="173">
        <f t="shared" si="94"/>
        <v>7621.6306710664712</v>
      </c>
      <c r="K432" s="174">
        <f>IF(E432&gt;I432,'Electrical System Specification'!AC$4*'Electrical System Specification'!J$16*'Electrical System Specification'!D$16*'Electrical System Specification'!D$17*'Electrical System Specification'!X$16)</f>
        <v>0.70838712000000004</v>
      </c>
      <c r="L432" s="174" t="b">
        <f>IF(E432&lt;I432,'Electrical System Specification'!X$16*'Electrical System Specification'!Q$16*'Electrical System Specification'!AC$4*'Electrical System Specification'!J$16)</f>
        <v>0</v>
      </c>
      <c r="M432" s="174">
        <f t="shared" si="95"/>
        <v>0.70838712000000004</v>
      </c>
      <c r="N432" s="174">
        <f t="shared" si="96"/>
        <v>6009.0988746907642</v>
      </c>
      <c r="O432" s="173">
        <f t="shared" si="97"/>
        <v>1611.1273592708949</v>
      </c>
      <c r="P432" s="174">
        <f t="shared" si="98"/>
        <v>2274.3600409771634</v>
      </c>
      <c r="Q432" s="174">
        <f t="shared" si="106"/>
        <v>8270.8960076684452</v>
      </c>
      <c r="R432" s="174">
        <f t="shared" si="105"/>
        <v>0</v>
      </c>
      <c r="S432" s="165" t="b">
        <f t="shared" si="99"/>
        <v>0</v>
      </c>
      <c r="T432">
        <f t="shared" si="100"/>
        <v>10545.25604864561</v>
      </c>
      <c r="U432" s="176">
        <f t="shared" si="101"/>
        <v>10545.25604864561</v>
      </c>
      <c r="V432" s="165">
        <f>IF(U432&lt;V$5,V$5-U432,IF(U432&gt;=V$5,0))*('Electrical System Specification'!D$16*'Electrical System Specification'!Q$16)</f>
        <v>0</v>
      </c>
      <c r="W432" s="28">
        <f t="shared" si="102"/>
        <v>0</v>
      </c>
      <c r="X432" s="165">
        <f>IF(U432&gt;V$5,U432-V$5,0)*'Electrical System Specification'!D$17</f>
        <v>1578.53287933211</v>
      </c>
      <c r="Y432">
        <f>(X432*C432)*'Electrical System Specification'!D$17</f>
        <v>238.74943822532899</v>
      </c>
      <c r="Z432" s="165">
        <f t="shared" si="103"/>
        <v>-238.74943822532899</v>
      </c>
      <c r="AA432" s="165">
        <f t="shared" si="104"/>
        <v>-90740.032106421786</v>
      </c>
      <c r="AB432" s="165"/>
    </row>
    <row r="433" spans="3:28" x14ac:dyDescent="0.2">
      <c r="C433" s="148">
        <v>0.16307065027232898</v>
      </c>
      <c r="D433">
        <f t="shared" si="92"/>
        <v>134.50322483965709</v>
      </c>
      <c r="E433" s="164">
        <v>2827.4869989526278</v>
      </c>
      <c r="F433" s="165">
        <f>E433/'Electrical System Specification'!AC$4</f>
        <v>2885.1908152577835</v>
      </c>
      <c r="G433" s="146">
        <f>F433/('Electrical System Specification'!X$16*'Electrical System Specification'!J$16*'Electrical System Specification'!D$17)</f>
        <v>3592.2989382660785</v>
      </c>
      <c r="H433" s="165"/>
      <c r="I433" s="173">
        <f t="shared" si="93"/>
        <v>6871.6622130335309</v>
      </c>
      <c r="J433" s="173">
        <f t="shared" si="94"/>
        <v>7621.6306710664712</v>
      </c>
      <c r="K433" s="174" t="b">
        <f>IF(E433&gt;I433,'Electrical System Specification'!AC$4*'Electrical System Specification'!J$16*'Electrical System Specification'!D$16*'Electrical System Specification'!D$17*'Electrical System Specification'!X$16)</f>
        <v>0</v>
      </c>
      <c r="L433" s="174">
        <f>IF(E433&lt;I433,'Electrical System Specification'!X$16*'Electrical System Specification'!Q$16*'Electrical System Specification'!AC$4*'Electrical System Specification'!J$16)</f>
        <v>0.83082440000000002</v>
      </c>
      <c r="M433" s="174">
        <f t="shared" si="95"/>
        <v>0.83082440000000002</v>
      </c>
      <c r="N433" s="174">
        <f t="shared" si="96"/>
        <v>2349.1451894126176</v>
      </c>
      <c r="O433" s="173">
        <f t="shared" si="97"/>
        <v>-4044.1752140809031</v>
      </c>
      <c r="P433" s="174" t="b">
        <f t="shared" si="98"/>
        <v>0</v>
      </c>
      <c r="Q433" s="174">
        <f t="shared" si="106"/>
        <v>2827.4869989526278</v>
      </c>
      <c r="R433" s="174">
        <f t="shared" si="105"/>
        <v>3403.2305730941794</v>
      </c>
      <c r="S433" s="165">
        <f t="shared" si="99"/>
        <v>3403.2305730941794</v>
      </c>
      <c r="T433" t="b">
        <f t="shared" si="100"/>
        <v>0</v>
      </c>
      <c r="U433" s="176">
        <f t="shared" si="101"/>
        <v>3403.2305730941794</v>
      </c>
      <c r="V433" s="165">
        <f>IF(U433&lt;V$5,V$5-U433,IF(U433&gt;=V$5,0))*('Electrical System Specification'!D$16*'Electrical System Specification'!Q$16)</f>
        <v>4606.8255462309689</v>
      </c>
      <c r="W433" s="28">
        <f t="shared" si="102"/>
        <v>751.23803751506125</v>
      </c>
      <c r="X433" s="165">
        <f>IF(U433&gt;V$5,U433-V$5,0)*'Electrical System Specification'!D$17</f>
        <v>0</v>
      </c>
      <c r="Y433">
        <f>(X433*C433)*'Electrical System Specification'!D$17</f>
        <v>0</v>
      </c>
      <c r="Z433" s="165">
        <f t="shared" si="103"/>
        <v>751.23803751506125</v>
      </c>
      <c r="AA433" s="165">
        <f t="shared" si="104"/>
        <v>-89988.794068906718</v>
      </c>
      <c r="AB433" s="165"/>
    </row>
    <row r="434" spans="3:28" x14ac:dyDescent="0.2">
      <c r="C434" s="148">
        <v>0.15862815335102889</v>
      </c>
      <c r="D434">
        <f t="shared" si="92"/>
        <v>134.66185299300813</v>
      </c>
      <c r="E434" s="164">
        <v>8860.1844589240736</v>
      </c>
      <c r="F434" s="165">
        <f>E434/'Electrical System Specification'!AC$4</f>
        <v>9041.0045499225234</v>
      </c>
      <c r="G434" s="146">
        <f>F434/('Electrical System Specification'!X$16*'Electrical System Specification'!J$16*'Electrical System Specification'!D$17)</f>
        <v>11256.791361525131</v>
      </c>
      <c r="H434" s="165"/>
      <c r="I434" s="173">
        <f t="shared" si="93"/>
        <v>6871.6622130335309</v>
      </c>
      <c r="J434" s="173">
        <f t="shared" si="94"/>
        <v>7621.6306710664712</v>
      </c>
      <c r="K434" s="174">
        <f>IF(E434&gt;I434,'Electrical System Specification'!AC$4*'Electrical System Specification'!J$16*'Electrical System Specification'!D$16*'Electrical System Specification'!D$17*'Electrical System Specification'!X$16)</f>
        <v>0.70838712000000004</v>
      </c>
      <c r="L434" s="174" t="b">
        <f>IF(E434&lt;I434,'Electrical System Specification'!X$16*'Electrical System Specification'!Q$16*'Electrical System Specification'!AC$4*'Electrical System Specification'!J$16)</f>
        <v>0</v>
      </c>
      <c r="M434" s="174">
        <f t="shared" si="95"/>
        <v>0.70838712000000004</v>
      </c>
      <c r="N434" s="174">
        <f t="shared" si="96"/>
        <v>6276.4405515259832</v>
      </c>
      <c r="O434" s="173">
        <f t="shared" si="97"/>
        <v>1988.5222458905428</v>
      </c>
      <c r="P434" s="174">
        <f t="shared" si="98"/>
        <v>2807.112368009377</v>
      </c>
      <c r="Q434" s="174">
        <f t="shared" si="106"/>
        <v>8270.8960076684452</v>
      </c>
      <c r="R434" s="174">
        <f t="shared" si="105"/>
        <v>0</v>
      </c>
      <c r="S434" s="165" t="b">
        <f t="shared" si="99"/>
        <v>0</v>
      </c>
      <c r="T434">
        <f t="shared" si="100"/>
        <v>11078.008375677822</v>
      </c>
      <c r="U434" s="176">
        <f t="shared" si="101"/>
        <v>11078.008375677822</v>
      </c>
      <c r="V434" s="165">
        <f>IF(U434&lt;V$5,V$5-U434,IF(U434&gt;=V$5,0))*('Electrical System Specification'!D$16*'Electrical System Specification'!Q$16)</f>
        <v>0</v>
      </c>
      <c r="W434" s="28">
        <f t="shared" si="102"/>
        <v>0</v>
      </c>
      <c r="X434" s="165">
        <f>IF(U434&gt;V$5,U434-V$5,0)*'Electrical System Specification'!D$17</f>
        <v>2058.0099736611014</v>
      </c>
      <c r="Y434">
        <f>(X434*C434)*'Electrical System Specification'!D$17</f>
        <v>293.81248952987409</v>
      </c>
      <c r="Z434" s="165">
        <f t="shared" si="103"/>
        <v>-293.81248952987409</v>
      </c>
      <c r="AA434" s="165">
        <f t="shared" si="104"/>
        <v>-90282.606558436586</v>
      </c>
      <c r="AB434" s="165"/>
    </row>
    <row r="435" spans="3:28" x14ac:dyDescent="0.2">
      <c r="C435" s="148">
        <v>0.15433060894490444</v>
      </c>
      <c r="D435">
        <f t="shared" si="92"/>
        <v>134.81618360195304</v>
      </c>
      <c r="E435" s="164">
        <v>8933.0961251709105</v>
      </c>
      <c r="F435" s="165">
        <f>E435/'Electrical System Specification'!AC$4</f>
        <v>9115.404209358072</v>
      </c>
      <c r="G435" s="146">
        <f>F435/('Electrical System Specification'!X$16*'Electrical System Specification'!J$16*'Electrical System Specification'!D$17)</f>
        <v>11349.425032817959</v>
      </c>
      <c r="H435" s="165"/>
      <c r="I435" s="173">
        <f t="shared" si="93"/>
        <v>6871.6622130335309</v>
      </c>
      <c r="J435" s="173">
        <f t="shared" si="94"/>
        <v>7621.6306710664712</v>
      </c>
      <c r="K435" s="174">
        <f>IF(E435&gt;I435,'Electrical System Specification'!AC$4*'Electrical System Specification'!J$16*'Electrical System Specification'!D$16*'Electrical System Specification'!D$17*'Electrical System Specification'!X$16)</f>
        <v>0.70838712000000004</v>
      </c>
      <c r="L435" s="174" t="b">
        <f>IF(E435&lt;I435,'Electrical System Specification'!X$16*'Electrical System Specification'!Q$16*'Electrical System Specification'!AC$4*'Electrical System Specification'!J$16)</f>
        <v>0</v>
      </c>
      <c r="M435" s="174">
        <f t="shared" si="95"/>
        <v>0.70838712000000004</v>
      </c>
      <c r="N435" s="174">
        <f t="shared" si="96"/>
        <v>6328.0902367929812</v>
      </c>
      <c r="O435" s="173">
        <f t="shared" si="97"/>
        <v>2061.4339121373796</v>
      </c>
      <c r="P435" s="174">
        <f t="shared" si="98"/>
        <v>2910.0386694458525</v>
      </c>
      <c r="Q435" s="174">
        <f t="shared" si="106"/>
        <v>8270.8960076684452</v>
      </c>
      <c r="R435" s="174">
        <f t="shared" si="105"/>
        <v>0</v>
      </c>
      <c r="S435" s="165" t="b">
        <f t="shared" si="99"/>
        <v>0</v>
      </c>
      <c r="T435">
        <f t="shared" si="100"/>
        <v>11180.934677114297</v>
      </c>
      <c r="U435" s="176">
        <f t="shared" si="101"/>
        <v>11180.934677114297</v>
      </c>
      <c r="V435" s="165">
        <f>IF(U435&lt;V$5,V$5-U435,IF(U435&gt;=V$5,0))*('Electrical System Specification'!D$16*'Electrical System Specification'!Q$16)</f>
        <v>0</v>
      </c>
      <c r="W435" s="28">
        <f t="shared" si="102"/>
        <v>0</v>
      </c>
      <c r="X435" s="165">
        <f>IF(U435&gt;V$5,U435-V$5,0)*'Electrical System Specification'!D$17</f>
        <v>2150.6436449539292</v>
      </c>
      <c r="Y435">
        <f>(X435*C435)*'Electrical System Specification'!D$17</f>
        <v>298.71912901430591</v>
      </c>
      <c r="Z435" s="165">
        <f t="shared" si="103"/>
        <v>-298.71912901430591</v>
      </c>
      <c r="AA435" s="165">
        <f t="shared" si="104"/>
        <v>-90581.325687450895</v>
      </c>
      <c r="AB435" s="165"/>
    </row>
    <row r="436" spans="3:28" x14ac:dyDescent="0.2">
      <c r="C436" s="148">
        <v>0.15546663202049291</v>
      </c>
      <c r="D436">
        <f t="shared" si="92"/>
        <v>134.97165023397355</v>
      </c>
      <c r="E436" s="164">
        <v>0</v>
      </c>
      <c r="F436" s="165">
        <f>E436/'Electrical System Specification'!AC$4</f>
        <v>0</v>
      </c>
      <c r="G436" s="146">
        <f>F436/('Electrical System Specification'!X$16*'Electrical System Specification'!J$16*'Electrical System Specification'!D$17)</f>
        <v>0</v>
      </c>
      <c r="H436" s="165"/>
      <c r="I436" s="173">
        <f t="shared" si="93"/>
        <v>6871.6622130335309</v>
      </c>
      <c r="J436" s="173">
        <f t="shared" si="94"/>
        <v>7621.6306710664712</v>
      </c>
      <c r="K436" s="174" t="b">
        <f>IF(E436&gt;I436,'Electrical System Specification'!AC$4*'Electrical System Specification'!J$16*'Electrical System Specification'!D$16*'Electrical System Specification'!D$17*'Electrical System Specification'!X$16)</f>
        <v>0</v>
      </c>
      <c r="L436" s="174">
        <f>IF(E436&lt;I436,'Electrical System Specification'!X$16*'Electrical System Specification'!Q$16*'Electrical System Specification'!AC$4*'Electrical System Specification'!J$16)</f>
        <v>0.83082440000000002</v>
      </c>
      <c r="M436" s="174">
        <f t="shared" si="95"/>
        <v>0.83082440000000002</v>
      </c>
      <c r="N436" s="174">
        <f t="shared" si="96"/>
        <v>0</v>
      </c>
      <c r="O436" s="173">
        <f t="shared" si="97"/>
        <v>-6871.6622130335309</v>
      </c>
      <c r="P436" s="174" t="b">
        <f t="shared" si="98"/>
        <v>0</v>
      </c>
      <c r="Q436" s="174">
        <f t="shared" si="106"/>
        <v>0</v>
      </c>
      <c r="R436" s="174">
        <f t="shared" si="105"/>
        <v>0</v>
      </c>
      <c r="S436" s="165">
        <f t="shared" si="99"/>
        <v>0</v>
      </c>
      <c r="T436" t="b">
        <f t="shared" si="100"/>
        <v>0</v>
      </c>
      <c r="U436" s="176">
        <f t="shared" si="101"/>
        <v>0</v>
      </c>
      <c r="V436" s="165">
        <f>IF(U436&lt;V$5,V$5-U436,IF(U436&gt;=V$5,0))*('Electrical System Specification'!D$16*'Electrical System Specification'!Q$16)</f>
        <v>7516.5876862264913</v>
      </c>
      <c r="W436" s="28">
        <f t="shared" si="102"/>
        <v>1168.5785718643422</v>
      </c>
      <c r="X436" s="165">
        <f>IF(U436&gt;V$5,U436-V$5,0)*'Electrical System Specification'!D$17</f>
        <v>0</v>
      </c>
      <c r="Y436">
        <f>(X436*C436)*'Electrical System Specification'!D$17</f>
        <v>0</v>
      </c>
      <c r="Z436" s="165">
        <f t="shared" si="103"/>
        <v>1168.5785718643422</v>
      </c>
      <c r="AA436" s="165">
        <f t="shared" si="104"/>
        <v>-89412.74711558655</v>
      </c>
      <c r="AB436" s="165"/>
    </row>
    <row r="437" spans="3:28" x14ac:dyDescent="0.2">
      <c r="C437" s="148">
        <v>0.15449574883171457</v>
      </c>
      <c r="D437">
        <f t="shared" si="92"/>
        <v>135.12614598280527</v>
      </c>
      <c r="E437" s="164">
        <v>0</v>
      </c>
      <c r="F437" s="165">
        <f>E437/'Electrical System Specification'!AC$4</f>
        <v>0</v>
      </c>
      <c r="G437" s="146">
        <f>F437/('Electrical System Specification'!X$16*'Electrical System Specification'!J$16*'Electrical System Specification'!D$17)</f>
        <v>0</v>
      </c>
      <c r="H437" s="165"/>
      <c r="I437" s="173">
        <f t="shared" si="93"/>
        <v>6871.6622130335309</v>
      </c>
      <c r="J437" s="173">
        <f t="shared" si="94"/>
        <v>7621.6306710664712</v>
      </c>
      <c r="K437" s="174" t="b">
        <f>IF(E437&gt;I437,'Electrical System Specification'!AC$4*'Electrical System Specification'!J$16*'Electrical System Specification'!D$16*'Electrical System Specification'!D$17*'Electrical System Specification'!X$16)</f>
        <v>0</v>
      </c>
      <c r="L437" s="174">
        <f>IF(E437&lt;I437,'Electrical System Specification'!X$16*'Electrical System Specification'!Q$16*'Electrical System Specification'!AC$4*'Electrical System Specification'!J$16)</f>
        <v>0.83082440000000002</v>
      </c>
      <c r="M437" s="174">
        <f t="shared" si="95"/>
        <v>0.83082440000000002</v>
      </c>
      <c r="N437" s="174">
        <f t="shared" si="96"/>
        <v>0</v>
      </c>
      <c r="O437" s="173">
        <f t="shared" si="97"/>
        <v>-6871.6622130335309</v>
      </c>
      <c r="P437" s="174" t="b">
        <f t="shared" si="98"/>
        <v>0</v>
      </c>
      <c r="Q437" s="174">
        <f t="shared" si="106"/>
        <v>0</v>
      </c>
      <c r="R437" s="174">
        <f t="shared" si="105"/>
        <v>0</v>
      </c>
      <c r="S437" s="165">
        <f t="shared" si="99"/>
        <v>0</v>
      </c>
      <c r="T437" t="b">
        <f t="shared" si="100"/>
        <v>0</v>
      </c>
      <c r="U437" s="176">
        <f t="shared" si="101"/>
        <v>0</v>
      </c>
      <c r="V437" s="165">
        <f>IF(U437&lt;V$5,V$5-U437,IF(U437&gt;=V$5,0))*('Electrical System Specification'!D$16*'Electrical System Specification'!Q$16)</f>
        <v>7516.5876862264913</v>
      </c>
      <c r="W437" s="28">
        <f t="shared" si="102"/>
        <v>1161.2808432428067</v>
      </c>
      <c r="X437" s="165">
        <f>IF(U437&gt;V$5,U437-V$5,0)*'Electrical System Specification'!D$17</f>
        <v>0</v>
      </c>
      <c r="Y437">
        <f>(X437*C437)*'Electrical System Specification'!D$17</f>
        <v>0</v>
      </c>
      <c r="Z437" s="165">
        <f t="shared" si="103"/>
        <v>1161.2808432428067</v>
      </c>
      <c r="AA437" s="165">
        <f t="shared" si="104"/>
        <v>-88251.466272343736</v>
      </c>
      <c r="AB437" s="165"/>
    </row>
    <row r="438" spans="3:28" x14ac:dyDescent="0.2">
      <c r="C438" s="148">
        <v>8.9338706255226885</v>
      </c>
      <c r="D438">
        <f t="shared" si="92"/>
        <v>144.06001660832797</v>
      </c>
      <c r="E438" s="164">
        <v>0</v>
      </c>
      <c r="F438" s="165">
        <f>E438/'Electrical System Specification'!AC$4</f>
        <v>0</v>
      </c>
      <c r="G438" s="146">
        <f>F438/('Electrical System Specification'!X$16*'Electrical System Specification'!J$16*'Electrical System Specification'!D$17)</f>
        <v>0</v>
      </c>
      <c r="H438" s="165"/>
      <c r="I438" s="173">
        <f t="shared" si="93"/>
        <v>6871.6622130335309</v>
      </c>
      <c r="J438" s="173">
        <f t="shared" si="94"/>
        <v>7621.6306710664712</v>
      </c>
      <c r="K438" s="174" t="b">
        <f>IF(E438&gt;I438,'Electrical System Specification'!AC$4*'Electrical System Specification'!J$16*'Electrical System Specification'!D$16*'Electrical System Specification'!D$17*'Electrical System Specification'!X$16)</f>
        <v>0</v>
      </c>
      <c r="L438" s="174">
        <f>IF(E438&lt;I438,'Electrical System Specification'!X$16*'Electrical System Specification'!Q$16*'Electrical System Specification'!AC$4*'Electrical System Specification'!J$16)</f>
        <v>0.83082440000000002</v>
      </c>
      <c r="M438" s="174">
        <f t="shared" si="95"/>
        <v>0.83082440000000002</v>
      </c>
      <c r="N438" s="174">
        <f t="shared" si="96"/>
        <v>0</v>
      </c>
      <c r="O438" s="173">
        <f t="shared" si="97"/>
        <v>-6871.6622130335309</v>
      </c>
      <c r="P438" s="174" t="b">
        <f t="shared" si="98"/>
        <v>0</v>
      </c>
      <c r="Q438" s="174">
        <f t="shared" si="106"/>
        <v>0</v>
      </c>
      <c r="R438" s="174">
        <f t="shared" si="105"/>
        <v>0</v>
      </c>
      <c r="S438" s="165">
        <f t="shared" si="99"/>
        <v>0</v>
      </c>
      <c r="T438" t="b">
        <f t="shared" si="100"/>
        <v>0</v>
      </c>
      <c r="U438" s="176">
        <f t="shared" si="101"/>
        <v>0</v>
      </c>
      <c r="V438" s="165">
        <f>IF(U438&lt;V$5,V$5-U438,IF(U438&gt;=V$5,0))*('Electrical System Specification'!D$16*'Electrical System Specification'!Q$16)</f>
        <v>7516.5876862264913</v>
      </c>
      <c r="W438" s="28">
        <f t="shared" si="102"/>
        <v>67152.2219341444</v>
      </c>
      <c r="X438" s="165">
        <f>IF(U438&gt;V$5,U438-V$5,0)*'Electrical System Specification'!D$17</f>
        <v>0</v>
      </c>
      <c r="Y438">
        <f>(X438*C438)*'Electrical System Specification'!D$17</f>
        <v>0</v>
      </c>
      <c r="Z438" s="165">
        <f t="shared" si="103"/>
        <v>67152.2219341444</v>
      </c>
      <c r="AA438" s="165">
        <f t="shared" si="104"/>
        <v>-21099.244338199336</v>
      </c>
      <c r="AB438" s="165"/>
    </row>
    <row r="439" spans="3:28" x14ac:dyDescent="0.2">
      <c r="C439" s="148">
        <v>0.16374396992775886</v>
      </c>
      <c r="D439">
        <f t="shared" si="92"/>
        <v>144.22376057825574</v>
      </c>
      <c r="E439" s="164">
        <v>0</v>
      </c>
      <c r="F439" s="165">
        <f>E439/'Electrical System Specification'!AC$4</f>
        <v>0</v>
      </c>
      <c r="G439" s="146">
        <f>F439/('Electrical System Specification'!X$16*'Electrical System Specification'!J$16*'Electrical System Specification'!D$17)</f>
        <v>0</v>
      </c>
      <c r="H439" s="165"/>
      <c r="I439" s="173">
        <f t="shared" si="93"/>
        <v>6871.6622130335309</v>
      </c>
      <c r="J439" s="173">
        <f t="shared" si="94"/>
        <v>7621.6306710664712</v>
      </c>
      <c r="K439" s="174" t="b">
        <f>IF(E439&gt;I439,'Electrical System Specification'!AC$4*'Electrical System Specification'!J$16*'Electrical System Specification'!D$16*'Electrical System Specification'!D$17*'Electrical System Specification'!X$16)</f>
        <v>0</v>
      </c>
      <c r="L439" s="174">
        <f>IF(E439&lt;I439,'Electrical System Specification'!X$16*'Electrical System Specification'!Q$16*'Electrical System Specification'!AC$4*'Electrical System Specification'!J$16)</f>
        <v>0.83082440000000002</v>
      </c>
      <c r="M439" s="174">
        <f t="shared" si="95"/>
        <v>0.83082440000000002</v>
      </c>
      <c r="N439" s="174">
        <f t="shared" si="96"/>
        <v>0</v>
      </c>
      <c r="O439" s="173">
        <f t="shared" si="97"/>
        <v>-6871.6622130335309</v>
      </c>
      <c r="P439" s="174" t="b">
        <f t="shared" si="98"/>
        <v>0</v>
      </c>
      <c r="Q439" s="174">
        <f t="shared" si="106"/>
        <v>0</v>
      </c>
      <c r="R439" s="174">
        <f t="shared" si="105"/>
        <v>0</v>
      </c>
      <c r="S439" s="165">
        <f t="shared" si="99"/>
        <v>0</v>
      </c>
      <c r="T439" t="b">
        <f t="shared" si="100"/>
        <v>0</v>
      </c>
      <c r="U439" s="176">
        <f t="shared" si="101"/>
        <v>0</v>
      </c>
      <c r="V439" s="165">
        <f>IF(U439&lt;V$5,V$5-U439,IF(U439&gt;=V$5,0))*('Electrical System Specification'!D$16*'Electrical System Specification'!Q$16)</f>
        <v>7516.5876862264913</v>
      </c>
      <c r="W439" s="28">
        <f t="shared" si="102"/>
        <v>1230.7959080528331</v>
      </c>
      <c r="X439" s="165">
        <f>IF(U439&gt;V$5,U439-V$5,0)*'Electrical System Specification'!D$17</f>
        <v>0</v>
      </c>
      <c r="Y439">
        <f>(X439*C439)*'Electrical System Specification'!D$17</f>
        <v>0</v>
      </c>
      <c r="Z439" s="165">
        <f t="shared" si="103"/>
        <v>1230.7959080528331</v>
      </c>
      <c r="AA439" s="165">
        <f t="shared" si="104"/>
        <v>-19868.448430146502</v>
      </c>
      <c r="AB439" s="165"/>
    </row>
    <row r="440" spans="3:28" x14ac:dyDescent="0.2">
      <c r="C440" s="148">
        <v>0.17227617921048244</v>
      </c>
      <c r="D440">
        <f t="shared" si="92"/>
        <v>144.39603675746622</v>
      </c>
      <c r="E440" s="164">
        <v>0</v>
      </c>
      <c r="F440" s="165">
        <f>E440/'Electrical System Specification'!AC$4</f>
        <v>0</v>
      </c>
      <c r="G440" s="146">
        <f>F440/('Electrical System Specification'!X$16*'Electrical System Specification'!J$16*'Electrical System Specification'!D$17)</f>
        <v>0</v>
      </c>
      <c r="H440" s="165"/>
      <c r="I440" s="173">
        <f t="shared" si="93"/>
        <v>6871.6622130335309</v>
      </c>
      <c r="J440" s="173">
        <f t="shared" si="94"/>
        <v>7621.6306710664712</v>
      </c>
      <c r="K440" s="174" t="b">
        <f>IF(E440&gt;I440,'Electrical System Specification'!AC$4*'Electrical System Specification'!J$16*'Electrical System Specification'!D$16*'Electrical System Specification'!D$17*'Electrical System Specification'!X$16)</f>
        <v>0</v>
      </c>
      <c r="L440" s="174">
        <f>IF(E440&lt;I440,'Electrical System Specification'!X$16*'Electrical System Specification'!Q$16*'Electrical System Specification'!AC$4*'Electrical System Specification'!J$16)</f>
        <v>0.83082440000000002</v>
      </c>
      <c r="M440" s="174">
        <f t="shared" si="95"/>
        <v>0.83082440000000002</v>
      </c>
      <c r="N440" s="174">
        <f t="shared" si="96"/>
        <v>0</v>
      </c>
      <c r="O440" s="173">
        <f t="shared" si="97"/>
        <v>-6871.6622130335309</v>
      </c>
      <c r="P440" s="174" t="b">
        <f t="shared" si="98"/>
        <v>0</v>
      </c>
      <c r="Q440" s="174">
        <f t="shared" si="106"/>
        <v>0</v>
      </c>
      <c r="R440" s="174">
        <f t="shared" si="105"/>
        <v>0</v>
      </c>
      <c r="S440" s="165">
        <f t="shared" si="99"/>
        <v>0</v>
      </c>
      <c r="T440" t="b">
        <f t="shared" si="100"/>
        <v>0</v>
      </c>
      <c r="U440" s="176">
        <f t="shared" si="101"/>
        <v>0</v>
      </c>
      <c r="V440" s="165">
        <f>IF(U440&lt;V$5,V$5-U440,IF(U440&gt;=V$5,0))*('Electrical System Specification'!D$16*'Electrical System Specification'!Q$16)</f>
        <v>7516.5876862264913</v>
      </c>
      <c r="W440" s="28">
        <f t="shared" si="102"/>
        <v>1294.9290072836607</v>
      </c>
      <c r="X440" s="165">
        <f>IF(U440&gt;V$5,U440-V$5,0)*'Electrical System Specification'!D$17</f>
        <v>0</v>
      </c>
      <c r="Y440">
        <f>(X440*C440)*'Electrical System Specification'!D$17</f>
        <v>0</v>
      </c>
      <c r="Z440" s="165">
        <f t="shared" si="103"/>
        <v>1294.9290072836607</v>
      </c>
      <c r="AA440" s="165">
        <f t="shared" si="104"/>
        <v>-18573.519422862842</v>
      </c>
      <c r="AB440" s="165"/>
    </row>
    <row r="441" spans="3:28" x14ac:dyDescent="0.2">
      <c r="C441" s="148">
        <v>0.18574351708184622</v>
      </c>
      <c r="D441">
        <f t="shared" si="92"/>
        <v>144.58178027454807</v>
      </c>
      <c r="E441" s="164">
        <v>0</v>
      </c>
      <c r="F441" s="165">
        <f>E441/'Electrical System Specification'!AC$4</f>
        <v>0</v>
      </c>
      <c r="G441" s="146">
        <f>F441/('Electrical System Specification'!X$16*'Electrical System Specification'!J$16*'Electrical System Specification'!D$17)</f>
        <v>0</v>
      </c>
      <c r="H441" s="165"/>
      <c r="I441" s="173">
        <f t="shared" si="93"/>
        <v>6871.6622130335309</v>
      </c>
      <c r="J441" s="173">
        <f t="shared" si="94"/>
        <v>7621.6306710664712</v>
      </c>
      <c r="K441" s="174" t="b">
        <f>IF(E441&gt;I441,'Electrical System Specification'!AC$4*'Electrical System Specification'!J$16*'Electrical System Specification'!D$16*'Electrical System Specification'!D$17*'Electrical System Specification'!X$16)</f>
        <v>0</v>
      </c>
      <c r="L441" s="174">
        <f>IF(E441&lt;I441,'Electrical System Specification'!X$16*'Electrical System Specification'!Q$16*'Electrical System Specification'!AC$4*'Electrical System Specification'!J$16)</f>
        <v>0.83082440000000002</v>
      </c>
      <c r="M441" s="174">
        <f t="shared" si="95"/>
        <v>0.83082440000000002</v>
      </c>
      <c r="N441" s="174">
        <f t="shared" si="96"/>
        <v>0</v>
      </c>
      <c r="O441" s="173">
        <f t="shared" si="97"/>
        <v>-6871.6622130335309</v>
      </c>
      <c r="P441" s="174" t="b">
        <f t="shared" si="98"/>
        <v>0</v>
      </c>
      <c r="Q441" s="174">
        <f t="shared" si="106"/>
        <v>0</v>
      </c>
      <c r="R441" s="174">
        <f t="shared" si="105"/>
        <v>0</v>
      </c>
      <c r="S441" s="165">
        <f t="shared" si="99"/>
        <v>0</v>
      </c>
      <c r="T441" t="b">
        <f t="shared" si="100"/>
        <v>0</v>
      </c>
      <c r="U441" s="176">
        <f t="shared" si="101"/>
        <v>0</v>
      </c>
      <c r="V441" s="165">
        <f>IF(U441&lt;V$5,V$5-U441,IF(U441&gt;=V$5,0))*('Electrical System Specification'!D$16*'Electrical System Specification'!Q$16)</f>
        <v>7516.5876862264913</v>
      </c>
      <c r="W441" s="28">
        <f t="shared" si="102"/>
        <v>1396.1574332938053</v>
      </c>
      <c r="X441" s="165">
        <f>IF(U441&gt;V$5,U441-V$5,0)*'Electrical System Specification'!D$17</f>
        <v>0</v>
      </c>
      <c r="Y441">
        <f>(X441*C441)*'Electrical System Specification'!D$17</f>
        <v>0</v>
      </c>
      <c r="Z441" s="165">
        <f t="shared" si="103"/>
        <v>1396.1574332938053</v>
      </c>
      <c r="AA441" s="165">
        <f t="shared" si="104"/>
        <v>-17177.361989569035</v>
      </c>
      <c r="AB441" s="165"/>
    </row>
    <row r="442" spans="3:28" x14ac:dyDescent="0.2">
      <c r="C442" s="148">
        <v>0.24529999999999999</v>
      </c>
      <c r="D442">
        <f t="shared" si="92"/>
        <v>144.82708027454805</v>
      </c>
      <c r="E442" s="164">
        <v>13465.906457145509</v>
      </c>
      <c r="F442" s="165">
        <f>E442/'Electrical System Specification'!AC$4</f>
        <v>13740.720874638275</v>
      </c>
      <c r="G442" s="146">
        <f>F442/('Electrical System Specification'!X$16*'Electrical System Specification'!J$16*'Electrical System Specification'!D$17)</f>
        <v>17108.323216592304</v>
      </c>
      <c r="H442" s="165"/>
      <c r="I442" s="173">
        <f t="shared" si="93"/>
        <v>6871.6622130335309</v>
      </c>
      <c r="J442" s="173">
        <f t="shared" si="94"/>
        <v>7621.6306710664712</v>
      </c>
      <c r="K442" s="174">
        <f>IF(E442&gt;I442,'Electrical System Specification'!AC$4*'Electrical System Specification'!J$16*'Electrical System Specification'!D$16*'Electrical System Specification'!D$17*'Electrical System Specification'!X$16)</f>
        <v>0.70838712000000004</v>
      </c>
      <c r="L442" s="174" t="b">
        <f>IF(E442&lt;I442,'Electrical System Specification'!X$16*'Electrical System Specification'!Q$16*'Electrical System Specification'!AC$4*'Electrical System Specification'!J$16)</f>
        <v>0</v>
      </c>
      <c r="M442" s="174">
        <f t="shared" si="95"/>
        <v>0.70838712000000004</v>
      </c>
      <c r="N442" s="174">
        <f t="shared" si="96"/>
        <v>9539.0746933667106</v>
      </c>
      <c r="O442" s="173">
        <f t="shared" si="97"/>
        <v>6594.2442441119783</v>
      </c>
      <c r="P442" s="174">
        <f t="shared" si="98"/>
        <v>9308.8144291951248</v>
      </c>
      <c r="Q442" s="174">
        <f t="shared" si="106"/>
        <v>8270.8960076684452</v>
      </c>
      <c r="R442" s="174">
        <f t="shared" si="105"/>
        <v>0</v>
      </c>
      <c r="S442" s="165" t="b">
        <f t="shared" si="99"/>
        <v>0</v>
      </c>
      <c r="T442">
        <f t="shared" si="100"/>
        <v>17579.71043686357</v>
      </c>
      <c r="U442" s="176">
        <f t="shared" si="101"/>
        <v>17579.71043686357</v>
      </c>
      <c r="V442" s="165">
        <f>IF(U442&lt;V$5,V$5-U442,IF(U442&gt;=V$5,0))*('Electrical System Specification'!D$16*'Electrical System Specification'!Q$16)</f>
        <v>0</v>
      </c>
      <c r="W442" s="28">
        <f t="shared" si="102"/>
        <v>0</v>
      </c>
      <c r="X442" s="165">
        <f>IF(U442&gt;V$5,U442-V$5,0)*'Electrical System Specification'!D$17</f>
        <v>7909.5418287282746</v>
      </c>
      <c r="Y442">
        <f>(X442*C442)*'Electrical System Specification'!D$17</f>
        <v>1746.1895495283411</v>
      </c>
      <c r="Z442" s="165">
        <f t="shared" si="103"/>
        <v>-1746.1895495283411</v>
      </c>
      <c r="AA442" s="165">
        <f t="shared" si="104"/>
        <v>-18923.551539097378</v>
      </c>
      <c r="AB442" s="165"/>
    </row>
    <row r="443" spans="3:28" x14ac:dyDescent="0.2">
      <c r="C443" s="148">
        <v>0.189</v>
      </c>
      <c r="D443">
        <f t="shared" si="92"/>
        <v>145.01608027454805</v>
      </c>
      <c r="E443" s="164">
        <v>13465.906457145509</v>
      </c>
      <c r="F443" s="165">
        <f>E443/'Electrical System Specification'!AC$4</f>
        <v>13740.720874638275</v>
      </c>
      <c r="G443" s="146">
        <f>F443/('Electrical System Specification'!X$16*'Electrical System Specification'!J$16*'Electrical System Specification'!D$17)</f>
        <v>17108.323216592304</v>
      </c>
      <c r="H443" s="165"/>
      <c r="I443" s="173">
        <f t="shared" si="93"/>
        <v>6871.6622130335309</v>
      </c>
      <c r="J443" s="173">
        <f t="shared" si="94"/>
        <v>7621.6306710664712</v>
      </c>
      <c r="K443" s="174">
        <f>IF(E443&gt;I443,'Electrical System Specification'!AC$4*'Electrical System Specification'!J$16*'Electrical System Specification'!D$16*'Electrical System Specification'!D$17*'Electrical System Specification'!X$16)</f>
        <v>0.70838712000000004</v>
      </c>
      <c r="L443" s="174" t="b">
        <f>IF(E443&lt;I443,'Electrical System Specification'!X$16*'Electrical System Specification'!Q$16*'Electrical System Specification'!AC$4*'Electrical System Specification'!J$16)</f>
        <v>0</v>
      </c>
      <c r="M443" s="174">
        <f t="shared" si="95"/>
        <v>0.70838712000000004</v>
      </c>
      <c r="N443" s="174">
        <f t="shared" si="96"/>
        <v>9539.0746933667106</v>
      </c>
      <c r="O443" s="173">
        <f t="shared" si="97"/>
        <v>6594.2442441119783</v>
      </c>
      <c r="P443" s="174">
        <f t="shared" si="98"/>
        <v>9308.8144291951248</v>
      </c>
      <c r="Q443" s="174">
        <f t="shared" si="106"/>
        <v>8270.8960076684452</v>
      </c>
      <c r="R443" s="174">
        <f t="shared" si="105"/>
        <v>0</v>
      </c>
      <c r="S443" s="165" t="b">
        <f t="shared" si="99"/>
        <v>0</v>
      </c>
      <c r="T443">
        <f t="shared" si="100"/>
        <v>17579.71043686357</v>
      </c>
      <c r="U443" s="176">
        <f t="shared" si="101"/>
        <v>17579.71043686357</v>
      </c>
      <c r="V443" s="165">
        <f>IF(U443&lt;V$5,V$5-U443,IF(U443&gt;=V$5,0))*('Electrical System Specification'!D$16*'Electrical System Specification'!Q$16)</f>
        <v>0</v>
      </c>
      <c r="W443" s="28">
        <f t="shared" si="102"/>
        <v>0</v>
      </c>
      <c r="X443" s="165">
        <f>IF(U443&gt;V$5,U443-V$5,0)*'Electrical System Specification'!D$17</f>
        <v>7909.5418287282746</v>
      </c>
      <c r="Y443">
        <f>(X443*C443)*'Electrical System Specification'!D$17</f>
        <v>1345.4130650666796</v>
      </c>
      <c r="Z443" s="165">
        <f t="shared" si="103"/>
        <v>-1345.4130650666796</v>
      </c>
      <c r="AA443" s="165">
        <f t="shared" si="104"/>
        <v>-20268.964604164059</v>
      </c>
      <c r="AB443" s="165"/>
    </row>
    <row r="444" spans="3:28" x14ac:dyDescent="0.2">
      <c r="C444" s="148">
        <v>0.28413344025354037</v>
      </c>
      <c r="D444">
        <f t="shared" si="92"/>
        <v>145.30021371480157</v>
      </c>
      <c r="E444" s="164">
        <v>13465.906457145509</v>
      </c>
      <c r="F444" s="165">
        <f>E444/'Electrical System Specification'!AC$4</f>
        <v>13740.720874638275</v>
      </c>
      <c r="G444" s="146">
        <f>F444/('Electrical System Specification'!X$16*'Electrical System Specification'!J$16*'Electrical System Specification'!D$17)</f>
        <v>17108.323216592304</v>
      </c>
      <c r="H444" s="165"/>
      <c r="I444" s="173">
        <f t="shared" si="93"/>
        <v>6871.6622130335309</v>
      </c>
      <c r="J444" s="173">
        <f t="shared" si="94"/>
        <v>7621.6306710664712</v>
      </c>
      <c r="K444" s="174">
        <f>IF(E444&gt;I444,'Electrical System Specification'!AC$4*'Electrical System Specification'!J$16*'Electrical System Specification'!D$16*'Electrical System Specification'!D$17*'Electrical System Specification'!X$16)</f>
        <v>0.70838712000000004</v>
      </c>
      <c r="L444" s="174" t="b">
        <f>IF(E444&lt;I444,'Electrical System Specification'!X$16*'Electrical System Specification'!Q$16*'Electrical System Specification'!AC$4*'Electrical System Specification'!J$16)</f>
        <v>0</v>
      </c>
      <c r="M444" s="174">
        <f t="shared" si="95"/>
        <v>0.70838712000000004</v>
      </c>
      <c r="N444" s="174">
        <f t="shared" si="96"/>
        <v>9539.0746933667106</v>
      </c>
      <c r="O444" s="173">
        <f t="shared" si="97"/>
        <v>6594.2442441119783</v>
      </c>
      <c r="P444" s="174">
        <f t="shared" si="98"/>
        <v>9308.8144291951248</v>
      </c>
      <c r="Q444" s="174">
        <f t="shared" si="106"/>
        <v>8270.8960076684452</v>
      </c>
      <c r="R444" s="174">
        <f t="shared" si="105"/>
        <v>0</v>
      </c>
      <c r="S444" s="165" t="b">
        <f t="shared" si="99"/>
        <v>0</v>
      </c>
      <c r="T444">
        <f t="shared" si="100"/>
        <v>17579.71043686357</v>
      </c>
      <c r="U444" s="176">
        <f t="shared" si="101"/>
        <v>17579.71043686357</v>
      </c>
      <c r="V444" s="165">
        <f>IF(U444&lt;V$5,V$5-U444,IF(U444&gt;=V$5,0))*('Electrical System Specification'!D$16*'Electrical System Specification'!Q$16)</f>
        <v>0</v>
      </c>
      <c r="W444" s="28">
        <f t="shared" si="102"/>
        <v>0</v>
      </c>
      <c r="X444" s="165">
        <f>IF(U444&gt;V$5,U444-V$5,0)*'Electrical System Specification'!D$17</f>
        <v>7909.5418287282746</v>
      </c>
      <c r="Y444">
        <f>(X444*C444)*'Electrical System Specification'!D$17</f>
        <v>2022.6287975632595</v>
      </c>
      <c r="Z444" s="165">
        <f t="shared" si="103"/>
        <v>-2022.6287975632595</v>
      </c>
      <c r="AA444" s="165">
        <f t="shared" si="104"/>
        <v>-22291.593401727318</v>
      </c>
      <c r="AB444" s="165"/>
    </row>
    <row r="445" spans="3:28" x14ac:dyDescent="0.2">
      <c r="C445" s="148">
        <v>0.28449868202897161</v>
      </c>
      <c r="D445">
        <f t="shared" si="92"/>
        <v>145.58471239683055</v>
      </c>
      <c r="E445" s="164">
        <v>13465.906457145509</v>
      </c>
      <c r="F445" s="165">
        <f>E445/'Electrical System Specification'!AC$4</f>
        <v>13740.720874638275</v>
      </c>
      <c r="G445" s="146">
        <f>F445/('Electrical System Specification'!X$16*'Electrical System Specification'!J$16*'Electrical System Specification'!D$17)</f>
        <v>17108.323216592304</v>
      </c>
      <c r="H445" s="165"/>
      <c r="I445" s="173">
        <f t="shared" si="93"/>
        <v>6871.6622130335309</v>
      </c>
      <c r="J445" s="173">
        <f t="shared" si="94"/>
        <v>7621.6306710664712</v>
      </c>
      <c r="K445" s="174">
        <f>IF(E445&gt;I445,'Electrical System Specification'!AC$4*'Electrical System Specification'!J$16*'Electrical System Specification'!D$16*'Electrical System Specification'!D$17*'Electrical System Specification'!X$16)</f>
        <v>0.70838712000000004</v>
      </c>
      <c r="L445" s="174" t="b">
        <f>IF(E445&lt;I445,'Electrical System Specification'!X$16*'Electrical System Specification'!Q$16*'Electrical System Specification'!AC$4*'Electrical System Specification'!J$16)</f>
        <v>0</v>
      </c>
      <c r="M445" s="174">
        <f t="shared" si="95"/>
        <v>0.70838712000000004</v>
      </c>
      <c r="N445" s="174">
        <f t="shared" si="96"/>
        <v>9539.0746933667106</v>
      </c>
      <c r="O445" s="173">
        <f t="shared" si="97"/>
        <v>6594.2442441119783</v>
      </c>
      <c r="P445" s="174">
        <f t="shared" si="98"/>
        <v>9308.8144291951248</v>
      </c>
      <c r="Q445" s="174">
        <f t="shared" si="106"/>
        <v>8270.8960076684452</v>
      </c>
      <c r="R445" s="174">
        <f t="shared" si="105"/>
        <v>0</v>
      </c>
      <c r="S445" s="165" t="b">
        <f t="shared" si="99"/>
        <v>0</v>
      </c>
      <c r="T445">
        <f t="shared" si="100"/>
        <v>17579.71043686357</v>
      </c>
      <c r="U445" s="176">
        <f t="shared" si="101"/>
        <v>17579.71043686357</v>
      </c>
      <c r="V445" s="165">
        <f>IF(U445&lt;V$5,V$5-U445,IF(U445&gt;=V$5,0))*('Electrical System Specification'!D$16*'Electrical System Specification'!Q$16)</f>
        <v>0</v>
      </c>
      <c r="W445" s="28">
        <f t="shared" si="102"/>
        <v>0</v>
      </c>
      <c r="X445" s="165">
        <f>IF(U445&gt;V$5,U445-V$5,0)*'Electrical System Specification'!D$17</f>
        <v>7909.5418287282746</v>
      </c>
      <c r="Y445">
        <f>(X445*C445)*'Electrical System Specification'!D$17</f>
        <v>2025.2288031535945</v>
      </c>
      <c r="Z445" s="165">
        <f t="shared" si="103"/>
        <v>-2025.2288031535945</v>
      </c>
      <c r="AA445" s="165">
        <f t="shared" si="104"/>
        <v>-24316.822204880911</v>
      </c>
      <c r="AB445" s="165"/>
    </row>
    <row r="446" spans="3:28" x14ac:dyDescent="0.2">
      <c r="C446" s="148">
        <v>0.28486140101441343</v>
      </c>
      <c r="D446">
        <f t="shared" si="92"/>
        <v>145.86957379784496</v>
      </c>
      <c r="E446" s="164">
        <v>13465.906457145509</v>
      </c>
      <c r="F446" s="165">
        <f>E446/'Electrical System Specification'!AC$4</f>
        <v>13740.720874638275</v>
      </c>
      <c r="G446" s="146">
        <f>F446/('Electrical System Specification'!X$16*'Electrical System Specification'!J$16*'Electrical System Specification'!D$17)</f>
        <v>17108.323216592304</v>
      </c>
      <c r="H446" s="165"/>
      <c r="I446" s="173">
        <f t="shared" si="93"/>
        <v>6871.6622130335309</v>
      </c>
      <c r="J446" s="173">
        <f t="shared" si="94"/>
        <v>7621.6306710664712</v>
      </c>
      <c r="K446" s="174">
        <f>IF(E446&gt;I446,'Electrical System Specification'!AC$4*'Electrical System Specification'!J$16*'Electrical System Specification'!D$16*'Electrical System Specification'!D$17*'Electrical System Specification'!X$16)</f>
        <v>0.70838712000000004</v>
      </c>
      <c r="L446" s="174" t="b">
        <f>IF(E446&lt;I446,'Electrical System Specification'!X$16*'Electrical System Specification'!Q$16*'Electrical System Specification'!AC$4*'Electrical System Specification'!J$16)</f>
        <v>0</v>
      </c>
      <c r="M446" s="174">
        <f t="shared" si="95"/>
        <v>0.70838712000000004</v>
      </c>
      <c r="N446" s="174">
        <f t="shared" si="96"/>
        <v>9539.0746933667106</v>
      </c>
      <c r="O446" s="173">
        <f t="shared" si="97"/>
        <v>6594.2442441119783</v>
      </c>
      <c r="P446" s="174">
        <f t="shared" si="98"/>
        <v>9308.8144291951248</v>
      </c>
      <c r="Q446" s="174">
        <f t="shared" si="106"/>
        <v>8270.8960076684452</v>
      </c>
      <c r="R446" s="174">
        <f t="shared" si="105"/>
        <v>0</v>
      </c>
      <c r="S446" s="165" t="b">
        <f t="shared" si="99"/>
        <v>0</v>
      </c>
      <c r="T446">
        <f t="shared" si="100"/>
        <v>17579.71043686357</v>
      </c>
      <c r="U446" s="176">
        <f t="shared" si="101"/>
        <v>17579.71043686357</v>
      </c>
      <c r="V446" s="165">
        <f>IF(U446&lt;V$5,V$5-U446,IF(U446&gt;=V$5,0))*('Electrical System Specification'!D$16*'Electrical System Specification'!Q$16)</f>
        <v>0</v>
      </c>
      <c r="W446" s="28">
        <f t="shared" si="102"/>
        <v>0</v>
      </c>
      <c r="X446" s="165">
        <f>IF(U446&gt;V$5,U446-V$5,0)*'Electrical System Specification'!D$17</f>
        <v>7909.5418287282746</v>
      </c>
      <c r="Y446">
        <f>(X446*C446)*'Electrical System Specification'!D$17</f>
        <v>2027.8108500422779</v>
      </c>
      <c r="Z446" s="165">
        <f t="shared" si="103"/>
        <v>-2027.8108500422779</v>
      </c>
      <c r="AA446" s="165">
        <f t="shared" si="104"/>
        <v>-26344.63305492319</v>
      </c>
      <c r="AB446" s="165"/>
    </row>
    <row r="447" spans="3:28" x14ac:dyDescent="0.2">
      <c r="C447" s="148">
        <v>0.28532252849701367</v>
      </c>
      <c r="D447">
        <f t="shared" si="92"/>
        <v>146.15489632634197</v>
      </c>
      <c r="E447" s="164">
        <v>13465.906457145509</v>
      </c>
      <c r="F447" s="165">
        <f>E447/'Electrical System Specification'!AC$4</f>
        <v>13740.720874638275</v>
      </c>
      <c r="G447" s="146">
        <f>F447/('Electrical System Specification'!X$16*'Electrical System Specification'!J$16*'Electrical System Specification'!D$17)</f>
        <v>17108.323216592304</v>
      </c>
      <c r="H447" s="165"/>
      <c r="I447" s="173">
        <f t="shared" si="93"/>
        <v>6871.6622130335309</v>
      </c>
      <c r="J447" s="173">
        <f t="shared" si="94"/>
        <v>7621.6306710664712</v>
      </c>
      <c r="K447" s="174">
        <f>IF(E447&gt;I447,'Electrical System Specification'!AC$4*'Electrical System Specification'!J$16*'Electrical System Specification'!D$16*'Electrical System Specification'!D$17*'Electrical System Specification'!X$16)</f>
        <v>0.70838712000000004</v>
      </c>
      <c r="L447" s="174" t="b">
        <f>IF(E447&lt;I447,'Electrical System Specification'!X$16*'Electrical System Specification'!Q$16*'Electrical System Specification'!AC$4*'Electrical System Specification'!J$16)</f>
        <v>0</v>
      </c>
      <c r="M447" s="174">
        <f t="shared" si="95"/>
        <v>0.70838712000000004</v>
      </c>
      <c r="N447" s="174">
        <f t="shared" si="96"/>
        <v>9539.0746933667106</v>
      </c>
      <c r="O447" s="173">
        <f t="shared" si="97"/>
        <v>6594.2442441119783</v>
      </c>
      <c r="P447" s="174">
        <f t="shared" si="98"/>
        <v>9308.8144291951248</v>
      </c>
      <c r="Q447" s="174">
        <f t="shared" si="106"/>
        <v>8270.8960076684452</v>
      </c>
      <c r="R447" s="174">
        <f t="shared" si="105"/>
        <v>0</v>
      </c>
      <c r="S447" s="165" t="b">
        <f t="shared" si="99"/>
        <v>0</v>
      </c>
      <c r="T447">
        <f t="shared" si="100"/>
        <v>17579.71043686357</v>
      </c>
      <c r="U447" s="176">
        <f t="shared" si="101"/>
        <v>17579.71043686357</v>
      </c>
      <c r="V447" s="165">
        <f>IF(U447&lt;V$5,V$5-U447,IF(U447&gt;=V$5,0))*('Electrical System Specification'!D$16*'Electrical System Specification'!Q$16)</f>
        <v>0</v>
      </c>
      <c r="W447" s="28">
        <f t="shared" si="102"/>
        <v>0</v>
      </c>
      <c r="X447" s="165">
        <f>IF(U447&gt;V$5,U447-V$5,0)*'Electrical System Specification'!D$17</f>
        <v>7909.5418287282746</v>
      </c>
      <c r="Y447">
        <f>(X447*C447)*'Electrical System Specification'!D$17</f>
        <v>2031.0934264430803</v>
      </c>
      <c r="Z447" s="165">
        <f t="shared" si="103"/>
        <v>-2031.0934264430803</v>
      </c>
      <c r="AA447" s="165">
        <f t="shared" si="104"/>
        <v>-28375.72648136627</v>
      </c>
      <c r="AB447" s="165"/>
    </row>
    <row r="448" spans="3:28" x14ac:dyDescent="0.2">
      <c r="C448" s="148">
        <v>0.28574662488255348</v>
      </c>
      <c r="D448">
        <f t="shared" si="92"/>
        <v>146.44064295122453</v>
      </c>
      <c r="E448" s="164">
        <v>13465.906457145509</v>
      </c>
      <c r="F448" s="165">
        <f>E448/'Electrical System Specification'!AC$4</f>
        <v>13740.720874638275</v>
      </c>
      <c r="G448" s="146">
        <f>F448/('Electrical System Specification'!X$16*'Electrical System Specification'!J$16*'Electrical System Specification'!D$17)</f>
        <v>17108.323216592304</v>
      </c>
      <c r="H448" s="165"/>
      <c r="I448" s="173">
        <f t="shared" si="93"/>
        <v>6871.6622130335309</v>
      </c>
      <c r="J448" s="173">
        <f t="shared" si="94"/>
        <v>7621.6306710664712</v>
      </c>
      <c r="K448" s="174">
        <f>IF(E448&gt;I448,'Electrical System Specification'!AC$4*'Electrical System Specification'!J$16*'Electrical System Specification'!D$16*'Electrical System Specification'!D$17*'Electrical System Specification'!X$16)</f>
        <v>0.70838712000000004</v>
      </c>
      <c r="L448" s="174" t="b">
        <f>IF(E448&lt;I448,'Electrical System Specification'!X$16*'Electrical System Specification'!Q$16*'Electrical System Specification'!AC$4*'Electrical System Specification'!J$16)</f>
        <v>0</v>
      </c>
      <c r="M448" s="174">
        <f t="shared" si="95"/>
        <v>0.70838712000000004</v>
      </c>
      <c r="N448" s="174">
        <f t="shared" si="96"/>
        <v>9539.0746933667106</v>
      </c>
      <c r="O448" s="173">
        <f t="shared" si="97"/>
        <v>6594.2442441119783</v>
      </c>
      <c r="P448" s="174">
        <f t="shared" si="98"/>
        <v>9308.8144291951248</v>
      </c>
      <c r="Q448" s="174">
        <f t="shared" si="106"/>
        <v>8270.8960076684452</v>
      </c>
      <c r="R448" s="174">
        <f t="shared" si="105"/>
        <v>0</v>
      </c>
      <c r="S448" s="165" t="b">
        <f t="shared" si="99"/>
        <v>0</v>
      </c>
      <c r="T448">
        <f t="shared" si="100"/>
        <v>17579.71043686357</v>
      </c>
      <c r="U448" s="176">
        <f t="shared" si="101"/>
        <v>17579.71043686357</v>
      </c>
      <c r="V448" s="165">
        <f>IF(U448&lt;V$5,V$5-U448,IF(U448&gt;=V$5,0))*('Electrical System Specification'!D$16*'Electrical System Specification'!Q$16)</f>
        <v>0</v>
      </c>
      <c r="W448" s="28">
        <f t="shared" si="102"/>
        <v>0</v>
      </c>
      <c r="X448" s="165">
        <f>IF(U448&gt;V$5,U448-V$5,0)*'Electrical System Specification'!D$17</f>
        <v>7909.5418287282746</v>
      </c>
      <c r="Y448">
        <f>(X448*C448)*'Electrical System Specification'!D$17</f>
        <v>2034.1123937338359</v>
      </c>
      <c r="Z448" s="165">
        <f t="shared" si="103"/>
        <v>-2034.1123937338359</v>
      </c>
      <c r="AA448" s="165">
        <f t="shared" si="104"/>
        <v>-30409.838875100104</v>
      </c>
      <c r="AB448" s="165"/>
    </row>
    <row r="449" spans="3:28" x14ac:dyDescent="0.2">
      <c r="C449" s="148">
        <v>0.28613369017114243</v>
      </c>
      <c r="D449">
        <f t="shared" si="92"/>
        <v>146.72677664139567</v>
      </c>
      <c r="E449" s="164">
        <v>13465.906457145509</v>
      </c>
      <c r="F449" s="165">
        <f>E449/'Electrical System Specification'!AC$4</f>
        <v>13740.720874638275</v>
      </c>
      <c r="G449" s="146">
        <f>F449/('Electrical System Specification'!X$16*'Electrical System Specification'!J$16*'Electrical System Specification'!D$17)</f>
        <v>17108.323216592304</v>
      </c>
      <c r="H449" s="165"/>
      <c r="I449" s="173">
        <f t="shared" si="93"/>
        <v>6871.6622130335309</v>
      </c>
      <c r="J449" s="173">
        <f t="shared" si="94"/>
        <v>7621.6306710664712</v>
      </c>
      <c r="K449" s="174">
        <f>IF(E449&gt;I449,'Electrical System Specification'!AC$4*'Electrical System Specification'!J$16*'Electrical System Specification'!D$16*'Electrical System Specification'!D$17*'Electrical System Specification'!X$16)</f>
        <v>0.70838712000000004</v>
      </c>
      <c r="L449" s="174" t="b">
        <f>IF(E449&lt;I449,'Electrical System Specification'!X$16*'Electrical System Specification'!Q$16*'Electrical System Specification'!AC$4*'Electrical System Specification'!J$16)</f>
        <v>0</v>
      </c>
      <c r="M449" s="174">
        <f t="shared" si="95"/>
        <v>0.70838712000000004</v>
      </c>
      <c r="N449" s="174">
        <f t="shared" si="96"/>
        <v>9539.0746933667106</v>
      </c>
      <c r="O449" s="173">
        <f t="shared" si="97"/>
        <v>6594.2442441119783</v>
      </c>
      <c r="P449" s="174">
        <f t="shared" si="98"/>
        <v>9308.8144291951248</v>
      </c>
      <c r="Q449" s="174">
        <f t="shared" si="106"/>
        <v>8270.8960076684452</v>
      </c>
      <c r="R449" s="174">
        <f t="shared" si="105"/>
        <v>0</v>
      </c>
      <c r="S449" s="165" t="b">
        <f t="shared" si="99"/>
        <v>0</v>
      </c>
      <c r="T449">
        <f t="shared" si="100"/>
        <v>17579.71043686357</v>
      </c>
      <c r="U449" s="176">
        <f t="shared" si="101"/>
        <v>17579.71043686357</v>
      </c>
      <c r="V449" s="165">
        <f>IF(U449&lt;V$5,V$5-U449,IF(U449&gt;=V$5,0))*('Electrical System Specification'!D$16*'Electrical System Specification'!Q$16)</f>
        <v>0</v>
      </c>
      <c r="W449" s="28">
        <f t="shared" si="102"/>
        <v>0</v>
      </c>
      <c r="X449" s="165">
        <f>IF(U449&gt;V$5,U449-V$5,0)*'Electrical System Specification'!D$17</f>
        <v>7909.5418287282746</v>
      </c>
      <c r="Y449">
        <f>(X449*C449)*'Electrical System Specification'!D$17</f>
        <v>2036.8677519153246</v>
      </c>
      <c r="Z449" s="165">
        <f t="shared" si="103"/>
        <v>-2036.8677519153246</v>
      </c>
      <c r="AA449" s="165">
        <f t="shared" si="104"/>
        <v>-32446.706627015428</v>
      </c>
      <c r="AB449" s="165"/>
    </row>
    <row r="450" spans="3:28" x14ac:dyDescent="0.2">
      <c r="C450" s="148">
        <v>0.28650350130605889</v>
      </c>
      <c r="D450">
        <f t="shared" si="92"/>
        <v>147.01328014270175</v>
      </c>
      <c r="E450" s="164">
        <v>13465.906457145509</v>
      </c>
      <c r="F450" s="165">
        <f>E450/'Electrical System Specification'!AC$4</f>
        <v>13740.720874638275</v>
      </c>
      <c r="G450" s="146">
        <f>F450/('Electrical System Specification'!X$16*'Electrical System Specification'!J$16*'Electrical System Specification'!D$17)</f>
        <v>17108.323216592304</v>
      </c>
      <c r="H450" s="165"/>
      <c r="I450" s="173">
        <f t="shared" si="93"/>
        <v>6871.6622130335309</v>
      </c>
      <c r="J450" s="173">
        <f t="shared" si="94"/>
        <v>7621.6306710664712</v>
      </c>
      <c r="K450" s="174">
        <f>IF(E450&gt;I450,'Electrical System Specification'!AC$4*'Electrical System Specification'!J$16*'Electrical System Specification'!D$16*'Electrical System Specification'!D$17*'Electrical System Specification'!X$16)</f>
        <v>0.70838712000000004</v>
      </c>
      <c r="L450" s="174" t="b">
        <f>IF(E450&lt;I450,'Electrical System Specification'!X$16*'Electrical System Specification'!Q$16*'Electrical System Specification'!AC$4*'Electrical System Specification'!J$16)</f>
        <v>0</v>
      </c>
      <c r="M450" s="174">
        <f t="shared" si="95"/>
        <v>0.70838712000000004</v>
      </c>
      <c r="N450" s="174">
        <f t="shared" si="96"/>
        <v>9539.0746933667106</v>
      </c>
      <c r="O450" s="173">
        <f t="shared" si="97"/>
        <v>6594.2442441119783</v>
      </c>
      <c r="P450" s="174">
        <f t="shared" si="98"/>
        <v>9308.8144291951248</v>
      </c>
      <c r="Q450" s="174">
        <f t="shared" si="106"/>
        <v>8270.8960076684452</v>
      </c>
      <c r="R450" s="174">
        <f t="shared" si="105"/>
        <v>0</v>
      </c>
      <c r="S450" s="165" t="b">
        <f t="shared" si="99"/>
        <v>0</v>
      </c>
      <c r="T450">
        <f t="shared" si="100"/>
        <v>17579.71043686357</v>
      </c>
      <c r="U450" s="176">
        <f t="shared" si="101"/>
        <v>17579.71043686357</v>
      </c>
      <c r="V450" s="165">
        <f>IF(U450&lt;V$5,V$5-U450,IF(U450&gt;=V$5,0))*('Electrical System Specification'!D$16*'Electrical System Specification'!Q$16)</f>
        <v>0</v>
      </c>
      <c r="W450" s="28">
        <f t="shared" si="102"/>
        <v>0</v>
      </c>
      <c r="X450" s="165">
        <f>IF(U450&gt;V$5,U450-V$5,0)*'Electrical System Specification'!D$17</f>
        <v>7909.5418287282746</v>
      </c>
      <c r="Y450">
        <f>(X450*C450)*'Electrical System Specification'!D$17</f>
        <v>2039.5002848916406</v>
      </c>
      <c r="Z450" s="165">
        <f t="shared" si="103"/>
        <v>-2039.5002848916406</v>
      </c>
      <c r="AA450" s="165">
        <f t="shared" si="104"/>
        <v>-34486.206911907066</v>
      </c>
      <c r="AB450" s="165"/>
    </row>
    <row r="451" spans="3:28" x14ac:dyDescent="0.2">
      <c r="C451" s="148">
        <v>0.28687128948626284</v>
      </c>
      <c r="D451">
        <f t="shared" si="92"/>
        <v>147.30015143218802</v>
      </c>
      <c r="E451" s="164">
        <v>13465.906457145509</v>
      </c>
      <c r="F451" s="165">
        <f>E451/'Electrical System Specification'!AC$4</f>
        <v>13740.720874638275</v>
      </c>
      <c r="G451" s="146">
        <f>F451/('Electrical System Specification'!X$16*'Electrical System Specification'!J$16*'Electrical System Specification'!D$17)</f>
        <v>17108.323216592304</v>
      </c>
      <c r="H451" s="165"/>
      <c r="I451" s="173">
        <f t="shared" si="93"/>
        <v>6871.6622130335309</v>
      </c>
      <c r="J451" s="173">
        <f t="shared" si="94"/>
        <v>7621.6306710664712</v>
      </c>
      <c r="K451" s="174">
        <f>IF(E451&gt;I451,'Electrical System Specification'!AC$4*'Electrical System Specification'!J$16*'Electrical System Specification'!D$16*'Electrical System Specification'!D$17*'Electrical System Specification'!X$16)</f>
        <v>0.70838712000000004</v>
      </c>
      <c r="L451" s="174" t="b">
        <f>IF(E451&lt;I451,'Electrical System Specification'!X$16*'Electrical System Specification'!Q$16*'Electrical System Specification'!AC$4*'Electrical System Specification'!J$16)</f>
        <v>0</v>
      </c>
      <c r="M451" s="174">
        <f t="shared" si="95"/>
        <v>0.70838712000000004</v>
      </c>
      <c r="N451" s="174">
        <f t="shared" si="96"/>
        <v>9539.0746933667106</v>
      </c>
      <c r="O451" s="173">
        <f t="shared" si="97"/>
        <v>6594.2442441119783</v>
      </c>
      <c r="P451" s="174">
        <f t="shared" si="98"/>
        <v>9308.8144291951248</v>
      </c>
      <c r="Q451" s="174">
        <f t="shared" si="106"/>
        <v>8270.8960076684452</v>
      </c>
      <c r="R451" s="174">
        <f t="shared" si="105"/>
        <v>0</v>
      </c>
      <c r="S451" s="165" t="b">
        <f t="shared" si="99"/>
        <v>0</v>
      </c>
      <c r="T451">
        <f t="shared" si="100"/>
        <v>17579.71043686357</v>
      </c>
      <c r="U451" s="176">
        <f t="shared" si="101"/>
        <v>17579.71043686357</v>
      </c>
      <c r="V451" s="165">
        <f>IF(U451&lt;V$5,V$5-U451,IF(U451&gt;=V$5,0))*('Electrical System Specification'!D$16*'Electrical System Specification'!Q$16)</f>
        <v>0</v>
      </c>
      <c r="W451" s="28">
        <f t="shared" si="102"/>
        <v>0</v>
      </c>
      <c r="X451" s="165">
        <f>IF(U451&gt;V$5,U451-V$5,0)*'Electrical System Specification'!D$17</f>
        <v>7909.5418287282746</v>
      </c>
      <c r="Y451">
        <f>(X451*C451)*'Electrical System Specification'!D$17</f>
        <v>2042.1184172875323</v>
      </c>
      <c r="Z451" s="165">
        <f t="shared" si="103"/>
        <v>-2042.1184172875323</v>
      </c>
      <c r="AA451" s="165">
        <f t="shared" si="104"/>
        <v>-36528.325329194595</v>
      </c>
      <c r="AB451" s="165"/>
    </row>
    <row r="452" spans="3:28" x14ac:dyDescent="0.2">
      <c r="C452" s="148">
        <v>0.28724871622054965</v>
      </c>
      <c r="D452">
        <f t="shared" si="92"/>
        <v>147.58740014840856</v>
      </c>
      <c r="E452" s="164">
        <v>13465.906457145509</v>
      </c>
      <c r="F452" s="165">
        <f>E452/'Electrical System Specification'!AC$4</f>
        <v>13740.720874638275</v>
      </c>
      <c r="G452" s="146">
        <f>F452/('Electrical System Specification'!X$16*'Electrical System Specification'!J$16*'Electrical System Specification'!D$17)</f>
        <v>17108.323216592304</v>
      </c>
      <c r="H452" s="165"/>
      <c r="I452" s="173">
        <f t="shared" si="93"/>
        <v>6871.6622130335309</v>
      </c>
      <c r="J452" s="173">
        <f t="shared" si="94"/>
        <v>7621.6306710664712</v>
      </c>
      <c r="K452" s="174">
        <f>IF(E452&gt;I452,'Electrical System Specification'!AC$4*'Electrical System Specification'!J$16*'Electrical System Specification'!D$16*'Electrical System Specification'!D$17*'Electrical System Specification'!X$16)</f>
        <v>0.70838712000000004</v>
      </c>
      <c r="L452" s="174" t="b">
        <f>IF(E452&lt;I452,'Electrical System Specification'!X$16*'Electrical System Specification'!Q$16*'Electrical System Specification'!AC$4*'Electrical System Specification'!J$16)</f>
        <v>0</v>
      </c>
      <c r="M452" s="174">
        <f t="shared" si="95"/>
        <v>0.70838712000000004</v>
      </c>
      <c r="N452" s="174">
        <f t="shared" si="96"/>
        <v>9539.0746933667106</v>
      </c>
      <c r="O452" s="173">
        <f t="shared" si="97"/>
        <v>6594.2442441119783</v>
      </c>
      <c r="P452" s="174">
        <f t="shared" si="98"/>
        <v>9308.8144291951248</v>
      </c>
      <c r="Q452" s="174">
        <f t="shared" si="106"/>
        <v>8270.8960076684452</v>
      </c>
      <c r="R452" s="174">
        <f t="shared" si="105"/>
        <v>0</v>
      </c>
      <c r="S452" s="165" t="b">
        <f t="shared" si="99"/>
        <v>0</v>
      </c>
      <c r="T452">
        <f t="shared" si="100"/>
        <v>17579.71043686357</v>
      </c>
      <c r="U452" s="176">
        <f t="shared" si="101"/>
        <v>17579.71043686357</v>
      </c>
      <c r="V452" s="165">
        <f>IF(U452&lt;V$5,V$5-U452,IF(U452&gt;=V$5,0))*('Electrical System Specification'!D$16*'Electrical System Specification'!Q$16)</f>
        <v>0</v>
      </c>
      <c r="W452" s="28">
        <f t="shared" si="102"/>
        <v>0</v>
      </c>
      <c r="X452" s="165">
        <f>IF(U452&gt;V$5,U452-V$5,0)*'Electrical System Specification'!D$17</f>
        <v>7909.5418287282746</v>
      </c>
      <c r="Y452">
        <f>(X452*C452)*'Electrical System Specification'!D$17</f>
        <v>2044.8051625754417</v>
      </c>
      <c r="Z452" s="165">
        <f t="shared" si="103"/>
        <v>-2044.8051625754417</v>
      </c>
      <c r="AA452" s="165">
        <f t="shared" si="104"/>
        <v>-38573.13049177004</v>
      </c>
      <c r="AB452" s="165"/>
    </row>
    <row r="453" spans="3:28" x14ac:dyDescent="0.2">
      <c r="C453" s="148">
        <v>0.28763730462884834</v>
      </c>
      <c r="D453">
        <f t="shared" si="92"/>
        <v>147.87503745303741</v>
      </c>
      <c r="E453" s="164">
        <v>13465.906457145509</v>
      </c>
      <c r="F453" s="165">
        <f>E453/'Electrical System Specification'!AC$4</f>
        <v>13740.720874638275</v>
      </c>
      <c r="G453" s="146">
        <f>F453/('Electrical System Specification'!X$16*'Electrical System Specification'!J$16*'Electrical System Specification'!D$17)</f>
        <v>17108.323216592304</v>
      </c>
      <c r="H453" s="165"/>
      <c r="I453" s="173">
        <f t="shared" si="93"/>
        <v>6871.6622130335309</v>
      </c>
      <c r="J453" s="173">
        <f t="shared" si="94"/>
        <v>7621.6306710664712</v>
      </c>
      <c r="K453" s="174">
        <f>IF(E453&gt;I453,'Electrical System Specification'!AC$4*'Electrical System Specification'!J$16*'Electrical System Specification'!D$16*'Electrical System Specification'!D$17*'Electrical System Specification'!X$16)</f>
        <v>0.70838712000000004</v>
      </c>
      <c r="L453" s="174" t="b">
        <f>IF(E453&lt;I453,'Electrical System Specification'!X$16*'Electrical System Specification'!Q$16*'Electrical System Specification'!AC$4*'Electrical System Specification'!J$16)</f>
        <v>0</v>
      </c>
      <c r="M453" s="174">
        <f t="shared" si="95"/>
        <v>0.70838712000000004</v>
      </c>
      <c r="N453" s="174">
        <f t="shared" si="96"/>
        <v>9539.0746933667106</v>
      </c>
      <c r="O453" s="173">
        <f t="shared" si="97"/>
        <v>6594.2442441119783</v>
      </c>
      <c r="P453" s="174">
        <f t="shared" si="98"/>
        <v>9308.8144291951248</v>
      </c>
      <c r="Q453" s="174">
        <f t="shared" si="106"/>
        <v>8270.8960076684452</v>
      </c>
      <c r="R453" s="174">
        <f t="shared" si="105"/>
        <v>0</v>
      </c>
      <c r="S453" s="165" t="b">
        <f t="shared" si="99"/>
        <v>0</v>
      </c>
      <c r="T453">
        <f t="shared" si="100"/>
        <v>17579.71043686357</v>
      </c>
      <c r="U453" s="176">
        <f t="shared" si="101"/>
        <v>17579.71043686357</v>
      </c>
      <c r="V453" s="165">
        <f>IF(U453&lt;V$5,V$5-U453,IF(U453&gt;=V$5,0))*('Electrical System Specification'!D$16*'Electrical System Specification'!Q$16)</f>
        <v>0</v>
      </c>
      <c r="W453" s="28">
        <f t="shared" si="102"/>
        <v>0</v>
      </c>
      <c r="X453" s="165">
        <f>IF(U453&gt;V$5,U453-V$5,0)*'Electrical System Specification'!D$17</f>
        <v>7909.5418287282746</v>
      </c>
      <c r="Y453">
        <f>(X453*C453)*'Electrical System Specification'!D$17</f>
        <v>2047.5713632180798</v>
      </c>
      <c r="Z453" s="165">
        <f t="shared" si="103"/>
        <v>-2047.5713632180798</v>
      </c>
      <c r="AA453" s="165">
        <f t="shared" si="104"/>
        <v>-40620.701854988118</v>
      </c>
      <c r="AB453" s="165"/>
    </row>
    <row r="454" spans="3:28" x14ac:dyDescent="0.2">
      <c r="C454" s="148">
        <v>0.28805176246033259</v>
      </c>
      <c r="D454">
        <f t="shared" si="92"/>
        <v>148.16308921549773</v>
      </c>
      <c r="E454" s="164">
        <v>13465.906457145509</v>
      </c>
      <c r="F454" s="165">
        <f>E454/'Electrical System Specification'!AC$4</f>
        <v>13740.720874638275</v>
      </c>
      <c r="G454" s="146">
        <f>F454/('Electrical System Specification'!X$16*'Electrical System Specification'!J$16*'Electrical System Specification'!D$17)</f>
        <v>17108.323216592304</v>
      </c>
      <c r="H454" s="165"/>
      <c r="I454" s="173">
        <f t="shared" si="93"/>
        <v>6871.6622130335309</v>
      </c>
      <c r="J454" s="173">
        <f t="shared" si="94"/>
        <v>7621.6306710664712</v>
      </c>
      <c r="K454" s="174">
        <f>IF(E454&gt;I454,'Electrical System Specification'!AC$4*'Electrical System Specification'!J$16*'Electrical System Specification'!D$16*'Electrical System Specification'!D$17*'Electrical System Specification'!X$16)</f>
        <v>0.70838712000000004</v>
      </c>
      <c r="L454" s="174" t="b">
        <f>IF(E454&lt;I454,'Electrical System Specification'!X$16*'Electrical System Specification'!Q$16*'Electrical System Specification'!AC$4*'Electrical System Specification'!J$16)</f>
        <v>0</v>
      </c>
      <c r="M454" s="174">
        <f t="shared" si="95"/>
        <v>0.70838712000000004</v>
      </c>
      <c r="N454" s="174">
        <f t="shared" si="96"/>
        <v>9539.0746933667106</v>
      </c>
      <c r="O454" s="173">
        <f t="shared" si="97"/>
        <v>6594.2442441119783</v>
      </c>
      <c r="P454" s="174">
        <f t="shared" si="98"/>
        <v>9308.8144291951248</v>
      </c>
      <c r="Q454" s="174">
        <f t="shared" si="106"/>
        <v>8270.8960076684452</v>
      </c>
      <c r="R454" s="174">
        <f t="shared" si="105"/>
        <v>0</v>
      </c>
      <c r="S454" s="165" t="b">
        <f t="shared" si="99"/>
        <v>0</v>
      </c>
      <c r="T454">
        <f t="shared" si="100"/>
        <v>17579.71043686357</v>
      </c>
      <c r="U454" s="176">
        <f t="shared" si="101"/>
        <v>17579.71043686357</v>
      </c>
      <c r="V454" s="165">
        <f>IF(U454&lt;V$5,V$5-U454,IF(U454&gt;=V$5,0))*('Electrical System Specification'!D$16*'Electrical System Specification'!Q$16)</f>
        <v>0</v>
      </c>
      <c r="W454" s="28">
        <f t="shared" si="102"/>
        <v>0</v>
      </c>
      <c r="X454" s="165">
        <f>IF(U454&gt;V$5,U454-V$5,0)*'Electrical System Specification'!D$17</f>
        <v>7909.5418287282746</v>
      </c>
      <c r="Y454">
        <f>(X454*C454)*'Electrical System Specification'!D$17</f>
        <v>2050.5217176170117</v>
      </c>
      <c r="Z454" s="165">
        <f t="shared" si="103"/>
        <v>-2050.5217176170117</v>
      </c>
      <c r="AA454" s="165">
        <f t="shared" si="104"/>
        <v>-42671.223572605129</v>
      </c>
      <c r="AB454" s="165"/>
    </row>
    <row r="455" spans="3:28" x14ac:dyDescent="0.2">
      <c r="C455" s="148">
        <v>0.28847433572583397</v>
      </c>
      <c r="D455">
        <f t="shared" si="92"/>
        <v>148.45156355122356</v>
      </c>
      <c r="E455" s="164">
        <v>13465.906457145509</v>
      </c>
      <c r="F455" s="165">
        <f>E455/'Electrical System Specification'!AC$4</f>
        <v>13740.720874638275</v>
      </c>
      <c r="G455" s="146">
        <f>F455/('Electrical System Specification'!X$16*'Electrical System Specification'!J$16*'Electrical System Specification'!D$17)</f>
        <v>17108.323216592304</v>
      </c>
      <c r="H455" s="165"/>
      <c r="I455" s="173">
        <f t="shared" si="93"/>
        <v>6871.6622130335309</v>
      </c>
      <c r="J455" s="173">
        <f t="shared" si="94"/>
        <v>7621.6306710664712</v>
      </c>
      <c r="K455" s="174">
        <f>IF(E455&gt;I455,'Electrical System Specification'!AC$4*'Electrical System Specification'!J$16*'Electrical System Specification'!D$16*'Electrical System Specification'!D$17*'Electrical System Specification'!X$16)</f>
        <v>0.70838712000000004</v>
      </c>
      <c r="L455" s="174" t="b">
        <f>IF(E455&lt;I455,'Electrical System Specification'!X$16*'Electrical System Specification'!Q$16*'Electrical System Specification'!AC$4*'Electrical System Specification'!J$16)</f>
        <v>0</v>
      </c>
      <c r="M455" s="174">
        <f t="shared" si="95"/>
        <v>0.70838712000000004</v>
      </c>
      <c r="N455" s="174">
        <f t="shared" si="96"/>
        <v>9539.0746933667106</v>
      </c>
      <c r="O455" s="173">
        <f t="shared" si="97"/>
        <v>6594.2442441119783</v>
      </c>
      <c r="P455" s="174">
        <f t="shared" si="98"/>
        <v>9308.8144291951248</v>
      </c>
      <c r="Q455" s="174">
        <f t="shared" si="106"/>
        <v>8270.8960076684452</v>
      </c>
      <c r="R455" s="174">
        <f t="shared" si="105"/>
        <v>0</v>
      </c>
      <c r="S455" s="165" t="b">
        <f t="shared" si="99"/>
        <v>0</v>
      </c>
      <c r="T455">
        <f t="shared" si="100"/>
        <v>17579.71043686357</v>
      </c>
      <c r="U455" s="176">
        <f t="shared" si="101"/>
        <v>17579.71043686357</v>
      </c>
      <c r="V455" s="165">
        <f>IF(U455&lt;V$5,V$5-U455,IF(U455&gt;=V$5,0))*('Electrical System Specification'!D$16*'Electrical System Specification'!Q$16)</f>
        <v>0</v>
      </c>
      <c r="W455" s="28">
        <f t="shared" si="102"/>
        <v>0</v>
      </c>
      <c r="X455" s="165">
        <f>IF(U455&gt;V$5,U455-V$5,0)*'Electrical System Specification'!D$17</f>
        <v>7909.5418287282746</v>
      </c>
      <c r="Y455">
        <f>(X455*C455)*'Electrical System Specification'!D$17</f>
        <v>2053.5298424442785</v>
      </c>
      <c r="Z455" s="165">
        <f t="shared" si="103"/>
        <v>-2053.5298424442785</v>
      </c>
      <c r="AA455" s="165">
        <f t="shared" si="104"/>
        <v>-44724.75341504941</v>
      </c>
      <c r="AB455" s="165"/>
    </row>
    <row r="456" spans="3:28" x14ac:dyDescent="0.2">
      <c r="C456" s="148">
        <v>0.28890147835109453</v>
      </c>
      <c r="D456">
        <f t="shared" si="92"/>
        <v>148.74046502957466</v>
      </c>
      <c r="E456" s="164">
        <v>13465.906457145509</v>
      </c>
      <c r="F456" s="165">
        <f>E456/'Electrical System Specification'!AC$4</f>
        <v>13740.720874638275</v>
      </c>
      <c r="G456" s="146">
        <f>F456/('Electrical System Specification'!X$16*'Electrical System Specification'!J$16*'Electrical System Specification'!D$17)</f>
        <v>17108.323216592304</v>
      </c>
      <c r="H456" s="165"/>
      <c r="I456" s="173">
        <f t="shared" si="93"/>
        <v>6871.6622130335309</v>
      </c>
      <c r="J456" s="173">
        <f t="shared" si="94"/>
        <v>7621.6306710664712</v>
      </c>
      <c r="K456" s="174">
        <f>IF(E456&gt;I456,'Electrical System Specification'!AC$4*'Electrical System Specification'!J$16*'Electrical System Specification'!D$16*'Electrical System Specification'!D$17*'Electrical System Specification'!X$16)</f>
        <v>0.70838712000000004</v>
      </c>
      <c r="L456" s="174" t="b">
        <f>IF(E456&lt;I456,'Electrical System Specification'!X$16*'Electrical System Specification'!Q$16*'Electrical System Specification'!AC$4*'Electrical System Specification'!J$16)</f>
        <v>0</v>
      </c>
      <c r="M456" s="174">
        <f t="shared" si="95"/>
        <v>0.70838712000000004</v>
      </c>
      <c r="N456" s="174">
        <f t="shared" si="96"/>
        <v>9539.0746933667106</v>
      </c>
      <c r="O456" s="173">
        <f t="shared" si="97"/>
        <v>6594.2442441119783</v>
      </c>
      <c r="P456" s="174">
        <f t="shared" si="98"/>
        <v>9308.8144291951248</v>
      </c>
      <c r="Q456" s="174">
        <f t="shared" si="106"/>
        <v>8270.8960076684452</v>
      </c>
      <c r="R456" s="174">
        <f t="shared" si="105"/>
        <v>0</v>
      </c>
      <c r="S456" s="165" t="b">
        <f t="shared" si="99"/>
        <v>0</v>
      </c>
      <c r="T456">
        <f t="shared" si="100"/>
        <v>17579.71043686357</v>
      </c>
      <c r="U456" s="176">
        <f t="shared" si="101"/>
        <v>17579.71043686357</v>
      </c>
      <c r="V456" s="165">
        <f>IF(U456&lt;V$5,V$5-U456,IF(U456&gt;=V$5,0))*('Electrical System Specification'!D$16*'Electrical System Specification'!Q$16)</f>
        <v>0</v>
      </c>
      <c r="W456" s="28">
        <f t="shared" si="102"/>
        <v>0</v>
      </c>
      <c r="X456" s="165">
        <f>IF(U456&gt;V$5,U456-V$5,0)*'Electrical System Specification'!D$17</f>
        <v>7909.5418287282746</v>
      </c>
      <c r="Y456">
        <f>(X456*C456)*'Electrical System Specification'!D$17</f>
        <v>2056.5704946594765</v>
      </c>
      <c r="Z456" s="165">
        <f t="shared" si="103"/>
        <v>-2056.5704946594765</v>
      </c>
      <c r="AA456" s="165">
        <f t="shared" si="104"/>
        <v>-46781.323909708888</v>
      </c>
      <c r="AB456" s="165"/>
    </row>
    <row r="457" spans="3:28" x14ac:dyDescent="0.2">
      <c r="C457" s="148">
        <v>0.28934332872528229</v>
      </c>
      <c r="D457">
        <f t="shared" si="92"/>
        <v>149.02980835829996</v>
      </c>
      <c r="E457" s="164">
        <v>13465.906457145509</v>
      </c>
      <c r="F457" s="165">
        <f>E457/'Electrical System Specification'!AC$4</f>
        <v>13740.720874638275</v>
      </c>
      <c r="G457" s="146">
        <f>F457/('Electrical System Specification'!X$16*'Electrical System Specification'!J$16*'Electrical System Specification'!D$17)</f>
        <v>17108.323216592304</v>
      </c>
      <c r="H457" s="165"/>
      <c r="I457" s="173">
        <f t="shared" si="93"/>
        <v>6871.6622130335309</v>
      </c>
      <c r="J457" s="173">
        <f t="shared" si="94"/>
        <v>7621.6306710664712</v>
      </c>
      <c r="K457" s="174">
        <f>IF(E457&gt;I457,'Electrical System Specification'!AC$4*'Electrical System Specification'!J$16*'Electrical System Specification'!D$16*'Electrical System Specification'!D$17*'Electrical System Specification'!X$16)</f>
        <v>0.70838712000000004</v>
      </c>
      <c r="L457" s="174" t="b">
        <f>IF(E457&lt;I457,'Electrical System Specification'!X$16*'Electrical System Specification'!Q$16*'Electrical System Specification'!AC$4*'Electrical System Specification'!J$16)</f>
        <v>0</v>
      </c>
      <c r="M457" s="174">
        <f t="shared" si="95"/>
        <v>0.70838712000000004</v>
      </c>
      <c r="N457" s="174">
        <f t="shared" si="96"/>
        <v>9539.0746933667106</v>
      </c>
      <c r="O457" s="173">
        <f t="shared" si="97"/>
        <v>6594.2442441119783</v>
      </c>
      <c r="P457" s="174">
        <f t="shared" si="98"/>
        <v>9308.8144291951248</v>
      </c>
      <c r="Q457" s="174">
        <f t="shared" si="106"/>
        <v>8270.8960076684452</v>
      </c>
      <c r="R457" s="174">
        <f t="shared" si="105"/>
        <v>0</v>
      </c>
      <c r="S457" s="165" t="b">
        <f t="shared" si="99"/>
        <v>0</v>
      </c>
      <c r="T457">
        <f t="shared" si="100"/>
        <v>17579.71043686357</v>
      </c>
      <c r="U457" s="176">
        <f t="shared" si="101"/>
        <v>17579.71043686357</v>
      </c>
      <c r="V457" s="165">
        <f>IF(U457&lt;V$5,V$5-U457,IF(U457&gt;=V$5,0))*('Electrical System Specification'!D$16*'Electrical System Specification'!Q$16)</f>
        <v>0</v>
      </c>
      <c r="W457" s="28">
        <f t="shared" si="102"/>
        <v>0</v>
      </c>
      <c r="X457" s="165">
        <f>IF(U457&gt;V$5,U457-V$5,0)*'Electrical System Specification'!D$17</f>
        <v>7909.5418287282746</v>
      </c>
      <c r="Y457">
        <f>(X457*C457)*'Electrical System Specification'!D$17</f>
        <v>2059.7158452744861</v>
      </c>
      <c r="Z457" s="165">
        <f t="shared" si="103"/>
        <v>-2059.7158452744861</v>
      </c>
      <c r="AA457" s="165">
        <f t="shared" si="104"/>
        <v>-48841.039754983372</v>
      </c>
      <c r="AB457" s="165"/>
    </row>
    <row r="458" spans="3:28" x14ac:dyDescent="0.2">
      <c r="C458" s="148">
        <v>0.28981054868718709</v>
      </c>
      <c r="D458">
        <f t="shared" ref="D458:D521" si="107">C458+D457</f>
        <v>149.31961890698716</v>
      </c>
      <c r="E458" s="164">
        <v>13465.906457145509</v>
      </c>
      <c r="F458" s="165">
        <f>E458/'Electrical System Specification'!AC$4</f>
        <v>13740.720874638275</v>
      </c>
      <c r="G458" s="146">
        <f>F458/('Electrical System Specification'!X$16*'Electrical System Specification'!J$16*'Electrical System Specification'!D$17)</f>
        <v>17108.323216592304</v>
      </c>
      <c r="H458" s="165"/>
      <c r="I458" s="173">
        <f t="shared" ref="I458:I521" si="108">J$5</f>
        <v>6871.6622130335309</v>
      </c>
      <c r="J458" s="173">
        <f t="shared" ref="J458:J521" si="109">J$7</f>
        <v>7621.6306710664712</v>
      </c>
      <c r="K458" s="174">
        <f>IF(E458&gt;I458,'Electrical System Specification'!AC$4*'Electrical System Specification'!J$16*'Electrical System Specification'!D$16*'Electrical System Specification'!D$17*'Electrical System Specification'!X$16)</f>
        <v>0.70838712000000004</v>
      </c>
      <c r="L458" s="174" t="b">
        <f>IF(E458&lt;I458,'Electrical System Specification'!X$16*'Electrical System Specification'!Q$16*'Electrical System Specification'!AC$4*'Electrical System Specification'!J$16)</f>
        <v>0</v>
      </c>
      <c r="M458" s="174">
        <f t="shared" ref="M458:M521" si="110">IF(I458&gt;E458,L458,IF(I458&lt;E458,K458))</f>
        <v>0.70838712000000004</v>
      </c>
      <c r="N458" s="174">
        <f t="shared" ref="N458:N521" si="111">M458*E458</f>
        <v>9539.0746933667106</v>
      </c>
      <c r="O458" s="173">
        <f t="shared" ref="O458:O521" si="112">E458-I458</f>
        <v>6594.2442441119783</v>
      </c>
      <c r="P458" s="174">
        <f t="shared" ref="P458:P521" si="113">IF(O458&gt;0,O458/K458)</f>
        <v>9308.8144291951248</v>
      </c>
      <c r="Q458" s="174">
        <f t="shared" si="106"/>
        <v>8270.8960076684452</v>
      </c>
      <c r="R458" s="174">
        <f t="shared" si="105"/>
        <v>0</v>
      </c>
      <c r="S458" s="165" t="b">
        <f t="shared" ref="S458:S521" si="114">IF(P458=FALSE,R458,IF(R458=FALSE,P458))</f>
        <v>0</v>
      </c>
      <c r="T458">
        <f t="shared" ref="T458:T521" si="115">IF(O458&gt;0,(I458/P$4)+(O458/Q$4))</f>
        <v>17579.71043686357</v>
      </c>
      <c r="U458" s="176">
        <f t="shared" ref="U458:U521" si="116">IF(T458=FALSE,S458,T458)</f>
        <v>17579.71043686357</v>
      </c>
      <c r="V458" s="165">
        <f>IF(U458&lt;V$5,V$5-U458,IF(U458&gt;=V$5,0))*('Electrical System Specification'!D$16*'Electrical System Specification'!Q$16)</f>
        <v>0</v>
      </c>
      <c r="W458" s="28">
        <f t="shared" ref="W458:W521" si="117">V458*C458</f>
        <v>0</v>
      </c>
      <c r="X458" s="165">
        <f>IF(U458&gt;V$5,U458-V$5,0)*'Electrical System Specification'!D$17</f>
        <v>7909.5418287282746</v>
      </c>
      <c r="Y458">
        <f>(X458*C458)*'Electrical System Specification'!D$17</f>
        <v>2063.0417915231988</v>
      </c>
      <c r="Z458" s="165">
        <f t="shared" ref="Z458:Z521" si="118">(W458-Y458)</f>
        <v>-2063.0417915231988</v>
      </c>
      <c r="AA458" s="165">
        <f t="shared" ref="AA458:AA521" si="119">Z458+AA457</f>
        <v>-50904.081546506568</v>
      </c>
      <c r="AB458" s="165"/>
    </row>
    <row r="459" spans="3:28" x14ac:dyDescent="0.2">
      <c r="C459" s="148">
        <v>0.29033255373485506</v>
      </c>
      <c r="D459">
        <f t="shared" si="107"/>
        <v>149.60995146072202</v>
      </c>
      <c r="E459" s="164">
        <v>13465.906457145509</v>
      </c>
      <c r="F459" s="165">
        <f>E459/'Electrical System Specification'!AC$4</f>
        <v>13740.720874638275</v>
      </c>
      <c r="G459" s="146">
        <f>F459/('Electrical System Specification'!X$16*'Electrical System Specification'!J$16*'Electrical System Specification'!D$17)</f>
        <v>17108.323216592304</v>
      </c>
      <c r="H459" s="165"/>
      <c r="I459" s="173">
        <f t="shared" si="108"/>
        <v>6871.6622130335309</v>
      </c>
      <c r="J459" s="173">
        <f t="shared" si="109"/>
        <v>7621.6306710664712</v>
      </c>
      <c r="K459" s="174">
        <f>IF(E459&gt;I459,'Electrical System Specification'!AC$4*'Electrical System Specification'!J$16*'Electrical System Specification'!D$16*'Electrical System Specification'!D$17*'Electrical System Specification'!X$16)</f>
        <v>0.70838712000000004</v>
      </c>
      <c r="L459" s="174" t="b">
        <f>IF(E459&lt;I459,'Electrical System Specification'!X$16*'Electrical System Specification'!Q$16*'Electrical System Specification'!AC$4*'Electrical System Specification'!J$16)</f>
        <v>0</v>
      </c>
      <c r="M459" s="174">
        <f t="shared" si="110"/>
        <v>0.70838712000000004</v>
      </c>
      <c r="N459" s="174">
        <f t="shared" si="111"/>
        <v>9539.0746933667106</v>
      </c>
      <c r="O459" s="173">
        <f t="shared" si="112"/>
        <v>6594.2442441119783</v>
      </c>
      <c r="P459" s="174">
        <f t="shared" si="113"/>
        <v>9308.8144291951248</v>
      </c>
      <c r="Q459" s="174">
        <f t="shared" si="106"/>
        <v>8270.8960076684452</v>
      </c>
      <c r="R459" s="174">
        <f t="shared" si="105"/>
        <v>0</v>
      </c>
      <c r="S459" s="165" t="b">
        <f t="shared" si="114"/>
        <v>0</v>
      </c>
      <c r="T459">
        <f t="shared" si="115"/>
        <v>17579.71043686357</v>
      </c>
      <c r="U459" s="176">
        <f t="shared" si="116"/>
        <v>17579.71043686357</v>
      </c>
      <c r="V459" s="165">
        <f>IF(U459&lt;V$5,V$5-U459,IF(U459&gt;=V$5,0))*('Electrical System Specification'!D$16*'Electrical System Specification'!Q$16)</f>
        <v>0</v>
      </c>
      <c r="W459" s="28">
        <f t="shared" si="117"/>
        <v>0</v>
      </c>
      <c r="X459" s="165">
        <f>IF(U459&gt;V$5,U459-V$5,0)*'Electrical System Specification'!D$17</f>
        <v>7909.5418287282746</v>
      </c>
      <c r="Y459">
        <f>(X459*C459)*'Electrical System Specification'!D$17</f>
        <v>2066.757730206602</v>
      </c>
      <c r="Z459" s="165">
        <f t="shared" si="118"/>
        <v>-2066.757730206602</v>
      </c>
      <c r="AA459" s="165">
        <f t="shared" si="119"/>
        <v>-52970.839276713174</v>
      </c>
      <c r="AB459" s="165"/>
    </row>
    <row r="460" spans="3:28" x14ac:dyDescent="0.2">
      <c r="C460" s="148">
        <v>0.29091391322733312</v>
      </c>
      <c r="D460">
        <f t="shared" si="107"/>
        <v>149.90086537394936</v>
      </c>
      <c r="E460" s="164">
        <v>13465.906457145509</v>
      </c>
      <c r="F460" s="165">
        <f>E460/'Electrical System Specification'!AC$4</f>
        <v>13740.720874638275</v>
      </c>
      <c r="G460" s="146">
        <f>F460/('Electrical System Specification'!X$16*'Electrical System Specification'!J$16*'Electrical System Specification'!D$17)</f>
        <v>17108.323216592304</v>
      </c>
      <c r="H460" s="165"/>
      <c r="I460" s="173">
        <f t="shared" si="108"/>
        <v>6871.6622130335309</v>
      </c>
      <c r="J460" s="173">
        <f t="shared" si="109"/>
        <v>7621.6306710664712</v>
      </c>
      <c r="K460" s="174">
        <f>IF(E460&gt;I460,'Electrical System Specification'!AC$4*'Electrical System Specification'!J$16*'Electrical System Specification'!D$16*'Electrical System Specification'!D$17*'Electrical System Specification'!X$16)</f>
        <v>0.70838712000000004</v>
      </c>
      <c r="L460" s="174" t="b">
        <f>IF(E460&lt;I460,'Electrical System Specification'!X$16*'Electrical System Specification'!Q$16*'Electrical System Specification'!AC$4*'Electrical System Specification'!J$16)</f>
        <v>0</v>
      </c>
      <c r="M460" s="174">
        <f t="shared" si="110"/>
        <v>0.70838712000000004</v>
      </c>
      <c r="N460" s="174">
        <f t="shared" si="111"/>
        <v>9539.0746933667106</v>
      </c>
      <c r="O460" s="173">
        <f t="shared" si="112"/>
        <v>6594.2442441119783</v>
      </c>
      <c r="P460" s="174">
        <f t="shared" si="113"/>
        <v>9308.8144291951248</v>
      </c>
      <c r="Q460" s="174">
        <f t="shared" si="106"/>
        <v>8270.8960076684452</v>
      </c>
      <c r="R460" s="174">
        <f t="shared" si="105"/>
        <v>0</v>
      </c>
      <c r="S460" s="165" t="b">
        <f t="shared" si="114"/>
        <v>0</v>
      </c>
      <c r="T460">
        <f t="shared" si="115"/>
        <v>17579.71043686357</v>
      </c>
      <c r="U460" s="176">
        <f t="shared" si="116"/>
        <v>17579.71043686357</v>
      </c>
      <c r="V460" s="165">
        <f>IF(U460&lt;V$5,V$5-U460,IF(U460&gt;=V$5,0))*('Electrical System Specification'!D$16*'Electrical System Specification'!Q$16)</f>
        <v>0</v>
      </c>
      <c r="W460" s="28">
        <f t="shared" si="117"/>
        <v>0</v>
      </c>
      <c r="X460" s="165">
        <f>IF(U460&gt;V$5,U460-V$5,0)*'Electrical System Specification'!D$17</f>
        <v>7909.5418287282746</v>
      </c>
      <c r="Y460">
        <f>(X460*C460)*'Electrical System Specification'!D$17</f>
        <v>2070.896188707557</v>
      </c>
      <c r="Z460" s="165">
        <f t="shared" si="118"/>
        <v>-2070.896188707557</v>
      </c>
      <c r="AA460" s="165">
        <f t="shared" si="119"/>
        <v>-55041.73546542073</v>
      </c>
      <c r="AB460" s="165"/>
    </row>
    <row r="461" spans="3:28" x14ac:dyDescent="0.2">
      <c r="C461" s="148">
        <v>0.29151150358888639</v>
      </c>
      <c r="D461">
        <f t="shared" si="107"/>
        <v>150.19237687753824</v>
      </c>
      <c r="E461" s="164">
        <v>13465.906457145509</v>
      </c>
      <c r="F461" s="165">
        <f>E461/'Electrical System Specification'!AC$4</f>
        <v>13740.720874638275</v>
      </c>
      <c r="G461" s="146">
        <f>F461/('Electrical System Specification'!X$16*'Electrical System Specification'!J$16*'Electrical System Specification'!D$17)</f>
        <v>17108.323216592304</v>
      </c>
      <c r="H461" s="165"/>
      <c r="I461" s="173">
        <f t="shared" si="108"/>
        <v>6871.6622130335309</v>
      </c>
      <c r="J461" s="173">
        <f t="shared" si="109"/>
        <v>7621.6306710664712</v>
      </c>
      <c r="K461" s="174">
        <f>IF(E461&gt;I461,'Electrical System Specification'!AC$4*'Electrical System Specification'!J$16*'Electrical System Specification'!D$16*'Electrical System Specification'!D$17*'Electrical System Specification'!X$16)</f>
        <v>0.70838712000000004</v>
      </c>
      <c r="L461" s="174" t="b">
        <f>IF(E461&lt;I461,'Electrical System Specification'!X$16*'Electrical System Specification'!Q$16*'Electrical System Specification'!AC$4*'Electrical System Specification'!J$16)</f>
        <v>0</v>
      </c>
      <c r="M461" s="174">
        <f t="shared" si="110"/>
        <v>0.70838712000000004</v>
      </c>
      <c r="N461" s="174">
        <f t="shared" si="111"/>
        <v>9539.0746933667106</v>
      </c>
      <c r="O461" s="173">
        <f t="shared" si="112"/>
        <v>6594.2442441119783</v>
      </c>
      <c r="P461" s="174">
        <f t="shared" si="113"/>
        <v>9308.8144291951248</v>
      </c>
      <c r="Q461" s="174">
        <f t="shared" si="106"/>
        <v>8270.8960076684452</v>
      </c>
      <c r="R461" s="174">
        <f t="shared" si="105"/>
        <v>0</v>
      </c>
      <c r="S461" s="165" t="b">
        <f t="shared" si="114"/>
        <v>0</v>
      </c>
      <c r="T461">
        <f t="shared" si="115"/>
        <v>17579.71043686357</v>
      </c>
      <c r="U461" s="176">
        <f t="shared" si="116"/>
        <v>17579.71043686357</v>
      </c>
      <c r="V461" s="165">
        <f>IF(U461&lt;V$5,V$5-U461,IF(U461&gt;=V$5,0))*('Electrical System Specification'!D$16*'Electrical System Specification'!Q$16)</f>
        <v>0</v>
      </c>
      <c r="W461" s="28">
        <f t="shared" si="117"/>
        <v>0</v>
      </c>
      <c r="X461" s="165">
        <f>IF(U461&gt;V$5,U461-V$5,0)*'Electrical System Specification'!D$17</f>
        <v>7909.5418287282746</v>
      </c>
      <c r="Y461">
        <f>(X461*C461)*'Electrical System Specification'!D$17</f>
        <v>2075.1501880725923</v>
      </c>
      <c r="Z461" s="165">
        <f t="shared" si="118"/>
        <v>-2075.1501880725923</v>
      </c>
      <c r="AA461" s="165">
        <f t="shared" si="119"/>
        <v>-57116.885653493322</v>
      </c>
      <c r="AB461" s="165"/>
    </row>
    <row r="462" spans="3:28" x14ac:dyDescent="0.2">
      <c r="C462" s="148">
        <v>0.28730632375949722</v>
      </c>
      <c r="D462">
        <f t="shared" si="107"/>
        <v>150.47968320129775</v>
      </c>
      <c r="E462" s="164">
        <v>3225.0722167563076</v>
      </c>
      <c r="F462" s="165">
        <f>E462/'Electrical System Specification'!AC$4</f>
        <v>3290.8900170982733</v>
      </c>
      <c r="G462" s="146">
        <f>F462/('Electrical System Specification'!X$16*'Electrical System Specification'!J$16*'Electrical System Specification'!D$17)</f>
        <v>4097.4276820288278</v>
      </c>
      <c r="H462" s="165"/>
      <c r="I462" s="173">
        <f t="shared" si="108"/>
        <v>6871.6622130335309</v>
      </c>
      <c r="J462" s="173">
        <f t="shared" si="109"/>
        <v>7621.6306710664712</v>
      </c>
      <c r="K462" s="174" t="b">
        <f>IF(E462&gt;I462,'Electrical System Specification'!AC$4*'Electrical System Specification'!J$16*'Electrical System Specification'!D$16*'Electrical System Specification'!D$17*'Electrical System Specification'!X$16)</f>
        <v>0</v>
      </c>
      <c r="L462" s="174">
        <f>IF(E462&lt;I462,'Electrical System Specification'!X$16*'Electrical System Specification'!Q$16*'Electrical System Specification'!AC$4*'Electrical System Specification'!J$16)</f>
        <v>0.83082440000000002</v>
      </c>
      <c r="M462" s="174">
        <f t="shared" si="110"/>
        <v>0.83082440000000002</v>
      </c>
      <c r="N462" s="174">
        <f t="shared" si="111"/>
        <v>2679.4686894432293</v>
      </c>
      <c r="O462" s="173">
        <f t="shared" si="112"/>
        <v>-3646.5899962772232</v>
      </c>
      <c r="P462" s="174" t="b">
        <f t="shared" si="113"/>
        <v>0</v>
      </c>
      <c r="Q462" s="174">
        <f t="shared" si="106"/>
        <v>3225.0722167563076</v>
      </c>
      <c r="R462" s="174">
        <f t="shared" si="105"/>
        <v>3881.7735935009946</v>
      </c>
      <c r="S462" s="165">
        <f t="shared" si="114"/>
        <v>3881.7735935009946</v>
      </c>
      <c r="T462" t="b">
        <f t="shared" si="115"/>
        <v>0</v>
      </c>
      <c r="U462" s="176">
        <f t="shared" si="116"/>
        <v>3881.7735935009946</v>
      </c>
      <c r="V462" s="165">
        <f>IF(U462&lt;V$5,V$5-U462,IF(U462&gt;=V$5,0))*('Electrical System Specification'!D$16*'Electrical System Specification'!Q$16)</f>
        <v>4197.6712637831406</v>
      </c>
      <c r="W462" s="28">
        <f t="shared" si="117"/>
        <v>1206.0174991484168</v>
      </c>
      <c r="X462" s="165">
        <f>IF(U462&gt;V$5,U462-V$5,0)*'Electrical System Specification'!D$17</f>
        <v>0</v>
      </c>
      <c r="Y462">
        <f>(X462*C462)*'Electrical System Specification'!D$17</f>
        <v>0</v>
      </c>
      <c r="Z462" s="165">
        <f t="shared" si="118"/>
        <v>1206.0174991484168</v>
      </c>
      <c r="AA462" s="165">
        <f t="shared" si="119"/>
        <v>-55910.868154344906</v>
      </c>
      <c r="AB462" s="165"/>
    </row>
    <row r="463" spans="3:28" x14ac:dyDescent="0.2">
      <c r="C463" s="148">
        <v>0.27874103300357755</v>
      </c>
      <c r="D463">
        <f t="shared" si="107"/>
        <v>150.75842423430132</v>
      </c>
      <c r="E463" s="164">
        <v>11746.270514507263</v>
      </c>
      <c r="F463" s="165">
        <f>E463/'Electrical System Specification'!AC$4</f>
        <v>11985.990320925779</v>
      </c>
      <c r="G463" s="146">
        <f>F463/('Electrical System Specification'!X$16*'Electrical System Specification'!J$16*'Electrical System Specification'!D$17)</f>
        <v>14923.539918479231</v>
      </c>
      <c r="H463" s="165"/>
      <c r="I463" s="173">
        <f t="shared" si="108"/>
        <v>6871.6622130335309</v>
      </c>
      <c r="J463" s="173">
        <f t="shared" si="109"/>
        <v>7621.6306710664712</v>
      </c>
      <c r="K463" s="174">
        <f>IF(E463&gt;I463,'Electrical System Specification'!AC$4*'Electrical System Specification'!J$16*'Electrical System Specification'!D$16*'Electrical System Specification'!D$17*'Electrical System Specification'!X$16)</f>
        <v>0.70838712000000004</v>
      </c>
      <c r="L463" s="174" t="b">
        <f>IF(E463&lt;I463,'Electrical System Specification'!X$16*'Electrical System Specification'!Q$16*'Electrical System Specification'!AC$4*'Electrical System Specification'!J$16)</f>
        <v>0</v>
      </c>
      <c r="M463" s="174">
        <f t="shared" si="110"/>
        <v>0.70838712000000004</v>
      </c>
      <c r="N463" s="174">
        <f t="shared" si="111"/>
        <v>8320.9067405127189</v>
      </c>
      <c r="O463" s="173">
        <f t="shared" si="112"/>
        <v>4874.6083014737324</v>
      </c>
      <c r="P463" s="174">
        <f t="shared" si="113"/>
        <v>6881.2774312917099</v>
      </c>
      <c r="Q463" s="174">
        <f t="shared" si="106"/>
        <v>8270.8960076684452</v>
      </c>
      <c r="R463" s="174">
        <f t="shared" si="105"/>
        <v>0</v>
      </c>
      <c r="S463" s="165" t="b">
        <f t="shared" si="114"/>
        <v>0</v>
      </c>
      <c r="T463">
        <f t="shared" si="115"/>
        <v>15152.173438960155</v>
      </c>
      <c r="U463" s="176">
        <f t="shared" si="116"/>
        <v>15152.173438960155</v>
      </c>
      <c r="V463" s="165">
        <f>IF(U463&lt;V$5,V$5-U463,IF(U463&gt;=V$5,0))*('Electrical System Specification'!D$16*'Electrical System Specification'!Q$16)</f>
        <v>0</v>
      </c>
      <c r="W463" s="28">
        <f t="shared" si="117"/>
        <v>0</v>
      </c>
      <c r="X463" s="165">
        <f>IF(U463&gt;V$5,U463-V$5,0)*'Electrical System Specification'!D$17</f>
        <v>5724.7585306152014</v>
      </c>
      <c r="Y463">
        <f>(X463*C463)*'Electrical System Specification'!D$17</f>
        <v>1436.1525958677516</v>
      </c>
      <c r="Z463" s="165">
        <f t="shared" si="118"/>
        <v>-1436.1525958677516</v>
      </c>
      <c r="AA463" s="165">
        <f t="shared" si="119"/>
        <v>-57347.020750212658</v>
      </c>
      <c r="AB463" s="165"/>
    </row>
    <row r="464" spans="3:28" x14ac:dyDescent="0.2">
      <c r="C464" s="148">
        <v>0.27096230310228681</v>
      </c>
      <c r="D464">
        <f t="shared" si="107"/>
        <v>151.02938653740361</v>
      </c>
      <c r="E464" s="164">
        <v>8719.2170294856278</v>
      </c>
      <c r="F464" s="165">
        <f>E464/'Electrical System Specification'!AC$4</f>
        <v>8897.1602341690086</v>
      </c>
      <c r="G464" s="146">
        <f>F464/('Electrical System Specification'!X$16*'Electrical System Specification'!J$16*'Electrical System Specification'!D$17)</f>
        <v>11077.693403766383</v>
      </c>
      <c r="H464" s="165"/>
      <c r="I464" s="173">
        <f t="shared" si="108"/>
        <v>6871.6622130335309</v>
      </c>
      <c r="J464" s="173">
        <f t="shared" si="109"/>
        <v>7621.6306710664712</v>
      </c>
      <c r="K464" s="174">
        <f>IF(E464&gt;I464,'Electrical System Specification'!AC$4*'Electrical System Specification'!J$16*'Electrical System Specification'!D$16*'Electrical System Specification'!D$17*'Electrical System Specification'!X$16)</f>
        <v>0.70838712000000004</v>
      </c>
      <c r="L464" s="174" t="b">
        <f>IF(E464&lt;I464,'Electrical System Specification'!X$16*'Electrical System Specification'!Q$16*'Electrical System Specification'!AC$4*'Electrical System Specification'!J$16)</f>
        <v>0</v>
      </c>
      <c r="M464" s="174">
        <f t="shared" si="110"/>
        <v>0.70838712000000004</v>
      </c>
      <c r="N464" s="174">
        <f t="shared" si="111"/>
        <v>6176.5810401722792</v>
      </c>
      <c r="O464" s="173">
        <f t="shared" si="112"/>
        <v>1847.5548164520969</v>
      </c>
      <c r="P464" s="174">
        <f t="shared" si="113"/>
        <v>2608.1146371663235</v>
      </c>
      <c r="Q464" s="174">
        <f t="shared" si="106"/>
        <v>8270.8960076684452</v>
      </c>
      <c r="R464" s="174">
        <f t="shared" si="105"/>
        <v>0</v>
      </c>
      <c r="S464" s="165" t="b">
        <f t="shared" si="114"/>
        <v>0</v>
      </c>
      <c r="T464">
        <f t="shared" si="115"/>
        <v>10879.010644834769</v>
      </c>
      <c r="U464" s="176">
        <f t="shared" si="116"/>
        <v>10879.010644834769</v>
      </c>
      <c r="V464" s="165">
        <f>IF(U464&lt;V$5,V$5-U464,IF(U464&gt;=V$5,0))*('Electrical System Specification'!D$16*'Electrical System Specification'!Q$16)</f>
        <v>0</v>
      </c>
      <c r="W464" s="28">
        <f t="shared" si="117"/>
        <v>0</v>
      </c>
      <c r="X464" s="165">
        <f>IF(U464&gt;V$5,U464-V$5,0)*'Electrical System Specification'!D$17</f>
        <v>1878.9120159023532</v>
      </c>
      <c r="Y464">
        <f>(X464*C464)*'Electrical System Specification'!D$17</f>
        <v>458.20289443991595</v>
      </c>
      <c r="Z464" s="165">
        <f t="shared" si="118"/>
        <v>-458.20289443991595</v>
      </c>
      <c r="AA464" s="165">
        <f t="shared" si="119"/>
        <v>-57805.223644652571</v>
      </c>
      <c r="AB464" s="165"/>
    </row>
    <row r="465" spans="3:28" x14ac:dyDescent="0.2">
      <c r="C465" s="148">
        <v>0.26381934930746526</v>
      </c>
      <c r="D465">
        <f t="shared" si="107"/>
        <v>151.29320588671106</v>
      </c>
      <c r="E465" s="164">
        <v>0</v>
      </c>
      <c r="F465" s="165">
        <f>E465/'Electrical System Specification'!AC$4</f>
        <v>0</v>
      </c>
      <c r="G465" s="146">
        <f>F465/('Electrical System Specification'!X$16*'Electrical System Specification'!J$16*'Electrical System Specification'!D$17)</f>
        <v>0</v>
      </c>
      <c r="H465" s="165"/>
      <c r="I465" s="173">
        <f t="shared" si="108"/>
        <v>6871.6622130335309</v>
      </c>
      <c r="J465" s="173">
        <f t="shared" si="109"/>
        <v>7621.6306710664712</v>
      </c>
      <c r="K465" s="174" t="b">
        <f>IF(E465&gt;I465,'Electrical System Specification'!AC$4*'Electrical System Specification'!J$16*'Electrical System Specification'!D$16*'Electrical System Specification'!D$17*'Electrical System Specification'!X$16)</f>
        <v>0</v>
      </c>
      <c r="L465" s="174">
        <f>IF(E465&lt;I465,'Electrical System Specification'!X$16*'Electrical System Specification'!Q$16*'Electrical System Specification'!AC$4*'Electrical System Specification'!J$16)</f>
        <v>0.83082440000000002</v>
      </c>
      <c r="M465" s="174">
        <f t="shared" si="110"/>
        <v>0.83082440000000002</v>
      </c>
      <c r="N465" s="174">
        <f t="shared" si="111"/>
        <v>0</v>
      </c>
      <c r="O465" s="173">
        <f t="shared" si="112"/>
        <v>-6871.6622130335309</v>
      </c>
      <c r="P465" s="174" t="b">
        <f t="shared" si="113"/>
        <v>0</v>
      </c>
      <c r="Q465" s="174">
        <f t="shared" si="106"/>
        <v>0</v>
      </c>
      <c r="R465" s="174">
        <f t="shared" si="105"/>
        <v>0</v>
      </c>
      <c r="S465" s="165">
        <f t="shared" si="114"/>
        <v>0</v>
      </c>
      <c r="T465" t="b">
        <f t="shared" si="115"/>
        <v>0</v>
      </c>
      <c r="U465" s="176">
        <f t="shared" si="116"/>
        <v>0</v>
      </c>
      <c r="V465" s="165">
        <f>IF(U465&lt;V$5,V$5-U465,IF(U465&gt;=V$5,0))*('Electrical System Specification'!D$16*'Electrical System Specification'!Q$16)</f>
        <v>7516.5876862264913</v>
      </c>
      <c r="W465" s="28">
        <f t="shared" si="117"/>
        <v>1983.0212723927787</v>
      </c>
      <c r="X465" s="165">
        <f>IF(U465&gt;V$5,U465-V$5,0)*'Electrical System Specification'!D$17</f>
        <v>0</v>
      </c>
      <c r="Y465">
        <f>(X465*C465)*'Electrical System Specification'!D$17</f>
        <v>0</v>
      </c>
      <c r="Z465" s="165">
        <f t="shared" si="118"/>
        <v>1983.0212723927787</v>
      </c>
      <c r="AA465" s="165">
        <f t="shared" si="119"/>
        <v>-55822.202372259795</v>
      </c>
      <c r="AB465" s="165"/>
    </row>
    <row r="466" spans="3:28" x14ac:dyDescent="0.2">
      <c r="C466" s="148">
        <v>0.26433045226732005</v>
      </c>
      <c r="D466">
        <f t="shared" si="107"/>
        <v>151.55753633897839</v>
      </c>
      <c r="E466" s="164">
        <v>0</v>
      </c>
      <c r="F466" s="165">
        <f>E466/'Electrical System Specification'!AC$4</f>
        <v>0</v>
      </c>
      <c r="G466" s="146">
        <f>F466/('Electrical System Specification'!X$16*'Electrical System Specification'!J$16*'Electrical System Specification'!D$17)</f>
        <v>0</v>
      </c>
      <c r="H466" s="165"/>
      <c r="I466" s="173">
        <f t="shared" si="108"/>
        <v>6871.6622130335309</v>
      </c>
      <c r="J466" s="173">
        <f t="shared" si="109"/>
        <v>7621.6306710664712</v>
      </c>
      <c r="K466" s="174" t="b">
        <f>IF(E466&gt;I466,'Electrical System Specification'!AC$4*'Electrical System Specification'!J$16*'Electrical System Specification'!D$16*'Electrical System Specification'!D$17*'Electrical System Specification'!X$16)</f>
        <v>0</v>
      </c>
      <c r="L466" s="174">
        <f>IF(E466&lt;I466,'Electrical System Specification'!X$16*'Electrical System Specification'!Q$16*'Electrical System Specification'!AC$4*'Electrical System Specification'!J$16)</f>
        <v>0.83082440000000002</v>
      </c>
      <c r="M466" s="174">
        <f t="shared" si="110"/>
        <v>0.83082440000000002</v>
      </c>
      <c r="N466" s="174">
        <f t="shared" si="111"/>
        <v>0</v>
      </c>
      <c r="O466" s="173">
        <f t="shared" si="112"/>
        <v>-6871.6622130335309</v>
      </c>
      <c r="P466" s="174" t="b">
        <f t="shared" si="113"/>
        <v>0</v>
      </c>
      <c r="Q466" s="174">
        <f t="shared" si="106"/>
        <v>0</v>
      </c>
      <c r="R466" s="174">
        <f t="shared" si="105"/>
        <v>0</v>
      </c>
      <c r="S466" s="165">
        <f t="shared" si="114"/>
        <v>0</v>
      </c>
      <c r="T466" t="b">
        <f t="shared" si="115"/>
        <v>0</v>
      </c>
      <c r="U466" s="176">
        <f t="shared" si="116"/>
        <v>0</v>
      </c>
      <c r="V466" s="165">
        <f>IF(U466&lt;V$5,V$5-U466,IF(U466&gt;=V$5,0))*('Electrical System Specification'!D$16*'Electrical System Specification'!Q$16)</f>
        <v>7516.5876862264913</v>
      </c>
      <c r="W466" s="28">
        <f t="shared" si="117"/>
        <v>1986.8630226072173</v>
      </c>
      <c r="X466" s="165">
        <f>IF(U466&gt;V$5,U466-V$5,0)*'Electrical System Specification'!D$17</f>
        <v>0</v>
      </c>
      <c r="Y466">
        <f>(X466*C466)*'Electrical System Specification'!D$17</f>
        <v>0</v>
      </c>
      <c r="Z466" s="165">
        <f t="shared" si="118"/>
        <v>1986.8630226072173</v>
      </c>
      <c r="AA466" s="165">
        <f t="shared" si="119"/>
        <v>-53835.339349652575</v>
      </c>
      <c r="AB466" s="165"/>
    </row>
    <row r="467" spans="3:28" x14ac:dyDescent="0.2">
      <c r="C467" s="148">
        <v>0.26125709785040441</v>
      </c>
      <c r="D467">
        <f t="shared" si="107"/>
        <v>151.8187934368288</v>
      </c>
      <c r="E467" s="164">
        <v>0</v>
      </c>
      <c r="F467" s="165">
        <f>E467/'Electrical System Specification'!AC$4</f>
        <v>0</v>
      </c>
      <c r="G467" s="146">
        <f>F467/('Electrical System Specification'!X$16*'Electrical System Specification'!J$16*'Electrical System Specification'!D$17)</f>
        <v>0</v>
      </c>
      <c r="H467" s="165"/>
      <c r="I467" s="173">
        <f t="shared" si="108"/>
        <v>6871.6622130335309</v>
      </c>
      <c r="J467" s="173">
        <f t="shared" si="109"/>
        <v>7621.6306710664712</v>
      </c>
      <c r="K467" s="174" t="b">
        <f>IF(E467&gt;I467,'Electrical System Specification'!AC$4*'Electrical System Specification'!J$16*'Electrical System Specification'!D$16*'Electrical System Specification'!D$17*'Electrical System Specification'!X$16)</f>
        <v>0</v>
      </c>
      <c r="L467" s="174">
        <f>IF(E467&lt;I467,'Electrical System Specification'!X$16*'Electrical System Specification'!Q$16*'Electrical System Specification'!AC$4*'Electrical System Specification'!J$16)</f>
        <v>0.83082440000000002</v>
      </c>
      <c r="M467" s="174">
        <f t="shared" si="110"/>
        <v>0.83082440000000002</v>
      </c>
      <c r="N467" s="174">
        <f t="shared" si="111"/>
        <v>0</v>
      </c>
      <c r="O467" s="173">
        <f t="shared" si="112"/>
        <v>-6871.6622130335309</v>
      </c>
      <c r="P467" s="174" t="b">
        <f t="shared" si="113"/>
        <v>0</v>
      </c>
      <c r="Q467" s="174">
        <f t="shared" si="106"/>
        <v>0</v>
      </c>
      <c r="R467" s="174">
        <f t="shared" si="105"/>
        <v>0</v>
      </c>
      <c r="S467" s="165">
        <f t="shared" si="114"/>
        <v>0</v>
      </c>
      <c r="T467" t="b">
        <f t="shared" si="115"/>
        <v>0</v>
      </c>
      <c r="U467" s="176">
        <f t="shared" si="116"/>
        <v>0</v>
      </c>
      <c r="V467" s="165">
        <f>IF(U467&lt;V$5,V$5-U467,IF(U467&gt;=V$5,0))*('Electrical System Specification'!D$16*'Electrical System Specification'!Q$16)</f>
        <v>7516.5876862264913</v>
      </c>
      <c r="W467" s="28">
        <f t="shared" si="117"/>
        <v>1963.7618846416192</v>
      </c>
      <c r="X467" s="165">
        <f>IF(U467&gt;V$5,U467-V$5,0)*'Electrical System Specification'!D$17</f>
        <v>0</v>
      </c>
      <c r="Y467">
        <f>(X467*C467)*'Electrical System Specification'!D$17</f>
        <v>0</v>
      </c>
      <c r="Z467" s="165">
        <f t="shared" si="118"/>
        <v>1963.7618846416192</v>
      </c>
      <c r="AA467" s="165">
        <f t="shared" si="119"/>
        <v>-51871.577465010952</v>
      </c>
      <c r="AB467" s="165"/>
    </row>
    <row r="468" spans="3:28" x14ac:dyDescent="0.2">
      <c r="C468" s="148">
        <v>0.25765159319157177</v>
      </c>
      <c r="D468">
        <f t="shared" si="107"/>
        <v>152.07644503002038</v>
      </c>
      <c r="E468" s="164">
        <v>0</v>
      </c>
      <c r="F468" s="165">
        <f>E468/'Electrical System Specification'!AC$4</f>
        <v>0</v>
      </c>
      <c r="G468" s="146">
        <f>F468/('Electrical System Specification'!X$16*'Electrical System Specification'!J$16*'Electrical System Specification'!D$17)</f>
        <v>0</v>
      </c>
      <c r="H468" s="165"/>
      <c r="I468" s="173">
        <f t="shared" si="108"/>
        <v>6871.6622130335309</v>
      </c>
      <c r="J468" s="173">
        <f t="shared" si="109"/>
        <v>7621.6306710664712</v>
      </c>
      <c r="K468" s="174" t="b">
        <f>IF(E468&gt;I468,'Electrical System Specification'!AC$4*'Electrical System Specification'!J$16*'Electrical System Specification'!D$16*'Electrical System Specification'!D$17*'Electrical System Specification'!X$16)</f>
        <v>0</v>
      </c>
      <c r="L468" s="174">
        <f>IF(E468&lt;I468,'Electrical System Specification'!X$16*'Electrical System Specification'!Q$16*'Electrical System Specification'!AC$4*'Electrical System Specification'!J$16)</f>
        <v>0.83082440000000002</v>
      </c>
      <c r="M468" s="174">
        <f t="shared" si="110"/>
        <v>0.83082440000000002</v>
      </c>
      <c r="N468" s="174">
        <f t="shared" si="111"/>
        <v>0</v>
      </c>
      <c r="O468" s="173">
        <f t="shared" si="112"/>
        <v>-6871.6622130335309</v>
      </c>
      <c r="P468" s="174" t="b">
        <f t="shared" si="113"/>
        <v>0</v>
      </c>
      <c r="Q468" s="174">
        <f t="shared" si="106"/>
        <v>0</v>
      </c>
      <c r="R468" s="174">
        <f t="shared" si="105"/>
        <v>0</v>
      </c>
      <c r="S468" s="165">
        <f t="shared" si="114"/>
        <v>0</v>
      </c>
      <c r="T468" t="b">
        <f t="shared" si="115"/>
        <v>0</v>
      </c>
      <c r="U468" s="176">
        <f t="shared" si="116"/>
        <v>0</v>
      </c>
      <c r="V468" s="165">
        <f>IF(U468&lt;V$5,V$5-U468,IF(U468&gt;=V$5,0))*('Electrical System Specification'!D$16*'Electrical System Specification'!Q$16)</f>
        <v>7516.5876862264913</v>
      </c>
      <c r="W468" s="28">
        <f t="shared" si="117"/>
        <v>1936.6607927204057</v>
      </c>
      <c r="X468" s="165">
        <f>IF(U468&gt;V$5,U468-V$5,0)*'Electrical System Specification'!D$17</f>
        <v>0</v>
      </c>
      <c r="Y468">
        <f>(X468*C468)*'Electrical System Specification'!D$17</f>
        <v>0</v>
      </c>
      <c r="Z468" s="165">
        <f t="shared" si="118"/>
        <v>1936.6607927204057</v>
      </c>
      <c r="AA468" s="165">
        <f t="shared" si="119"/>
        <v>-49934.91667229055</v>
      </c>
      <c r="AB468" s="165"/>
    </row>
    <row r="469" spans="3:28" x14ac:dyDescent="0.2">
      <c r="C469" s="148">
        <v>0.25219692833237661</v>
      </c>
      <c r="D469">
        <f t="shared" si="107"/>
        <v>152.32864195835276</v>
      </c>
      <c r="E469" s="164">
        <v>0</v>
      </c>
      <c r="F469" s="165">
        <f>E469/'Electrical System Specification'!AC$4</f>
        <v>0</v>
      </c>
      <c r="G469" s="146">
        <f>F469/('Electrical System Specification'!X$16*'Electrical System Specification'!J$16*'Electrical System Specification'!D$17)</f>
        <v>0</v>
      </c>
      <c r="H469" s="165"/>
      <c r="I469" s="173">
        <f t="shared" si="108"/>
        <v>6871.6622130335309</v>
      </c>
      <c r="J469" s="173">
        <f t="shared" si="109"/>
        <v>7621.6306710664712</v>
      </c>
      <c r="K469" s="174" t="b">
        <f>IF(E469&gt;I469,'Electrical System Specification'!AC$4*'Electrical System Specification'!J$16*'Electrical System Specification'!D$16*'Electrical System Specification'!D$17*'Electrical System Specification'!X$16)</f>
        <v>0</v>
      </c>
      <c r="L469" s="174">
        <f>IF(E469&lt;I469,'Electrical System Specification'!X$16*'Electrical System Specification'!Q$16*'Electrical System Specification'!AC$4*'Electrical System Specification'!J$16)</f>
        <v>0.83082440000000002</v>
      </c>
      <c r="M469" s="174">
        <f t="shared" si="110"/>
        <v>0.83082440000000002</v>
      </c>
      <c r="N469" s="174">
        <f t="shared" si="111"/>
        <v>0</v>
      </c>
      <c r="O469" s="173">
        <f t="shared" si="112"/>
        <v>-6871.6622130335309</v>
      </c>
      <c r="P469" s="174" t="b">
        <f t="shared" si="113"/>
        <v>0</v>
      </c>
      <c r="Q469" s="174">
        <f t="shared" si="106"/>
        <v>0</v>
      </c>
      <c r="R469" s="174">
        <f t="shared" ref="R469:R532" si="120">IF(Q469&gt;I469,0,Q469/L469)</f>
        <v>0</v>
      </c>
      <c r="S469" s="165">
        <f t="shared" si="114"/>
        <v>0</v>
      </c>
      <c r="T469" t="b">
        <f t="shared" si="115"/>
        <v>0</v>
      </c>
      <c r="U469" s="176">
        <f t="shared" si="116"/>
        <v>0</v>
      </c>
      <c r="V469" s="165">
        <f>IF(U469&lt;V$5,V$5-U469,IF(U469&gt;=V$5,0))*('Electrical System Specification'!D$16*'Electrical System Specification'!Q$16)</f>
        <v>7516.5876862264913</v>
      </c>
      <c r="W469" s="28">
        <f t="shared" si="117"/>
        <v>1895.660326007287</v>
      </c>
      <c r="X469" s="165">
        <f>IF(U469&gt;V$5,U469-V$5,0)*'Electrical System Specification'!D$17</f>
        <v>0</v>
      </c>
      <c r="Y469">
        <f>(X469*C469)*'Electrical System Specification'!D$17</f>
        <v>0</v>
      </c>
      <c r="Z469" s="165">
        <f t="shared" si="118"/>
        <v>1895.660326007287</v>
      </c>
      <c r="AA469" s="165">
        <f t="shared" si="119"/>
        <v>-48039.256346283262</v>
      </c>
      <c r="AB469" s="165"/>
    </row>
    <row r="470" spans="3:28" x14ac:dyDescent="0.2">
      <c r="C470" s="148">
        <v>0.2455247247924548</v>
      </c>
      <c r="D470">
        <f t="shared" si="107"/>
        <v>152.57416668314522</v>
      </c>
      <c r="E470" s="164">
        <v>0</v>
      </c>
      <c r="F470" s="165">
        <f>E470/'Electrical System Specification'!AC$4</f>
        <v>0</v>
      </c>
      <c r="G470" s="146">
        <f>F470/('Electrical System Specification'!X$16*'Electrical System Specification'!J$16*'Electrical System Specification'!D$17)</f>
        <v>0</v>
      </c>
      <c r="H470" s="165"/>
      <c r="I470" s="173">
        <f t="shared" si="108"/>
        <v>6871.6622130335309</v>
      </c>
      <c r="J470" s="173">
        <f t="shared" si="109"/>
        <v>7621.6306710664712</v>
      </c>
      <c r="K470" s="174" t="b">
        <f>IF(E470&gt;I470,'Electrical System Specification'!AC$4*'Electrical System Specification'!J$16*'Electrical System Specification'!D$16*'Electrical System Specification'!D$17*'Electrical System Specification'!X$16)</f>
        <v>0</v>
      </c>
      <c r="L470" s="174">
        <f>IF(E470&lt;I470,'Electrical System Specification'!X$16*'Electrical System Specification'!Q$16*'Electrical System Specification'!AC$4*'Electrical System Specification'!J$16)</f>
        <v>0.83082440000000002</v>
      </c>
      <c r="M470" s="174">
        <f t="shared" si="110"/>
        <v>0.83082440000000002</v>
      </c>
      <c r="N470" s="174">
        <f t="shared" si="111"/>
        <v>0</v>
      </c>
      <c r="O470" s="173">
        <f t="shared" si="112"/>
        <v>-6871.6622130335309</v>
      </c>
      <c r="P470" s="174" t="b">
        <f t="shared" si="113"/>
        <v>0</v>
      </c>
      <c r="Q470" s="174">
        <f t="shared" si="106"/>
        <v>0</v>
      </c>
      <c r="R470" s="174">
        <f t="shared" si="120"/>
        <v>0</v>
      </c>
      <c r="S470" s="165">
        <f t="shared" si="114"/>
        <v>0</v>
      </c>
      <c r="T470" t="b">
        <f t="shared" si="115"/>
        <v>0</v>
      </c>
      <c r="U470" s="176">
        <f t="shared" si="116"/>
        <v>0</v>
      </c>
      <c r="V470" s="165">
        <f>IF(U470&lt;V$5,V$5-U470,IF(U470&gt;=V$5,0))*('Electrical System Specification'!D$16*'Electrical System Specification'!Q$16)</f>
        <v>7516.5876862264913</v>
      </c>
      <c r="W470" s="28">
        <f t="shared" si="117"/>
        <v>1845.5081230391138</v>
      </c>
      <c r="X470" s="165">
        <f>IF(U470&gt;V$5,U470-V$5,0)*'Electrical System Specification'!D$17</f>
        <v>0</v>
      </c>
      <c r="Y470">
        <f>(X470*C470)*'Electrical System Specification'!D$17</f>
        <v>0</v>
      </c>
      <c r="Z470" s="165">
        <f t="shared" si="118"/>
        <v>1845.5081230391138</v>
      </c>
      <c r="AA470" s="165">
        <f t="shared" si="119"/>
        <v>-46193.748223244147</v>
      </c>
      <c r="AB470" s="165"/>
    </row>
    <row r="471" spans="3:28" x14ac:dyDescent="0.2">
      <c r="C471" s="148">
        <v>0.23864764307612391</v>
      </c>
      <c r="D471">
        <f t="shared" si="107"/>
        <v>152.81281432622134</v>
      </c>
      <c r="E471" s="164">
        <v>0</v>
      </c>
      <c r="F471" s="165">
        <f>E471/'Electrical System Specification'!AC$4</f>
        <v>0</v>
      </c>
      <c r="G471" s="146">
        <f>F471/('Electrical System Specification'!X$16*'Electrical System Specification'!J$16*'Electrical System Specification'!D$17)</f>
        <v>0</v>
      </c>
      <c r="H471" s="165"/>
      <c r="I471" s="173">
        <f t="shared" si="108"/>
        <v>6871.6622130335309</v>
      </c>
      <c r="J471" s="173">
        <f t="shared" si="109"/>
        <v>7621.6306710664712</v>
      </c>
      <c r="K471" s="174" t="b">
        <f>IF(E471&gt;I471,'Electrical System Specification'!AC$4*'Electrical System Specification'!J$16*'Electrical System Specification'!D$16*'Electrical System Specification'!D$17*'Electrical System Specification'!X$16)</f>
        <v>0</v>
      </c>
      <c r="L471" s="174">
        <f>IF(E471&lt;I471,'Electrical System Specification'!X$16*'Electrical System Specification'!Q$16*'Electrical System Specification'!AC$4*'Electrical System Specification'!J$16)</f>
        <v>0.83082440000000002</v>
      </c>
      <c r="M471" s="174">
        <f t="shared" si="110"/>
        <v>0.83082440000000002</v>
      </c>
      <c r="N471" s="174">
        <f t="shared" si="111"/>
        <v>0</v>
      </c>
      <c r="O471" s="173">
        <f t="shared" si="112"/>
        <v>-6871.6622130335309</v>
      </c>
      <c r="P471" s="174" t="b">
        <f t="shared" si="113"/>
        <v>0</v>
      </c>
      <c r="Q471" s="174">
        <f t="shared" si="106"/>
        <v>0</v>
      </c>
      <c r="R471" s="174">
        <f t="shared" si="120"/>
        <v>0</v>
      </c>
      <c r="S471" s="165">
        <f t="shared" si="114"/>
        <v>0</v>
      </c>
      <c r="T471" t="b">
        <f t="shared" si="115"/>
        <v>0</v>
      </c>
      <c r="U471" s="176">
        <f t="shared" si="116"/>
        <v>0</v>
      </c>
      <c r="V471" s="165">
        <f>IF(U471&lt;V$5,V$5-U471,IF(U471&gt;=V$5,0))*('Electrical System Specification'!D$16*'Electrical System Specification'!Q$16)</f>
        <v>7516.5876862264913</v>
      </c>
      <c r="W471" s="28">
        <f t="shared" si="117"/>
        <v>1793.8159352929677</v>
      </c>
      <c r="X471" s="165">
        <f>IF(U471&gt;V$5,U471-V$5,0)*'Electrical System Specification'!D$17</f>
        <v>0</v>
      </c>
      <c r="Y471">
        <f>(X471*C471)*'Electrical System Specification'!D$17</f>
        <v>0</v>
      </c>
      <c r="Z471" s="165">
        <f t="shared" si="118"/>
        <v>1793.8159352929677</v>
      </c>
      <c r="AA471" s="165">
        <f t="shared" si="119"/>
        <v>-44399.932287951182</v>
      </c>
      <c r="AB471" s="165"/>
    </row>
    <row r="472" spans="3:28" x14ac:dyDescent="0.2">
      <c r="C472" s="148">
        <v>0.23189643678154395</v>
      </c>
      <c r="D472">
        <f t="shared" si="107"/>
        <v>153.04471076300288</v>
      </c>
      <c r="E472" s="164">
        <v>0</v>
      </c>
      <c r="F472" s="165">
        <f>E472/'Electrical System Specification'!AC$4</f>
        <v>0</v>
      </c>
      <c r="G472" s="146">
        <f>F472/('Electrical System Specification'!X$16*'Electrical System Specification'!J$16*'Electrical System Specification'!D$17)</f>
        <v>0</v>
      </c>
      <c r="H472" s="165"/>
      <c r="I472" s="173">
        <f t="shared" si="108"/>
        <v>6871.6622130335309</v>
      </c>
      <c r="J472" s="173">
        <f t="shared" si="109"/>
        <v>7621.6306710664712</v>
      </c>
      <c r="K472" s="174" t="b">
        <f>IF(E472&gt;I472,'Electrical System Specification'!AC$4*'Electrical System Specification'!J$16*'Electrical System Specification'!D$16*'Electrical System Specification'!D$17*'Electrical System Specification'!X$16)</f>
        <v>0</v>
      </c>
      <c r="L472" s="174">
        <f>IF(E472&lt;I472,'Electrical System Specification'!X$16*'Electrical System Specification'!Q$16*'Electrical System Specification'!AC$4*'Electrical System Specification'!J$16)</f>
        <v>0.83082440000000002</v>
      </c>
      <c r="M472" s="174">
        <f t="shared" si="110"/>
        <v>0.83082440000000002</v>
      </c>
      <c r="N472" s="174">
        <f t="shared" si="111"/>
        <v>0</v>
      </c>
      <c r="O472" s="173">
        <f t="shared" si="112"/>
        <v>-6871.6622130335309</v>
      </c>
      <c r="P472" s="174" t="b">
        <f t="shared" si="113"/>
        <v>0</v>
      </c>
      <c r="Q472" s="174">
        <f t="shared" si="106"/>
        <v>0</v>
      </c>
      <c r="R472" s="174">
        <f t="shared" si="120"/>
        <v>0</v>
      </c>
      <c r="S472" s="165">
        <f t="shared" si="114"/>
        <v>0</v>
      </c>
      <c r="T472" t="b">
        <f t="shared" si="115"/>
        <v>0</v>
      </c>
      <c r="U472" s="176">
        <f t="shared" si="116"/>
        <v>0</v>
      </c>
      <c r="V472" s="165">
        <f>IF(U472&lt;V$5,V$5-U472,IF(U472&gt;=V$5,0))*('Electrical System Specification'!D$16*'Electrical System Specification'!Q$16)</f>
        <v>7516.5876862264913</v>
      </c>
      <c r="W472" s="28">
        <f t="shared" si="117"/>
        <v>1743.0699011919532</v>
      </c>
      <c r="X472" s="165">
        <f>IF(U472&gt;V$5,U472-V$5,0)*'Electrical System Specification'!D$17</f>
        <v>0</v>
      </c>
      <c r="Y472">
        <f>(X472*C472)*'Electrical System Specification'!D$17</f>
        <v>0</v>
      </c>
      <c r="Z472" s="165">
        <f t="shared" si="118"/>
        <v>1743.0699011919532</v>
      </c>
      <c r="AA472" s="165">
        <f t="shared" si="119"/>
        <v>-42656.862386759225</v>
      </c>
      <c r="AB472" s="165"/>
    </row>
    <row r="473" spans="3:28" x14ac:dyDescent="0.2">
      <c r="C473" s="148">
        <v>0.22546099579466719</v>
      </c>
      <c r="D473">
        <f t="shared" si="107"/>
        <v>153.27017175879755</v>
      </c>
      <c r="E473" s="164">
        <v>0</v>
      </c>
      <c r="F473" s="165">
        <f>E473/'Electrical System Specification'!AC$4</f>
        <v>0</v>
      </c>
      <c r="G473" s="146">
        <f>F473/('Electrical System Specification'!X$16*'Electrical System Specification'!J$16*'Electrical System Specification'!D$17)</f>
        <v>0</v>
      </c>
      <c r="H473" s="165"/>
      <c r="I473" s="173">
        <f t="shared" si="108"/>
        <v>6871.6622130335309</v>
      </c>
      <c r="J473" s="173">
        <f t="shared" si="109"/>
        <v>7621.6306710664712</v>
      </c>
      <c r="K473" s="174" t="b">
        <f>IF(E473&gt;I473,'Electrical System Specification'!AC$4*'Electrical System Specification'!J$16*'Electrical System Specification'!D$16*'Electrical System Specification'!D$17*'Electrical System Specification'!X$16)</f>
        <v>0</v>
      </c>
      <c r="L473" s="174">
        <f>IF(E473&lt;I473,'Electrical System Specification'!X$16*'Electrical System Specification'!Q$16*'Electrical System Specification'!AC$4*'Electrical System Specification'!J$16)</f>
        <v>0.83082440000000002</v>
      </c>
      <c r="M473" s="174">
        <f t="shared" si="110"/>
        <v>0.83082440000000002</v>
      </c>
      <c r="N473" s="174">
        <f t="shared" si="111"/>
        <v>0</v>
      </c>
      <c r="O473" s="173">
        <f t="shared" si="112"/>
        <v>-6871.6622130335309</v>
      </c>
      <c r="P473" s="174" t="b">
        <f t="shared" si="113"/>
        <v>0</v>
      </c>
      <c r="Q473" s="174">
        <f t="shared" si="106"/>
        <v>0</v>
      </c>
      <c r="R473" s="174">
        <f t="shared" si="120"/>
        <v>0</v>
      </c>
      <c r="S473" s="165">
        <f t="shared" si="114"/>
        <v>0</v>
      </c>
      <c r="T473" t="b">
        <f t="shared" si="115"/>
        <v>0</v>
      </c>
      <c r="U473" s="176">
        <f t="shared" si="116"/>
        <v>0</v>
      </c>
      <c r="V473" s="165">
        <f>IF(U473&lt;V$5,V$5-U473,IF(U473&gt;=V$5,0))*('Electrical System Specification'!D$16*'Electrical System Specification'!Q$16)</f>
        <v>7516.5876862264913</v>
      </c>
      <c r="W473" s="28">
        <f t="shared" si="117"/>
        <v>1694.6973447145581</v>
      </c>
      <c r="X473" s="165">
        <f>IF(U473&gt;V$5,U473-V$5,0)*'Electrical System Specification'!D$17</f>
        <v>0</v>
      </c>
      <c r="Y473">
        <f>(X473*C473)*'Electrical System Specification'!D$17</f>
        <v>0</v>
      </c>
      <c r="Z473" s="165">
        <f t="shared" si="118"/>
        <v>1694.6973447145581</v>
      </c>
      <c r="AA473" s="165">
        <f t="shared" si="119"/>
        <v>-40962.165042044668</v>
      </c>
      <c r="AB473" s="165"/>
    </row>
    <row r="474" spans="3:28" x14ac:dyDescent="0.2">
      <c r="C474" s="148">
        <v>0.21529611892368394</v>
      </c>
      <c r="D474">
        <f t="shared" si="107"/>
        <v>153.48546787772122</v>
      </c>
      <c r="E474" s="164">
        <v>3586.4720281922669</v>
      </c>
      <c r="F474" s="165">
        <f>E474/'Electrical System Specification'!AC$4</f>
        <v>3659.6653348900682</v>
      </c>
      <c r="G474" s="146">
        <f>F474/('Electrical System Specification'!X$16*'Electrical System Specification'!J$16*'Electrical System Specification'!D$17)</f>
        <v>4556.583165110399</v>
      </c>
      <c r="H474" s="165"/>
      <c r="I474" s="173">
        <f t="shared" si="108"/>
        <v>6871.6622130335309</v>
      </c>
      <c r="J474" s="173">
        <f t="shared" si="109"/>
        <v>7621.6306710664712</v>
      </c>
      <c r="K474" s="174" t="b">
        <f>IF(E474&gt;I474,'Electrical System Specification'!AC$4*'Electrical System Specification'!J$16*'Electrical System Specification'!D$16*'Electrical System Specification'!D$17*'Electrical System Specification'!X$16)</f>
        <v>0</v>
      </c>
      <c r="L474" s="174">
        <f>IF(E474&lt;I474,'Electrical System Specification'!X$16*'Electrical System Specification'!Q$16*'Electrical System Specification'!AC$4*'Electrical System Specification'!J$16)</f>
        <v>0.83082440000000002</v>
      </c>
      <c r="M474" s="174">
        <f t="shared" si="110"/>
        <v>0.83082440000000002</v>
      </c>
      <c r="N474" s="174">
        <f t="shared" si="111"/>
        <v>2979.7284709396231</v>
      </c>
      <c r="O474" s="173">
        <f t="shared" si="112"/>
        <v>-3285.190184841264</v>
      </c>
      <c r="P474" s="174" t="b">
        <f t="shared" si="113"/>
        <v>0</v>
      </c>
      <c r="Q474" s="174">
        <f t="shared" si="106"/>
        <v>3586.4720281922669</v>
      </c>
      <c r="R474" s="174">
        <f t="shared" si="120"/>
        <v>4316.7629985256417</v>
      </c>
      <c r="S474" s="165">
        <f t="shared" si="114"/>
        <v>4316.7629985256417</v>
      </c>
      <c r="T474" t="b">
        <f t="shared" si="115"/>
        <v>0</v>
      </c>
      <c r="U474" s="176">
        <f t="shared" si="116"/>
        <v>4316.7629985256417</v>
      </c>
      <c r="V474" s="165">
        <f>IF(U474&lt;V$5,V$5-U474,IF(U474&gt;=V$5,0))*('Electrical System Specification'!D$16*'Electrical System Specification'!Q$16)</f>
        <v>3825.755322487068</v>
      </c>
      <c r="W474" s="28">
        <f t="shared" si="117"/>
        <v>823.67027288309259</v>
      </c>
      <c r="X474" s="165">
        <f>IF(U474&gt;V$5,U474-V$5,0)*'Electrical System Specification'!D$17</f>
        <v>0</v>
      </c>
      <c r="Y474">
        <f>(X474*C474)*'Electrical System Specification'!D$17</f>
        <v>0</v>
      </c>
      <c r="Z474" s="165">
        <f t="shared" si="118"/>
        <v>823.67027288309259</v>
      </c>
      <c r="AA474" s="165">
        <f t="shared" si="119"/>
        <v>-40138.494769161574</v>
      </c>
      <c r="AB474" s="165"/>
    </row>
    <row r="475" spans="3:28" x14ac:dyDescent="0.2">
      <c r="C475" s="148">
        <v>0.2094111148869465</v>
      </c>
      <c r="D475">
        <f t="shared" si="107"/>
        <v>153.69487899260815</v>
      </c>
      <c r="E475" s="164">
        <v>3360.752424212963</v>
      </c>
      <c r="F475" s="165">
        <f>E475/'Electrical System Specification'!AC$4</f>
        <v>3429.3392083805747</v>
      </c>
      <c r="G475" s="146">
        <f>F475/('Electrical System Specification'!X$16*'Electrical System Specification'!J$16*'Electrical System Specification'!D$17)</f>
        <v>4269.808267817838</v>
      </c>
      <c r="H475" s="165"/>
      <c r="I475" s="173">
        <f t="shared" si="108"/>
        <v>6871.6622130335309</v>
      </c>
      <c r="J475" s="173">
        <f t="shared" si="109"/>
        <v>7621.6306710664712</v>
      </c>
      <c r="K475" s="174" t="b">
        <f>IF(E475&gt;I475,'Electrical System Specification'!AC$4*'Electrical System Specification'!J$16*'Electrical System Specification'!D$16*'Electrical System Specification'!D$17*'Electrical System Specification'!X$16)</f>
        <v>0</v>
      </c>
      <c r="L475" s="174">
        <f>IF(E475&lt;I475,'Electrical System Specification'!X$16*'Electrical System Specification'!Q$16*'Electrical System Specification'!AC$4*'Electrical System Specification'!J$16)</f>
        <v>0.83082440000000002</v>
      </c>
      <c r="M475" s="174">
        <f t="shared" si="110"/>
        <v>0.83082440000000002</v>
      </c>
      <c r="N475" s="174">
        <f t="shared" si="111"/>
        <v>2792.1951163952804</v>
      </c>
      <c r="O475" s="173">
        <f t="shared" si="112"/>
        <v>-3510.9097888205679</v>
      </c>
      <c r="P475" s="174" t="b">
        <f t="shared" si="113"/>
        <v>0</v>
      </c>
      <c r="Q475" s="174">
        <f t="shared" si="106"/>
        <v>3360.752424212963</v>
      </c>
      <c r="R475" s="174">
        <f t="shared" si="120"/>
        <v>4045.0815168800568</v>
      </c>
      <c r="S475" s="165">
        <f t="shared" si="114"/>
        <v>4045.0815168800568</v>
      </c>
      <c r="T475" t="b">
        <f t="shared" si="115"/>
        <v>0</v>
      </c>
      <c r="U475" s="176">
        <f t="shared" si="116"/>
        <v>4045.0815168800568</v>
      </c>
      <c r="V475" s="165">
        <f>IF(U475&lt;V$5,V$5-U475,IF(U475&gt;=V$5,0))*('Electrical System Specification'!D$16*'Electrical System Specification'!Q$16)</f>
        <v>4058.0429892940433</v>
      </c>
      <c r="W475" s="28">
        <f t="shared" si="117"/>
        <v>849.79930664722269</v>
      </c>
      <c r="X475" s="165">
        <f>IF(U475&gt;V$5,U475-V$5,0)*'Electrical System Specification'!D$17</f>
        <v>0</v>
      </c>
      <c r="Y475">
        <f>(X475*C475)*'Electrical System Specification'!D$17</f>
        <v>0</v>
      </c>
      <c r="Z475" s="165">
        <f t="shared" si="118"/>
        <v>849.79930664722269</v>
      </c>
      <c r="AA475" s="165">
        <f t="shared" si="119"/>
        <v>-39288.695462514355</v>
      </c>
      <c r="AB475" s="165"/>
    </row>
    <row r="476" spans="3:28" x14ac:dyDescent="0.2">
      <c r="C476" s="148">
        <v>0.20383641490826632</v>
      </c>
      <c r="D476">
        <f t="shared" si="107"/>
        <v>153.89871540751642</v>
      </c>
      <c r="E476" s="164">
        <v>8936.3363461116351</v>
      </c>
      <c r="F476" s="165">
        <f>E476/'Electrical System Specification'!AC$4</f>
        <v>9118.7105572567707</v>
      </c>
      <c r="G476" s="146">
        <f>F476/('Electrical System Specification'!X$16*'Electrical System Specification'!J$16*'Electrical System Specification'!D$17)</f>
        <v>11353.54170682899</v>
      </c>
      <c r="H476" s="165"/>
      <c r="I476" s="173">
        <f t="shared" si="108"/>
        <v>6871.6622130335309</v>
      </c>
      <c r="J476" s="173">
        <f t="shared" si="109"/>
        <v>7621.6306710664712</v>
      </c>
      <c r="K476" s="174">
        <f>IF(E476&gt;I476,'Electrical System Specification'!AC$4*'Electrical System Specification'!J$16*'Electrical System Specification'!D$16*'Electrical System Specification'!D$17*'Electrical System Specification'!X$16)</f>
        <v>0.70838712000000004</v>
      </c>
      <c r="L476" s="174" t="b">
        <f>IF(E476&lt;I476,'Electrical System Specification'!X$16*'Electrical System Specification'!Q$16*'Electrical System Specification'!AC$4*'Electrical System Specification'!J$16)</f>
        <v>0</v>
      </c>
      <c r="M476" s="174">
        <f t="shared" si="110"/>
        <v>0.70838712000000004</v>
      </c>
      <c r="N476" s="174">
        <f t="shared" si="111"/>
        <v>6330.3855675733448</v>
      </c>
      <c r="O476" s="173">
        <f t="shared" si="112"/>
        <v>2064.6741330781042</v>
      </c>
      <c r="P476" s="174">
        <f t="shared" si="113"/>
        <v>2914.6127516803299</v>
      </c>
      <c r="Q476" s="174">
        <f t="shared" si="106"/>
        <v>8270.8960076684452</v>
      </c>
      <c r="R476" s="174">
        <f t="shared" si="120"/>
        <v>0</v>
      </c>
      <c r="S476" s="165" t="b">
        <f t="shared" si="114"/>
        <v>0</v>
      </c>
      <c r="T476">
        <f t="shared" si="115"/>
        <v>11185.508759348775</v>
      </c>
      <c r="U476" s="176">
        <f t="shared" si="116"/>
        <v>11185.508759348775</v>
      </c>
      <c r="V476" s="165">
        <f>IF(U476&lt;V$5,V$5-U476,IF(U476&gt;=V$5,0))*('Electrical System Specification'!D$16*'Electrical System Specification'!Q$16)</f>
        <v>0</v>
      </c>
      <c r="W476" s="28">
        <f t="shared" si="117"/>
        <v>0</v>
      </c>
      <c r="X476" s="165">
        <f>IF(U476&gt;V$5,U476-V$5,0)*'Electrical System Specification'!D$17</f>
        <v>2154.760318964959</v>
      </c>
      <c r="Y476">
        <f>(X476*C476)*'Electrical System Specification'!D$17</f>
        <v>395.2967565639687</v>
      </c>
      <c r="Z476" s="165">
        <f t="shared" si="118"/>
        <v>-395.2967565639687</v>
      </c>
      <c r="AA476" s="165">
        <f t="shared" si="119"/>
        <v>-39683.992219078325</v>
      </c>
      <c r="AB476" s="165"/>
    </row>
    <row r="477" spans="3:28" x14ac:dyDescent="0.2">
      <c r="C477" s="148">
        <v>0.19844103083690764</v>
      </c>
      <c r="D477">
        <f t="shared" si="107"/>
        <v>154.09715643835332</v>
      </c>
      <c r="E477" s="164">
        <v>9033.1602859967606</v>
      </c>
      <c r="F477" s="165">
        <f>E477/'Electrical System Specification'!AC$4</f>
        <v>9217.5104959150613</v>
      </c>
      <c r="G477" s="146">
        <f>F477/('Electrical System Specification'!X$16*'Electrical System Specification'!J$16*'Electrical System Specification'!D$17)</f>
        <v>11476.555724780943</v>
      </c>
      <c r="H477" s="165"/>
      <c r="I477" s="173">
        <f t="shared" si="108"/>
        <v>6871.6622130335309</v>
      </c>
      <c r="J477" s="173">
        <f t="shared" si="109"/>
        <v>7621.6306710664712</v>
      </c>
      <c r="K477" s="174">
        <f>IF(E477&gt;I477,'Electrical System Specification'!AC$4*'Electrical System Specification'!J$16*'Electrical System Specification'!D$16*'Electrical System Specification'!D$17*'Electrical System Specification'!X$16)</f>
        <v>0.70838712000000004</v>
      </c>
      <c r="L477" s="174" t="b">
        <f>IF(E477&lt;I477,'Electrical System Specification'!X$16*'Electrical System Specification'!Q$16*'Electrical System Specification'!AC$4*'Electrical System Specification'!J$16)</f>
        <v>0</v>
      </c>
      <c r="M477" s="174">
        <f t="shared" si="110"/>
        <v>0.70838712000000004</v>
      </c>
      <c r="N477" s="174">
        <f t="shared" si="111"/>
        <v>6398.9743994956216</v>
      </c>
      <c r="O477" s="173">
        <f t="shared" si="112"/>
        <v>2161.4980729632298</v>
      </c>
      <c r="P477" s="174">
        <f t="shared" si="113"/>
        <v>3051.2949938491679</v>
      </c>
      <c r="Q477" s="174">
        <f t="shared" si="106"/>
        <v>8270.8960076684452</v>
      </c>
      <c r="R477" s="174">
        <f t="shared" si="120"/>
        <v>0</v>
      </c>
      <c r="S477" s="165" t="b">
        <f t="shared" si="114"/>
        <v>0</v>
      </c>
      <c r="T477">
        <f t="shared" si="115"/>
        <v>11322.191001517613</v>
      </c>
      <c r="U477" s="176">
        <f t="shared" si="116"/>
        <v>11322.191001517613</v>
      </c>
      <c r="V477" s="165">
        <f>IF(U477&lt;V$5,V$5-U477,IF(U477&gt;=V$5,0))*('Electrical System Specification'!D$16*'Electrical System Specification'!Q$16)</f>
        <v>0</v>
      </c>
      <c r="W477" s="28">
        <f t="shared" si="117"/>
        <v>0</v>
      </c>
      <c r="X477" s="165">
        <f>IF(U477&gt;V$5,U477-V$5,0)*'Electrical System Specification'!D$17</f>
        <v>2277.7743369169129</v>
      </c>
      <c r="Y477">
        <f>(X477*C477)*'Electrical System Specification'!D$17</f>
        <v>406.8034986884814</v>
      </c>
      <c r="Z477" s="165">
        <f t="shared" si="118"/>
        <v>-406.8034986884814</v>
      </c>
      <c r="AA477" s="165">
        <f t="shared" si="119"/>
        <v>-40090.795717766807</v>
      </c>
      <c r="AB477" s="165"/>
    </row>
    <row r="478" spans="3:28" x14ac:dyDescent="0.2">
      <c r="C478" s="148">
        <v>0.19308051880974655</v>
      </c>
      <c r="D478">
        <f t="shared" si="107"/>
        <v>154.29023695716307</v>
      </c>
      <c r="E478" s="164">
        <v>3173.5043426934617</v>
      </c>
      <c r="F478" s="165">
        <f>E478/'Electrical System Specification'!AC$4</f>
        <v>3238.2697374423078</v>
      </c>
      <c r="G478" s="146">
        <f>F478/('Electrical System Specification'!X$16*'Electrical System Specification'!J$16*'Electrical System Specification'!D$17)</f>
        <v>4031.9111228675579</v>
      </c>
      <c r="H478" s="165"/>
      <c r="I478" s="173">
        <f t="shared" si="108"/>
        <v>6871.6622130335309</v>
      </c>
      <c r="J478" s="173">
        <f t="shared" si="109"/>
        <v>7621.6306710664712</v>
      </c>
      <c r="K478" s="174" t="b">
        <f>IF(E478&gt;I478,'Electrical System Specification'!AC$4*'Electrical System Specification'!J$16*'Electrical System Specification'!D$16*'Electrical System Specification'!D$17*'Electrical System Specification'!X$16)</f>
        <v>0</v>
      </c>
      <c r="L478" s="174">
        <f>IF(E478&lt;I478,'Electrical System Specification'!X$16*'Electrical System Specification'!Q$16*'Electrical System Specification'!AC$4*'Electrical System Specification'!J$16)</f>
        <v>0.83082440000000002</v>
      </c>
      <c r="M478" s="174">
        <f t="shared" si="110"/>
        <v>0.83082440000000002</v>
      </c>
      <c r="N478" s="174">
        <f t="shared" si="111"/>
        <v>2636.6248414156898</v>
      </c>
      <c r="O478" s="173">
        <f t="shared" si="112"/>
        <v>-3698.1578703400692</v>
      </c>
      <c r="P478" s="174" t="b">
        <f t="shared" si="113"/>
        <v>0</v>
      </c>
      <c r="Q478" s="174">
        <f t="shared" ref="Q478:Q539" si="121">IF(O478&lt;0,I478-(O478*-1),IF(O478&gt;0,I478/L$9))</f>
        <v>3173.5043426934617</v>
      </c>
      <c r="R478" s="174">
        <f t="shared" si="120"/>
        <v>3819.7052742955811</v>
      </c>
      <c r="S478" s="165">
        <f t="shared" si="114"/>
        <v>3819.7052742955811</v>
      </c>
      <c r="T478" t="b">
        <f t="shared" si="115"/>
        <v>0</v>
      </c>
      <c r="U478" s="176">
        <f t="shared" si="116"/>
        <v>3819.7052742955811</v>
      </c>
      <c r="V478" s="165">
        <f>IF(U478&lt;V$5,V$5-U478,IF(U478&gt;=V$5,0))*('Electrical System Specification'!D$16*'Electrical System Specification'!Q$16)</f>
        <v>4250.7396767037699</v>
      </c>
      <c r="W478" s="28">
        <f t="shared" si="117"/>
        <v>820.73502210313825</v>
      </c>
      <c r="X478" s="165">
        <f>IF(U478&gt;V$5,U478-V$5,0)*'Electrical System Specification'!D$17</f>
        <v>0</v>
      </c>
      <c r="Y478">
        <f>(X478*C478)*'Electrical System Specification'!D$17</f>
        <v>0</v>
      </c>
      <c r="Z478" s="165">
        <f t="shared" si="118"/>
        <v>820.73502210313825</v>
      </c>
      <c r="AA478" s="165">
        <f t="shared" si="119"/>
        <v>-39270.060695663669</v>
      </c>
      <c r="AB478" s="165"/>
    </row>
    <row r="479" spans="3:28" x14ac:dyDescent="0.2">
      <c r="C479" s="148">
        <v>0.1877620403311743</v>
      </c>
      <c r="D479">
        <f t="shared" si="107"/>
        <v>154.47799899749424</v>
      </c>
      <c r="E479" s="164">
        <v>8253.2119062426591</v>
      </c>
      <c r="F479" s="165">
        <f>E479/'Electrical System Specification'!AC$4</f>
        <v>8421.6448022884269</v>
      </c>
      <c r="G479" s="146">
        <f>F479/('Electrical System Specification'!X$16*'Electrical System Specification'!J$16*'Electrical System Specification'!D$17)</f>
        <v>10485.637733811976</v>
      </c>
      <c r="H479" s="165"/>
      <c r="I479" s="173">
        <f t="shared" si="108"/>
        <v>6871.6622130335309</v>
      </c>
      <c r="J479" s="173">
        <f t="shared" si="109"/>
        <v>7621.6306710664712</v>
      </c>
      <c r="K479" s="174">
        <f>IF(E479&gt;I479,'Electrical System Specification'!AC$4*'Electrical System Specification'!J$16*'Electrical System Specification'!D$16*'Electrical System Specification'!D$17*'Electrical System Specification'!X$16)</f>
        <v>0.70838712000000004</v>
      </c>
      <c r="L479" s="174" t="b">
        <f>IF(E479&lt;I479,'Electrical System Specification'!X$16*'Electrical System Specification'!Q$16*'Electrical System Specification'!AC$4*'Electrical System Specification'!J$16)</f>
        <v>0</v>
      </c>
      <c r="M479" s="174">
        <f t="shared" si="110"/>
        <v>0.70838712000000004</v>
      </c>
      <c r="N479" s="174">
        <f t="shared" si="111"/>
        <v>5846.4690130129475</v>
      </c>
      <c r="O479" s="173">
        <f t="shared" si="112"/>
        <v>1381.5496932091282</v>
      </c>
      <c r="P479" s="174">
        <f t="shared" si="113"/>
        <v>1950.2750038836507</v>
      </c>
      <c r="Q479" s="174">
        <f t="shared" si="121"/>
        <v>8270.8960076684452</v>
      </c>
      <c r="R479" s="174">
        <f t="shared" si="120"/>
        <v>0</v>
      </c>
      <c r="S479" s="165" t="b">
        <f t="shared" si="114"/>
        <v>0</v>
      </c>
      <c r="T479">
        <f t="shared" si="115"/>
        <v>10221.171011552096</v>
      </c>
      <c r="U479" s="176">
        <f t="shared" si="116"/>
        <v>10221.171011552096</v>
      </c>
      <c r="V479" s="165">
        <f>IF(U479&lt;V$5,V$5-U479,IF(U479&gt;=V$5,0))*('Electrical System Specification'!D$16*'Electrical System Specification'!Q$16)</f>
        <v>0</v>
      </c>
      <c r="W479" s="28">
        <f t="shared" si="117"/>
        <v>0</v>
      </c>
      <c r="X479" s="165">
        <f>IF(U479&gt;V$5,U479-V$5,0)*'Electrical System Specification'!D$17</f>
        <v>1286.8563459479481</v>
      </c>
      <c r="Y479">
        <f>(X479*C479)*'Electrical System Specification'!D$17</f>
        <v>217.46049581547561</v>
      </c>
      <c r="Z479" s="165">
        <f t="shared" si="118"/>
        <v>-217.46049581547561</v>
      </c>
      <c r="AA479" s="165">
        <f t="shared" si="119"/>
        <v>-39487.521191479143</v>
      </c>
      <c r="AB479" s="165"/>
    </row>
    <row r="480" spans="3:28" x14ac:dyDescent="0.2">
      <c r="C480" s="148">
        <v>0.18285203829198374</v>
      </c>
      <c r="D480">
        <f t="shared" si="107"/>
        <v>154.66085103578624</v>
      </c>
      <c r="E480" s="164">
        <v>3014.721736766166</v>
      </c>
      <c r="F480" s="165">
        <f>E480/'Electrical System Specification'!AC$4</f>
        <v>3076.2466701695571</v>
      </c>
      <c r="G480" s="146">
        <f>F480/('Electrical System Specification'!X$16*'Electrical System Specification'!J$16*'Electrical System Specification'!D$17)</f>
        <v>3830.1791301478625</v>
      </c>
      <c r="H480" s="165"/>
      <c r="I480" s="173">
        <f t="shared" si="108"/>
        <v>6871.6622130335309</v>
      </c>
      <c r="J480" s="173">
        <f t="shared" si="109"/>
        <v>7621.6306710664712</v>
      </c>
      <c r="K480" s="174" t="b">
        <f>IF(E480&gt;I480,'Electrical System Specification'!AC$4*'Electrical System Specification'!J$16*'Electrical System Specification'!D$16*'Electrical System Specification'!D$17*'Electrical System Specification'!X$16)</f>
        <v>0</v>
      </c>
      <c r="L480" s="174">
        <f>IF(E480&lt;I480,'Electrical System Specification'!X$16*'Electrical System Specification'!Q$16*'Electrical System Specification'!AC$4*'Electrical System Specification'!J$16)</f>
        <v>0.83082440000000002</v>
      </c>
      <c r="M480" s="174">
        <f t="shared" si="110"/>
        <v>0.83082440000000002</v>
      </c>
      <c r="N480" s="174">
        <f t="shared" si="111"/>
        <v>2504.7043781157081</v>
      </c>
      <c r="O480" s="173">
        <f t="shared" si="112"/>
        <v>-3856.9404762673648</v>
      </c>
      <c r="P480" s="174" t="b">
        <f t="shared" si="113"/>
        <v>0</v>
      </c>
      <c r="Q480" s="174">
        <f t="shared" si="121"/>
        <v>3014.721736766166</v>
      </c>
      <c r="R480" s="174">
        <f t="shared" si="120"/>
        <v>3628.5907548769223</v>
      </c>
      <c r="S480" s="165">
        <f t="shared" si="114"/>
        <v>3628.5907548769223</v>
      </c>
      <c r="T480" t="b">
        <f t="shared" si="115"/>
        <v>0</v>
      </c>
      <c r="U480" s="176">
        <f t="shared" si="116"/>
        <v>3628.5907548769223</v>
      </c>
      <c r="V480" s="165">
        <f>IF(U480&lt;V$5,V$5-U480,IF(U480&gt;=V$5,0))*('Electrical System Specification'!D$16*'Electrical System Specification'!Q$16)</f>
        <v>4414.1425908067222</v>
      </c>
      <c r="W480" s="28">
        <f t="shared" si="117"/>
        <v>807.13497004046701</v>
      </c>
      <c r="X480" s="165">
        <f>IF(U480&gt;V$5,U480-V$5,0)*'Electrical System Specification'!D$17</f>
        <v>0</v>
      </c>
      <c r="Y480">
        <f>(X480*C480)*'Electrical System Specification'!D$17</f>
        <v>0</v>
      </c>
      <c r="Z480" s="165">
        <f t="shared" si="118"/>
        <v>807.13497004046701</v>
      </c>
      <c r="AA480" s="165">
        <f t="shared" si="119"/>
        <v>-38680.386221438675</v>
      </c>
      <c r="AB480" s="165"/>
    </row>
    <row r="481" spans="3:28" x14ac:dyDescent="0.2">
      <c r="C481" s="148">
        <v>0.17799713121697103</v>
      </c>
      <c r="D481">
        <f t="shared" si="107"/>
        <v>154.83884816700322</v>
      </c>
      <c r="E481" s="164">
        <v>0</v>
      </c>
      <c r="F481" s="165">
        <f>E481/'Electrical System Specification'!AC$4</f>
        <v>0</v>
      </c>
      <c r="G481" s="146">
        <f>F481/('Electrical System Specification'!X$16*'Electrical System Specification'!J$16*'Electrical System Specification'!D$17)</f>
        <v>0</v>
      </c>
      <c r="H481" s="165"/>
      <c r="I481" s="173">
        <f t="shared" si="108"/>
        <v>6871.6622130335309</v>
      </c>
      <c r="J481" s="173">
        <f t="shared" si="109"/>
        <v>7621.6306710664712</v>
      </c>
      <c r="K481" s="174" t="b">
        <f>IF(E481&gt;I481,'Electrical System Specification'!AC$4*'Electrical System Specification'!J$16*'Electrical System Specification'!D$16*'Electrical System Specification'!D$17*'Electrical System Specification'!X$16)</f>
        <v>0</v>
      </c>
      <c r="L481" s="174">
        <f>IF(E481&lt;I481,'Electrical System Specification'!X$16*'Electrical System Specification'!Q$16*'Electrical System Specification'!AC$4*'Electrical System Specification'!J$16)</f>
        <v>0.83082440000000002</v>
      </c>
      <c r="M481" s="174">
        <f t="shared" si="110"/>
        <v>0.83082440000000002</v>
      </c>
      <c r="N481" s="174">
        <f t="shared" si="111"/>
        <v>0</v>
      </c>
      <c r="O481" s="173">
        <f t="shared" si="112"/>
        <v>-6871.6622130335309</v>
      </c>
      <c r="P481" s="174" t="b">
        <f t="shared" si="113"/>
        <v>0</v>
      </c>
      <c r="Q481" s="174">
        <f t="shared" si="121"/>
        <v>0</v>
      </c>
      <c r="R481" s="174">
        <f t="shared" si="120"/>
        <v>0</v>
      </c>
      <c r="S481" s="165">
        <f t="shared" si="114"/>
        <v>0</v>
      </c>
      <c r="T481" t="b">
        <f t="shared" si="115"/>
        <v>0</v>
      </c>
      <c r="U481" s="176">
        <f t="shared" si="116"/>
        <v>0</v>
      </c>
      <c r="V481" s="165">
        <f>IF(U481&lt;V$5,V$5-U481,IF(U481&gt;=V$5,0))*('Electrical System Specification'!D$16*'Electrical System Specification'!Q$16)</f>
        <v>7516.5876862264913</v>
      </c>
      <c r="W481" s="28">
        <f t="shared" si="117"/>
        <v>1337.9310446891254</v>
      </c>
      <c r="X481" s="165">
        <f>IF(U481&gt;V$5,U481-V$5,0)*'Electrical System Specification'!D$17</f>
        <v>0</v>
      </c>
      <c r="Y481">
        <f>(X481*C481)*'Electrical System Specification'!D$17</f>
        <v>0</v>
      </c>
      <c r="Z481" s="165">
        <f t="shared" si="118"/>
        <v>1337.9310446891254</v>
      </c>
      <c r="AA481" s="165">
        <f t="shared" si="119"/>
        <v>-37342.45517674955</v>
      </c>
      <c r="AB481" s="165"/>
    </row>
    <row r="482" spans="3:28" x14ac:dyDescent="0.2">
      <c r="C482" s="148">
        <v>0.17311132767403248</v>
      </c>
      <c r="D482">
        <f t="shared" si="107"/>
        <v>155.01195949467726</v>
      </c>
      <c r="E482" s="164">
        <v>2795.128700768385</v>
      </c>
      <c r="F482" s="165">
        <f>E482/'Electrical System Specification'!AC$4</f>
        <v>2852.172143641209</v>
      </c>
      <c r="G482" s="146">
        <f>F482/('Electrical System Specification'!X$16*'Electrical System Specification'!J$16*'Electrical System Specification'!D$17)</f>
        <v>3551.1879870028502</v>
      </c>
      <c r="H482" s="165"/>
      <c r="I482" s="173">
        <f t="shared" si="108"/>
        <v>6871.6622130335309</v>
      </c>
      <c r="J482" s="173">
        <f t="shared" si="109"/>
        <v>7621.6306710664712</v>
      </c>
      <c r="K482" s="174" t="b">
        <f>IF(E482&gt;I482,'Electrical System Specification'!AC$4*'Electrical System Specification'!J$16*'Electrical System Specification'!D$16*'Electrical System Specification'!D$17*'Electrical System Specification'!X$16)</f>
        <v>0</v>
      </c>
      <c r="L482" s="174">
        <f>IF(E482&lt;I482,'Electrical System Specification'!X$16*'Electrical System Specification'!Q$16*'Electrical System Specification'!AC$4*'Electrical System Specification'!J$16)</f>
        <v>0.83082440000000002</v>
      </c>
      <c r="M482" s="174">
        <f t="shared" si="110"/>
        <v>0.83082440000000002</v>
      </c>
      <c r="N482" s="174">
        <f t="shared" si="111"/>
        <v>2322.2611257386729</v>
      </c>
      <c r="O482" s="173">
        <f t="shared" si="112"/>
        <v>-4076.5335122651459</v>
      </c>
      <c r="P482" s="174" t="b">
        <f t="shared" si="113"/>
        <v>0</v>
      </c>
      <c r="Q482" s="174">
        <f t="shared" si="121"/>
        <v>2795.128700768385</v>
      </c>
      <c r="R482" s="174">
        <f t="shared" si="120"/>
        <v>3364.2833561079633</v>
      </c>
      <c r="S482" s="165">
        <f t="shared" si="114"/>
        <v>3364.2833561079633</v>
      </c>
      <c r="T482" t="b">
        <f t="shared" si="115"/>
        <v>0</v>
      </c>
      <c r="U482" s="176">
        <f t="shared" si="116"/>
        <v>3364.2833561079633</v>
      </c>
      <c r="V482" s="165">
        <f>IF(U482&lt;V$5,V$5-U482,IF(U482&gt;=V$5,0))*('Electrical System Specification'!D$16*'Electrical System Specification'!Q$16)</f>
        <v>4640.1254167541829</v>
      </c>
      <c r="W482" s="28">
        <f t="shared" si="117"/>
        <v>803.2582714683399</v>
      </c>
      <c r="X482" s="165">
        <f>IF(U482&gt;V$5,U482-V$5,0)*'Electrical System Specification'!D$17</f>
        <v>0</v>
      </c>
      <c r="Y482">
        <f>(X482*C482)*'Electrical System Specification'!D$17</f>
        <v>0</v>
      </c>
      <c r="Z482" s="165">
        <f t="shared" si="118"/>
        <v>803.2582714683399</v>
      </c>
      <c r="AA482" s="165">
        <f t="shared" si="119"/>
        <v>-36539.196905281213</v>
      </c>
      <c r="AB482" s="165"/>
    </row>
    <row r="483" spans="3:28" x14ac:dyDescent="0.2">
      <c r="C483" s="148">
        <v>0.1680529794830373</v>
      </c>
      <c r="D483">
        <f t="shared" si="107"/>
        <v>155.18001247416029</v>
      </c>
      <c r="E483" s="164">
        <v>8482.7895723044257</v>
      </c>
      <c r="F483" s="165">
        <f>E483/'Electrical System Specification'!AC$4</f>
        <v>8655.9077268412511</v>
      </c>
      <c r="G483" s="146">
        <f>F483/('Electrical System Specification'!X$16*'Electrical System Specification'!J$16*'Electrical System Specification'!D$17)</f>
        <v>10777.31426719614</v>
      </c>
      <c r="H483" s="165"/>
      <c r="I483" s="173">
        <f t="shared" si="108"/>
        <v>6871.6622130335309</v>
      </c>
      <c r="J483" s="173">
        <f t="shared" si="109"/>
        <v>7621.6306710664712</v>
      </c>
      <c r="K483" s="174">
        <f>IF(E483&gt;I483,'Electrical System Specification'!AC$4*'Electrical System Specification'!J$16*'Electrical System Specification'!D$16*'Electrical System Specification'!D$17*'Electrical System Specification'!X$16)</f>
        <v>0.70838712000000004</v>
      </c>
      <c r="L483" s="174" t="b">
        <f>IF(E483&lt;I483,'Electrical System Specification'!X$16*'Electrical System Specification'!Q$16*'Electrical System Specification'!AC$4*'Electrical System Specification'!J$16)</f>
        <v>0</v>
      </c>
      <c r="M483" s="174">
        <f t="shared" si="110"/>
        <v>0.70838712000000004</v>
      </c>
      <c r="N483" s="174">
        <f t="shared" si="111"/>
        <v>6009.0988746907642</v>
      </c>
      <c r="O483" s="173">
        <f t="shared" si="112"/>
        <v>1611.1273592708949</v>
      </c>
      <c r="P483" s="174">
        <f t="shared" si="113"/>
        <v>2274.3600409771634</v>
      </c>
      <c r="Q483" s="174">
        <f t="shared" si="121"/>
        <v>8270.8960076684452</v>
      </c>
      <c r="R483" s="174">
        <f t="shared" si="120"/>
        <v>0</v>
      </c>
      <c r="S483" s="165" t="b">
        <f t="shared" si="114"/>
        <v>0</v>
      </c>
      <c r="T483">
        <f t="shared" si="115"/>
        <v>10545.25604864561</v>
      </c>
      <c r="U483" s="176">
        <f t="shared" si="116"/>
        <v>10545.25604864561</v>
      </c>
      <c r="V483" s="165">
        <f>IF(U483&lt;V$5,V$5-U483,IF(U483&gt;=V$5,0))*('Electrical System Specification'!D$16*'Electrical System Specification'!Q$16)</f>
        <v>0</v>
      </c>
      <c r="W483" s="28">
        <f t="shared" si="117"/>
        <v>0</v>
      </c>
      <c r="X483" s="165">
        <f>IF(U483&gt;V$5,U483-V$5,0)*'Electrical System Specification'!D$17</f>
        <v>1578.53287933211</v>
      </c>
      <c r="Y483">
        <f>(X483*C483)*'Electrical System Specification'!D$17</f>
        <v>238.74943822532899</v>
      </c>
      <c r="Z483" s="165">
        <f t="shared" si="118"/>
        <v>-238.74943822532899</v>
      </c>
      <c r="AA483" s="165">
        <f t="shared" si="119"/>
        <v>-36777.946343506541</v>
      </c>
      <c r="AB483" s="165"/>
    </row>
    <row r="484" spans="3:28" x14ac:dyDescent="0.2">
      <c r="C484" s="148">
        <v>0.16307065027232898</v>
      </c>
      <c r="D484">
        <f t="shared" si="107"/>
        <v>155.34308312443261</v>
      </c>
      <c r="E484" s="164">
        <v>2827.4869989526278</v>
      </c>
      <c r="F484" s="165">
        <f>E484/'Electrical System Specification'!AC$4</f>
        <v>2885.1908152577835</v>
      </c>
      <c r="G484" s="146">
        <f>F484/('Electrical System Specification'!X$16*'Electrical System Specification'!J$16*'Electrical System Specification'!D$17)</f>
        <v>3592.2989382660785</v>
      </c>
      <c r="H484" s="165"/>
      <c r="I484" s="173">
        <f t="shared" si="108"/>
        <v>6871.6622130335309</v>
      </c>
      <c r="J484" s="173">
        <f t="shared" si="109"/>
        <v>7621.6306710664712</v>
      </c>
      <c r="K484" s="174" t="b">
        <f>IF(E484&gt;I484,'Electrical System Specification'!AC$4*'Electrical System Specification'!J$16*'Electrical System Specification'!D$16*'Electrical System Specification'!D$17*'Electrical System Specification'!X$16)</f>
        <v>0</v>
      </c>
      <c r="L484" s="174">
        <f>IF(E484&lt;I484,'Electrical System Specification'!X$16*'Electrical System Specification'!Q$16*'Electrical System Specification'!AC$4*'Electrical System Specification'!J$16)</f>
        <v>0.83082440000000002</v>
      </c>
      <c r="M484" s="174">
        <f t="shared" si="110"/>
        <v>0.83082440000000002</v>
      </c>
      <c r="N484" s="174">
        <f t="shared" si="111"/>
        <v>2349.1451894126176</v>
      </c>
      <c r="O484" s="173">
        <f t="shared" si="112"/>
        <v>-4044.1752140809031</v>
      </c>
      <c r="P484" s="174" t="b">
        <f t="shared" si="113"/>
        <v>0</v>
      </c>
      <c r="Q484" s="174">
        <f t="shared" si="121"/>
        <v>2827.4869989526278</v>
      </c>
      <c r="R484" s="174">
        <f t="shared" si="120"/>
        <v>3403.2305730941794</v>
      </c>
      <c r="S484" s="165">
        <f t="shared" si="114"/>
        <v>3403.2305730941794</v>
      </c>
      <c r="T484" t="b">
        <f t="shared" si="115"/>
        <v>0</v>
      </c>
      <c r="U484" s="176">
        <f t="shared" si="116"/>
        <v>3403.2305730941794</v>
      </c>
      <c r="V484" s="165">
        <f>IF(U484&lt;V$5,V$5-U484,IF(U484&gt;=V$5,0))*('Electrical System Specification'!D$16*'Electrical System Specification'!Q$16)</f>
        <v>4606.8255462309689</v>
      </c>
      <c r="W484" s="28">
        <f t="shared" si="117"/>
        <v>751.23803751506125</v>
      </c>
      <c r="X484" s="165">
        <f>IF(U484&gt;V$5,U484-V$5,0)*'Electrical System Specification'!D$17</f>
        <v>0</v>
      </c>
      <c r="Y484">
        <f>(X484*C484)*'Electrical System Specification'!D$17</f>
        <v>0</v>
      </c>
      <c r="Z484" s="165">
        <f t="shared" si="118"/>
        <v>751.23803751506125</v>
      </c>
      <c r="AA484" s="165">
        <f t="shared" si="119"/>
        <v>-36026.70830599148</v>
      </c>
      <c r="AB484" s="165"/>
    </row>
    <row r="485" spans="3:28" x14ac:dyDescent="0.2">
      <c r="C485" s="148">
        <v>0.15862815335102889</v>
      </c>
      <c r="D485">
        <f t="shared" si="107"/>
        <v>155.50171127778364</v>
      </c>
      <c r="E485" s="164">
        <v>8860.1844589240736</v>
      </c>
      <c r="F485" s="165">
        <f>E485/'Electrical System Specification'!AC$4</f>
        <v>9041.0045499225234</v>
      </c>
      <c r="G485" s="146">
        <f>F485/('Electrical System Specification'!X$16*'Electrical System Specification'!J$16*'Electrical System Specification'!D$17)</f>
        <v>11256.791361525131</v>
      </c>
      <c r="H485" s="165"/>
      <c r="I485" s="173">
        <f t="shared" si="108"/>
        <v>6871.6622130335309</v>
      </c>
      <c r="J485" s="173">
        <f t="shared" si="109"/>
        <v>7621.6306710664712</v>
      </c>
      <c r="K485" s="174">
        <f>IF(E485&gt;I485,'Electrical System Specification'!AC$4*'Electrical System Specification'!J$16*'Electrical System Specification'!D$16*'Electrical System Specification'!D$17*'Electrical System Specification'!X$16)</f>
        <v>0.70838712000000004</v>
      </c>
      <c r="L485" s="174" t="b">
        <f>IF(E485&lt;I485,'Electrical System Specification'!X$16*'Electrical System Specification'!Q$16*'Electrical System Specification'!AC$4*'Electrical System Specification'!J$16)</f>
        <v>0</v>
      </c>
      <c r="M485" s="174">
        <f t="shared" si="110"/>
        <v>0.70838712000000004</v>
      </c>
      <c r="N485" s="174">
        <f t="shared" si="111"/>
        <v>6276.4405515259832</v>
      </c>
      <c r="O485" s="173">
        <f t="shared" si="112"/>
        <v>1988.5222458905428</v>
      </c>
      <c r="P485" s="174">
        <f t="shared" si="113"/>
        <v>2807.112368009377</v>
      </c>
      <c r="Q485" s="174">
        <f t="shared" si="121"/>
        <v>8270.8960076684452</v>
      </c>
      <c r="R485" s="174">
        <f t="shared" si="120"/>
        <v>0</v>
      </c>
      <c r="S485" s="165" t="b">
        <f t="shared" si="114"/>
        <v>0</v>
      </c>
      <c r="T485">
        <f t="shared" si="115"/>
        <v>11078.008375677822</v>
      </c>
      <c r="U485" s="176">
        <f t="shared" si="116"/>
        <v>11078.008375677822</v>
      </c>
      <c r="V485" s="165">
        <f>IF(U485&lt;V$5,V$5-U485,IF(U485&gt;=V$5,0))*('Electrical System Specification'!D$16*'Electrical System Specification'!Q$16)</f>
        <v>0</v>
      </c>
      <c r="W485" s="28">
        <f t="shared" si="117"/>
        <v>0</v>
      </c>
      <c r="X485" s="165">
        <f>IF(U485&gt;V$5,U485-V$5,0)*'Electrical System Specification'!D$17</f>
        <v>2058.0099736611014</v>
      </c>
      <c r="Y485">
        <f>(X485*C485)*'Electrical System Specification'!D$17</f>
        <v>293.81248952987409</v>
      </c>
      <c r="Z485" s="165">
        <f t="shared" si="118"/>
        <v>-293.81248952987409</v>
      </c>
      <c r="AA485" s="165">
        <f t="shared" si="119"/>
        <v>-36320.520795521355</v>
      </c>
      <c r="AB485" s="165"/>
    </row>
    <row r="486" spans="3:28" x14ac:dyDescent="0.2">
      <c r="C486" s="148">
        <v>0.15433060894490444</v>
      </c>
      <c r="D486">
        <f t="shared" si="107"/>
        <v>155.65604188672856</v>
      </c>
      <c r="E486" s="164">
        <v>8933.0961251709105</v>
      </c>
      <c r="F486" s="165">
        <f>E486/'Electrical System Specification'!AC$4</f>
        <v>9115.404209358072</v>
      </c>
      <c r="G486" s="146">
        <f>F486/('Electrical System Specification'!X$16*'Electrical System Specification'!J$16*'Electrical System Specification'!D$17)</f>
        <v>11349.425032817959</v>
      </c>
      <c r="H486" s="165"/>
      <c r="I486" s="173">
        <f t="shared" si="108"/>
        <v>6871.6622130335309</v>
      </c>
      <c r="J486" s="173">
        <f t="shared" si="109"/>
        <v>7621.6306710664712</v>
      </c>
      <c r="K486" s="174">
        <f>IF(E486&gt;I486,'Electrical System Specification'!AC$4*'Electrical System Specification'!J$16*'Electrical System Specification'!D$16*'Electrical System Specification'!D$17*'Electrical System Specification'!X$16)</f>
        <v>0.70838712000000004</v>
      </c>
      <c r="L486" s="174" t="b">
        <f>IF(E486&lt;I486,'Electrical System Specification'!X$16*'Electrical System Specification'!Q$16*'Electrical System Specification'!AC$4*'Electrical System Specification'!J$16)</f>
        <v>0</v>
      </c>
      <c r="M486" s="174">
        <f t="shared" si="110"/>
        <v>0.70838712000000004</v>
      </c>
      <c r="N486" s="174">
        <f t="shared" si="111"/>
        <v>6328.0902367929812</v>
      </c>
      <c r="O486" s="173">
        <f t="shared" si="112"/>
        <v>2061.4339121373796</v>
      </c>
      <c r="P486" s="174">
        <f t="shared" si="113"/>
        <v>2910.0386694458525</v>
      </c>
      <c r="Q486" s="174">
        <f t="shared" si="121"/>
        <v>8270.8960076684452</v>
      </c>
      <c r="R486" s="174">
        <f t="shared" si="120"/>
        <v>0</v>
      </c>
      <c r="S486" s="165" t="b">
        <f t="shared" si="114"/>
        <v>0</v>
      </c>
      <c r="T486">
        <f t="shared" si="115"/>
        <v>11180.934677114297</v>
      </c>
      <c r="U486" s="176">
        <f t="shared" si="116"/>
        <v>11180.934677114297</v>
      </c>
      <c r="V486" s="165">
        <f>IF(U486&lt;V$5,V$5-U486,IF(U486&gt;=V$5,0))*('Electrical System Specification'!D$16*'Electrical System Specification'!Q$16)</f>
        <v>0</v>
      </c>
      <c r="W486" s="28">
        <f t="shared" si="117"/>
        <v>0</v>
      </c>
      <c r="X486" s="165">
        <f>IF(U486&gt;V$5,U486-V$5,0)*'Electrical System Specification'!D$17</f>
        <v>2150.6436449539292</v>
      </c>
      <c r="Y486">
        <f>(X486*C486)*'Electrical System Specification'!D$17</f>
        <v>298.71912901430591</v>
      </c>
      <c r="Z486" s="165">
        <f t="shared" si="118"/>
        <v>-298.71912901430591</v>
      </c>
      <c r="AA486" s="165">
        <f t="shared" si="119"/>
        <v>-36619.239924535665</v>
      </c>
      <c r="AB486" s="165"/>
    </row>
    <row r="487" spans="3:28" x14ac:dyDescent="0.2">
      <c r="C487" s="148">
        <v>0.14990622868564935</v>
      </c>
      <c r="D487">
        <f t="shared" si="107"/>
        <v>155.8059481154142</v>
      </c>
      <c r="E487" s="164">
        <v>9302.548255787071</v>
      </c>
      <c r="F487" s="165">
        <f>E487/'Electrical System Specification'!AC$4</f>
        <v>9492.3961793745621</v>
      </c>
      <c r="G487" s="146">
        <f>F487/('Electrical System Specification'!X$16*'Electrical System Specification'!J$16*'Electrical System Specification'!D$17)</f>
        <v>11818.810921079938</v>
      </c>
      <c r="H487" s="165"/>
      <c r="I487" s="173">
        <f t="shared" si="108"/>
        <v>6871.6622130335309</v>
      </c>
      <c r="J487" s="173">
        <f t="shared" si="109"/>
        <v>7621.6306710664712</v>
      </c>
      <c r="K487" s="174">
        <f>IF(E487&gt;I487,'Electrical System Specification'!AC$4*'Electrical System Specification'!J$16*'Electrical System Specification'!D$16*'Electrical System Specification'!D$17*'Electrical System Specification'!X$16)</f>
        <v>0.70838712000000004</v>
      </c>
      <c r="L487" s="174" t="b">
        <f>IF(E487&lt;I487,'Electrical System Specification'!X$16*'Electrical System Specification'!Q$16*'Electrical System Specification'!AC$4*'Electrical System Specification'!J$16)</f>
        <v>0</v>
      </c>
      <c r="M487" s="174">
        <f t="shared" si="110"/>
        <v>0.70838712000000004</v>
      </c>
      <c r="N487" s="174">
        <f t="shared" si="111"/>
        <v>6589.8053675780266</v>
      </c>
      <c r="O487" s="173">
        <f t="shared" si="112"/>
        <v>2430.8860427535401</v>
      </c>
      <c r="P487" s="174">
        <f t="shared" si="113"/>
        <v>3431.5785452924947</v>
      </c>
      <c r="Q487" s="174">
        <f t="shared" si="121"/>
        <v>8270.8960076684452</v>
      </c>
      <c r="R487" s="174">
        <f t="shared" si="120"/>
        <v>0</v>
      </c>
      <c r="S487" s="165" t="b">
        <f t="shared" si="114"/>
        <v>0</v>
      </c>
      <c r="T487">
        <f t="shared" si="115"/>
        <v>11702.474552960939</v>
      </c>
      <c r="U487" s="176">
        <f t="shared" si="116"/>
        <v>11702.474552960939</v>
      </c>
      <c r="V487" s="165">
        <f>IF(U487&lt;V$5,V$5-U487,IF(U487&gt;=V$5,0))*('Electrical System Specification'!D$16*'Electrical System Specification'!Q$16)</f>
        <v>0</v>
      </c>
      <c r="W487" s="28">
        <f t="shared" si="117"/>
        <v>0</v>
      </c>
      <c r="X487" s="165">
        <f>IF(U487&gt;V$5,U487-V$5,0)*'Electrical System Specification'!D$17</f>
        <v>2620.0295332159067</v>
      </c>
      <c r="Y487">
        <f>(X487*C487)*'Electrical System Specification'!D$17</f>
        <v>353.48287173247695</v>
      </c>
      <c r="Z487" s="165">
        <f t="shared" si="118"/>
        <v>-353.48287173247695</v>
      </c>
      <c r="AA487" s="165">
        <f t="shared" si="119"/>
        <v>-36972.722796268143</v>
      </c>
      <c r="AB487" s="165"/>
    </row>
    <row r="488" spans="3:28" x14ac:dyDescent="0.2">
      <c r="C488" s="148">
        <v>0.14540274772967207</v>
      </c>
      <c r="D488">
        <f t="shared" si="107"/>
        <v>155.95135086314386</v>
      </c>
      <c r="E488" s="164">
        <v>9124.6482418516316</v>
      </c>
      <c r="F488" s="165">
        <f>E488/'Electrical System Specification'!AC$4</f>
        <v>9310.8655529098287</v>
      </c>
      <c r="G488" s="146">
        <f>F488/('Electrical System Specification'!X$16*'Electrical System Specification'!J$16*'Electrical System Specification'!D$17)</f>
        <v>11592.790418982306</v>
      </c>
      <c r="H488" s="165"/>
      <c r="I488" s="173">
        <f t="shared" si="108"/>
        <v>6871.6622130335309</v>
      </c>
      <c r="J488" s="173">
        <f t="shared" si="109"/>
        <v>7621.6306710664712</v>
      </c>
      <c r="K488" s="174">
        <f>IF(E488&gt;I488,'Electrical System Specification'!AC$4*'Electrical System Specification'!J$16*'Electrical System Specification'!D$16*'Electrical System Specification'!D$17*'Electrical System Specification'!X$16)</f>
        <v>0.70838712000000004</v>
      </c>
      <c r="L488" s="174" t="b">
        <f>IF(E488&lt;I488,'Electrical System Specification'!X$16*'Electrical System Specification'!Q$16*'Electrical System Specification'!AC$4*'Electrical System Specification'!J$16)</f>
        <v>0</v>
      </c>
      <c r="M488" s="174">
        <f t="shared" si="110"/>
        <v>0.70838712000000004</v>
      </c>
      <c r="N488" s="174">
        <f t="shared" si="111"/>
        <v>6463.7832890583413</v>
      </c>
      <c r="O488" s="173">
        <f t="shared" si="112"/>
        <v>2252.9860288181007</v>
      </c>
      <c r="P488" s="174">
        <f t="shared" si="113"/>
        <v>3180.4446540729036</v>
      </c>
      <c r="Q488" s="174">
        <f t="shared" si="121"/>
        <v>8270.8960076684452</v>
      </c>
      <c r="R488" s="174">
        <f t="shared" si="120"/>
        <v>0</v>
      </c>
      <c r="S488" s="165" t="b">
        <f t="shared" si="114"/>
        <v>0</v>
      </c>
      <c r="T488">
        <f t="shared" si="115"/>
        <v>11451.340661741349</v>
      </c>
      <c r="U488" s="176">
        <f t="shared" si="116"/>
        <v>11451.340661741349</v>
      </c>
      <c r="V488" s="165">
        <f>IF(U488&lt;V$5,V$5-U488,IF(U488&gt;=V$5,0))*('Electrical System Specification'!D$16*'Electrical System Specification'!Q$16)</f>
        <v>0</v>
      </c>
      <c r="W488" s="28">
        <f t="shared" si="117"/>
        <v>0</v>
      </c>
      <c r="X488" s="165">
        <f>IF(U488&gt;V$5,U488-V$5,0)*'Electrical System Specification'!D$17</f>
        <v>2394.0090311182757</v>
      </c>
      <c r="Y488">
        <f>(X488*C488)*'Electrical System Specification'!D$17</f>
        <v>313.28594209282261</v>
      </c>
      <c r="Z488" s="165">
        <f t="shared" si="118"/>
        <v>-313.28594209282261</v>
      </c>
      <c r="AA488" s="165">
        <f t="shared" si="119"/>
        <v>-37286.008738360964</v>
      </c>
      <c r="AB488" s="165"/>
    </row>
    <row r="489" spans="3:28" x14ac:dyDescent="0.2">
      <c r="C489" s="148">
        <v>16.130985371394839</v>
      </c>
      <c r="D489">
        <f t="shared" si="107"/>
        <v>172.0823362345387</v>
      </c>
      <c r="E489" s="164">
        <v>3324.6965681346223</v>
      </c>
      <c r="F489" s="165">
        <f>E489/'Electrical System Specification'!AC$4</f>
        <v>3392.5475185047167</v>
      </c>
      <c r="G489" s="146">
        <f>F489/('Electrical System Specification'!X$16*'Electrical System Specification'!J$16*'Electrical System Specification'!D$17)</f>
        <v>4223.9995997120332</v>
      </c>
      <c r="H489" s="165"/>
      <c r="I489" s="173">
        <f t="shared" si="108"/>
        <v>6871.6622130335309</v>
      </c>
      <c r="J489" s="173">
        <f t="shared" si="109"/>
        <v>7621.6306710664712</v>
      </c>
      <c r="K489" s="174" t="b">
        <f>IF(E489&gt;I489,'Electrical System Specification'!AC$4*'Electrical System Specification'!J$16*'Electrical System Specification'!D$16*'Electrical System Specification'!D$17*'Electrical System Specification'!X$16)</f>
        <v>0</v>
      </c>
      <c r="L489" s="174">
        <f>IF(E489&lt;I489,'Electrical System Specification'!X$16*'Electrical System Specification'!Q$16*'Electrical System Specification'!AC$4*'Electrical System Specification'!J$16)</f>
        <v>0.83082440000000002</v>
      </c>
      <c r="M489" s="174">
        <f t="shared" si="110"/>
        <v>0.83082440000000002</v>
      </c>
      <c r="N489" s="174">
        <f t="shared" si="111"/>
        <v>2762.239031402507</v>
      </c>
      <c r="O489" s="173">
        <f t="shared" si="112"/>
        <v>-3546.9656448989085</v>
      </c>
      <c r="P489" s="174" t="b">
        <f t="shared" si="113"/>
        <v>0</v>
      </c>
      <c r="Q489" s="174">
        <f t="shared" si="121"/>
        <v>3324.6965681346223</v>
      </c>
      <c r="R489" s="174">
        <f t="shared" si="120"/>
        <v>4001.6838313061367</v>
      </c>
      <c r="S489" s="165">
        <f t="shared" si="114"/>
        <v>4001.6838313061367</v>
      </c>
      <c r="T489" t="b">
        <f t="shared" si="115"/>
        <v>0</v>
      </c>
      <c r="U489" s="176">
        <f t="shared" si="116"/>
        <v>4001.6838313061367</v>
      </c>
      <c r="V489" s="165">
        <f>IF(U489&lt;V$5,V$5-U489,IF(U489&gt;=V$5,0))*('Electrical System Specification'!D$16*'Electrical System Specification'!Q$16)</f>
        <v>4095.1480104597454</v>
      </c>
      <c r="W489" s="28">
        <f t="shared" si="117"/>
        <v>66058.772650422834</v>
      </c>
      <c r="X489" s="165">
        <f>IF(U489&gt;V$5,U489-V$5,0)*'Electrical System Specification'!D$17</f>
        <v>0</v>
      </c>
      <c r="Y489">
        <f>(X489*C489)*'Electrical System Specification'!D$17</f>
        <v>0</v>
      </c>
      <c r="Z489" s="165">
        <f t="shared" si="118"/>
        <v>66058.772650422834</v>
      </c>
      <c r="AA489" s="165">
        <f t="shared" si="119"/>
        <v>28772.76391206187</v>
      </c>
      <c r="AB489" s="165"/>
    </row>
    <row r="490" spans="3:28" x14ac:dyDescent="0.2">
      <c r="C490" s="148">
        <v>0.15977875157884833</v>
      </c>
      <c r="D490">
        <f t="shared" si="107"/>
        <v>172.24211498611754</v>
      </c>
      <c r="E490" s="164">
        <v>0</v>
      </c>
      <c r="F490" s="165">
        <f>E490/'Electrical System Specification'!AC$4</f>
        <v>0</v>
      </c>
      <c r="G490" s="146">
        <f>F490/('Electrical System Specification'!X$16*'Electrical System Specification'!J$16*'Electrical System Specification'!D$17)</f>
        <v>0</v>
      </c>
      <c r="H490" s="165"/>
      <c r="I490" s="173">
        <f t="shared" si="108"/>
        <v>6871.6622130335309</v>
      </c>
      <c r="J490" s="173">
        <f t="shared" si="109"/>
        <v>7621.6306710664712</v>
      </c>
      <c r="K490" s="174" t="b">
        <f>IF(E490&gt;I490,'Electrical System Specification'!AC$4*'Electrical System Specification'!J$16*'Electrical System Specification'!D$16*'Electrical System Specification'!D$17*'Electrical System Specification'!X$16)</f>
        <v>0</v>
      </c>
      <c r="L490" s="174">
        <f>IF(E490&lt;I490,'Electrical System Specification'!X$16*'Electrical System Specification'!Q$16*'Electrical System Specification'!AC$4*'Electrical System Specification'!J$16)</f>
        <v>0.83082440000000002</v>
      </c>
      <c r="M490" s="174">
        <f t="shared" si="110"/>
        <v>0.83082440000000002</v>
      </c>
      <c r="N490" s="174">
        <f t="shared" si="111"/>
        <v>0</v>
      </c>
      <c r="O490" s="173">
        <f t="shared" si="112"/>
        <v>-6871.6622130335309</v>
      </c>
      <c r="P490" s="174" t="b">
        <f t="shared" si="113"/>
        <v>0</v>
      </c>
      <c r="Q490" s="174">
        <f t="shared" si="121"/>
        <v>0</v>
      </c>
      <c r="R490" s="174">
        <f t="shared" si="120"/>
        <v>0</v>
      </c>
      <c r="S490" s="165">
        <f t="shared" si="114"/>
        <v>0</v>
      </c>
      <c r="T490" t="b">
        <f t="shared" si="115"/>
        <v>0</v>
      </c>
      <c r="U490" s="176">
        <f t="shared" si="116"/>
        <v>0</v>
      </c>
      <c r="V490" s="165">
        <f>IF(U490&lt;V$5,V$5-U490,IF(U490&gt;=V$5,0))*('Electrical System Specification'!D$16*'Electrical System Specification'!Q$16)</f>
        <v>7516.5876862264913</v>
      </c>
      <c r="W490" s="28">
        <f t="shared" si="117"/>
        <v>1200.9909966382129</v>
      </c>
      <c r="X490" s="165">
        <f>IF(U490&gt;V$5,U490-V$5,0)*'Electrical System Specification'!D$17</f>
        <v>0</v>
      </c>
      <c r="Y490">
        <f>(X490*C490)*'Electrical System Specification'!D$17</f>
        <v>0</v>
      </c>
      <c r="Z490" s="165">
        <f t="shared" si="118"/>
        <v>1200.9909966382129</v>
      </c>
      <c r="AA490" s="165">
        <f t="shared" si="119"/>
        <v>29973.754908700081</v>
      </c>
      <c r="AB490" s="165"/>
    </row>
    <row r="491" spans="3:28" x14ac:dyDescent="0.2">
      <c r="C491" s="148">
        <v>0.16283157673686738</v>
      </c>
      <c r="D491">
        <f t="shared" si="107"/>
        <v>172.40494656285441</v>
      </c>
      <c r="E491" s="164">
        <v>0</v>
      </c>
      <c r="F491" s="165">
        <f>E491/'Electrical System Specification'!AC$4</f>
        <v>0</v>
      </c>
      <c r="G491" s="146">
        <f>F491/('Electrical System Specification'!X$16*'Electrical System Specification'!J$16*'Electrical System Specification'!D$17)</f>
        <v>0</v>
      </c>
      <c r="H491" s="165"/>
      <c r="I491" s="173">
        <f t="shared" si="108"/>
        <v>6871.6622130335309</v>
      </c>
      <c r="J491" s="173">
        <f t="shared" si="109"/>
        <v>7621.6306710664712</v>
      </c>
      <c r="K491" s="174" t="b">
        <f>IF(E491&gt;I491,'Electrical System Specification'!AC$4*'Electrical System Specification'!J$16*'Electrical System Specification'!D$16*'Electrical System Specification'!D$17*'Electrical System Specification'!X$16)</f>
        <v>0</v>
      </c>
      <c r="L491" s="174">
        <f>IF(E491&lt;I491,'Electrical System Specification'!X$16*'Electrical System Specification'!Q$16*'Electrical System Specification'!AC$4*'Electrical System Specification'!J$16)</f>
        <v>0.83082440000000002</v>
      </c>
      <c r="M491" s="174">
        <f t="shared" si="110"/>
        <v>0.83082440000000002</v>
      </c>
      <c r="N491" s="174">
        <f t="shared" si="111"/>
        <v>0</v>
      </c>
      <c r="O491" s="173">
        <f t="shared" si="112"/>
        <v>-6871.6622130335309</v>
      </c>
      <c r="P491" s="174" t="b">
        <f t="shared" si="113"/>
        <v>0</v>
      </c>
      <c r="Q491" s="174">
        <f t="shared" si="121"/>
        <v>0</v>
      </c>
      <c r="R491" s="174">
        <f t="shared" si="120"/>
        <v>0</v>
      </c>
      <c r="S491" s="165">
        <f t="shared" si="114"/>
        <v>0</v>
      </c>
      <c r="T491" t="b">
        <f t="shared" si="115"/>
        <v>0</v>
      </c>
      <c r="U491" s="176">
        <f t="shared" si="116"/>
        <v>0</v>
      </c>
      <c r="V491" s="165">
        <f>IF(U491&lt;V$5,V$5-U491,IF(U491&gt;=V$5,0))*('Electrical System Specification'!D$16*'Electrical System Specification'!Q$16)</f>
        <v>7516.5876862264913</v>
      </c>
      <c r="W491" s="28">
        <f t="shared" si="117"/>
        <v>1223.9378246291813</v>
      </c>
      <c r="X491" s="165">
        <f>IF(U491&gt;V$5,U491-V$5,0)*'Electrical System Specification'!D$17</f>
        <v>0</v>
      </c>
      <c r="Y491">
        <f>(X491*C491)*'Electrical System Specification'!D$17</f>
        <v>0</v>
      </c>
      <c r="Z491" s="165">
        <f t="shared" si="118"/>
        <v>1223.9378246291813</v>
      </c>
      <c r="AA491" s="165">
        <f t="shared" si="119"/>
        <v>31197.692733329262</v>
      </c>
      <c r="AB491" s="165"/>
    </row>
    <row r="492" spans="3:28" x14ac:dyDescent="0.2">
      <c r="C492" s="148">
        <v>0.16763870247158968</v>
      </c>
      <c r="D492">
        <f t="shared" si="107"/>
        <v>172.57258526532598</v>
      </c>
      <c r="E492" s="164">
        <v>0</v>
      </c>
      <c r="F492" s="165">
        <f>E492/'Electrical System Specification'!AC$4</f>
        <v>0</v>
      </c>
      <c r="G492" s="146">
        <f>F492/('Electrical System Specification'!X$16*'Electrical System Specification'!J$16*'Electrical System Specification'!D$17)</f>
        <v>0</v>
      </c>
      <c r="H492" s="165"/>
      <c r="I492" s="173">
        <f t="shared" si="108"/>
        <v>6871.6622130335309</v>
      </c>
      <c r="J492" s="173">
        <f t="shared" si="109"/>
        <v>7621.6306710664712</v>
      </c>
      <c r="K492" s="174" t="b">
        <f>IF(E492&gt;I492,'Electrical System Specification'!AC$4*'Electrical System Specification'!J$16*'Electrical System Specification'!D$16*'Electrical System Specification'!D$17*'Electrical System Specification'!X$16)</f>
        <v>0</v>
      </c>
      <c r="L492" s="174">
        <f>IF(E492&lt;I492,'Electrical System Specification'!X$16*'Electrical System Specification'!Q$16*'Electrical System Specification'!AC$4*'Electrical System Specification'!J$16)</f>
        <v>0.83082440000000002</v>
      </c>
      <c r="M492" s="174">
        <f t="shared" si="110"/>
        <v>0.83082440000000002</v>
      </c>
      <c r="N492" s="174">
        <f t="shared" si="111"/>
        <v>0</v>
      </c>
      <c r="O492" s="173">
        <f t="shared" si="112"/>
        <v>-6871.6622130335309</v>
      </c>
      <c r="P492" s="174" t="b">
        <f t="shared" si="113"/>
        <v>0</v>
      </c>
      <c r="Q492" s="174">
        <f t="shared" si="121"/>
        <v>0</v>
      </c>
      <c r="R492" s="174">
        <f t="shared" si="120"/>
        <v>0</v>
      </c>
      <c r="S492" s="165">
        <f t="shared" si="114"/>
        <v>0</v>
      </c>
      <c r="T492" t="b">
        <f t="shared" si="115"/>
        <v>0</v>
      </c>
      <c r="U492" s="176">
        <f t="shared" si="116"/>
        <v>0</v>
      </c>
      <c r="V492" s="165">
        <f>IF(U492&lt;V$5,V$5-U492,IF(U492&gt;=V$5,0))*('Electrical System Specification'!D$16*'Electrical System Specification'!Q$16)</f>
        <v>7516.5876862264913</v>
      </c>
      <c r="W492" s="28">
        <f t="shared" si="117"/>
        <v>1260.0710067329376</v>
      </c>
      <c r="X492" s="165">
        <f>IF(U492&gt;V$5,U492-V$5,0)*'Electrical System Specification'!D$17</f>
        <v>0</v>
      </c>
      <c r="Y492">
        <f>(X492*C492)*'Electrical System Specification'!D$17</f>
        <v>0</v>
      </c>
      <c r="Z492" s="165">
        <f t="shared" si="118"/>
        <v>1260.0710067329376</v>
      </c>
      <c r="AA492" s="165">
        <f t="shared" si="119"/>
        <v>32457.763740062201</v>
      </c>
      <c r="AB492" s="165"/>
    </row>
    <row r="493" spans="3:28" x14ac:dyDescent="0.2">
      <c r="C493" s="148">
        <v>0.17278352904298511</v>
      </c>
      <c r="D493">
        <f t="shared" si="107"/>
        <v>172.74536879436897</v>
      </c>
      <c r="E493" s="164">
        <v>0</v>
      </c>
      <c r="F493" s="165">
        <f>E493/'Electrical System Specification'!AC$4</f>
        <v>0</v>
      </c>
      <c r="G493" s="146">
        <f>F493/('Electrical System Specification'!X$16*'Electrical System Specification'!J$16*'Electrical System Specification'!D$17)</f>
        <v>0</v>
      </c>
      <c r="H493" s="165"/>
      <c r="I493" s="173">
        <f t="shared" si="108"/>
        <v>6871.6622130335309</v>
      </c>
      <c r="J493" s="173">
        <f t="shared" si="109"/>
        <v>7621.6306710664712</v>
      </c>
      <c r="K493" s="174" t="b">
        <f>IF(E493&gt;I493,'Electrical System Specification'!AC$4*'Electrical System Specification'!J$16*'Electrical System Specification'!D$16*'Electrical System Specification'!D$17*'Electrical System Specification'!X$16)</f>
        <v>0</v>
      </c>
      <c r="L493" s="174">
        <f>IF(E493&lt;I493,'Electrical System Specification'!X$16*'Electrical System Specification'!Q$16*'Electrical System Specification'!AC$4*'Electrical System Specification'!J$16)</f>
        <v>0.83082440000000002</v>
      </c>
      <c r="M493" s="174">
        <f t="shared" si="110"/>
        <v>0.83082440000000002</v>
      </c>
      <c r="N493" s="174">
        <f t="shared" si="111"/>
        <v>0</v>
      </c>
      <c r="O493" s="173">
        <f t="shared" si="112"/>
        <v>-6871.6622130335309</v>
      </c>
      <c r="P493" s="174" t="b">
        <f t="shared" si="113"/>
        <v>0</v>
      </c>
      <c r="Q493" s="174">
        <f t="shared" si="121"/>
        <v>0</v>
      </c>
      <c r="R493" s="174">
        <f t="shared" si="120"/>
        <v>0</v>
      </c>
      <c r="S493" s="165">
        <f t="shared" si="114"/>
        <v>0</v>
      </c>
      <c r="T493" t="b">
        <f t="shared" si="115"/>
        <v>0</v>
      </c>
      <c r="U493" s="176">
        <f t="shared" si="116"/>
        <v>0</v>
      </c>
      <c r="V493" s="165">
        <f>IF(U493&lt;V$5,V$5-U493,IF(U493&gt;=V$5,0))*('Electrical System Specification'!D$16*'Electrical System Specification'!Q$16)</f>
        <v>7516.5876862264913</v>
      </c>
      <c r="W493" s="28">
        <f t="shared" si="117"/>
        <v>1298.7425467872592</v>
      </c>
      <c r="X493" s="165">
        <f>IF(U493&gt;V$5,U493-V$5,0)*'Electrical System Specification'!D$17</f>
        <v>0</v>
      </c>
      <c r="Y493">
        <f>(X493*C493)*'Electrical System Specification'!D$17</f>
        <v>0</v>
      </c>
      <c r="Z493" s="165">
        <f t="shared" si="118"/>
        <v>1298.7425467872592</v>
      </c>
      <c r="AA493" s="165">
        <f t="shared" si="119"/>
        <v>33756.506286849457</v>
      </c>
      <c r="AB493" s="165"/>
    </row>
    <row r="494" spans="3:28" x14ac:dyDescent="0.2">
      <c r="C494" s="148">
        <v>0.18642566797461274</v>
      </c>
      <c r="D494">
        <f t="shared" si="107"/>
        <v>172.93179446234359</v>
      </c>
      <c r="E494" s="164">
        <v>0</v>
      </c>
      <c r="F494" s="165">
        <f>E494/'Electrical System Specification'!AC$4</f>
        <v>0</v>
      </c>
      <c r="G494" s="146">
        <f>F494/('Electrical System Specification'!X$16*'Electrical System Specification'!J$16*'Electrical System Specification'!D$17)</f>
        <v>0</v>
      </c>
      <c r="H494" s="165"/>
      <c r="I494" s="173">
        <f t="shared" si="108"/>
        <v>6871.6622130335309</v>
      </c>
      <c r="J494" s="173">
        <f t="shared" si="109"/>
        <v>7621.6306710664712</v>
      </c>
      <c r="K494" s="174" t="b">
        <f>IF(E494&gt;I494,'Electrical System Specification'!AC$4*'Electrical System Specification'!J$16*'Electrical System Specification'!D$16*'Electrical System Specification'!D$17*'Electrical System Specification'!X$16)</f>
        <v>0</v>
      </c>
      <c r="L494" s="174">
        <f>IF(E494&lt;I494,'Electrical System Specification'!X$16*'Electrical System Specification'!Q$16*'Electrical System Specification'!AC$4*'Electrical System Specification'!J$16)</f>
        <v>0.83082440000000002</v>
      </c>
      <c r="M494" s="174">
        <f t="shared" si="110"/>
        <v>0.83082440000000002</v>
      </c>
      <c r="N494" s="174">
        <f t="shared" si="111"/>
        <v>0</v>
      </c>
      <c r="O494" s="173">
        <f t="shared" si="112"/>
        <v>-6871.6622130335309</v>
      </c>
      <c r="P494" s="174" t="b">
        <f t="shared" si="113"/>
        <v>0</v>
      </c>
      <c r="Q494" s="174">
        <f t="shared" si="121"/>
        <v>0</v>
      </c>
      <c r="R494" s="174">
        <f t="shared" si="120"/>
        <v>0</v>
      </c>
      <c r="S494" s="165">
        <f t="shared" si="114"/>
        <v>0</v>
      </c>
      <c r="T494" t="b">
        <f t="shared" si="115"/>
        <v>0</v>
      </c>
      <c r="U494" s="176">
        <f t="shared" si="116"/>
        <v>0</v>
      </c>
      <c r="V494" s="165">
        <f>IF(U494&lt;V$5,V$5-U494,IF(U494&gt;=V$5,0))*('Electrical System Specification'!D$16*'Electrical System Specification'!Q$16)</f>
        <v>7516.5876862264913</v>
      </c>
      <c r="W494" s="28">
        <f t="shared" si="117"/>
        <v>1401.2848802945225</v>
      </c>
      <c r="X494" s="165">
        <f>IF(U494&gt;V$5,U494-V$5,0)*'Electrical System Specification'!D$17</f>
        <v>0</v>
      </c>
      <c r="Y494">
        <f>(X494*C494)*'Electrical System Specification'!D$17</f>
        <v>0</v>
      </c>
      <c r="Z494" s="165">
        <f t="shared" si="118"/>
        <v>1401.2848802945225</v>
      </c>
      <c r="AA494" s="165">
        <f t="shared" si="119"/>
        <v>35157.79116714398</v>
      </c>
      <c r="AB494" s="165"/>
    </row>
    <row r="495" spans="3:28" x14ac:dyDescent="0.2">
      <c r="C495" s="148">
        <v>0.1916141944556734</v>
      </c>
      <c r="D495">
        <f t="shared" si="107"/>
        <v>173.12340865679926</v>
      </c>
      <c r="E495" s="164">
        <v>0</v>
      </c>
      <c r="F495" s="165">
        <f>E495/'Electrical System Specification'!AC$4</f>
        <v>0</v>
      </c>
      <c r="G495" s="146">
        <f>F495/('Electrical System Specification'!X$16*'Electrical System Specification'!J$16*'Electrical System Specification'!D$17)</f>
        <v>0</v>
      </c>
      <c r="H495" s="165"/>
      <c r="I495" s="173">
        <f t="shared" si="108"/>
        <v>6871.6622130335309</v>
      </c>
      <c r="J495" s="173">
        <f t="shared" si="109"/>
        <v>7621.6306710664712</v>
      </c>
      <c r="K495" s="174" t="b">
        <f>IF(E495&gt;I495,'Electrical System Specification'!AC$4*'Electrical System Specification'!J$16*'Electrical System Specification'!D$16*'Electrical System Specification'!D$17*'Electrical System Specification'!X$16)</f>
        <v>0</v>
      </c>
      <c r="L495" s="174">
        <f>IF(E495&lt;I495,'Electrical System Specification'!X$16*'Electrical System Specification'!Q$16*'Electrical System Specification'!AC$4*'Electrical System Specification'!J$16)</f>
        <v>0.83082440000000002</v>
      </c>
      <c r="M495" s="174">
        <f t="shared" si="110"/>
        <v>0.83082440000000002</v>
      </c>
      <c r="N495" s="174">
        <f t="shared" si="111"/>
        <v>0</v>
      </c>
      <c r="O495" s="173">
        <f t="shared" si="112"/>
        <v>-6871.6622130335309</v>
      </c>
      <c r="P495" s="174" t="b">
        <f t="shared" si="113"/>
        <v>0</v>
      </c>
      <c r="Q495" s="174">
        <f t="shared" si="121"/>
        <v>0</v>
      </c>
      <c r="R495" s="174">
        <f t="shared" si="120"/>
        <v>0</v>
      </c>
      <c r="S495" s="165">
        <f t="shared" si="114"/>
        <v>0</v>
      </c>
      <c r="T495" t="b">
        <f t="shared" si="115"/>
        <v>0</v>
      </c>
      <c r="U495" s="176">
        <f t="shared" si="116"/>
        <v>0</v>
      </c>
      <c r="V495" s="165">
        <f>IF(U495&lt;V$5,V$5-U495,IF(U495&gt;=V$5,0))*('Electrical System Specification'!D$16*'Electrical System Specification'!Q$16)</f>
        <v>7516.5876862264913</v>
      </c>
      <c r="W495" s="28">
        <f t="shared" si="117"/>
        <v>1440.284894551723</v>
      </c>
      <c r="X495" s="165">
        <f>IF(U495&gt;V$5,U495-V$5,0)*'Electrical System Specification'!D$17</f>
        <v>0</v>
      </c>
      <c r="Y495">
        <f>(X495*C495)*'Electrical System Specification'!D$17</f>
        <v>0</v>
      </c>
      <c r="Z495" s="165">
        <f t="shared" si="118"/>
        <v>1440.284894551723</v>
      </c>
      <c r="AA495" s="165">
        <f t="shared" si="119"/>
        <v>36598.076061695705</v>
      </c>
      <c r="AB495" s="165"/>
    </row>
    <row r="496" spans="3:28" x14ac:dyDescent="0.2">
      <c r="C496" s="148">
        <v>0.18</v>
      </c>
      <c r="D496">
        <f t="shared" si="107"/>
        <v>173.30340865679926</v>
      </c>
      <c r="E496" s="164">
        <v>13790.386130811665</v>
      </c>
      <c r="F496" s="165">
        <f>E496/'Electrical System Specification'!AC$4</f>
        <v>14071.822582460883</v>
      </c>
      <c r="G496" s="146">
        <f>F496/('Electrical System Specification'!X$16*'Electrical System Specification'!J$16*'Electrical System Specification'!D$17)</f>
        <v>17520.571968799348</v>
      </c>
      <c r="H496" s="165"/>
      <c r="I496" s="173">
        <f t="shared" si="108"/>
        <v>6871.6622130335309</v>
      </c>
      <c r="J496" s="173">
        <f t="shared" si="109"/>
        <v>7621.6306710664712</v>
      </c>
      <c r="K496" s="174">
        <f>IF(E496&gt;I496,'Electrical System Specification'!AC$4*'Electrical System Specification'!J$16*'Electrical System Specification'!D$16*'Electrical System Specification'!D$17*'Electrical System Specification'!X$16)</f>
        <v>0.70838712000000004</v>
      </c>
      <c r="L496" s="174" t="b">
        <f>IF(E496&lt;I496,'Electrical System Specification'!X$16*'Electrical System Specification'!Q$16*'Electrical System Specification'!AC$4*'Electrical System Specification'!J$16)</f>
        <v>0</v>
      </c>
      <c r="M496" s="174">
        <f t="shared" si="110"/>
        <v>0.70838712000000004</v>
      </c>
      <c r="N496" s="174">
        <f t="shared" si="111"/>
        <v>9768.9319148936193</v>
      </c>
      <c r="O496" s="173">
        <f t="shared" si="112"/>
        <v>6918.7239177781339</v>
      </c>
      <c r="P496" s="174">
        <f t="shared" si="113"/>
        <v>9766.8685983140604</v>
      </c>
      <c r="Q496" s="174">
        <f t="shared" si="121"/>
        <v>8270.8960076684452</v>
      </c>
      <c r="R496" s="174">
        <f t="shared" si="120"/>
        <v>0</v>
      </c>
      <c r="S496" s="165" t="b">
        <f t="shared" si="114"/>
        <v>0</v>
      </c>
      <c r="T496">
        <f t="shared" si="115"/>
        <v>18037.764605982506</v>
      </c>
      <c r="U496" s="176">
        <f t="shared" si="116"/>
        <v>18037.764605982506</v>
      </c>
      <c r="V496" s="165">
        <f>IF(U496&lt;V$5,V$5-U496,IF(U496&gt;=V$5,0))*('Electrical System Specification'!D$16*'Electrical System Specification'!Q$16)</f>
        <v>0</v>
      </c>
      <c r="W496" s="28">
        <f t="shared" si="117"/>
        <v>0</v>
      </c>
      <c r="X496" s="165">
        <f>IF(U496&gt;V$5,U496-V$5,0)*'Electrical System Specification'!D$17</f>
        <v>8321.790580935316</v>
      </c>
      <c r="Y496">
        <f>(X496*C496)*'Electrical System Specification'!D$17</f>
        <v>1348.1300741115213</v>
      </c>
      <c r="Z496" s="165">
        <f t="shared" si="118"/>
        <v>-1348.1300741115213</v>
      </c>
      <c r="AA496" s="165">
        <f t="shared" si="119"/>
        <v>35249.945987584186</v>
      </c>
      <c r="AB496" s="165"/>
    </row>
    <row r="497" spans="3:28" x14ac:dyDescent="0.2">
      <c r="C497" s="148">
        <v>0.24</v>
      </c>
      <c r="D497">
        <f t="shared" si="107"/>
        <v>173.54340865679927</v>
      </c>
      <c r="E497" s="164">
        <v>13465.906457145509</v>
      </c>
      <c r="F497" s="165">
        <f>E497/'Electrical System Specification'!AC$4</f>
        <v>13740.720874638275</v>
      </c>
      <c r="G497" s="146">
        <f>F497/('Electrical System Specification'!X$16*'Electrical System Specification'!J$16*'Electrical System Specification'!D$17)</f>
        <v>17108.323216592304</v>
      </c>
      <c r="H497" s="165"/>
      <c r="I497" s="173">
        <f t="shared" si="108"/>
        <v>6871.6622130335309</v>
      </c>
      <c r="J497" s="173">
        <f t="shared" si="109"/>
        <v>7621.6306710664712</v>
      </c>
      <c r="K497" s="174">
        <f>IF(E497&gt;I497,'Electrical System Specification'!AC$4*'Electrical System Specification'!J$16*'Electrical System Specification'!D$16*'Electrical System Specification'!D$17*'Electrical System Specification'!X$16)</f>
        <v>0.70838712000000004</v>
      </c>
      <c r="L497" s="174" t="b">
        <f>IF(E497&lt;I497,'Electrical System Specification'!X$16*'Electrical System Specification'!Q$16*'Electrical System Specification'!AC$4*'Electrical System Specification'!J$16)</f>
        <v>0</v>
      </c>
      <c r="M497" s="174">
        <f t="shared" si="110"/>
        <v>0.70838712000000004</v>
      </c>
      <c r="N497" s="174">
        <f t="shared" si="111"/>
        <v>9539.0746933667106</v>
      </c>
      <c r="O497" s="173">
        <f t="shared" si="112"/>
        <v>6594.2442441119783</v>
      </c>
      <c r="P497" s="174">
        <f t="shared" si="113"/>
        <v>9308.8144291951248</v>
      </c>
      <c r="Q497" s="174">
        <f t="shared" si="121"/>
        <v>8270.8960076684452</v>
      </c>
      <c r="R497" s="174">
        <f t="shared" si="120"/>
        <v>0</v>
      </c>
      <c r="S497" s="165" t="b">
        <f t="shared" si="114"/>
        <v>0</v>
      </c>
      <c r="T497">
        <f t="shared" si="115"/>
        <v>17579.71043686357</v>
      </c>
      <c r="U497" s="176">
        <f t="shared" si="116"/>
        <v>17579.71043686357</v>
      </c>
      <c r="V497" s="165">
        <f>IF(U497&lt;V$5,V$5-U497,IF(U497&gt;=V$5,0))*('Electrical System Specification'!D$16*'Electrical System Specification'!Q$16)</f>
        <v>0</v>
      </c>
      <c r="W497" s="28">
        <f t="shared" si="117"/>
        <v>0</v>
      </c>
      <c r="X497" s="165">
        <f>IF(U497&gt;V$5,U497-V$5,0)*'Electrical System Specification'!D$17</f>
        <v>7909.5418287282746</v>
      </c>
      <c r="Y497">
        <f>(X497*C497)*'Electrical System Specification'!D$17</f>
        <v>1708.4610350053072</v>
      </c>
      <c r="Z497" s="165">
        <f t="shared" si="118"/>
        <v>-1708.4610350053072</v>
      </c>
      <c r="AA497" s="165">
        <f t="shared" si="119"/>
        <v>33541.484952578881</v>
      </c>
      <c r="AB497" s="165"/>
    </row>
    <row r="498" spans="3:28" x14ac:dyDescent="0.2">
      <c r="C498" s="148">
        <v>0.28413344025354037</v>
      </c>
      <c r="D498">
        <f t="shared" si="107"/>
        <v>173.8275420970528</v>
      </c>
      <c r="E498" s="164">
        <v>13465.906457145509</v>
      </c>
      <c r="F498" s="165">
        <f>E498/'Electrical System Specification'!AC$4</f>
        <v>13740.720874638275</v>
      </c>
      <c r="G498" s="146">
        <f>F498/('Electrical System Specification'!X$16*'Electrical System Specification'!J$16*'Electrical System Specification'!D$17)</f>
        <v>17108.323216592304</v>
      </c>
      <c r="H498" s="165"/>
      <c r="I498" s="173">
        <f t="shared" si="108"/>
        <v>6871.6622130335309</v>
      </c>
      <c r="J498" s="173">
        <f t="shared" si="109"/>
        <v>7621.6306710664712</v>
      </c>
      <c r="K498" s="174">
        <f>IF(E498&gt;I498,'Electrical System Specification'!AC$4*'Electrical System Specification'!J$16*'Electrical System Specification'!D$16*'Electrical System Specification'!D$17*'Electrical System Specification'!X$16)</f>
        <v>0.70838712000000004</v>
      </c>
      <c r="L498" s="174" t="b">
        <f>IF(E498&lt;I498,'Electrical System Specification'!X$16*'Electrical System Specification'!Q$16*'Electrical System Specification'!AC$4*'Electrical System Specification'!J$16)</f>
        <v>0</v>
      </c>
      <c r="M498" s="174">
        <f t="shared" si="110"/>
        <v>0.70838712000000004</v>
      </c>
      <c r="N498" s="174">
        <f t="shared" si="111"/>
        <v>9539.0746933667106</v>
      </c>
      <c r="O498" s="173">
        <f t="shared" si="112"/>
        <v>6594.2442441119783</v>
      </c>
      <c r="P498" s="174">
        <f t="shared" si="113"/>
        <v>9308.8144291951248</v>
      </c>
      <c r="Q498" s="174">
        <f t="shared" si="121"/>
        <v>8270.8960076684452</v>
      </c>
      <c r="R498" s="174">
        <f t="shared" si="120"/>
        <v>0</v>
      </c>
      <c r="S498" s="165" t="b">
        <f t="shared" si="114"/>
        <v>0</v>
      </c>
      <c r="T498">
        <f t="shared" si="115"/>
        <v>17579.71043686357</v>
      </c>
      <c r="U498" s="176">
        <f t="shared" si="116"/>
        <v>17579.71043686357</v>
      </c>
      <c r="V498" s="165">
        <f>IF(U498&lt;V$5,V$5-U498,IF(U498&gt;=V$5,0))*('Electrical System Specification'!D$16*'Electrical System Specification'!Q$16)</f>
        <v>0</v>
      </c>
      <c r="W498" s="28">
        <f t="shared" si="117"/>
        <v>0</v>
      </c>
      <c r="X498" s="165">
        <f>IF(U498&gt;V$5,U498-V$5,0)*'Electrical System Specification'!D$17</f>
        <v>7909.5418287282746</v>
      </c>
      <c r="Y498">
        <f>(X498*C498)*'Electrical System Specification'!D$17</f>
        <v>2022.6287975632595</v>
      </c>
      <c r="Z498" s="165">
        <f t="shared" si="118"/>
        <v>-2022.6287975632595</v>
      </c>
      <c r="AA498" s="165">
        <f t="shared" si="119"/>
        <v>31518.856155015623</v>
      </c>
      <c r="AB498" s="165"/>
    </row>
    <row r="499" spans="3:28" x14ac:dyDescent="0.2">
      <c r="C499" s="148">
        <v>0.28449868202897161</v>
      </c>
      <c r="D499">
        <f t="shared" si="107"/>
        <v>174.11204077908178</v>
      </c>
      <c r="E499" s="164">
        <v>13465.906457145509</v>
      </c>
      <c r="F499" s="165">
        <f>E499/'Electrical System Specification'!AC$4</f>
        <v>13740.720874638275</v>
      </c>
      <c r="G499" s="146">
        <f>F499/('Electrical System Specification'!X$16*'Electrical System Specification'!J$16*'Electrical System Specification'!D$17)</f>
        <v>17108.323216592304</v>
      </c>
      <c r="H499" s="165"/>
      <c r="I499" s="173">
        <f t="shared" si="108"/>
        <v>6871.6622130335309</v>
      </c>
      <c r="J499" s="173">
        <f t="shared" si="109"/>
        <v>7621.6306710664712</v>
      </c>
      <c r="K499" s="174">
        <f>IF(E499&gt;I499,'Electrical System Specification'!AC$4*'Electrical System Specification'!J$16*'Electrical System Specification'!D$16*'Electrical System Specification'!D$17*'Electrical System Specification'!X$16)</f>
        <v>0.70838712000000004</v>
      </c>
      <c r="L499" s="174" t="b">
        <f>IF(E499&lt;I499,'Electrical System Specification'!X$16*'Electrical System Specification'!Q$16*'Electrical System Specification'!AC$4*'Electrical System Specification'!J$16)</f>
        <v>0</v>
      </c>
      <c r="M499" s="174">
        <f t="shared" si="110"/>
        <v>0.70838712000000004</v>
      </c>
      <c r="N499" s="174">
        <f t="shared" si="111"/>
        <v>9539.0746933667106</v>
      </c>
      <c r="O499" s="173">
        <f t="shared" si="112"/>
        <v>6594.2442441119783</v>
      </c>
      <c r="P499" s="174">
        <f t="shared" si="113"/>
        <v>9308.8144291951248</v>
      </c>
      <c r="Q499" s="174">
        <f t="shared" si="121"/>
        <v>8270.8960076684452</v>
      </c>
      <c r="R499" s="174">
        <f t="shared" si="120"/>
        <v>0</v>
      </c>
      <c r="S499" s="165" t="b">
        <f t="shared" si="114"/>
        <v>0</v>
      </c>
      <c r="T499">
        <f t="shared" si="115"/>
        <v>17579.71043686357</v>
      </c>
      <c r="U499" s="176">
        <f t="shared" si="116"/>
        <v>17579.71043686357</v>
      </c>
      <c r="V499" s="165">
        <f>IF(U499&lt;V$5,V$5-U499,IF(U499&gt;=V$5,0))*('Electrical System Specification'!D$16*'Electrical System Specification'!Q$16)</f>
        <v>0</v>
      </c>
      <c r="W499" s="28">
        <f t="shared" si="117"/>
        <v>0</v>
      </c>
      <c r="X499" s="165">
        <f>IF(U499&gt;V$5,U499-V$5,0)*'Electrical System Specification'!D$17</f>
        <v>7909.5418287282746</v>
      </c>
      <c r="Y499">
        <f>(X499*C499)*'Electrical System Specification'!D$17</f>
        <v>2025.2288031535945</v>
      </c>
      <c r="Z499" s="165">
        <f t="shared" si="118"/>
        <v>-2025.2288031535945</v>
      </c>
      <c r="AA499" s="165">
        <f t="shared" si="119"/>
        <v>29493.627351862029</v>
      </c>
      <c r="AB499" s="165"/>
    </row>
    <row r="500" spans="3:28" x14ac:dyDescent="0.2">
      <c r="C500" s="148">
        <v>0.28486140101441343</v>
      </c>
      <c r="D500">
        <f t="shared" si="107"/>
        <v>174.39690218009619</v>
      </c>
      <c r="E500" s="164">
        <v>13465.906457145509</v>
      </c>
      <c r="F500" s="165">
        <f>E500/'Electrical System Specification'!AC$4</f>
        <v>13740.720874638275</v>
      </c>
      <c r="G500" s="146">
        <f>F500/('Electrical System Specification'!X$16*'Electrical System Specification'!J$16*'Electrical System Specification'!D$17)</f>
        <v>17108.323216592304</v>
      </c>
      <c r="H500" s="165"/>
      <c r="I500" s="173">
        <f t="shared" si="108"/>
        <v>6871.6622130335309</v>
      </c>
      <c r="J500" s="173">
        <f t="shared" si="109"/>
        <v>7621.6306710664712</v>
      </c>
      <c r="K500" s="174">
        <f>IF(E500&gt;I500,'Electrical System Specification'!AC$4*'Electrical System Specification'!J$16*'Electrical System Specification'!D$16*'Electrical System Specification'!D$17*'Electrical System Specification'!X$16)</f>
        <v>0.70838712000000004</v>
      </c>
      <c r="L500" s="174" t="b">
        <f>IF(E500&lt;I500,'Electrical System Specification'!X$16*'Electrical System Specification'!Q$16*'Electrical System Specification'!AC$4*'Electrical System Specification'!J$16)</f>
        <v>0</v>
      </c>
      <c r="M500" s="174">
        <f t="shared" si="110"/>
        <v>0.70838712000000004</v>
      </c>
      <c r="N500" s="174">
        <f t="shared" si="111"/>
        <v>9539.0746933667106</v>
      </c>
      <c r="O500" s="173">
        <f t="shared" si="112"/>
        <v>6594.2442441119783</v>
      </c>
      <c r="P500" s="174">
        <f t="shared" si="113"/>
        <v>9308.8144291951248</v>
      </c>
      <c r="Q500" s="174">
        <f t="shared" si="121"/>
        <v>8270.8960076684452</v>
      </c>
      <c r="R500" s="174">
        <f t="shared" si="120"/>
        <v>0</v>
      </c>
      <c r="S500" s="165" t="b">
        <f t="shared" si="114"/>
        <v>0</v>
      </c>
      <c r="T500">
        <f t="shared" si="115"/>
        <v>17579.71043686357</v>
      </c>
      <c r="U500" s="176">
        <f t="shared" si="116"/>
        <v>17579.71043686357</v>
      </c>
      <c r="V500" s="165">
        <f>IF(U500&lt;V$5,V$5-U500,IF(U500&gt;=V$5,0))*('Electrical System Specification'!D$16*'Electrical System Specification'!Q$16)</f>
        <v>0</v>
      </c>
      <c r="W500" s="28">
        <f t="shared" si="117"/>
        <v>0</v>
      </c>
      <c r="X500" s="165">
        <f>IF(U500&gt;V$5,U500-V$5,0)*'Electrical System Specification'!D$17</f>
        <v>7909.5418287282746</v>
      </c>
      <c r="Y500">
        <f>(X500*C500)*'Electrical System Specification'!D$17</f>
        <v>2027.8108500422779</v>
      </c>
      <c r="Z500" s="165">
        <f t="shared" si="118"/>
        <v>-2027.8108500422779</v>
      </c>
      <c r="AA500" s="165">
        <f t="shared" si="119"/>
        <v>27465.816501819751</v>
      </c>
      <c r="AB500" s="165"/>
    </row>
    <row r="501" spans="3:28" x14ac:dyDescent="0.2">
      <c r="C501" s="148">
        <v>0.28532252849701367</v>
      </c>
      <c r="D501">
        <f t="shared" si="107"/>
        <v>174.6822247085932</v>
      </c>
      <c r="E501" s="164">
        <v>13465.906457145509</v>
      </c>
      <c r="F501" s="165">
        <f>E501/'Electrical System Specification'!AC$4</f>
        <v>13740.720874638275</v>
      </c>
      <c r="G501" s="146">
        <f>F501/('Electrical System Specification'!X$16*'Electrical System Specification'!J$16*'Electrical System Specification'!D$17)</f>
        <v>17108.323216592304</v>
      </c>
      <c r="H501" s="165"/>
      <c r="I501" s="173">
        <f t="shared" si="108"/>
        <v>6871.6622130335309</v>
      </c>
      <c r="J501" s="173">
        <f t="shared" si="109"/>
        <v>7621.6306710664712</v>
      </c>
      <c r="K501" s="174">
        <f>IF(E501&gt;I501,'Electrical System Specification'!AC$4*'Electrical System Specification'!J$16*'Electrical System Specification'!D$16*'Electrical System Specification'!D$17*'Electrical System Specification'!X$16)</f>
        <v>0.70838712000000004</v>
      </c>
      <c r="L501" s="174" t="b">
        <f>IF(E501&lt;I501,'Electrical System Specification'!X$16*'Electrical System Specification'!Q$16*'Electrical System Specification'!AC$4*'Electrical System Specification'!J$16)</f>
        <v>0</v>
      </c>
      <c r="M501" s="174">
        <f t="shared" si="110"/>
        <v>0.70838712000000004</v>
      </c>
      <c r="N501" s="174">
        <f t="shared" si="111"/>
        <v>9539.0746933667106</v>
      </c>
      <c r="O501" s="173">
        <f t="shared" si="112"/>
        <v>6594.2442441119783</v>
      </c>
      <c r="P501" s="174">
        <f t="shared" si="113"/>
        <v>9308.8144291951248</v>
      </c>
      <c r="Q501" s="174">
        <f t="shared" si="121"/>
        <v>8270.8960076684452</v>
      </c>
      <c r="R501" s="174">
        <f t="shared" si="120"/>
        <v>0</v>
      </c>
      <c r="S501" s="165" t="b">
        <f t="shared" si="114"/>
        <v>0</v>
      </c>
      <c r="T501">
        <f t="shared" si="115"/>
        <v>17579.71043686357</v>
      </c>
      <c r="U501" s="176">
        <f t="shared" si="116"/>
        <v>17579.71043686357</v>
      </c>
      <c r="V501" s="165">
        <f>IF(U501&lt;V$5,V$5-U501,IF(U501&gt;=V$5,0))*('Electrical System Specification'!D$16*'Electrical System Specification'!Q$16)</f>
        <v>0</v>
      </c>
      <c r="W501" s="28">
        <f t="shared" si="117"/>
        <v>0</v>
      </c>
      <c r="X501" s="165">
        <f>IF(U501&gt;V$5,U501-V$5,0)*'Electrical System Specification'!D$17</f>
        <v>7909.5418287282746</v>
      </c>
      <c r="Y501">
        <f>(X501*C501)*'Electrical System Specification'!D$17</f>
        <v>2031.0934264430803</v>
      </c>
      <c r="Z501" s="165">
        <f t="shared" si="118"/>
        <v>-2031.0934264430803</v>
      </c>
      <c r="AA501" s="165">
        <f t="shared" si="119"/>
        <v>25434.723075376671</v>
      </c>
      <c r="AB501" s="165"/>
    </row>
    <row r="502" spans="3:28" x14ac:dyDescent="0.2">
      <c r="C502" s="148">
        <v>0.28574662488255348</v>
      </c>
      <c r="D502">
        <f t="shared" si="107"/>
        <v>174.96797133347576</v>
      </c>
      <c r="E502" s="164">
        <v>13465.906457145509</v>
      </c>
      <c r="F502" s="165">
        <f>E502/'Electrical System Specification'!AC$4</f>
        <v>13740.720874638275</v>
      </c>
      <c r="G502" s="146">
        <f>F502/('Electrical System Specification'!X$16*'Electrical System Specification'!J$16*'Electrical System Specification'!D$17)</f>
        <v>17108.323216592304</v>
      </c>
      <c r="H502" s="165"/>
      <c r="I502" s="173">
        <f t="shared" si="108"/>
        <v>6871.6622130335309</v>
      </c>
      <c r="J502" s="173">
        <f t="shared" si="109"/>
        <v>7621.6306710664712</v>
      </c>
      <c r="K502" s="174">
        <f>IF(E502&gt;I502,'Electrical System Specification'!AC$4*'Electrical System Specification'!J$16*'Electrical System Specification'!D$16*'Electrical System Specification'!D$17*'Electrical System Specification'!X$16)</f>
        <v>0.70838712000000004</v>
      </c>
      <c r="L502" s="174" t="b">
        <f>IF(E502&lt;I502,'Electrical System Specification'!X$16*'Electrical System Specification'!Q$16*'Electrical System Specification'!AC$4*'Electrical System Specification'!J$16)</f>
        <v>0</v>
      </c>
      <c r="M502" s="174">
        <f t="shared" si="110"/>
        <v>0.70838712000000004</v>
      </c>
      <c r="N502" s="174">
        <f t="shared" si="111"/>
        <v>9539.0746933667106</v>
      </c>
      <c r="O502" s="173">
        <f t="shared" si="112"/>
        <v>6594.2442441119783</v>
      </c>
      <c r="P502" s="174">
        <f t="shared" si="113"/>
        <v>9308.8144291951248</v>
      </c>
      <c r="Q502" s="174">
        <f t="shared" si="121"/>
        <v>8270.8960076684452</v>
      </c>
      <c r="R502" s="174">
        <f t="shared" si="120"/>
        <v>0</v>
      </c>
      <c r="S502" s="165" t="b">
        <f t="shared" si="114"/>
        <v>0</v>
      </c>
      <c r="T502">
        <f t="shared" si="115"/>
        <v>17579.71043686357</v>
      </c>
      <c r="U502" s="176">
        <f t="shared" si="116"/>
        <v>17579.71043686357</v>
      </c>
      <c r="V502" s="165">
        <f>IF(U502&lt;V$5,V$5-U502,IF(U502&gt;=V$5,0))*('Electrical System Specification'!D$16*'Electrical System Specification'!Q$16)</f>
        <v>0</v>
      </c>
      <c r="W502" s="28">
        <f t="shared" si="117"/>
        <v>0</v>
      </c>
      <c r="X502" s="165">
        <f>IF(U502&gt;V$5,U502-V$5,0)*'Electrical System Specification'!D$17</f>
        <v>7909.5418287282746</v>
      </c>
      <c r="Y502">
        <f>(X502*C502)*'Electrical System Specification'!D$17</f>
        <v>2034.1123937338359</v>
      </c>
      <c r="Z502" s="165">
        <f t="shared" si="118"/>
        <v>-2034.1123937338359</v>
      </c>
      <c r="AA502" s="165">
        <f t="shared" si="119"/>
        <v>23400.610681642836</v>
      </c>
      <c r="AB502" s="165"/>
    </row>
    <row r="503" spans="3:28" x14ac:dyDescent="0.2">
      <c r="C503" s="148">
        <v>0.28613369017114243</v>
      </c>
      <c r="D503">
        <f t="shared" si="107"/>
        <v>175.2541050236469</v>
      </c>
      <c r="E503" s="164">
        <v>13465.906457145509</v>
      </c>
      <c r="F503" s="165">
        <f>E503/'Electrical System Specification'!AC$4</f>
        <v>13740.720874638275</v>
      </c>
      <c r="G503" s="146">
        <f>F503/('Electrical System Specification'!X$16*'Electrical System Specification'!J$16*'Electrical System Specification'!D$17)</f>
        <v>17108.323216592304</v>
      </c>
      <c r="H503" s="165"/>
      <c r="I503" s="173">
        <f t="shared" si="108"/>
        <v>6871.6622130335309</v>
      </c>
      <c r="J503" s="173">
        <f t="shared" si="109"/>
        <v>7621.6306710664712</v>
      </c>
      <c r="K503" s="174">
        <f>IF(E503&gt;I503,'Electrical System Specification'!AC$4*'Electrical System Specification'!J$16*'Electrical System Specification'!D$16*'Electrical System Specification'!D$17*'Electrical System Specification'!X$16)</f>
        <v>0.70838712000000004</v>
      </c>
      <c r="L503" s="174" t="b">
        <f>IF(E503&lt;I503,'Electrical System Specification'!X$16*'Electrical System Specification'!Q$16*'Electrical System Specification'!AC$4*'Electrical System Specification'!J$16)</f>
        <v>0</v>
      </c>
      <c r="M503" s="174">
        <f t="shared" si="110"/>
        <v>0.70838712000000004</v>
      </c>
      <c r="N503" s="174">
        <f t="shared" si="111"/>
        <v>9539.0746933667106</v>
      </c>
      <c r="O503" s="173">
        <f t="shared" si="112"/>
        <v>6594.2442441119783</v>
      </c>
      <c r="P503" s="174">
        <f t="shared" si="113"/>
        <v>9308.8144291951248</v>
      </c>
      <c r="Q503" s="174">
        <f t="shared" si="121"/>
        <v>8270.8960076684452</v>
      </c>
      <c r="R503" s="174">
        <f t="shared" si="120"/>
        <v>0</v>
      </c>
      <c r="S503" s="165" t="b">
        <f t="shared" si="114"/>
        <v>0</v>
      </c>
      <c r="T503">
        <f t="shared" si="115"/>
        <v>17579.71043686357</v>
      </c>
      <c r="U503" s="176">
        <f t="shared" si="116"/>
        <v>17579.71043686357</v>
      </c>
      <c r="V503" s="165">
        <f>IF(U503&lt;V$5,V$5-U503,IF(U503&gt;=V$5,0))*('Electrical System Specification'!D$16*'Electrical System Specification'!Q$16)</f>
        <v>0</v>
      </c>
      <c r="W503" s="28">
        <f t="shared" si="117"/>
        <v>0</v>
      </c>
      <c r="X503" s="165">
        <f>IF(U503&gt;V$5,U503-V$5,0)*'Electrical System Specification'!D$17</f>
        <v>7909.5418287282746</v>
      </c>
      <c r="Y503">
        <f>(X503*C503)*'Electrical System Specification'!D$17</f>
        <v>2036.8677519153246</v>
      </c>
      <c r="Z503" s="165">
        <f t="shared" si="118"/>
        <v>-2036.8677519153246</v>
      </c>
      <c r="AA503" s="165">
        <f t="shared" si="119"/>
        <v>21363.742929727512</v>
      </c>
      <c r="AB503" s="165"/>
    </row>
    <row r="504" spans="3:28" x14ac:dyDescent="0.2">
      <c r="C504" s="148">
        <v>0.28650350130605889</v>
      </c>
      <c r="D504">
        <f t="shared" si="107"/>
        <v>175.54060852495297</v>
      </c>
      <c r="E504" s="164">
        <v>13465.906457145509</v>
      </c>
      <c r="F504" s="165">
        <f>E504/'Electrical System Specification'!AC$4</f>
        <v>13740.720874638275</v>
      </c>
      <c r="G504" s="146">
        <f>F504/('Electrical System Specification'!X$16*'Electrical System Specification'!J$16*'Electrical System Specification'!D$17)</f>
        <v>17108.323216592304</v>
      </c>
      <c r="H504" s="165"/>
      <c r="I504" s="173">
        <f t="shared" si="108"/>
        <v>6871.6622130335309</v>
      </c>
      <c r="J504" s="173">
        <f t="shared" si="109"/>
        <v>7621.6306710664712</v>
      </c>
      <c r="K504" s="174">
        <f>IF(E504&gt;I504,'Electrical System Specification'!AC$4*'Electrical System Specification'!J$16*'Electrical System Specification'!D$16*'Electrical System Specification'!D$17*'Electrical System Specification'!X$16)</f>
        <v>0.70838712000000004</v>
      </c>
      <c r="L504" s="174" t="b">
        <f>IF(E504&lt;I504,'Electrical System Specification'!X$16*'Electrical System Specification'!Q$16*'Electrical System Specification'!AC$4*'Electrical System Specification'!J$16)</f>
        <v>0</v>
      </c>
      <c r="M504" s="174">
        <f t="shared" si="110"/>
        <v>0.70838712000000004</v>
      </c>
      <c r="N504" s="174">
        <f t="shared" si="111"/>
        <v>9539.0746933667106</v>
      </c>
      <c r="O504" s="173">
        <f t="shared" si="112"/>
        <v>6594.2442441119783</v>
      </c>
      <c r="P504" s="174">
        <f t="shared" si="113"/>
        <v>9308.8144291951248</v>
      </c>
      <c r="Q504" s="174">
        <f t="shared" si="121"/>
        <v>8270.8960076684452</v>
      </c>
      <c r="R504" s="174">
        <f t="shared" si="120"/>
        <v>0</v>
      </c>
      <c r="S504" s="165" t="b">
        <f t="shared" si="114"/>
        <v>0</v>
      </c>
      <c r="T504">
        <f t="shared" si="115"/>
        <v>17579.71043686357</v>
      </c>
      <c r="U504" s="176">
        <f t="shared" si="116"/>
        <v>17579.71043686357</v>
      </c>
      <c r="V504" s="165">
        <f>IF(U504&lt;V$5,V$5-U504,IF(U504&gt;=V$5,0))*('Electrical System Specification'!D$16*'Electrical System Specification'!Q$16)</f>
        <v>0</v>
      </c>
      <c r="W504" s="28">
        <f t="shared" si="117"/>
        <v>0</v>
      </c>
      <c r="X504" s="165">
        <f>IF(U504&gt;V$5,U504-V$5,0)*'Electrical System Specification'!D$17</f>
        <v>7909.5418287282746</v>
      </c>
      <c r="Y504">
        <f>(X504*C504)*'Electrical System Specification'!D$17</f>
        <v>2039.5002848916406</v>
      </c>
      <c r="Z504" s="165">
        <f t="shared" si="118"/>
        <v>-2039.5002848916406</v>
      </c>
      <c r="AA504" s="165">
        <f t="shared" si="119"/>
        <v>19324.242644835871</v>
      </c>
      <c r="AB504" s="165"/>
    </row>
    <row r="505" spans="3:28" x14ac:dyDescent="0.2">
      <c r="C505" s="148">
        <v>0.28687128948626284</v>
      </c>
      <c r="D505">
        <f t="shared" si="107"/>
        <v>175.82747981443924</v>
      </c>
      <c r="E505" s="164">
        <v>13465.906457145509</v>
      </c>
      <c r="F505" s="165">
        <f>E505/'Electrical System Specification'!AC$4</f>
        <v>13740.720874638275</v>
      </c>
      <c r="G505" s="146">
        <f>F505/('Electrical System Specification'!X$16*'Electrical System Specification'!J$16*'Electrical System Specification'!D$17)</f>
        <v>17108.323216592304</v>
      </c>
      <c r="H505" s="165"/>
      <c r="I505" s="173">
        <f t="shared" si="108"/>
        <v>6871.6622130335309</v>
      </c>
      <c r="J505" s="173">
        <f t="shared" si="109"/>
        <v>7621.6306710664712</v>
      </c>
      <c r="K505" s="174">
        <f>IF(E505&gt;I505,'Electrical System Specification'!AC$4*'Electrical System Specification'!J$16*'Electrical System Specification'!D$16*'Electrical System Specification'!D$17*'Electrical System Specification'!X$16)</f>
        <v>0.70838712000000004</v>
      </c>
      <c r="L505" s="174" t="b">
        <f>IF(E505&lt;I505,'Electrical System Specification'!X$16*'Electrical System Specification'!Q$16*'Electrical System Specification'!AC$4*'Electrical System Specification'!J$16)</f>
        <v>0</v>
      </c>
      <c r="M505" s="174">
        <f t="shared" si="110"/>
        <v>0.70838712000000004</v>
      </c>
      <c r="N505" s="174">
        <f t="shared" si="111"/>
        <v>9539.0746933667106</v>
      </c>
      <c r="O505" s="173">
        <f t="shared" si="112"/>
        <v>6594.2442441119783</v>
      </c>
      <c r="P505" s="174">
        <f t="shared" si="113"/>
        <v>9308.8144291951248</v>
      </c>
      <c r="Q505" s="174">
        <f t="shared" si="121"/>
        <v>8270.8960076684452</v>
      </c>
      <c r="R505" s="174">
        <f t="shared" si="120"/>
        <v>0</v>
      </c>
      <c r="S505" s="165" t="b">
        <f t="shared" si="114"/>
        <v>0</v>
      </c>
      <c r="T505">
        <f t="shared" si="115"/>
        <v>17579.71043686357</v>
      </c>
      <c r="U505" s="176">
        <f t="shared" si="116"/>
        <v>17579.71043686357</v>
      </c>
      <c r="V505" s="165">
        <f>IF(U505&lt;V$5,V$5-U505,IF(U505&gt;=V$5,0))*('Electrical System Specification'!D$16*'Electrical System Specification'!Q$16)</f>
        <v>0</v>
      </c>
      <c r="W505" s="28">
        <f t="shared" si="117"/>
        <v>0</v>
      </c>
      <c r="X505" s="165">
        <f>IF(U505&gt;V$5,U505-V$5,0)*'Electrical System Specification'!D$17</f>
        <v>7909.5418287282746</v>
      </c>
      <c r="Y505">
        <f>(X505*C505)*'Electrical System Specification'!D$17</f>
        <v>2042.1184172875323</v>
      </c>
      <c r="Z505" s="165">
        <f t="shared" si="118"/>
        <v>-2042.1184172875323</v>
      </c>
      <c r="AA505" s="165">
        <f t="shared" si="119"/>
        <v>17282.124227548338</v>
      </c>
      <c r="AB505" s="165"/>
    </row>
    <row r="506" spans="3:28" x14ac:dyDescent="0.2">
      <c r="C506" s="148">
        <v>0.28724871622054965</v>
      </c>
      <c r="D506">
        <f t="shared" si="107"/>
        <v>176.11472853065979</v>
      </c>
      <c r="E506" s="164">
        <v>13465.906457145509</v>
      </c>
      <c r="F506" s="165">
        <f>E506/'Electrical System Specification'!AC$4</f>
        <v>13740.720874638275</v>
      </c>
      <c r="G506" s="146">
        <f>F506/('Electrical System Specification'!X$16*'Electrical System Specification'!J$16*'Electrical System Specification'!D$17)</f>
        <v>17108.323216592304</v>
      </c>
      <c r="H506" s="165"/>
      <c r="I506" s="173">
        <f t="shared" si="108"/>
        <v>6871.6622130335309</v>
      </c>
      <c r="J506" s="173">
        <f t="shared" si="109"/>
        <v>7621.6306710664712</v>
      </c>
      <c r="K506" s="174">
        <f>IF(E506&gt;I506,'Electrical System Specification'!AC$4*'Electrical System Specification'!J$16*'Electrical System Specification'!D$16*'Electrical System Specification'!D$17*'Electrical System Specification'!X$16)</f>
        <v>0.70838712000000004</v>
      </c>
      <c r="L506" s="174" t="b">
        <f>IF(E506&lt;I506,'Electrical System Specification'!X$16*'Electrical System Specification'!Q$16*'Electrical System Specification'!AC$4*'Electrical System Specification'!J$16)</f>
        <v>0</v>
      </c>
      <c r="M506" s="174">
        <f t="shared" si="110"/>
        <v>0.70838712000000004</v>
      </c>
      <c r="N506" s="174">
        <f t="shared" si="111"/>
        <v>9539.0746933667106</v>
      </c>
      <c r="O506" s="173">
        <f t="shared" si="112"/>
        <v>6594.2442441119783</v>
      </c>
      <c r="P506" s="174">
        <f t="shared" si="113"/>
        <v>9308.8144291951248</v>
      </c>
      <c r="Q506" s="174">
        <f t="shared" si="121"/>
        <v>8270.8960076684452</v>
      </c>
      <c r="R506" s="174">
        <f t="shared" si="120"/>
        <v>0</v>
      </c>
      <c r="S506" s="165" t="b">
        <f t="shared" si="114"/>
        <v>0</v>
      </c>
      <c r="T506">
        <f t="shared" si="115"/>
        <v>17579.71043686357</v>
      </c>
      <c r="U506" s="176">
        <f t="shared" si="116"/>
        <v>17579.71043686357</v>
      </c>
      <c r="V506" s="165">
        <f>IF(U506&lt;V$5,V$5-U506,IF(U506&gt;=V$5,0))*('Electrical System Specification'!D$16*'Electrical System Specification'!Q$16)</f>
        <v>0</v>
      </c>
      <c r="W506" s="28">
        <f t="shared" si="117"/>
        <v>0</v>
      </c>
      <c r="X506" s="165">
        <f>IF(U506&gt;V$5,U506-V$5,0)*'Electrical System Specification'!D$17</f>
        <v>7909.5418287282746</v>
      </c>
      <c r="Y506">
        <f>(X506*C506)*'Electrical System Specification'!D$17</f>
        <v>2044.8051625754417</v>
      </c>
      <c r="Z506" s="165">
        <f t="shared" si="118"/>
        <v>-2044.8051625754417</v>
      </c>
      <c r="AA506" s="165">
        <f t="shared" si="119"/>
        <v>15237.319064972897</v>
      </c>
      <c r="AB506" s="165"/>
    </row>
    <row r="507" spans="3:28" x14ac:dyDescent="0.2">
      <c r="C507" s="148">
        <v>0.28763730462884834</v>
      </c>
      <c r="D507">
        <f t="shared" si="107"/>
        <v>176.40236583528863</v>
      </c>
      <c r="E507" s="164">
        <v>13465.906457145509</v>
      </c>
      <c r="F507" s="165">
        <f>E507/'Electrical System Specification'!AC$4</f>
        <v>13740.720874638275</v>
      </c>
      <c r="G507" s="146">
        <f>F507/('Electrical System Specification'!X$16*'Electrical System Specification'!J$16*'Electrical System Specification'!D$17)</f>
        <v>17108.323216592304</v>
      </c>
      <c r="H507" s="165"/>
      <c r="I507" s="173">
        <f t="shared" si="108"/>
        <v>6871.6622130335309</v>
      </c>
      <c r="J507" s="173">
        <f t="shared" si="109"/>
        <v>7621.6306710664712</v>
      </c>
      <c r="K507" s="174">
        <f>IF(E507&gt;I507,'Electrical System Specification'!AC$4*'Electrical System Specification'!J$16*'Electrical System Specification'!D$16*'Electrical System Specification'!D$17*'Electrical System Specification'!X$16)</f>
        <v>0.70838712000000004</v>
      </c>
      <c r="L507" s="174" t="b">
        <f>IF(E507&lt;I507,'Electrical System Specification'!X$16*'Electrical System Specification'!Q$16*'Electrical System Specification'!AC$4*'Electrical System Specification'!J$16)</f>
        <v>0</v>
      </c>
      <c r="M507" s="174">
        <f t="shared" si="110"/>
        <v>0.70838712000000004</v>
      </c>
      <c r="N507" s="174">
        <f t="shared" si="111"/>
        <v>9539.0746933667106</v>
      </c>
      <c r="O507" s="173">
        <f t="shared" si="112"/>
        <v>6594.2442441119783</v>
      </c>
      <c r="P507" s="174">
        <f t="shared" si="113"/>
        <v>9308.8144291951248</v>
      </c>
      <c r="Q507" s="174">
        <f t="shared" si="121"/>
        <v>8270.8960076684452</v>
      </c>
      <c r="R507" s="174">
        <f t="shared" si="120"/>
        <v>0</v>
      </c>
      <c r="S507" s="165" t="b">
        <f t="shared" si="114"/>
        <v>0</v>
      </c>
      <c r="T507">
        <f t="shared" si="115"/>
        <v>17579.71043686357</v>
      </c>
      <c r="U507" s="176">
        <f t="shared" si="116"/>
        <v>17579.71043686357</v>
      </c>
      <c r="V507" s="165">
        <f>IF(U507&lt;V$5,V$5-U507,IF(U507&gt;=V$5,0))*('Electrical System Specification'!D$16*'Electrical System Specification'!Q$16)</f>
        <v>0</v>
      </c>
      <c r="W507" s="28">
        <f t="shared" si="117"/>
        <v>0</v>
      </c>
      <c r="X507" s="165">
        <f>IF(U507&gt;V$5,U507-V$5,0)*'Electrical System Specification'!D$17</f>
        <v>7909.5418287282746</v>
      </c>
      <c r="Y507">
        <f>(X507*C507)*'Electrical System Specification'!D$17</f>
        <v>2047.5713632180798</v>
      </c>
      <c r="Z507" s="165">
        <f t="shared" si="118"/>
        <v>-2047.5713632180798</v>
      </c>
      <c r="AA507" s="165">
        <f t="shared" si="119"/>
        <v>13189.747701754817</v>
      </c>
      <c r="AB507" s="165"/>
    </row>
    <row r="508" spans="3:28" x14ac:dyDescent="0.2">
      <c r="C508" s="148">
        <v>0.28805176246033259</v>
      </c>
      <c r="D508">
        <f t="shared" si="107"/>
        <v>176.69041759774896</v>
      </c>
      <c r="E508" s="164">
        <v>13465.906457145509</v>
      </c>
      <c r="F508" s="165">
        <f>E508/'Electrical System Specification'!AC$4</f>
        <v>13740.720874638275</v>
      </c>
      <c r="G508" s="146">
        <f>F508/('Electrical System Specification'!X$16*'Electrical System Specification'!J$16*'Electrical System Specification'!D$17)</f>
        <v>17108.323216592304</v>
      </c>
      <c r="H508" s="165"/>
      <c r="I508" s="173">
        <f t="shared" si="108"/>
        <v>6871.6622130335309</v>
      </c>
      <c r="J508" s="173">
        <f t="shared" si="109"/>
        <v>7621.6306710664712</v>
      </c>
      <c r="K508" s="174">
        <f>IF(E508&gt;I508,'Electrical System Specification'!AC$4*'Electrical System Specification'!J$16*'Electrical System Specification'!D$16*'Electrical System Specification'!D$17*'Electrical System Specification'!X$16)</f>
        <v>0.70838712000000004</v>
      </c>
      <c r="L508" s="174" t="b">
        <f>IF(E508&lt;I508,'Electrical System Specification'!X$16*'Electrical System Specification'!Q$16*'Electrical System Specification'!AC$4*'Electrical System Specification'!J$16)</f>
        <v>0</v>
      </c>
      <c r="M508" s="174">
        <f t="shared" si="110"/>
        <v>0.70838712000000004</v>
      </c>
      <c r="N508" s="174">
        <f t="shared" si="111"/>
        <v>9539.0746933667106</v>
      </c>
      <c r="O508" s="173">
        <f t="shared" si="112"/>
        <v>6594.2442441119783</v>
      </c>
      <c r="P508" s="174">
        <f t="shared" si="113"/>
        <v>9308.8144291951248</v>
      </c>
      <c r="Q508" s="174">
        <f t="shared" si="121"/>
        <v>8270.8960076684452</v>
      </c>
      <c r="R508" s="174">
        <f t="shared" si="120"/>
        <v>0</v>
      </c>
      <c r="S508" s="165" t="b">
        <f t="shared" si="114"/>
        <v>0</v>
      </c>
      <c r="T508">
        <f t="shared" si="115"/>
        <v>17579.71043686357</v>
      </c>
      <c r="U508" s="176">
        <f t="shared" si="116"/>
        <v>17579.71043686357</v>
      </c>
      <c r="V508" s="165">
        <f>IF(U508&lt;V$5,V$5-U508,IF(U508&gt;=V$5,0))*('Electrical System Specification'!D$16*'Electrical System Specification'!Q$16)</f>
        <v>0</v>
      </c>
      <c r="W508" s="28">
        <f t="shared" si="117"/>
        <v>0</v>
      </c>
      <c r="X508" s="165">
        <f>IF(U508&gt;V$5,U508-V$5,0)*'Electrical System Specification'!D$17</f>
        <v>7909.5418287282746</v>
      </c>
      <c r="Y508">
        <f>(X508*C508)*'Electrical System Specification'!D$17</f>
        <v>2050.5217176170117</v>
      </c>
      <c r="Z508" s="165">
        <f t="shared" si="118"/>
        <v>-2050.5217176170117</v>
      </c>
      <c r="AA508" s="165">
        <f t="shared" si="119"/>
        <v>11139.225984137805</v>
      </c>
      <c r="AB508" s="165"/>
    </row>
    <row r="509" spans="3:28" x14ac:dyDescent="0.2">
      <c r="C509" s="148">
        <v>0.28847433572583397</v>
      </c>
      <c r="D509">
        <f t="shared" si="107"/>
        <v>176.97889193347478</v>
      </c>
      <c r="E509" s="164">
        <v>13465.906457145509</v>
      </c>
      <c r="F509" s="165">
        <f>E509/'Electrical System Specification'!AC$4</f>
        <v>13740.720874638275</v>
      </c>
      <c r="G509" s="146">
        <f>F509/('Electrical System Specification'!X$16*'Electrical System Specification'!J$16*'Electrical System Specification'!D$17)</f>
        <v>17108.323216592304</v>
      </c>
      <c r="H509" s="165"/>
      <c r="I509" s="173">
        <f t="shared" si="108"/>
        <v>6871.6622130335309</v>
      </c>
      <c r="J509" s="173">
        <f t="shared" si="109"/>
        <v>7621.6306710664712</v>
      </c>
      <c r="K509" s="174">
        <f>IF(E509&gt;I509,'Electrical System Specification'!AC$4*'Electrical System Specification'!J$16*'Electrical System Specification'!D$16*'Electrical System Specification'!D$17*'Electrical System Specification'!X$16)</f>
        <v>0.70838712000000004</v>
      </c>
      <c r="L509" s="174" t="b">
        <f>IF(E509&lt;I509,'Electrical System Specification'!X$16*'Electrical System Specification'!Q$16*'Electrical System Specification'!AC$4*'Electrical System Specification'!J$16)</f>
        <v>0</v>
      </c>
      <c r="M509" s="174">
        <f t="shared" si="110"/>
        <v>0.70838712000000004</v>
      </c>
      <c r="N509" s="174">
        <f t="shared" si="111"/>
        <v>9539.0746933667106</v>
      </c>
      <c r="O509" s="173">
        <f t="shared" si="112"/>
        <v>6594.2442441119783</v>
      </c>
      <c r="P509" s="174">
        <f t="shared" si="113"/>
        <v>9308.8144291951248</v>
      </c>
      <c r="Q509" s="174">
        <f t="shared" si="121"/>
        <v>8270.8960076684452</v>
      </c>
      <c r="R509" s="174">
        <f t="shared" si="120"/>
        <v>0</v>
      </c>
      <c r="S509" s="165" t="b">
        <f t="shared" si="114"/>
        <v>0</v>
      </c>
      <c r="T509">
        <f t="shared" si="115"/>
        <v>17579.71043686357</v>
      </c>
      <c r="U509" s="176">
        <f t="shared" si="116"/>
        <v>17579.71043686357</v>
      </c>
      <c r="V509" s="165">
        <f>IF(U509&lt;V$5,V$5-U509,IF(U509&gt;=V$5,0))*('Electrical System Specification'!D$16*'Electrical System Specification'!Q$16)</f>
        <v>0</v>
      </c>
      <c r="W509" s="28">
        <f t="shared" si="117"/>
        <v>0</v>
      </c>
      <c r="X509" s="165">
        <f>IF(U509&gt;V$5,U509-V$5,0)*'Electrical System Specification'!D$17</f>
        <v>7909.5418287282746</v>
      </c>
      <c r="Y509">
        <f>(X509*C509)*'Electrical System Specification'!D$17</f>
        <v>2053.5298424442785</v>
      </c>
      <c r="Z509" s="165">
        <f t="shared" si="118"/>
        <v>-2053.5298424442785</v>
      </c>
      <c r="AA509" s="165">
        <f t="shared" si="119"/>
        <v>9085.6961416935264</v>
      </c>
      <c r="AB509" s="165"/>
    </row>
    <row r="510" spans="3:28" x14ac:dyDescent="0.2">
      <c r="C510" s="148">
        <v>0.28890147835109453</v>
      </c>
      <c r="D510">
        <f t="shared" si="107"/>
        <v>177.26779341182589</v>
      </c>
      <c r="E510" s="164">
        <v>13465.906457145509</v>
      </c>
      <c r="F510" s="165">
        <f>E510/'Electrical System Specification'!AC$4</f>
        <v>13740.720874638275</v>
      </c>
      <c r="G510" s="146">
        <f>F510/('Electrical System Specification'!X$16*'Electrical System Specification'!J$16*'Electrical System Specification'!D$17)</f>
        <v>17108.323216592304</v>
      </c>
      <c r="H510" s="165"/>
      <c r="I510" s="173">
        <f t="shared" si="108"/>
        <v>6871.6622130335309</v>
      </c>
      <c r="J510" s="173">
        <f t="shared" si="109"/>
        <v>7621.6306710664712</v>
      </c>
      <c r="K510" s="174">
        <f>IF(E510&gt;I510,'Electrical System Specification'!AC$4*'Electrical System Specification'!J$16*'Electrical System Specification'!D$16*'Electrical System Specification'!D$17*'Electrical System Specification'!X$16)</f>
        <v>0.70838712000000004</v>
      </c>
      <c r="L510" s="174" t="b">
        <f>IF(E510&lt;I510,'Electrical System Specification'!X$16*'Electrical System Specification'!Q$16*'Electrical System Specification'!AC$4*'Electrical System Specification'!J$16)</f>
        <v>0</v>
      </c>
      <c r="M510" s="174">
        <f t="shared" si="110"/>
        <v>0.70838712000000004</v>
      </c>
      <c r="N510" s="174">
        <f t="shared" si="111"/>
        <v>9539.0746933667106</v>
      </c>
      <c r="O510" s="173">
        <f t="shared" si="112"/>
        <v>6594.2442441119783</v>
      </c>
      <c r="P510" s="174">
        <f t="shared" si="113"/>
        <v>9308.8144291951248</v>
      </c>
      <c r="Q510" s="174">
        <f t="shared" si="121"/>
        <v>8270.8960076684452</v>
      </c>
      <c r="R510" s="174">
        <f t="shared" si="120"/>
        <v>0</v>
      </c>
      <c r="S510" s="165" t="b">
        <f t="shared" si="114"/>
        <v>0</v>
      </c>
      <c r="T510">
        <f t="shared" si="115"/>
        <v>17579.71043686357</v>
      </c>
      <c r="U510" s="176">
        <f t="shared" si="116"/>
        <v>17579.71043686357</v>
      </c>
      <c r="V510" s="165">
        <f>IF(U510&lt;V$5,V$5-U510,IF(U510&gt;=V$5,0))*('Electrical System Specification'!D$16*'Electrical System Specification'!Q$16)</f>
        <v>0</v>
      </c>
      <c r="W510" s="28">
        <f t="shared" si="117"/>
        <v>0</v>
      </c>
      <c r="X510" s="165">
        <f>IF(U510&gt;V$5,U510-V$5,0)*'Electrical System Specification'!D$17</f>
        <v>7909.5418287282746</v>
      </c>
      <c r="Y510">
        <f>(X510*C510)*'Electrical System Specification'!D$17</f>
        <v>2056.5704946594765</v>
      </c>
      <c r="Z510" s="165">
        <f t="shared" si="118"/>
        <v>-2056.5704946594765</v>
      </c>
      <c r="AA510" s="165">
        <f t="shared" si="119"/>
        <v>7029.1256470340504</v>
      </c>
      <c r="AB510" s="165"/>
    </row>
    <row r="511" spans="3:28" x14ac:dyDescent="0.2">
      <c r="C511" s="148">
        <v>0.28934332872528229</v>
      </c>
      <c r="D511">
        <f t="shared" si="107"/>
        <v>177.55713674055119</v>
      </c>
      <c r="E511" s="164">
        <v>13465.906457145509</v>
      </c>
      <c r="F511" s="165">
        <f>E511/'Electrical System Specification'!AC$4</f>
        <v>13740.720874638275</v>
      </c>
      <c r="G511" s="146">
        <f>F511/('Electrical System Specification'!X$16*'Electrical System Specification'!J$16*'Electrical System Specification'!D$17)</f>
        <v>17108.323216592304</v>
      </c>
      <c r="H511" s="165"/>
      <c r="I511" s="173">
        <f t="shared" si="108"/>
        <v>6871.6622130335309</v>
      </c>
      <c r="J511" s="173">
        <f t="shared" si="109"/>
        <v>7621.6306710664712</v>
      </c>
      <c r="K511" s="174">
        <f>IF(E511&gt;I511,'Electrical System Specification'!AC$4*'Electrical System Specification'!J$16*'Electrical System Specification'!D$16*'Electrical System Specification'!D$17*'Electrical System Specification'!X$16)</f>
        <v>0.70838712000000004</v>
      </c>
      <c r="L511" s="174" t="b">
        <f>IF(E511&lt;I511,'Electrical System Specification'!X$16*'Electrical System Specification'!Q$16*'Electrical System Specification'!AC$4*'Electrical System Specification'!J$16)</f>
        <v>0</v>
      </c>
      <c r="M511" s="174">
        <f t="shared" si="110"/>
        <v>0.70838712000000004</v>
      </c>
      <c r="N511" s="174">
        <f t="shared" si="111"/>
        <v>9539.0746933667106</v>
      </c>
      <c r="O511" s="173">
        <f t="shared" si="112"/>
        <v>6594.2442441119783</v>
      </c>
      <c r="P511" s="174">
        <f t="shared" si="113"/>
        <v>9308.8144291951248</v>
      </c>
      <c r="Q511" s="174">
        <f t="shared" si="121"/>
        <v>8270.8960076684452</v>
      </c>
      <c r="R511" s="174">
        <f t="shared" si="120"/>
        <v>0</v>
      </c>
      <c r="S511" s="165" t="b">
        <f t="shared" si="114"/>
        <v>0</v>
      </c>
      <c r="T511">
        <f t="shared" si="115"/>
        <v>17579.71043686357</v>
      </c>
      <c r="U511" s="176">
        <f t="shared" si="116"/>
        <v>17579.71043686357</v>
      </c>
      <c r="V511" s="165">
        <f>IF(U511&lt;V$5,V$5-U511,IF(U511&gt;=V$5,0))*('Electrical System Specification'!D$16*'Electrical System Specification'!Q$16)</f>
        <v>0</v>
      </c>
      <c r="W511" s="28">
        <f t="shared" si="117"/>
        <v>0</v>
      </c>
      <c r="X511" s="165">
        <f>IF(U511&gt;V$5,U511-V$5,0)*'Electrical System Specification'!D$17</f>
        <v>7909.5418287282746</v>
      </c>
      <c r="Y511">
        <f>(X511*C511)*'Electrical System Specification'!D$17</f>
        <v>2059.7158452744861</v>
      </c>
      <c r="Z511" s="165">
        <f t="shared" si="118"/>
        <v>-2059.7158452744861</v>
      </c>
      <c r="AA511" s="165">
        <f t="shared" si="119"/>
        <v>4969.4098017595643</v>
      </c>
      <c r="AB511" s="165"/>
    </row>
    <row r="512" spans="3:28" x14ac:dyDescent="0.2">
      <c r="C512" s="148">
        <v>0.28981054868718709</v>
      </c>
      <c r="D512">
        <f t="shared" si="107"/>
        <v>177.84694728923839</v>
      </c>
      <c r="E512" s="164">
        <v>13465.906457145509</v>
      </c>
      <c r="F512" s="165">
        <f>E512/'Electrical System Specification'!AC$4</f>
        <v>13740.720874638275</v>
      </c>
      <c r="G512" s="146">
        <f>F512/('Electrical System Specification'!X$16*'Electrical System Specification'!J$16*'Electrical System Specification'!D$17)</f>
        <v>17108.323216592304</v>
      </c>
      <c r="H512" s="165"/>
      <c r="I512" s="173">
        <f t="shared" si="108"/>
        <v>6871.6622130335309</v>
      </c>
      <c r="J512" s="173">
        <f t="shared" si="109"/>
        <v>7621.6306710664712</v>
      </c>
      <c r="K512" s="174">
        <f>IF(E512&gt;I512,'Electrical System Specification'!AC$4*'Electrical System Specification'!J$16*'Electrical System Specification'!D$16*'Electrical System Specification'!D$17*'Electrical System Specification'!X$16)</f>
        <v>0.70838712000000004</v>
      </c>
      <c r="L512" s="174" t="b">
        <f>IF(E512&lt;I512,'Electrical System Specification'!X$16*'Electrical System Specification'!Q$16*'Electrical System Specification'!AC$4*'Electrical System Specification'!J$16)</f>
        <v>0</v>
      </c>
      <c r="M512" s="174">
        <f t="shared" si="110"/>
        <v>0.70838712000000004</v>
      </c>
      <c r="N512" s="174">
        <f t="shared" si="111"/>
        <v>9539.0746933667106</v>
      </c>
      <c r="O512" s="173">
        <f t="shared" si="112"/>
        <v>6594.2442441119783</v>
      </c>
      <c r="P512" s="174">
        <f t="shared" si="113"/>
        <v>9308.8144291951248</v>
      </c>
      <c r="Q512" s="174">
        <f t="shared" si="121"/>
        <v>8270.8960076684452</v>
      </c>
      <c r="R512" s="174">
        <f t="shared" si="120"/>
        <v>0</v>
      </c>
      <c r="S512" s="165" t="b">
        <f t="shared" si="114"/>
        <v>0</v>
      </c>
      <c r="T512">
        <f t="shared" si="115"/>
        <v>17579.71043686357</v>
      </c>
      <c r="U512" s="176">
        <f t="shared" si="116"/>
        <v>17579.71043686357</v>
      </c>
      <c r="V512" s="165">
        <f>IF(U512&lt;V$5,V$5-U512,IF(U512&gt;=V$5,0))*('Electrical System Specification'!D$16*'Electrical System Specification'!Q$16)</f>
        <v>0</v>
      </c>
      <c r="W512" s="28">
        <f t="shared" si="117"/>
        <v>0</v>
      </c>
      <c r="X512" s="165">
        <f>IF(U512&gt;V$5,U512-V$5,0)*'Electrical System Specification'!D$17</f>
        <v>7909.5418287282746</v>
      </c>
      <c r="Y512">
        <f>(X512*C512)*'Electrical System Specification'!D$17</f>
        <v>2063.0417915231988</v>
      </c>
      <c r="Z512" s="165">
        <f t="shared" si="118"/>
        <v>-2063.0417915231988</v>
      </c>
      <c r="AA512" s="165">
        <f t="shared" si="119"/>
        <v>2906.3680102363655</v>
      </c>
      <c r="AB512" s="165"/>
    </row>
    <row r="513" spans="3:28" x14ac:dyDescent="0.2">
      <c r="C513" s="148">
        <v>0.29033255373485506</v>
      </c>
      <c r="D513">
        <f t="shared" si="107"/>
        <v>178.13727984297324</v>
      </c>
      <c r="E513" s="164">
        <v>13465.906457145509</v>
      </c>
      <c r="F513" s="165">
        <f>E513/'Electrical System Specification'!AC$4</f>
        <v>13740.720874638275</v>
      </c>
      <c r="G513" s="146">
        <f>F513/('Electrical System Specification'!X$16*'Electrical System Specification'!J$16*'Electrical System Specification'!D$17)</f>
        <v>17108.323216592304</v>
      </c>
      <c r="H513" s="165"/>
      <c r="I513" s="173">
        <f t="shared" si="108"/>
        <v>6871.6622130335309</v>
      </c>
      <c r="J513" s="173">
        <f t="shared" si="109"/>
        <v>7621.6306710664712</v>
      </c>
      <c r="K513" s="174">
        <f>IF(E513&gt;I513,'Electrical System Specification'!AC$4*'Electrical System Specification'!J$16*'Electrical System Specification'!D$16*'Electrical System Specification'!D$17*'Electrical System Specification'!X$16)</f>
        <v>0.70838712000000004</v>
      </c>
      <c r="L513" s="174" t="b">
        <f>IF(E513&lt;I513,'Electrical System Specification'!X$16*'Electrical System Specification'!Q$16*'Electrical System Specification'!AC$4*'Electrical System Specification'!J$16)</f>
        <v>0</v>
      </c>
      <c r="M513" s="174">
        <f t="shared" si="110"/>
        <v>0.70838712000000004</v>
      </c>
      <c r="N513" s="174">
        <f t="shared" si="111"/>
        <v>9539.0746933667106</v>
      </c>
      <c r="O513" s="173">
        <f t="shared" si="112"/>
        <v>6594.2442441119783</v>
      </c>
      <c r="P513" s="174">
        <f t="shared" si="113"/>
        <v>9308.8144291951248</v>
      </c>
      <c r="Q513" s="174">
        <f t="shared" si="121"/>
        <v>8270.8960076684452</v>
      </c>
      <c r="R513" s="174">
        <f t="shared" si="120"/>
        <v>0</v>
      </c>
      <c r="S513" s="165" t="b">
        <f t="shared" si="114"/>
        <v>0</v>
      </c>
      <c r="T513">
        <f t="shared" si="115"/>
        <v>17579.71043686357</v>
      </c>
      <c r="U513" s="176">
        <f t="shared" si="116"/>
        <v>17579.71043686357</v>
      </c>
      <c r="V513" s="165">
        <f>IF(U513&lt;V$5,V$5-U513,IF(U513&gt;=V$5,0))*('Electrical System Specification'!D$16*'Electrical System Specification'!Q$16)</f>
        <v>0</v>
      </c>
      <c r="W513" s="28">
        <f t="shared" si="117"/>
        <v>0</v>
      </c>
      <c r="X513" s="165">
        <f>IF(U513&gt;V$5,U513-V$5,0)*'Electrical System Specification'!D$17</f>
        <v>7909.5418287282746</v>
      </c>
      <c r="Y513">
        <f>(X513*C513)*'Electrical System Specification'!D$17</f>
        <v>2066.757730206602</v>
      </c>
      <c r="Z513" s="165">
        <f t="shared" si="118"/>
        <v>-2066.757730206602</v>
      </c>
      <c r="AA513" s="165">
        <f t="shared" si="119"/>
        <v>839.61028002976354</v>
      </c>
      <c r="AB513" s="165"/>
    </row>
    <row r="514" spans="3:28" x14ac:dyDescent="0.2">
      <c r="C514" s="148">
        <v>0.29091391322733312</v>
      </c>
      <c r="D514">
        <f t="shared" si="107"/>
        <v>178.42819375620059</v>
      </c>
      <c r="E514" s="164">
        <v>13465.906457145509</v>
      </c>
      <c r="F514" s="165">
        <f>E514/'Electrical System Specification'!AC$4</f>
        <v>13740.720874638275</v>
      </c>
      <c r="G514" s="146">
        <f>F514/('Electrical System Specification'!X$16*'Electrical System Specification'!J$16*'Electrical System Specification'!D$17)</f>
        <v>17108.323216592304</v>
      </c>
      <c r="H514" s="165"/>
      <c r="I514" s="173">
        <f t="shared" si="108"/>
        <v>6871.6622130335309</v>
      </c>
      <c r="J514" s="173">
        <f t="shared" si="109"/>
        <v>7621.6306710664712</v>
      </c>
      <c r="K514" s="174">
        <f>IF(E514&gt;I514,'Electrical System Specification'!AC$4*'Electrical System Specification'!J$16*'Electrical System Specification'!D$16*'Electrical System Specification'!D$17*'Electrical System Specification'!X$16)</f>
        <v>0.70838712000000004</v>
      </c>
      <c r="L514" s="174" t="b">
        <f>IF(E514&lt;I514,'Electrical System Specification'!X$16*'Electrical System Specification'!Q$16*'Electrical System Specification'!AC$4*'Electrical System Specification'!J$16)</f>
        <v>0</v>
      </c>
      <c r="M514" s="174">
        <f t="shared" si="110"/>
        <v>0.70838712000000004</v>
      </c>
      <c r="N514" s="174">
        <f t="shared" si="111"/>
        <v>9539.0746933667106</v>
      </c>
      <c r="O514" s="173">
        <f t="shared" si="112"/>
        <v>6594.2442441119783</v>
      </c>
      <c r="P514" s="174">
        <f t="shared" si="113"/>
        <v>9308.8144291951248</v>
      </c>
      <c r="Q514" s="174">
        <f t="shared" si="121"/>
        <v>8270.8960076684452</v>
      </c>
      <c r="R514" s="174">
        <f t="shared" si="120"/>
        <v>0</v>
      </c>
      <c r="S514" s="165" t="b">
        <f t="shared" si="114"/>
        <v>0</v>
      </c>
      <c r="T514">
        <f t="shared" si="115"/>
        <v>17579.71043686357</v>
      </c>
      <c r="U514" s="176">
        <f t="shared" si="116"/>
        <v>17579.71043686357</v>
      </c>
      <c r="V514" s="165">
        <f>IF(U514&lt;V$5,V$5-U514,IF(U514&gt;=V$5,0))*('Electrical System Specification'!D$16*'Electrical System Specification'!Q$16)</f>
        <v>0</v>
      </c>
      <c r="W514" s="28">
        <f t="shared" si="117"/>
        <v>0</v>
      </c>
      <c r="X514" s="165">
        <f>IF(U514&gt;V$5,U514-V$5,0)*'Electrical System Specification'!D$17</f>
        <v>7909.5418287282746</v>
      </c>
      <c r="Y514">
        <f>(X514*C514)*'Electrical System Specification'!D$17</f>
        <v>2070.896188707557</v>
      </c>
      <c r="Z514" s="165">
        <f t="shared" si="118"/>
        <v>-2070.896188707557</v>
      </c>
      <c r="AA514" s="165">
        <f t="shared" si="119"/>
        <v>-1231.2859086777935</v>
      </c>
      <c r="AB514" s="165"/>
    </row>
    <row r="515" spans="3:28" x14ac:dyDescent="0.2">
      <c r="C515" s="148">
        <v>0.29151150358888639</v>
      </c>
      <c r="D515">
        <f t="shared" si="107"/>
        <v>178.71970525978946</v>
      </c>
      <c r="E515" s="164">
        <v>13465.906457145509</v>
      </c>
      <c r="F515" s="165">
        <f>E515/'Electrical System Specification'!AC$4</f>
        <v>13740.720874638275</v>
      </c>
      <c r="G515" s="146">
        <f>F515/('Electrical System Specification'!X$16*'Electrical System Specification'!J$16*'Electrical System Specification'!D$17)</f>
        <v>17108.323216592304</v>
      </c>
      <c r="H515" s="165"/>
      <c r="I515" s="173">
        <f t="shared" si="108"/>
        <v>6871.6622130335309</v>
      </c>
      <c r="J515" s="173">
        <f t="shared" si="109"/>
        <v>7621.6306710664712</v>
      </c>
      <c r="K515" s="174">
        <f>IF(E515&gt;I515,'Electrical System Specification'!AC$4*'Electrical System Specification'!J$16*'Electrical System Specification'!D$16*'Electrical System Specification'!D$17*'Electrical System Specification'!X$16)</f>
        <v>0.70838712000000004</v>
      </c>
      <c r="L515" s="174" t="b">
        <f>IF(E515&lt;I515,'Electrical System Specification'!X$16*'Electrical System Specification'!Q$16*'Electrical System Specification'!AC$4*'Electrical System Specification'!J$16)</f>
        <v>0</v>
      </c>
      <c r="M515" s="174">
        <f t="shared" si="110"/>
        <v>0.70838712000000004</v>
      </c>
      <c r="N515" s="174">
        <f t="shared" si="111"/>
        <v>9539.0746933667106</v>
      </c>
      <c r="O515" s="173">
        <f t="shared" si="112"/>
        <v>6594.2442441119783</v>
      </c>
      <c r="P515" s="174">
        <f t="shared" si="113"/>
        <v>9308.8144291951248</v>
      </c>
      <c r="Q515" s="174">
        <f t="shared" si="121"/>
        <v>8270.8960076684452</v>
      </c>
      <c r="R515" s="174">
        <f t="shared" si="120"/>
        <v>0</v>
      </c>
      <c r="S515" s="165" t="b">
        <f t="shared" si="114"/>
        <v>0</v>
      </c>
      <c r="T515">
        <f t="shared" si="115"/>
        <v>17579.71043686357</v>
      </c>
      <c r="U515" s="176">
        <f t="shared" si="116"/>
        <v>17579.71043686357</v>
      </c>
      <c r="V515" s="165">
        <f>IF(U515&lt;V$5,V$5-U515,IF(U515&gt;=V$5,0))*('Electrical System Specification'!D$16*'Electrical System Specification'!Q$16)</f>
        <v>0</v>
      </c>
      <c r="W515" s="28">
        <f t="shared" si="117"/>
        <v>0</v>
      </c>
      <c r="X515" s="165">
        <f>IF(U515&gt;V$5,U515-V$5,0)*'Electrical System Specification'!D$17</f>
        <v>7909.5418287282746</v>
      </c>
      <c r="Y515">
        <f>(X515*C515)*'Electrical System Specification'!D$17</f>
        <v>2075.1501880725923</v>
      </c>
      <c r="Z515" s="165">
        <f t="shared" si="118"/>
        <v>-2075.1501880725923</v>
      </c>
      <c r="AA515" s="165">
        <f t="shared" si="119"/>
        <v>-3306.4360967503858</v>
      </c>
      <c r="AB515" s="165"/>
    </row>
    <row r="516" spans="3:28" x14ac:dyDescent="0.2">
      <c r="C516" s="148">
        <v>0.28730632375949722</v>
      </c>
      <c r="D516">
        <f t="shared" si="107"/>
        <v>179.00701158354897</v>
      </c>
      <c r="E516" s="164">
        <v>3225.0722167563076</v>
      </c>
      <c r="F516" s="165">
        <f>E516/'Electrical System Specification'!AC$4</f>
        <v>3290.8900170982733</v>
      </c>
      <c r="G516" s="146">
        <f>F516/('Electrical System Specification'!X$16*'Electrical System Specification'!J$16*'Electrical System Specification'!D$17)</f>
        <v>4097.4276820288278</v>
      </c>
      <c r="H516" s="165"/>
      <c r="I516" s="173">
        <f t="shared" si="108"/>
        <v>6871.6622130335309</v>
      </c>
      <c r="J516" s="173">
        <f t="shared" si="109"/>
        <v>7621.6306710664712</v>
      </c>
      <c r="K516" s="174" t="b">
        <f>IF(E516&gt;I516,'Electrical System Specification'!AC$4*'Electrical System Specification'!J$16*'Electrical System Specification'!D$16*'Electrical System Specification'!D$17*'Electrical System Specification'!X$16)</f>
        <v>0</v>
      </c>
      <c r="L516" s="174">
        <f>IF(E516&lt;I516,'Electrical System Specification'!X$16*'Electrical System Specification'!Q$16*'Electrical System Specification'!AC$4*'Electrical System Specification'!J$16)</f>
        <v>0.83082440000000002</v>
      </c>
      <c r="M516" s="174">
        <f t="shared" si="110"/>
        <v>0.83082440000000002</v>
      </c>
      <c r="N516" s="174">
        <f t="shared" si="111"/>
        <v>2679.4686894432293</v>
      </c>
      <c r="O516" s="173">
        <f t="shared" si="112"/>
        <v>-3646.5899962772232</v>
      </c>
      <c r="P516" s="174" t="b">
        <f t="shared" si="113"/>
        <v>0</v>
      </c>
      <c r="Q516" s="174">
        <f t="shared" si="121"/>
        <v>3225.0722167563076</v>
      </c>
      <c r="R516" s="174">
        <f t="shared" si="120"/>
        <v>3881.7735935009946</v>
      </c>
      <c r="S516" s="165">
        <f t="shared" si="114"/>
        <v>3881.7735935009946</v>
      </c>
      <c r="T516" t="b">
        <f t="shared" si="115"/>
        <v>0</v>
      </c>
      <c r="U516" s="176">
        <f t="shared" si="116"/>
        <v>3881.7735935009946</v>
      </c>
      <c r="V516" s="165">
        <f>IF(U516&lt;V$5,V$5-U516,IF(U516&gt;=V$5,0))*('Electrical System Specification'!D$16*'Electrical System Specification'!Q$16)</f>
        <v>4197.6712637831406</v>
      </c>
      <c r="W516" s="28">
        <f t="shared" si="117"/>
        <v>1206.0174991484168</v>
      </c>
      <c r="X516" s="165">
        <f>IF(U516&gt;V$5,U516-V$5,0)*'Electrical System Specification'!D$17</f>
        <v>0</v>
      </c>
      <c r="Y516">
        <f>(X516*C516)*'Electrical System Specification'!D$17</f>
        <v>0</v>
      </c>
      <c r="Z516" s="165">
        <f t="shared" si="118"/>
        <v>1206.0174991484168</v>
      </c>
      <c r="AA516" s="165">
        <f t="shared" si="119"/>
        <v>-2100.4185976019689</v>
      </c>
      <c r="AB516" s="165"/>
    </row>
    <row r="517" spans="3:28" x14ac:dyDescent="0.2">
      <c r="C517" s="148">
        <v>0.27874103300357755</v>
      </c>
      <c r="D517">
        <f t="shared" si="107"/>
        <v>179.28575261655254</v>
      </c>
      <c r="E517" s="164">
        <v>11746.270514507263</v>
      </c>
      <c r="F517" s="165">
        <f>E517/'Electrical System Specification'!AC$4</f>
        <v>11985.990320925779</v>
      </c>
      <c r="G517" s="146">
        <f>F517/('Electrical System Specification'!X$16*'Electrical System Specification'!J$16*'Electrical System Specification'!D$17)</f>
        <v>14923.539918479231</v>
      </c>
      <c r="H517" s="165"/>
      <c r="I517" s="173">
        <f t="shared" si="108"/>
        <v>6871.6622130335309</v>
      </c>
      <c r="J517" s="173">
        <f t="shared" si="109"/>
        <v>7621.6306710664712</v>
      </c>
      <c r="K517" s="174">
        <f>IF(E517&gt;I517,'Electrical System Specification'!AC$4*'Electrical System Specification'!J$16*'Electrical System Specification'!D$16*'Electrical System Specification'!D$17*'Electrical System Specification'!X$16)</f>
        <v>0.70838712000000004</v>
      </c>
      <c r="L517" s="174" t="b">
        <f>IF(E517&lt;I517,'Electrical System Specification'!X$16*'Electrical System Specification'!Q$16*'Electrical System Specification'!AC$4*'Electrical System Specification'!J$16)</f>
        <v>0</v>
      </c>
      <c r="M517" s="174">
        <f t="shared" si="110"/>
        <v>0.70838712000000004</v>
      </c>
      <c r="N517" s="174">
        <f t="shared" si="111"/>
        <v>8320.9067405127189</v>
      </c>
      <c r="O517" s="173">
        <f t="shared" si="112"/>
        <v>4874.6083014737324</v>
      </c>
      <c r="P517" s="174">
        <f t="shared" si="113"/>
        <v>6881.2774312917099</v>
      </c>
      <c r="Q517" s="174">
        <f t="shared" si="121"/>
        <v>8270.8960076684452</v>
      </c>
      <c r="R517" s="174">
        <f t="shared" si="120"/>
        <v>0</v>
      </c>
      <c r="S517" s="165" t="b">
        <f t="shared" si="114"/>
        <v>0</v>
      </c>
      <c r="T517">
        <f t="shared" si="115"/>
        <v>15152.173438960155</v>
      </c>
      <c r="U517" s="176">
        <f t="shared" si="116"/>
        <v>15152.173438960155</v>
      </c>
      <c r="V517" s="165">
        <f>IF(U517&lt;V$5,V$5-U517,IF(U517&gt;=V$5,0))*('Electrical System Specification'!D$16*'Electrical System Specification'!Q$16)</f>
        <v>0</v>
      </c>
      <c r="W517" s="28">
        <f t="shared" si="117"/>
        <v>0</v>
      </c>
      <c r="X517" s="165">
        <f>IF(U517&gt;V$5,U517-V$5,0)*'Electrical System Specification'!D$17</f>
        <v>5724.7585306152014</v>
      </c>
      <c r="Y517">
        <f>(X517*C517)*'Electrical System Specification'!D$17</f>
        <v>1436.1525958677516</v>
      </c>
      <c r="Z517" s="165">
        <f t="shared" si="118"/>
        <v>-1436.1525958677516</v>
      </c>
      <c r="AA517" s="165">
        <f t="shared" si="119"/>
        <v>-3536.5711934697206</v>
      </c>
      <c r="AB517" s="165"/>
    </row>
    <row r="518" spans="3:28" x14ac:dyDescent="0.2">
      <c r="C518" s="148">
        <v>0.27096230310228681</v>
      </c>
      <c r="D518">
        <f t="shared" si="107"/>
        <v>179.55671491965484</v>
      </c>
      <c r="E518" s="164">
        <v>8719.2170294856278</v>
      </c>
      <c r="F518" s="165">
        <f>E518/'Electrical System Specification'!AC$4</f>
        <v>8897.1602341690086</v>
      </c>
      <c r="G518" s="146">
        <f>F518/('Electrical System Specification'!X$16*'Electrical System Specification'!J$16*'Electrical System Specification'!D$17)</f>
        <v>11077.693403766383</v>
      </c>
      <c r="H518" s="165"/>
      <c r="I518" s="173">
        <f t="shared" si="108"/>
        <v>6871.6622130335309</v>
      </c>
      <c r="J518" s="173">
        <f t="shared" si="109"/>
        <v>7621.6306710664712</v>
      </c>
      <c r="K518" s="174">
        <f>IF(E518&gt;I518,'Electrical System Specification'!AC$4*'Electrical System Specification'!J$16*'Electrical System Specification'!D$16*'Electrical System Specification'!D$17*'Electrical System Specification'!X$16)</f>
        <v>0.70838712000000004</v>
      </c>
      <c r="L518" s="174" t="b">
        <f>IF(E518&lt;I518,'Electrical System Specification'!X$16*'Electrical System Specification'!Q$16*'Electrical System Specification'!AC$4*'Electrical System Specification'!J$16)</f>
        <v>0</v>
      </c>
      <c r="M518" s="174">
        <f t="shared" si="110"/>
        <v>0.70838712000000004</v>
      </c>
      <c r="N518" s="174">
        <f t="shared" si="111"/>
        <v>6176.5810401722792</v>
      </c>
      <c r="O518" s="173">
        <f t="shared" si="112"/>
        <v>1847.5548164520969</v>
      </c>
      <c r="P518" s="174">
        <f t="shared" si="113"/>
        <v>2608.1146371663235</v>
      </c>
      <c r="Q518" s="174">
        <f t="shared" si="121"/>
        <v>8270.8960076684452</v>
      </c>
      <c r="R518" s="174">
        <f t="shared" si="120"/>
        <v>0</v>
      </c>
      <c r="S518" s="165" t="b">
        <f t="shared" si="114"/>
        <v>0</v>
      </c>
      <c r="T518">
        <f t="shared" si="115"/>
        <v>10879.010644834769</v>
      </c>
      <c r="U518" s="176">
        <f t="shared" si="116"/>
        <v>10879.010644834769</v>
      </c>
      <c r="V518" s="165">
        <f>IF(U518&lt;V$5,V$5-U518,IF(U518&gt;=V$5,0))*('Electrical System Specification'!D$16*'Electrical System Specification'!Q$16)</f>
        <v>0</v>
      </c>
      <c r="W518" s="28">
        <f t="shared" si="117"/>
        <v>0</v>
      </c>
      <c r="X518" s="165">
        <f>IF(U518&gt;V$5,U518-V$5,0)*'Electrical System Specification'!D$17</f>
        <v>1878.9120159023532</v>
      </c>
      <c r="Y518">
        <f>(X518*C518)*'Electrical System Specification'!D$17</f>
        <v>458.20289443991595</v>
      </c>
      <c r="Z518" s="165">
        <f t="shared" si="118"/>
        <v>-458.20289443991595</v>
      </c>
      <c r="AA518" s="165">
        <f t="shared" si="119"/>
        <v>-3994.7740879096364</v>
      </c>
      <c r="AB518" s="165"/>
    </row>
    <row r="519" spans="3:28" x14ac:dyDescent="0.2">
      <c r="C519" s="148">
        <v>0.26381934930746526</v>
      </c>
      <c r="D519">
        <f t="shared" si="107"/>
        <v>179.82053426896229</v>
      </c>
      <c r="E519" s="164">
        <v>0</v>
      </c>
      <c r="F519" s="165">
        <f>E519/'Electrical System Specification'!AC$4</f>
        <v>0</v>
      </c>
      <c r="G519" s="146">
        <f>F519/('Electrical System Specification'!X$16*'Electrical System Specification'!J$16*'Electrical System Specification'!D$17)</f>
        <v>0</v>
      </c>
      <c r="H519" s="165"/>
      <c r="I519" s="173">
        <f t="shared" si="108"/>
        <v>6871.6622130335309</v>
      </c>
      <c r="J519" s="173">
        <f t="shared" si="109"/>
        <v>7621.6306710664712</v>
      </c>
      <c r="K519" s="174" t="b">
        <f>IF(E519&gt;I519,'Electrical System Specification'!AC$4*'Electrical System Specification'!J$16*'Electrical System Specification'!D$16*'Electrical System Specification'!D$17*'Electrical System Specification'!X$16)</f>
        <v>0</v>
      </c>
      <c r="L519" s="174">
        <f>IF(E519&lt;I519,'Electrical System Specification'!X$16*'Electrical System Specification'!Q$16*'Electrical System Specification'!AC$4*'Electrical System Specification'!J$16)</f>
        <v>0.83082440000000002</v>
      </c>
      <c r="M519" s="174">
        <f t="shared" si="110"/>
        <v>0.83082440000000002</v>
      </c>
      <c r="N519" s="174">
        <f t="shared" si="111"/>
        <v>0</v>
      </c>
      <c r="O519" s="173">
        <f t="shared" si="112"/>
        <v>-6871.6622130335309</v>
      </c>
      <c r="P519" s="174" t="b">
        <f t="shared" si="113"/>
        <v>0</v>
      </c>
      <c r="Q519" s="174">
        <f t="shared" si="121"/>
        <v>0</v>
      </c>
      <c r="R519" s="174">
        <f t="shared" si="120"/>
        <v>0</v>
      </c>
      <c r="S519" s="165">
        <f t="shared" si="114"/>
        <v>0</v>
      </c>
      <c r="T519" t="b">
        <f t="shared" si="115"/>
        <v>0</v>
      </c>
      <c r="U519" s="176">
        <f t="shared" si="116"/>
        <v>0</v>
      </c>
      <c r="V519" s="165">
        <f>IF(U519&lt;V$5,V$5-U519,IF(U519&gt;=V$5,0))*('Electrical System Specification'!D$16*'Electrical System Specification'!Q$16)</f>
        <v>7516.5876862264913</v>
      </c>
      <c r="W519" s="28">
        <f t="shared" si="117"/>
        <v>1983.0212723927787</v>
      </c>
      <c r="X519" s="165">
        <f>IF(U519&gt;V$5,U519-V$5,0)*'Electrical System Specification'!D$17</f>
        <v>0</v>
      </c>
      <c r="Y519">
        <f>(X519*C519)*'Electrical System Specification'!D$17</f>
        <v>0</v>
      </c>
      <c r="Z519" s="165">
        <f t="shared" si="118"/>
        <v>1983.0212723927787</v>
      </c>
      <c r="AA519" s="165">
        <f t="shared" si="119"/>
        <v>-2011.7528155168577</v>
      </c>
      <c r="AB519" s="165"/>
    </row>
    <row r="520" spans="3:28" x14ac:dyDescent="0.2">
      <c r="C520" s="148">
        <v>0.26433045226732005</v>
      </c>
      <c r="D520">
        <f t="shared" si="107"/>
        <v>180.08486472122962</v>
      </c>
      <c r="E520" s="164">
        <v>0</v>
      </c>
      <c r="F520" s="165">
        <f>E520/'Electrical System Specification'!AC$4</f>
        <v>0</v>
      </c>
      <c r="G520" s="146">
        <f>F520/('Electrical System Specification'!X$16*'Electrical System Specification'!J$16*'Electrical System Specification'!D$17)</f>
        <v>0</v>
      </c>
      <c r="H520" s="165"/>
      <c r="I520" s="173">
        <f t="shared" si="108"/>
        <v>6871.6622130335309</v>
      </c>
      <c r="J520" s="173">
        <f t="shared" si="109"/>
        <v>7621.6306710664712</v>
      </c>
      <c r="K520" s="174" t="b">
        <f>IF(E520&gt;I520,'Electrical System Specification'!AC$4*'Electrical System Specification'!J$16*'Electrical System Specification'!D$16*'Electrical System Specification'!D$17*'Electrical System Specification'!X$16)</f>
        <v>0</v>
      </c>
      <c r="L520" s="174">
        <f>IF(E520&lt;I520,'Electrical System Specification'!X$16*'Electrical System Specification'!Q$16*'Electrical System Specification'!AC$4*'Electrical System Specification'!J$16)</f>
        <v>0.83082440000000002</v>
      </c>
      <c r="M520" s="174">
        <f t="shared" si="110"/>
        <v>0.83082440000000002</v>
      </c>
      <c r="N520" s="174">
        <f t="shared" si="111"/>
        <v>0</v>
      </c>
      <c r="O520" s="173">
        <f t="shared" si="112"/>
        <v>-6871.6622130335309</v>
      </c>
      <c r="P520" s="174" t="b">
        <f t="shared" si="113"/>
        <v>0</v>
      </c>
      <c r="Q520" s="174">
        <f t="shared" si="121"/>
        <v>0</v>
      </c>
      <c r="R520" s="174">
        <f t="shared" si="120"/>
        <v>0</v>
      </c>
      <c r="S520" s="165">
        <f t="shared" si="114"/>
        <v>0</v>
      </c>
      <c r="T520" t="b">
        <f t="shared" si="115"/>
        <v>0</v>
      </c>
      <c r="U520" s="176">
        <f t="shared" si="116"/>
        <v>0</v>
      </c>
      <c r="V520" s="165">
        <f>IF(U520&lt;V$5,V$5-U520,IF(U520&gt;=V$5,0))*('Electrical System Specification'!D$16*'Electrical System Specification'!Q$16)</f>
        <v>7516.5876862264913</v>
      </c>
      <c r="W520" s="28">
        <f t="shared" si="117"/>
        <v>1986.8630226072173</v>
      </c>
      <c r="X520" s="165">
        <f>IF(U520&gt;V$5,U520-V$5,0)*'Electrical System Specification'!D$17</f>
        <v>0</v>
      </c>
      <c r="Y520">
        <f>(X520*C520)*'Electrical System Specification'!D$17</f>
        <v>0</v>
      </c>
      <c r="Z520" s="165">
        <f t="shared" si="118"/>
        <v>1986.8630226072173</v>
      </c>
      <c r="AA520" s="165">
        <f t="shared" si="119"/>
        <v>-24.889792909640391</v>
      </c>
      <c r="AB520" s="165"/>
    </row>
    <row r="521" spans="3:28" x14ac:dyDescent="0.2">
      <c r="C521" s="148">
        <v>0.26125709785040441</v>
      </c>
      <c r="D521">
        <f t="shared" si="107"/>
        <v>180.34612181908003</v>
      </c>
      <c r="E521" s="164">
        <v>0</v>
      </c>
      <c r="F521" s="165">
        <f>E521/'Electrical System Specification'!AC$4</f>
        <v>0</v>
      </c>
      <c r="G521" s="146">
        <f>F521/('Electrical System Specification'!X$16*'Electrical System Specification'!J$16*'Electrical System Specification'!D$17)</f>
        <v>0</v>
      </c>
      <c r="H521" s="165"/>
      <c r="I521" s="173">
        <f t="shared" si="108"/>
        <v>6871.6622130335309</v>
      </c>
      <c r="J521" s="173">
        <f t="shared" si="109"/>
        <v>7621.6306710664712</v>
      </c>
      <c r="K521" s="174" t="b">
        <f>IF(E521&gt;I521,'Electrical System Specification'!AC$4*'Electrical System Specification'!J$16*'Electrical System Specification'!D$16*'Electrical System Specification'!D$17*'Electrical System Specification'!X$16)</f>
        <v>0</v>
      </c>
      <c r="L521" s="174">
        <f>IF(E521&lt;I521,'Electrical System Specification'!X$16*'Electrical System Specification'!Q$16*'Electrical System Specification'!AC$4*'Electrical System Specification'!J$16)</f>
        <v>0.83082440000000002</v>
      </c>
      <c r="M521" s="174">
        <f t="shared" si="110"/>
        <v>0.83082440000000002</v>
      </c>
      <c r="N521" s="174">
        <f t="shared" si="111"/>
        <v>0</v>
      </c>
      <c r="O521" s="173">
        <f t="shared" si="112"/>
        <v>-6871.6622130335309</v>
      </c>
      <c r="P521" s="174" t="b">
        <f t="shared" si="113"/>
        <v>0</v>
      </c>
      <c r="Q521" s="174">
        <f t="shared" si="121"/>
        <v>0</v>
      </c>
      <c r="R521" s="174">
        <f t="shared" si="120"/>
        <v>0</v>
      </c>
      <c r="S521" s="165">
        <f t="shared" si="114"/>
        <v>0</v>
      </c>
      <c r="T521" t="b">
        <f t="shared" si="115"/>
        <v>0</v>
      </c>
      <c r="U521" s="176">
        <f t="shared" si="116"/>
        <v>0</v>
      </c>
      <c r="V521" s="165">
        <f>IF(U521&lt;V$5,V$5-U521,IF(U521&gt;=V$5,0))*('Electrical System Specification'!D$16*'Electrical System Specification'!Q$16)</f>
        <v>7516.5876862264913</v>
      </c>
      <c r="W521" s="28">
        <f t="shared" si="117"/>
        <v>1963.7618846416192</v>
      </c>
      <c r="X521" s="165">
        <f>IF(U521&gt;V$5,U521-V$5,0)*'Electrical System Specification'!D$17</f>
        <v>0</v>
      </c>
      <c r="Y521">
        <f>(X521*C521)*'Electrical System Specification'!D$17</f>
        <v>0</v>
      </c>
      <c r="Z521" s="165">
        <f t="shared" si="118"/>
        <v>1963.7618846416192</v>
      </c>
      <c r="AA521" s="165">
        <f t="shared" si="119"/>
        <v>1938.8720917319788</v>
      </c>
      <c r="AB521" s="165"/>
    </row>
    <row r="522" spans="3:28" x14ac:dyDescent="0.2">
      <c r="C522" s="148">
        <v>0.25765159319157177</v>
      </c>
      <c r="D522">
        <f t="shared" ref="D522:D539" si="122">C522+D521</f>
        <v>180.60377341227161</v>
      </c>
      <c r="E522" s="164">
        <v>0</v>
      </c>
      <c r="F522" s="165">
        <f>E522/'Electrical System Specification'!AC$4</f>
        <v>0</v>
      </c>
      <c r="G522" s="146">
        <f>F522/('Electrical System Specification'!X$16*'Electrical System Specification'!J$16*'Electrical System Specification'!D$17)</f>
        <v>0</v>
      </c>
      <c r="H522" s="165"/>
      <c r="I522" s="173">
        <f t="shared" ref="I522:I539" si="123">J$5</f>
        <v>6871.6622130335309</v>
      </c>
      <c r="J522" s="173">
        <f t="shared" ref="J522:J539" si="124">J$7</f>
        <v>7621.6306710664712</v>
      </c>
      <c r="K522" s="174" t="b">
        <f>IF(E522&gt;I522,'Electrical System Specification'!AC$4*'Electrical System Specification'!J$16*'Electrical System Specification'!D$16*'Electrical System Specification'!D$17*'Electrical System Specification'!X$16)</f>
        <v>0</v>
      </c>
      <c r="L522" s="174">
        <f>IF(E522&lt;I522,'Electrical System Specification'!X$16*'Electrical System Specification'!Q$16*'Electrical System Specification'!AC$4*'Electrical System Specification'!J$16)</f>
        <v>0.83082440000000002</v>
      </c>
      <c r="M522" s="174">
        <f t="shared" ref="M522:M539" si="125">IF(I522&gt;E522,L522,IF(I522&lt;E522,K522))</f>
        <v>0.83082440000000002</v>
      </c>
      <c r="N522" s="174">
        <f t="shared" ref="N522:N539" si="126">M522*E522</f>
        <v>0</v>
      </c>
      <c r="O522" s="173">
        <f t="shared" ref="O522:O539" si="127">E522-I522</f>
        <v>-6871.6622130335309</v>
      </c>
      <c r="P522" s="174" t="b">
        <f t="shared" ref="P522:P539" si="128">IF(O522&gt;0,O522/K522)</f>
        <v>0</v>
      </c>
      <c r="Q522" s="174">
        <f t="shared" si="121"/>
        <v>0</v>
      </c>
      <c r="R522" s="174">
        <f t="shared" si="120"/>
        <v>0</v>
      </c>
      <c r="S522" s="165">
        <f t="shared" ref="S522:S539" si="129">IF(P522=FALSE,R522,IF(R522=FALSE,P522))</f>
        <v>0</v>
      </c>
      <c r="T522" t="b">
        <f t="shared" ref="T522:T539" si="130">IF(O522&gt;0,(I522/P$4)+(O522/Q$4))</f>
        <v>0</v>
      </c>
      <c r="U522" s="176">
        <f t="shared" ref="U522:U539" si="131">IF(T522=FALSE,S522,T522)</f>
        <v>0</v>
      </c>
      <c r="V522" s="165">
        <f>IF(U522&lt;V$5,V$5-U522,IF(U522&gt;=V$5,0))*('Electrical System Specification'!D$16*'Electrical System Specification'!Q$16)</f>
        <v>7516.5876862264913</v>
      </c>
      <c r="W522" s="28">
        <f t="shared" ref="W522:W539" si="132">V522*C522</f>
        <v>1936.6607927204057</v>
      </c>
      <c r="X522" s="165">
        <f>IF(U522&gt;V$5,U522-V$5,0)*'Electrical System Specification'!D$17</f>
        <v>0</v>
      </c>
      <c r="Y522">
        <f>(X522*C522)*'Electrical System Specification'!D$17</f>
        <v>0</v>
      </c>
      <c r="Z522" s="165">
        <f t="shared" ref="Z522:Z539" si="133">(W522-Y522)</f>
        <v>1936.6607927204057</v>
      </c>
      <c r="AA522" s="165">
        <f t="shared" ref="AA522:AA539" si="134">Z522+AA521</f>
        <v>3875.5328844523847</v>
      </c>
      <c r="AB522" s="165"/>
    </row>
    <row r="523" spans="3:28" x14ac:dyDescent="0.2">
      <c r="C523" s="148">
        <v>0.25219692833237661</v>
      </c>
      <c r="D523">
        <f t="shared" si="122"/>
        <v>180.85597034060399</v>
      </c>
      <c r="E523" s="164">
        <v>0</v>
      </c>
      <c r="F523" s="165">
        <f>E523/'Electrical System Specification'!AC$4</f>
        <v>0</v>
      </c>
      <c r="G523" s="146">
        <f>F523/('Electrical System Specification'!X$16*'Electrical System Specification'!J$16*'Electrical System Specification'!D$17)</f>
        <v>0</v>
      </c>
      <c r="H523" s="165"/>
      <c r="I523" s="173">
        <f t="shared" si="123"/>
        <v>6871.6622130335309</v>
      </c>
      <c r="J523" s="173">
        <f t="shared" si="124"/>
        <v>7621.6306710664712</v>
      </c>
      <c r="K523" s="174" t="b">
        <f>IF(E523&gt;I523,'Electrical System Specification'!AC$4*'Electrical System Specification'!J$16*'Electrical System Specification'!D$16*'Electrical System Specification'!D$17*'Electrical System Specification'!X$16)</f>
        <v>0</v>
      </c>
      <c r="L523" s="174">
        <f>IF(E523&lt;I523,'Electrical System Specification'!X$16*'Electrical System Specification'!Q$16*'Electrical System Specification'!AC$4*'Electrical System Specification'!J$16)</f>
        <v>0.83082440000000002</v>
      </c>
      <c r="M523" s="174">
        <f t="shared" si="125"/>
        <v>0.83082440000000002</v>
      </c>
      <c r="N523" s="174">
        <f t="shared" si="126"/>
        <v>0</v>
      </c>
      <c r="O523" s="173">
        <f t="shared" si="127"/>
        <v>-6871.6622130335309</v>
      </c>
      <c r="P523" s="174" t="b">
        <f t="shared" si="128"/>
        <v>0</v>
      </c>
      <c r="Q523" s="174">
        <f t="shared" si="121"/>
        <v>0</v>
      </c>
      <c r="R523" s="174">
        <f t="shared" si="120"/>
        <v>0</v>
      </c>
      <c r="S523" s="165">
        <f t="shared" si="129"/>
        <v>0</v>
      </c>
      <c r="T523" t="b">
        <f t="shared" si="130"/>
        <v>0</v>
      </c>
      <c r="U523" s="176">
        <f t="shared" si="131"/>
        <v>0</v>
      </c>
      <c r="V523" s="165">
        <f>IF(U523&lt;V$5,V$5-U523,IF(U523&gt;=V$5,0))*('Electrical System Specification'!D$16*'Electrical System Specification'!Q$16)</f>
        <v>7516.5876862264913</v>
      </c>
      <c r="W523" s="28">
        <f t="shared" si="132"/>
        <v>1895.660326007287</v>
      </c>
      <c r="X523" s="165">
        <f>IF(U523&gt;V$5,U523-V$5,0)*'Electrical System Specification'!D$17</f>
        <v>0</v>
      </c>
      <c r="Y523">
        <f>(X523*C523)*'Electrical System Specification'!D$17</f>
        <v>0</v>
      </c>
      <c r="Z523" s="165">
        <f t="shared" si="133"/>
        <v>1895.660326007287</v>
      </c>
      <c r="AA523" s="165">
        <f t="shared" si="134"/>
        <v>5771.1932104596717</v>
      </c>
      <c r="AB523" s="165"/>
    </row>
    <row r="524" spans="3:28" x14ac:dyDescent="0.2">
      <c r="C524" s="148">
        <v>0.2455247247924548</v>
      </c>
      <c r="D524">
        <f t="shared" si="122"/>
        <v>181.10149506539645</v>
      </c>
      <c r="E524" s="164">
        <v>0</v>
      </c>
      <c r="F524" s="165">
        <f>E524/'Electrical System Specification'!AC$4</f>
        <v>0</v>
      </c>
      <c r="G524" s="146">
        <f>F524/('Electrical System Specification'!X$16*'Electrical System Specification'!J$16*'Electrical System Specification'!D$17)</f>
        <v>0</v>
      </c>
      <c r="H524" s="165"/>
      <c r="I524" s="173">
        <f t="shared" si="123"/>
        <v>6871.6622130335309</v>
      </c>
      <c r="J524" s="173">
        <f t="shared" si="124"/>
        <v>7621.6306710664712</v>
      </c>
      <c r="K524" s="174" t="b">
        <f>IF(E524&gt;I524,'Electrical System Specification'!AC$4*'Electrical System Specification'!J$16*'Electrical System Specification'!D$16*'Electrical System Specification'!D$17*'Electrical System Specification'!X$16)</f>
        <v>0</v>
      </c>
      <c r="L524" s="174">
        <f>IF(E524&lt;I524,'Electrical System Specification'!X$16*'Electrical System Specification'!Q$16*'Electrical System Specification'!AC$4*'Electrical System Specification'!J$16)</f>
        <v>0.83082440000000002</v>
      </c>
      <c r="M524" s="174">
        <f t="shared" si="125"/>
        <v>0.83082440000000002</v>
      </c>
      <c r="N524" s="174">
        <f t="shared" si="126"/>
        <v>0</v>
      </c>
      <c r="O524" s="173">
        <f t="shared" si="127"/>
        <v>-6871.6622130335309</v>
      </c>
      <c r="P524" s="174" t="b">
        <f t="shared" si="128"/>
        <v>0</v>
      </c>
      <c r="Q524" s="174">
        <f t="shared" si="121"/>
        <v>0</v>
      </c>
      <c r="R524" s="174">
        <f t="shared" si="120"/>
        <v>0</v>
      </c>
      <c r="S524" s="165">
        <f t="shared" si="129"/>
        <v>0</v>
      </c>
      <c r="T524" t="b">
        <f t="shared" si="130"/>
        <v>0</v>
      </c>
      <c r="U524" s="176">
        <f t="shared" si="131"/>
        <v>0</v>
      </c>
      <c r="V524" s="165">
        <f>IF(U524&lt;V$5,V$5-U524,IF(U524&gt;=V$5,0))*('Electrical System Specification'!D$16*'Electrical System Specification'!Q$16)</f>
        <v>7516.5876862264913</v>
      </c>
      <c r="W524" s="28">
        <f t="shared" si="132"/>
        <v>1845.5081230391138</v>
      </c>
      <c r="X524" s="165">
        <f>IF(U524&gt;V$5,U524-V$5,0)*'Electrical System Specification'!D$17</f>
        <v>0</v>
      </c>
      <c r="Y524">
        <f>(X524*C524)*'Electrical System Specification'!D$17</f>
        <v>0</v>
      </c>
      <c r="Z524" s="165">
        <f t="shared" si="133"/>
        <v>1845.5081230391138</v>
      </c>
      <c r="AA524" s="165">
        <f t="shared" si="134"/>
        <v>7616.701333498786</v>
      </c>
      <c r="AB524" s="165"/>
    </row>
    <row r="525" spans="3:28" x14ac:dyDescent="0.2">
      <c r="C525" s="148">
        <v>0.23864764307612391</v>
      </c>
      <c r="D525">
        <f t="shared" si="122"/>
        <v>181.34014270847257</v>
      </c>
      <c r="E525" s="164">
        <v>0</v>
      </c>
      <c r="F525" s="165">
        <f>E525/'Electrical System Specification'!AC$4</f>
        <v>0</v>
      </c>
      <c r="G525" s="146">
        <f>F525/('Electrical System Specification'!X$16*'Electrical System Specification'!J$16*'Electrical System Specification'!D$17)</f>
        <v>0</v>
      </c>
      <c r="H525" s="165"/>
      <c r="I525" s="173">
        <f t="shared" si="123"/>
        <v>6871.6622130335309</v>
      </c>
      <c r="J525" s="173">
        <f t="shared" si="124"/>
        <v>7621.6306710664712</v>
      </c>
      <c r="K525" s="174" t="b">
        <f>IF(E525&gt;I525,'Electrical System Specification'!AC$4*'Electrical System Specification'!J$16*'Electrical System Specification'!D$16*'Electrical System Specification'!D$17*'Electrical System Specification'!X$16)</f>
        <v>0</v>
      </c>
      <c r="L525" s="174">
        <f>IF(E525&lt;I525,'Electrical System Specification'!X$16*'Electrical System Specification'!Q$16*'Electrical System Specification'!AC$4*'Electrical System Specification'!J$16)</f>
        <v>0.83082440000000002</v>
      </c>
      <c r="M525" s="174">
        <f t="shared" si="125"/>
        <v>0.83082440000000002</v>
      </c>
      <c r="N525" s="174">
        <f t="shared" si="126"/>
        <v>0</v>
      </c>
      <c r="O525" s="173">
        <f t="shared" si="127"/>
        <v>-6871.6622130335309</v>
      </c>
      <c r="P525" s="174" t="b">
        <f t="shared" si="128"/>
        <v>0</v>
      </c>
      <c r="Q525" s="174">
        <f t="shared" si="121"/>
        <v>0</v>
      </c>
      <c r="R525" s="174">
        <f t="shared" si="120"/>
        <v>0</v>
      </c>
      <c r="S525" s="165">
        <f t="shared" si="129"/>
        <v>0</v>
      </c>
      <c r="T525" t="b">
        <f t="shared" si="130"/>
        <v>0</v>
      </c>
      <c r="U525" s="176">
        <f t="shared" si="131"/>
        <v>0</v>
      </c>
      <c r="V525" s="165">
        <f>IF(U525&lt;V$5,V$5-U525,IF(U525&gt;=V$5,0))*('Electrical System Specification'!D$16*'Electrical System Specification'!Q$16)</f>
        <v>7516.5876862264913</v>
      </c>
      <c r="W525" s="28">
        <f t="shared" si="132"/>
        <v>1793.8159352929677</v>
      </c>
      <c r="X525" s="165">
        <f>IF(U525&gt;V$5,U525-V$5,0)*'Electrical System Specification'!D$17</f>
        <v>0</v>
      </c>
      <c r="Y525">
        <f>(X525*C525)*'Electrical System Specification'!D$17</f>
        <v>0</v>
      </c>
      <c r="Z525" s="165">
        <f t="shared" si="133"/>
        <v>1793.8159352929677</v>
      </c>
      <c r="AA525" s="165">
        <f t="shared" si="134"/>
        <v>9410.5172687917529</v>
      </c>
      <c r="AB525" s="165"/>
    </row>
    <row r="526" spans="3:28" x14ac:dyDescent="0.2">
      <c r="C526" s="148">
        <v>0.23189643678154395</v>
      </c>
      <c r="D526">
        <f t="shared" si="122"/>
        <v>181.57203914525411</v>
      </c>
      <c r="E526" s="164">
        <v>0</v>
      </c>
      <c r="F526" s="165">
        <f>E526/'Electrical System Specification'!AC$4</f>
        <v>0</v>
      </c>
      <c r="G526" s="146">
        <f>F526/('Electrical System Specification'!X$16*'Electrical System Specification'!J$16*'Electrical System Specification'!D$17)</f>
        <v>0</v>
      </c>
      <c r="H526" s="165"/>
      <c r="I526" s="173">
        <f t="shared" si="123"/>
        <v>6871.6622130335309</v>
      </c>
      <c r="J526" s="173">
        <f t="shared" si="124"/>
        <v>7621.6306710664712</v>
      </c>
      <c r="K526" s="174" t="b">
        <f>IF(E526&gt;I526,'Electrical System Specification'!AC$4*'Electrical System Specification'!J$16*'Electrical System Specification'!D$16*'Electrical System Specification'!D$17*'Electrical System Specification'!X$16)</f>
        <v>0</v>
      </c>
      <c r="L526" s="174">
        <f>IF(E526&lt;I526,'Electrical System Specification'!X$16*'Electrical System Specification'!Q$16*'Electrical System Specification'!AC$4*'Electrical System Specification'!J$16)</f>
        <v>0.83082440000000002</v>
      </c>
      <c r="M526" s="174">
        <f t="shared" si="125"/>
        <v>0.83082440000000002</v>
      </c>
      <c r="N526" s="174">
        <f t="shared" si="126"/>
        <v>0</v>
      </c>
      <c r="O526" s="173">
        <f t="shared" si="127"/>
        <v>-6871.6622130335309</v>
      </c>
      <c r="P526" s="174" t="b">
        <f t="shared" si="128"/>
        <v>0</v>
      </c>
      <c r="Q526" s="174">
        <f t="shared" si="121"/>
        <v>0</v>
      </c>
      <c r="R526" s="174">
        <f t="shared" si="120"/>
        <v>0</v>
      </c>
      <c r="S526" s="165">
        <f t="shared" si="129"/>
        <v>0</v>
      </c>
      <c r="T526" t="b">
        <f t="shared" si="130"/>
        <v>0</v>
      </c>
      <c r="U526" s="176">
        <f t="shared" si="131"/>
        <v>0</v>
      </c>
      <c r="V526" s="165">
        <f>IF(U526&lt;V$5,V$5-U526,IF(U526&gt;=V$5,0))*('Electrical System Specification'!D$16*'Electrical System Specification'!Q$16)</f>
        <v>7516.5876862264913</v>
      </c>
      <c r="W526" s="28">
        <f t="shared" si="132"/>
        <v>1743.0699011919532</v>
      </c>
      <c r="X526" s="165">
        <f>IF(U526&gt;V$5,U526-V$5,0)*'Electrical System Specification'!D$17</f>
        <v>0</v>
      </c>
      <c r="Y526">
        <f>(X526*C526)*'Electrical System Specification'!D$17</f>
        <v>0</v>
      </c>
      <c r="Z526" s="165">
        <f t="shared" si="133"/>
        <v>1743.0699011919532</v>
      </c>
      <c r="AA526" s="165">
        <f t="shared" si="134"/>
        <v>11153.587169983706</v>
      </c>
      <c r="AB526" s="165"/>
    </row>
    <row r="527" spans="3:28" x14ac:dyDescent="0.2">
      <c r="C527" s="148">
        <v>0.22546099579466719</v>
      </c>
      <c r="D527">
        <f t="shared" si="122"/>
        <v>181.79750014104877</v>
      </c>
      <c r="E527" s="164">
        <v>0</v>
      </c>
      <c r="F527" s="165">
        <f>E527/'Electrical System Specification'!AC$4</f>
        <v>0</v>
      </c>
      <c r="G527" s="146">
        <f>F527/('Electrical System Specification'!X$16*'Electrical System Specification'!J$16*'Electrical System Specification'!D$17)</f>
        <v>0</v>
      </c>
      <c r="H527" s="165"/>
      <c r="I527" s="173">
        <f t="shared" si="123"/>
        <v>6871.6622130335309</v>
      </c>
      <c r="J527" s="173">
        <f t="shared" si="124"/>
        <v>7621.6306710664712</v>
      </c>
      <c r="K527" s="174" t="b">
        <f>IF(E527&gt;I527,'Electrical System Specification'!AC$4*'Electrical System Specification'!J$16*'Electrical System Specification'!D$16*'Electrical System Specification'!D$17*'Electrical System Specification'!X$16)</f>
        <v>0</v>
      </c>
      <c r="L527" s="174">
        <f>IF(E527&lt;I527,'Electrical System Specification'!X$16*'Electrical System Specification'!Q$16*'Electrical System Specification'!AC$4*'Electrical System Specification'!J$16)</f>
        <v>0.83082440000000002</v>
      </c>
      <c r="M527" s="174">
        <f t="shared" si="125"/>
        <v>0.83082440000000002</v>
      </c>
      <c r="N527" s="174">
        <f t="shared" si="126"/>
        <v>0</v>
      </c>
      <c r="O527" s="173">
        <f t="shared" si="127"/>
        <v>-6871.6622130335309</v>
      </c>
      <c r="P527" s="174" t="b">
        <f t="shared" si="128"/>
        <v>0</v>
      </c>
      <c r="Q527" s="174">
        <f t="shared" si="121"/>
        <v>0</v>
      </c>
      <c r="R527" s="174">
        <f t="shared" si="120"/>
        <v>0</v>
      </c>
      <c r="S527" s="165">
        <f t="shared" si="129"/>
        <v>0</v>
      </c>
      <c r="T527" t="b">
        <f t="shared" si="130"/>
        <v>0</v>
      </c>
      <c r="U527" s="176">
        <f t="shared" si="131"/>
        <v>0</v>
      </c>
      <c r="V527" s="165">
        <f>IF(U527&lt;V$5,V$5-U527,IF(U527&gt;=V$5,0))*('Electrical System Specification'!D$16*'Electrical System Specification'!Q$16)</f>
        <v>7516.5876862264913</v>
      </c>
      <c r="W527" s="28">
        <f t="shared" si="132"/>
        <v>1694.6973447145581</v>
      </c>
      <c r="X527" s="165">
        <f>IF(U527&gt;V$5,U527-V$5,0)*'Electrical System Specification'!D$17</f>
        <v>0</v>
      </c>
      <c r="Y527">
        <f>(X527*C527)*'Electrical System Specification'!D$17</f>
        <v>0</v>
      </c>
      <c r="Z527" s="165">
        <f t="shared" si="133"/>
        <v>1694.6973447145581</v>
      </c>
      <c r="AA527" s="165">
        <f t="shared" si="134"/>
        <v>12848.284514698264</v>
      </c>
      <c r="AB527" s="165"/>
    </row>
    <row r="528" spans="3:28" x14ac:dyDescent="0.2">
      <c r="C528" s="148">
        <v>0.21529611892368394</v>
      </c>
      <c r="D528">
        <f t="shared" si="122"/>
        <v>182.01279625997245</v>
      </c>
      <c r="E528" s="164">
        <v>3586.4720281922669</v>
      </c>
      <c r="F528" s="165">
        <f>E528/'Electrical System Specification'!AC$4</f>
        <v>3659.6653348900682</v>
      </c>
      <c r="G528" s="146">
        <f>F528/('Electrical System Specification'!X$16*'Electrical System Specification'!J$16*'Electrical System Specification'!D$17)</f>
        <v>4556.583165110399</v>
      </c>
      <c r="H528" s="165"/>
      <c r="I528" s="173">
        <f t="shared" si="123"/>
        <v>6871.6622130335309</v>
      </c>
      <c r="J528" s="173">
        <f t="shared" si="124"/>
        <v>7621.6306710664712</v>
      </c>
      <c r="K528" s="174" t="b">
        <f>IF(E528&gt;I528,'Electrical System Specification'!AC$4*'Electrical System Specification'!J$16*'Electrical System Specification'!D$16*'Electrical System Specification'!D$17*'Electrical System Specification'!X$16)</f>
        <v>0</v>
      </c>
      <c r="L528" s="174">
        <f>IF(E528&lt;I528,'Electrical System Specification'!X$16*'Electrical System Specification'!Q$16*'Electrical System Specification'!AC$4*'Electrical System Specification'!J$16)</f>
        <v>0.83082440000000002</v>
      </c>
      <c r="M528" s="174">
        <f t="shared" si="125"/>
        <v>0.83082440000000002</v>
      </c>
      <c r="N528" s="174">
        <f t="shared" si="126"/>
        <v>2979.7284709396231</v>
      </c>
      <c r="O528" s="173">
        <f t="shared" si="127"/>
        <v>-3285.190184841264</v>
      </c>
      <c r="P528" s="174" t="b">
        <f t="shared" si="128"/>
        <v>0</v>
      </c>
      <c r="Q528" s="174">
        <f t="shared" si="121"/>
        <v>3586.4720281922669</v>
      </c>
      <c r="R528" s="174">
        <f t="shared" si="120"/>
        <v>4316.7629985256417</v>
      </c>
      <c r="S528" s="165">
        <f t="shared" si="129"/>
        <v>4316.7629985256417</v>
      </c>
      <c r="T528" t="b">
        <f t="shared" si="130"/>
        <v>0</v>
      </c>
      <c r="U528" s="176">
        <f t="shared" si="131"/>
        <v>4316.7629985256417</v>
      </c>
      <c r="V528" s="165">
        <f>IF(U528&lt;V$5,V$5-U528,IF(U528&gt;=V$5,0))*('Electrical System Specification'!D$16*'Electrical System Specification'!Q$16)</f>
        <v>3825.755322487068</v>
      </c>
      <c r="W528" s="28">
        <f t="shared" si="132"/>
        <v>823.67027288309259</v>
      </c>
      <c r="X528" s="165">
        <f>IF(U528&gt;V$5,U528-V$5,0)*'Electrical System Specification'!D$17</f>
        <v>0</v>
      </c>
      <c r="Y528">
        <f>(X528*C528)*'Electrical System Specification'!D$17</f>
        <v>0</v>
      </c>
      <c r="Z528" s="165">
        <f t="shared" si="133"/>
        <v>823.67027288309259</v>
      </c>
      <c r="AA528" s="165">
        <f t="shared" si="134"/>
        <v>13671.954787581357</v>
      </c>
      <c r="AB528" s="165"/>
    </row>
    <row r="529" spans="3:28" x14ac:dyDescent="0.2">
      <c r="C529" s="148">
        <v>0.2094111148869465</v>
      </c>
      <c r="D529">
        <f t="shared" si="122"/>
        <v>182.22220737485938</v>
      </c>
      <c r="E529" s="164">
        <v>8837.3949316118214</v>
      </c>
      <c r="F529" s="165">
        <f>E529/'Electrical System Specification'!AC$4</f>
        <v>9017.749930216145</v>
      </c>
      <c r="G529" s="146">
        <f>F529/('Electrical System Specification'!X$16*'Electrical System Specification'!J$16*'Electrical System Specification'!D$17)</f>
        <v>11227.837454823628</v>
      </c>
      <c r="H529" s="165"/>
      <c r="I529" s="173">
        <f t="shared" si="123"/>
        <v>6871.6622130335309</v>
      </c>
      <c r="J529" s="173">
        <f t="shared" si="124"/>
        <v>7621.6306710664712</v>
      </c>
      <c r="K529" s="174">
        <f>IF(E529&gt;I529,'Electrical System Specification'!AC$4*'Electrical System Specification'!J$16*'Electrical System Specification'!D$16*'Electrical System Specification'!D$17*'Electrical System Specification'!X$16)</f>
        <v>0.70838712000000004</v>
      </c>
      <c r="L529" s="174" t="b">
        <f>IF(E529&lt;I529,'Electrical System Specification'!X$16*'Electrical System Specification'!Q$16*'Electrical System Specification'!AC$4*'Electrical System Specification'!J$16)</f>
        <v>0</v>
      </c>
      <c r="M529" s="174">
        <f t="shared" si="125"/>
        <v>0.70838712000000004</v>
      </c>
      <c r="N529" s="174">
        <f t="shared" si="126"/>
        <v>6260.2967439070953</v>
      </c>
      <c r="O529" s="173">
        <f t="shared" si="127"/>
        <v>1965.7327185782906</v>
      </c>
      <c r="P529" s="174">
        <f t="shared" si="128"/>
        <v>2774.9413605632617</v>
      </c>
      <c r="Q529" s="174">
        <f t="shared" si="121"/>
        <v>8270.8960076684452</v>
      </c>
      <c r="R529" s="174">
        <f t="shared" si="120"/>
        <v>0</v>
      </c>
      <c r="S529" s="165" t="b">
        <f t="shared" si="129"/>
        <v>0</v>
      </c>
      <c r="T529">
        <f t="shared" si="130"/>
        <v>11045.837368231707</v>
      </c>
      <c r="U529" s="176">
        <f t="shared" si="131"/>
        <v>11045.837368231707</v>
      </c>
      <c r="V529" s="165">
        <f>IF(U529&lt;V$5,V$5-U529,IF(U529&gt;=V$5,0))*('Electrical System Specification'!D$16*'Electrical System Specification'!Q$16)</f>
        <v>0</v>
      </c>
      <c r="W529" s="28">
        <f t="shared" si="132"/>
        <v>0</v>
      </c>
      <c r="X529" s="165">
        <f>IF(U529&gt;V$5,U529-V$5,0)*'Electrical System Specification'!D$17</f>
        <v>2029.0560669595977</v>
      </c>
      <c r="Y529">
        <f>(X529*C529)*'Electrical System Specification'!D$17</f>
        <v>382.41620383511895</v>
      </c>
      <c r="Z529" s="165">
        <f t="shared" si="133"/>
        <v>-382.41620383511895</v>
      </c>
      <c r="AA529" s="165">
        <f t="shared" si="134"/>
        <v>13289.538583746238</v>
      </c>
      <c r="AB529" s="165"/>
    </row>
    <row r="530" spans="3:28" x14ac:dyDescent="0.2">
      <c r="C530" s="148">
        <v>0.20383641490826632</v>
      </c>
      <c r="D530">
        <f t="shared" si="122"/>
        <v>182.42604378976765</v>
      </c>
      <c r="E530" s="164">
        <v>8936.3363461116351</v>
      </c>
      <c r="F530" s="165">
        <f>E530/'Electrical System Specification'!AC$4</f>
        <v>9118.7105572567707</v>
      </c>
      <c r="G530" s="146">
        <f>F530/('Electrical System Specification'!X$16*'Electrical System Specification'!J$16*'Electrical System Specification'!D$17)</f>
        <v>11353.54170682899</v>
      </c>
      <c r="H530" s="165"/>
      <c r="I530" s="173">
        <f t="shared" si="123"/>
        <v>6871.6622130335309</v>
      </c>
      <c r="J530" s="173">
        <f t="shared" si="124"/>
        <v>7621.6306710664712</v>
      </c>
      <c r="K530" s="174">
        <f>IF(E530&gt;I530,'Electrical System Specification'!AC$4*'Electrical System Specification'!J$16*'Electrical System Specification'!D$16*'Electrical System Specification'!D$17*'Electrical System Specification'!X$16)</f>
        <v>0.70838712000000004</v>
      </c>
      <c r="L530" s="174" t="b">
        <f>IF(E530&lt;I530,'Electrical System Specification'!X$16*'Electrical System Specification'!Q$16*'Electrical System Specification'!AC$4*'Electrical System Specification'!J$16)</f>
        <v>0</v>
      </c>
      <c r="M530" s="174">
        <f t="shared" si="125"/>
        <v>0.70838712000000004</v>
      </c>
      <c r="N530" s="174">
        <f t="shared" si="126"/>
        <v>6330.3855675733448</v>
      </c>
      <c r="O530" s="173">
        <f t="shared" si="127"/>
        <v>2064.6741330781042</v>
      </c>
      <c r="P530" s="174">
        <f t="shared" si="128"/>
        <v>2914.6127516803299</v>
      </c>
      <c r="Q530" s="174">
        <f t="shared" si="121"/>
        <v>8270.8960076684452</v>
      </c>
      <c r="R530" s="174">
        <f t="shared" si="120"/>
        <v>0</v>
      </c>
      <c r="S530" s="165" t="b">
        <f t="shared" si="129"/>
        <v>0</v>
      </c>
      <c r="T530">
        <f t="shared" si="130"/>
        <v>11185.508759348775</v>
      </c>
      <c r="U530" s="176">
        <f t="shared" si="131"/>
        <v>11185.508759348775</v>
      </c>
      <c r="V530" s="165">
        <f>IF(U530&lt;V$5,V$5-U530,IF(U530&gt;=V$5,0))*('Electrical System Specification'!D$16*'Electrical System Specification'!Q$16)</f>
        <v>0</v>
      </c>
      <c r="W530" s="28">
        <f t="shared" si="132"/>
        <v>0</v>
      </c>
      <c r="X530" s="165">
        <f>IF(U530&gt;V$5,U530-V$5,0)*'Electrical System Specification'!D$17</f>
        <v>2154.760318964959</v>
      </c>
      <c r="Y530">
        <f>(X530*C530)*'Electrical System Specification'!D$17</f>
        <v>395.2967565639687</v>
      </c>
      <c r="Z530" s="165">
        <f t="shared" si="133"/>
        <v>-395.2967565639687</v>
      </c>
      <c r="AA530" s="165">
        <f t="shared" si="134"/>
        <v>12894.24182718227</v>
      </c>
      <c r="AB530" s="165"/>
    </row>
    <row r="531" spans="3:28" x14ac:dyDescent="0.2">
      <c r="C531" s="148">
        <v>0.19844103083690764</v>
      </c>
      <c r="D531">
        <f t="shared" si="122"/>
        <v>182.62448482060455</v>
      </c>
      <c r="E531" s="164">
        <v>9033.1602859967606</v>
      </c>
      <c r="F531" s="165">
        <f>E531/'Electrical System Specification'!AC$4</f>
        <v>9217.5104959150613</v>
      </c>
      <c r="G531" s="146">
        <f>F531/('Electrical System Specification'!X$16*'Electrical System Specification'!J$16*'Electrical System Specification'!D$17)</f>
        <v>11476.555724780943</v>
      </c>
      <c r="H531" s="165"/>
      <c r="I531" s="173">
        <f t="shared" si="123"/>
        <v>6871.6622130335309</v>
      </c>
      <c r="J531" s="173">
        <f t="shared" si="124"/>
        <v>7621.6306710664712</v>
      </c>
      <c r="K531" s="174">
        <f>IF(E531&gt;I531,'Electrical System Specification'!AC$4*'Electrical System Specification'!J$16*'Electrical System Specification'!D$16*'Electrical System Specification'!D$17*'Electrical System Specification'!X$16)</f>
        <v>0.70838712000000004</v>
      </c>
      <c r="L531" s="174" t="b">
        <f>IF(E531&lt;I531,'Electrical System Specification'!X$16*'Electrical System Specification'!Q$16*'Electrical System Specification'!AC$4*'Electrical System Specification'!J$16)</f>
        <v>0</v>
      </c>
      <c r="M531" s="174">
        <f t="shared" si="125"/>
        <v>0.70838712000000004</v>
      </c>
      <c r="N531" s="174">
        <f t="shared" si="126"/>
        <v>6398.9743994956216</v>
      </c>
      <c r="O531" s="173">
        <f t="shared" si="127"/>
        <v>2161.4980729632298</v>
      </c>
      <c r="P531" s="174">
        <f t="shared" si="128"/>
        <v>3051.2949938491679</v>
      </c>
      <c r="Q531" s="174">
        <f t="shared" si="121"/>
        <v>8270.8960076684452</v>
      </c>
      <c r="R531" s="174">
        <f t="shared" si="120"/>
        <v>0</v>
      </c>
      <c r="S531" s="165" t="b">
        <f t="shared" si="129"/>
        <v>0</v>
      </c>
      <c r="T531">
        <f t="shared" si="130"/>
        <v>11322.191001517613</v>
      </c>
      <c r="U531" s="176">
        <f t="shared" si="131"/>
        <v>11322.191001517613</v>
      </c>
      <c r="V531" s="165">
        <f>IF(U531&lt;V$5,V$5-U531,IF(U531&gt;=V$5,0))*('Electrical System Specification'!D$16*'Electrical System Specification'!Q$16)</f>
        <v>0</v>
      </c>
      <c r="W531" s="28">
        <f t="shared" si="132"/>
        <v>0</v>
      </c>
      <c r="X531" s="165">
        <f>IF(U531&gt;V$5,U531-V$5,0)*'Electrical System Specification'!D$17</f>
        <v>2277.7743369169129</v>
      </c>
      <c r="Y531">
        <f>(X531*C531)*'Electrical System Specification'!D$17</f>
        <v>406.8034986884814</v>
      </c>
      <c r="Z531" s="165">
        <f t="shared" si="133"/>
        <v>-406.8034986884814</v>
      </c>
      <c r="AA531" s="165">
        <f t="shared" si="134"/>
        <v>12487.438328493789</v>
      </c>
      <c r="AB531" s="165"/>
    </row>
    <row r="532" spans="3:28" x14ac:dyDescent="0.2">
      <c r="C532" s="148">
        <v>0.19308051880974655</v>
      </c>
      <c r="D532">
        <f t="shared" si="122"/>
        <v>182.8175653394143</v>
      </c>
      <c r="E532" s="164">
        <v>9127.8303183932057</v>
      </c>
      <c r="F532" s="165">
        <f>E532/'Electrical System Specification'!AC$4</f>
        <v>9314.1125697889856</v>
      </c>
      <c r="G532" s="146">
        <f>F532/('Electrical System Specification'!X$16*'Electrical System Specification'!J$16*'Electrical System Specification'!D$17)</f>
        <v>11596.83322101323</v>
      </c>
      <c r="H532" s="165"/>
      <c r="I532" s="173">
        <f t="shared" si="123"/>
        <v>6871.6622130335309</v>
      </c>
      <c r="J532" s="173">
        <f t="shared" si="124"/>
        <v>7621.6306710664712</v>
      </c>
      <c r="K532" s="174">
        <f>IF(E532&gt;I532,'Electrical System Specification'!AC$4*'Electrical System Specification'!J$16*'Electrical System Specification'!D$16*'Electrical System Specification'!D$17*'Electrical System Specification'!X$16)</f>
        <v>0.70838712000000004</v>
      </c>
      <c r="L532" s="174" t="b">
        <f>IF(E532&lt;I532,'Electrical System Specification'!X$16*'Electrical System Specification'!Q$16*'Electrical System Specification'!AC$4*'Electrical System Specification'!J$16)</f>
        <v>0</v>
      </c>
      <c r="M532" s="174">
        <f t="shared" si="125"/>
        <v>0.70838712000000004</v>
      </c>
      <c r="N532" s="174">
        <f t="shared" si="126"/>
        <v>6466.0374310952466</v>
      </c>
      <c r="O532" s="173">
        <f t="shared" si="127"/>
        <v>2256.1681053596749</v>
      </c>
      <c r="P532" s="174">
        <f t="shared" si="128"/>
        <v>3184.9366563294866</v>
      </c>
      <c r="Q532" s="174">
        <f t="shared" si="121"/>
        <v>8270.8960076684452</v>
      </c>
      <c r="R532" s="174">
        <f t="shared" si="120"/>
        <v>0</v>
      </c>
      <c r="S532" s="165" t="b">
        <f t="shared" si="129"/>
        <v>0</v>
      </c>
      <c r="T532">
        <f t="shared" si="130"/>
        <v>11455.832663997931</v>
      </c>
      <c r="U532" s="176">
        <f t="shared" si="131"/>
        <v>11455.832663997931</v>
      </c>
      <c r="V532" s="165">
        <f>IF(U532&lt;V$5,V$5-U532,IF(U532&gt;=V$5,0))*('Electrical System Specification'!D$16*'Electrical System Specification'!Q$16)</f>
        <v>0</v>
      </c>
      <c r="W532" s="28">
        <f t="shared" si="132"/>
        <v>0</v>
      </c>
      <c r="X532" s="165">
        <f>IF(U532&gt;V$5,U532-V$5,0)*'Electrical System Specification'!D$17</f>
        <v>2398.0518331491999</v>
      </c>
      <c r="Y532">
        <f>(X532*C532)*'Electrical System Specification'!D$17</f>
        <v>416.71538286940017</v>
      </c>
      <c r="Z532" s="165">
        <f t="shared" si="133"/>
        <v>-416.71538286940017</v>
      </c>
      <c r="AA532" s="165">
        <f t="shared" si="134"/>
        <v>12070.722945624388</v>
      </c>
      <c r="AB532" s="165"/>
    </row>
    <row r="533" spans="3:28" x14ac:dyDescent="0.2">
      <c r="C533" s="148">
        <v>0.1877620403311743</v>
      </c>
      <c r="D533">
        <f t="shared" si="122"/>
        <v>183.00532737974547</v>
      </c>
      <c r="E533" s="164">
        <v>9220.3329191571211</v>
      </c>
      <c r="F533" s="165">
        <f>E533/'Electrical System Specification'!AC$4</f>
        <v>9408.5029787317562</v>
      </c>
      <c r="G533" s="146">
        <f>F533/('Electrical System Specification'!X$16*'Electrical System Specification'!J$16*'Electrical System Specification'!D$17)</f>
        <v>11714.357013212506</v>
      </c>
      <c r="H533" s="165"/>
      <c r="I533" s="173">
        <f t="shared" si="123"/>
        <v>6871.6622130335309</v>
      </c>
      <c r="J533" s="173">
        <f t="shared" si="124"/>
        <v>7621.6306710664712</v>
      </c>
      <c r="K533" s="174">
        <f>IF(E533&gt;I533,'Electrical System Specification'!AC$4*'Electrical System Specification'!J$16*'Electrical System Specification'!D$16*'Electrical System Specification'!D$17*'Electrical System Specification'!X$16)</f>
        <v>0.70838712000000004</v>
      </c>
      <c r="L533" s="174" t="b">
        <f>IF(E533&lt;I533,'Electrical System Specification'!X$16*'Electrical System Specification'!Q$16*'Electrical System Specification'!AC$4*'Electrical System Specification'!J$16)</f>
        <v>0</v>
      </c>
      <c r="M533" s="174">
        <f t="shared" si="125"/>
        <v>0.70838712000000004</v>
      </c>
      <c r="N533" s="174">
        <f t="shared" si="126"/>
        <v>6531.5650820429064</v>
      </c>
      <c r="O533" s="173">
        <f t="shared" si="127"/>
        <v>2348.6707061235902</v>
      </c>
      <c r="P533" s="174">
        <f t="shared" si="128"/>
        <v>3315.5186476620156</v>
      </c>
      <c r="Q533" s="174">
        <f t="shared" si="121"/>
        <v>8270.8960076684452</v>
      </c>
      <c r="R533" s="174">
        <f t="shared" ref="R533:R539" si="135">IF(Q533&gt;I533,0,Q533/L533)</f>
        <v>0</v>
      </c>
      <c r="S533" s="165" t="b">
        <f t="shared" si="129"/>
        <v>0</v>
      </c>
      <c r="T533">
        <f t="shared" si="130"/>
        <v>11586.41465533046</v>
      </c>
      <c r="U533" s="176">
        <f t="shared" si="131"/>
        <v>11586.41465533046</v>
      </c>
      <c r="V533" s="165">
        <f>IF(U533&lt;V$5,V$5-U533,IF(U533&gt;=V$5,0))*('Electrical System Specification'!D$16*'Electrical System Specification'!Q$16)</f>
        <v>0</v>
      </c>
      <c r="W533" s="28">
        <f t="shared" si="132"/>
        <v>0</v>
      </c>
      <c r="X533" s="165">
        <f>IF(U533&gt;V$5,U533-V$5,0)*'Electrical System Specification'!D$17</f>
        <v>2515.5756253484756</v>
      </c>
      <c r="Y533">
        <f>(X533*C533)*'Electrical System Specification'!D$17</f>
        <v>425.09665082051953</v>
      </c>
      <c r="Z533" s="165">
        <f t="shared" si="133"/>
        <v>-425.09665082051953</v>
      </c>
      <c r="AA533" s="165">
        <f t="shared" si="134"/>
        <v>11645.626294803867</v>
      </c>
      <c r="AB533" s="165"/>
    </row>
    <row r="534" spans="3:28" x14ac:dyDescent="0.2">
      <c r="C534" s="148">
        <v>0.18285203829198374</v>
      </c>
      <c r="D534">
        <f t="shared" si="122"/>
        <v>183.18817941803746</v>
      </c>
      <c r="E534" s="164">
        <v>9310.8831519173564</v>
      </c>
      <c r="F534" s="165">
        <f>E534/'Electrical System Specification'!AC$4</f>
        <v>9500.9011754258736</v>
      </c>
      <c r="G534" s="146">
        <f>F534/('Electrical System Specification'!X$16*'Electrical System Specification'!J$16*'Electrical System Specification'!D$17)</f>
        <v>11829.400337947451</v>
      </c>
      <c r="H534" s="165"/>
      <c r="I534" s="173">
        <f t="shared" si="123"/>
        <v>6871.6622130335309</v>
      </c>
      <c r="J534" s="173">
        <f t="shared" si="124"/>
        <v>7621.6306710664712</v>
      </c>
      <c r="K534" s="174">
        <f>IF(E534&gt;I534,'Electrical System Specification'!AC$4*'Electrical System Specification'!J$16*'Electrical System Specification'!D$16*'Electrical System Specification'!D$17*'Electrical System Specification'!X$16)</f>
        <v>0.70838712000000004</v>
      </c>
      <c r="L534" s="174" t="b">
        <f>IF(E534&lt;I534,'Electrical System Specification'!X$16*'Electrical System Specification'!Q$16*'Electrical System Specification'!AC$4*'Electrical System Specification'!J$16)</f>
        <v>0</v>
      </c>
      <c r="M534" s="174">
        <f t="shared" si="125"/>
        <v>0.70838712000000004</v>
      </c>
      <c r="N534" s="174">
        <f t="shared" si="126"/>
        <v>6595.7097006432587</v>
      </c>
      <c r="O534" s="173">
        <f t="shared" si="127"/>
        <v>2439.2209388838255</v>
      </c>
      <c r="P534" s="174">
        <f t="shared" si="128"/>
        <v>3443.3445640341756</v>
      </c>
      <c r="Q534" s="174">
        <f t="shared" si="121"/>
        <v>8270.8960076684452</v>
      </c>
      <c r="R534" s="174">
        <f t="shared" si="135"/>
        <v>0</v>
      </c>
      <c r="S534" s="165" t="b">
        <f t="shared" si="129"/>
        <v>0</v>
      </c>
      <c r="T534">
        <f t="shared" si="130"/>
        <v>11714.240571702621</v>
      </c>
      <c r="U534" s="176">
        <f t="shared" si="131"/>
        <v>11714.240571702621</v>
      </c>
      <c r="V534" s="165">
        <f>IF(U534&lt;V$5,V$5-U534,IF(U534&gt;=V$5,0))*('Electrical System Specification'!D$16*'Electrical System Specification'!Q$16)</f>
        <v>0</v>
      </c>
      <c r="W534" s="28">
        <f t="shared" si="132"/>
        <v>0</v>
      </c>
      <c r="X534" s="165">
        <f>IF(U534&gt;V$5,U534-V$5,0)*'Electrical System Specification'!D$17</f>
        <v>2630.6189500834207</v>
      </c>
      <c r="Y534">
        <f>(X534*C534)*'Electrical System Specification'!D$17</f>
        <v>432.91263329304456</v>
      </c>
      <c r="Z534" s="165">
        <f t="shared" si="133"/>
        <v>-432.91263329304456</v>
      </c>
      <c r="AA534" s="165">
        <f t="shared" si="134"/>
        <v>11212.713661510823</v>
      </c>
      <c r="AB534" s="165"/>
    </row>
    <row r="535" spans="3:28" x14ac:dyDescent="0.2">
      <c r="C535" s="148">
        <v>0.17799713121697103</v>
      </c>
      <c r="D535">
        <f t="shared" si="122"/>
        <v>183.36617654925445</v>
      </c>
      <c r="E535" s="164">
        <v>9399.4341502905827</v>
      </c>
      <c r="F535" s="165">
        <f>E535/'Electrical System Specification'!AC$4</f>
        <v>9591.2593370312079</v>
      </c>
      <c r="G535" s="146">
        <f>F535/('Electrical System Specification'!X$16*'Electrical System Specification'!J$16*'Electrical System Specification'!D$17)</f>
        <v>11941.903651864146</v>
      </c>
      <c r="H535" s="165"/>
      <c r="I535" s="173">
        <f t="shared" si="123"/>
        <v>6871.6622130335309</v>
      </c>
      <c r="J535" s="173">
        <f t="shared" si="124"/>
        <v>7621.6306710664712</v>
      </c>
      <c r="K535" s="174">
        <f>IF(E535&gt;I535,'Electrical System Specification'!AC$4*'Electrical System Specification'!J$16*'Electrical System Specification'!D$16*'Electrical System Specification'!D$17*'Electrical System Specification'!X$16)</f>
        <v>0.70838712000000004</v>
      </c>
      <c r="L535" s="174" t="b">
        <f>IF(E535&lt;I535,'Electrical System Specification'!X$16*'Electrical System Specification'!Q$16*'Electrical System Specification'!AC$4*'Electrical System Specification'!J$16)</f>
        <v>0</v>
      </c>
      <c r="M535" s="174">
        <f t="shared" si="125"/>
        <v>0.70838712000000004</v>
      </c>
      <c r="N535" s="174">
        <f t="shared" si="126"/>
        <v>6658.4380873539931</v>
      </c>
      <c r="O535" s="173">
        <f t="shared" si="127"/>
        <v>2527.7719372570518</v>
      </c>
      <c r="P535" s="174">
        <f t="shared" si="128"/>
        <v>3568.3482461638373</v>
      </c>
      <c r="Q535" s="174">
        <f t="shared" si="121"/>
        <v>8270.8960076684452</v>
      </c>
      <c r="R535" s="174">
        <f t="shared" si="135"/>
        <v>0</v>
      </c>
      <c r="S535" s="165" t="b">
        <f t="shared" si="129"/>
        <v>0</v>
      </c>
      <c r="T535">
        <f t="shared" si="130"/>
        <v>11839.244253832283</v>
      </c>
      <c r="U535" s="176">
        <f t="shared" si="131"/>
        <v>11839.244253832283</v>
      </c>
      <c r="V535" s="165">
        <f>IF(U535&lt;V$5,V$5-U535,IF(U535&gt;=V$5,0))*('Electrical System Specification'!D$16*'Electrical System Specification'!Q$16)</f>
        <v>0</v>
      </c>
      <c r="W535" s="28">
        <f t="shared" si="132"/>
        <v>0</v>
      </c>
      <c r="X535" s="165">
        <f>IF(U535&gt;V$5,U535-V$5,0)*'Electrical System Specification'!D$17</f>
        <v>2743.122264000116</v>
      </c>
      <c r="Y535">
        <f>(X535*C535)*'Electrical System Specification'!D$17</f>
        <v>439.44110421248098</v>
      </c>
      <c r="Z535" s="165">
        <f t="shared" si="133"/>
        <v>-439.44110421248098</v>
      </c>
      <c r="AA535" s="165">
        <f t="shared" si="134"/>
        <v>10773.272557298342</v>
      </c>
      <c r="AB535" s="165"/>
    </row>
    <row r="536" spans="3:28" x14ac:dyDescent="0.2">
      <c r="C536" s="148">
        <v>0.17311132767403248</v>
      </c>
      <c r="D536">
        <f t="shared" si="122"/>
        <v>183.53928787692848</v>
      </c>
      <c r="E536" s="164">
        <v>9485.9291777858452</v>
      </c>
      <c r="F536" s="165">
        <f>E536/'Electrical System Specification'!AC$4</f>
        <v>9679.5195691692297</v>
      </c>
      <c r="G536" s="146">
        <f>F536/('Electrical System Specification'!X$16*'Electrical System Specification'!J$16*'Electrical System Specification'!D$17)</f>
        <v>12051.79487171825</v>
      </c>
      <c r="H536" s="165"/>
      <c r="I536" s="173">
        <f t="shared" si="123"/>
        <v>6871.6622130335309</v>
      </c>
      <c r="J536" s="173">
        <f t="shared" si="124"/>
        <v>7621.6306710664712</v>
      </c>
      <c r="K536" s="174">
        <f>IF(E536&gt;I536,'Electrical System Specification'!AC$4*'Electrical System Specification'!J$16*'Electrical System Specification'!D$16*'Electrical System Specification'!D$17*'Electrical System Specification'!X$16)</f>
        <v>0.70838712000000004</v>
      </c>
      <c r="L536" s="174" t="b">
        <f>IF(E536&lt;I536,'Electrical System Specification'!X$16*'Electrical System Specification'!Q$16*'Electrical System Specification'!AC$4*'Electrical System Specification'!J$16)</f>
        <v>0</v>
      </c>
      <c r="M536" s="174">
        <f t="shared" si="125"/>
        <v>0.70838712000000004</v>
      </c>
      <c r="N536" s="174">
        <f t="shared" si="126"/>
        <v>6719.7100507756832</v>
      </c>
      <c r="O536" s="173">
        <f t="shared" si="127"/>
        <v>2614.2669647523144</v>
      </c>
      <c r="P536" s="174">
        <f t="shared" si="128"/>
        <v>3690.4496015572872</v>
      </c>
      <c r="Q536" s="174">
        <f t="shared" si="121"/>
        <v>8270.8960076684452</v>
      </c>
      <c r="R536" s="174">
        <f t="shared" si="135"/>
        <v>0</v>
      </c>
      <c r="S536" s="165" t="b">
        <f t="shared" si="129"/>
        <v>0</v>
      </c>
      <c r="T536">
        <f t="shared" si="130"/>
        <v>11961.345609225733</v>
      </c>
      <c r="U536" s="176">
        <f t="shared" si="131"/>
        <v>11961.345609225733</v>
      </c>
      <c r="V536" s="165">
        <f>IF(U536&lt;V$5,V$5-U536,IF(U536&gt;=V$5,0))*('Electrical System Specification'!D$16*'Electrical System Specification'!Q$16)</f>
        <v>0</v>
      </c>
      <c r="W536" s="28">
        <f t="shared" si="132"/>
        <v>0</v>
      </c>
      <c r="X536" s="165">
        <f>IF(U536&gt;V$5,U536-V$5,0)*'Electrical System Specification'!D$17</f>
        <v>2853.0134838542212</v>
      </c>
      <c r="Y536">
        <f>(X536*C536)*'Electrical System Specification'!D$17</f>
        <v>444.50005685572899</v>
      </c>
      <c r="Z536" s="165">
        <f t="shared" si="133"/>
        <v>-444.50005685572899</v>
      </c>
      <c r="AA536" s="165">
        <f t="shared" si="134"/>
        <v>10328.772500442612</v>
      </c>
      <c r="AB536" s="165"/>
    </row>
    <row r="537" spans="3:28" x14ac:dyDescent="0.2">
      <c r="C537" s="148">
        <v>0.1680529794830373</v>
      </c>
      <c r="D537">
        <f t="shared" si="122"/>
        <v>183.70734085641152</v>
      </c>
      <c r="E537" s="164">
        <v>9570.2328940374791</v>
      </c>
      <c r="F537" s="165">
        <f>E537/'Electrical System Specification'!AC$4</f>
        <v>9765.5437694259999</v>
      </c>
      <c r="G537" s="146">
        <f>F537/('Electrical System Specification'!X$16*'Electrical System Specification'!J$16*'Electrical System Specification'!D$17)</f>
        <v>12158.902048690174</v>
      </c>
      <c r="H537" s="165"/>
      <c r="I537" s="173">
        <f t="shared" si="123"/>
        <v>6871.6622130335309</v>
      </c>
      <c r="J537" s="173">
        <f t="shared" si="124"/>
        <v>7621.6306710664712</v>
      </c>
      <c r="K537" s="174">
        <f>IF(E537&gt;I537,'Electrical System Specification'!AC$4*'Electrical System Specification'!J$16*'Electrical System Specification'!D$16*'Electrical System Specification'!D$17*'Electrical System Specification'!X$16)</f>
        <v>0.70838712000000004</v>
      </c>
      <c r="L537" s="174" t="b">
        <f>IF(E537&lt;I537,'Electrical System Specification'!X$16*'Electrical System Specification'!Q$16*'Electrical System Specification'!AC$4*'Electrical System Specification'!J$16)</f>
        <v>0</v>
      </c>
      <c r="M537" s="174">
        <f t="shared" si="125"/>
        <v>0.70838712000000004</v>
      </c>
      <c r="N537" s="174">
        <f t="shared" si="126"/>
        <v>6779.4297175364754</v>
      </c>
      <c r="O537" s="173">
        <f t="shared" si="127"/>
        <v>2698.5706810039483</v>
      </c>
      <c r="P537" s="174">
        <f t="shared" si="128"/>
        <v>3809.4575759705344</v>
      </c>
      <c r="Q537" s="174">
        <f t="shared" si="121"/>
        <v>8270.8960076684452</v>
      </c>
      <c r="R537" s="174">
        <f t="shared" si="135"/>
        <v>0</v>
      </c>
      <c r="S537" s="165" t="b">
        <f t="shared" si="129"/>
        <v>0</v>
      </c>
      <c r="T537">
        <f t="shared" si="130"/>
        <v>12080.35358363898</v>
      </c>
      <c r="U537" s="176">
        <f t="shared" si="131"/>
        <v>12080.35358363898</v>
      </c>
      <c r="V537" s="165">
        <f>IF(U537&lt;V$5,V$5-U537,IF(U537&gt;=V$5,0))*('Electrical System Specification'!D$16*'Electrical System Specification'!Q$16)</f>
        <v>0</v>
      </c>
      <c r="W537" s="28">
        <f t="shared" si="132"/>
        <v>0</v>
      </c>
      <c r="X537" s="165">
        <f>IF(U537&gt;V$5,U537-V$5,0)*'Electrical System Specification'!D$17</f>
        <v>2960.1206608261436</v>
      </c>
      <c r="Y537">
        <f>(X537*C537)*'Electrical System Specification'!D$17</f>
        <v>447.71138701301766</v>
      </c>
      <c r="Z537" s="165">
        <f t="shared" si="133"/>
        <v>-447.71138701301766</v>
      </c>
      <c r="AA537" s="165">
        <f t="shared" si="134"/>
        <v>9881.0611134295941</v>
      </c>
      <c r="AB537" s="165"/>
    </row>
    <row r="538" spans="3:28" x14ac:dyDescent="0.2">
      <c r="C538" s="148">
        <v>0.16307065027232898</v>
      </c>
      <c r="D538">
        <f t="shared" si="122"/>
        <v>183.87041150668384</v>
      </c>
      <c r="E538" s="164">
        <v>8785.5779464729112</v>
      </c>
      <c r="F538" s="165">
        <f>E538/'Electrical System Specification'!AC$4</f>
        <v>8964.8754555846026</v>
      </c>
      <c r="G538" s="146">
        <f>F538/('Electrical System Specification'!X$16*'Electrical System Specification'!J$16*'Electrical System Specification'!D$17)</f>
        <v>11162.004402092489</v>
      </c>
      <c r="H538" s="165"/>
      <c r="I538" s="173">
        <f t="shared" si="123"/>
        <v>6871.6622130335309</v>
      </c>
      <c r="J538" s="173">
        <f t="shared" si="124"/>
        <v>7621.6306710664712</v>
      </c>
      <c r="K538" s="174">
        <f>IF(E538&gt;I538,'Electrical System Specification'!AC$4*'Electrical System Specification'!J$16*'Electrical System Specification'!D$16*'Electrical System Specification'!D$17*'Electrical System Specification'!X$16)</f>
        <v>0.70838712000000004</v>
      </c>
      <c r="L538" s="174" t="b">
        <f>IF(E538&lt;I538,'Electrical System Specification'!X$16*'Electrical System Specification'!Q$16*'Electrical System Specification'!AC$4*'Electrical System Specification'!J$16)</f>
        <v>0</v>
      </c>
      <c r="M538" s="174">
        <f t="shared" si="125"/>
        <v>0.70838712000000004</v>
      </c>
      <c r="N538" s="174">
        <f t="shared" si="126"/>
        <v>6223.5902590374599</v>
      </c>
      <c r="O538" s="173">
        <f t="shared" si="127"/>
        <v>1913.9157334393803</v>
      </c>
      <c r="P538" s="174">
        <f t="shared" si="128"/>
        <v>2701.7935241953301</v>
      </c>
      <c r="Q538" s="174">
        <f t="shared" si="121"/>
        <v>8270.8960076684452</v>
      </c>
      <c r="R538" s="174">
        <f t="shared" si="135"/>
        <v>0</v>
      </c>
      <c r="S538" s="165" t="b">
        <f t="shared" si="129"/>
        <v>0</v>
      </c>
      <c r="T538">
        <f t="shared" si="130"/>
        <v>10972.689531863776</v>
      </c>
      <c r="U538" s="176">
        <f t="shared" si="131"/>
        <v>10972.689531863776</v>
      </c>
      <c r="V538" s="165">
        <f>IF(U538&lt;V$5,V$5-U538,IF(U538&gt;=V$5,0))*('Electrical System Specification'!D$16*'Electrical System Specification'!Q$16)</f>
        <v>0</v>
      </c>
      <c r="W538" s="28">
        <f t="shared" si="132"/>
        <v>0</v>
      </c>
      <c r="X538" s="165">
        <f>IF(U538&gt;V$5,U538-V$5,0)*'Electrical System Specification'!D$17</f>
        <v>1963.22301422846</v>
      </c>
      <c r="Y538">
        <f>(X538*C538)*'Electrical System Specification'!D$17</f>
        <v>288.12964820385304</v>
      </c>
      <c r="Z538" s="165">
        <f t="shared" si="133"/>
        <v>-288.12964820385304</v>
      </c>
      <c r="AA538" s="165">
        <f t="shared" si="134"/>
        <v>9592.9314652257417</v>
      </c>
      <c r="AB538" s="165"/>
    </row>
    <row r="539" spans="3:28" x14ac:dyDescent="0.2">
      <c r="C539" s="148">
        <v>0.15862815335102889</v>
      </c>
      <c r="D539">
        <f t="shared" si="122"/>
        <v>184.02903966003487</v>
      </c>
      <c r="E539" s="164">
        <v>8860.1844589240736</v>
      </c>
      <c r="F539" s="165">
        <f>E539/'Electrical System Specification'!AC$4</f>
        <v>9041.0045499225234</v>
      </c>
      <c r="G539" s="146">
        <f>F539/('Electrical System Specification'!X$16*'Electrical System Specification'!J$16*'Electrical System Specification'!D$17)</f>
        <v>11256.791361525131</v>
      </c>
      <c r="H539" s="165"/>
      <c r="I539" s="173">
        <f t="shared" si="123"/>
        <v>6871.6622130335309</v>
      </c>
      <c r="J539" s="173">
        <f t="shared" si="124"/>
        <v>7621.6306710664712</v>
      </c>
      <c r="K539" s="174">
        <f>IF(E539&gt;I539,'Electrical System Specification'!AC$4*'Electrical System Specification'!J$16*'Electrical System Specification'!D$16*'Electrical System Specification'!D$17*'Electrical System Specification'!X$16)</f>
        <v>0.70838712000000004</v>
      </c>
      <c r="L539" s="174" t="b">
        <f>IF(E539&lt;I539,'Electrical System Specification'!X$16*'Electrical System Specification'!Q$16*'Electrical System Specification'!AC$4*'Electrical System Specification'!J$16)</f>
        <v>0</v>
      </c>
      <c r="M539" s="174">
        <f t="shared" si="125"/>
        <v>0.70838712000000004</v>
      </c>
      <c r="N539" s="174">
        <f t="shared" si="126"/>
        <v>6276.4405515259832</v>
      </c>
      <c r="O539" s="173">
        <f t="shared" si="127"/>
        <v>1988.5222458905428</v>
      </c>
      <c r="P539" s="174">
        <f t="shared" si="128"/>
        <v>2807.112368009377</v>
      </c>
      <c r="Q539" s="174">
        <f t="shared" si="121"/>
        <v>8270.8960076684452</v>
      </c>
      <c r="R539" s="174">
        <f t="shared" si="135"/>
        <v>0</v>
      </c>
      <c r="S539" s="165" t="b">
        <f t="shared" si="129"/>
        <v>0</v>
      </c>
      <c r="T539">
        <f t="shared" si="130"/>
        <v>11078.008375677822</v>
      </c>
      <c r="U539" s="176">
        <f t="shared" si="131"/>
        <v>11078.008375677822</v>
      </c>
      <c r="V539" s="165">
        <f>IF(U539&lt;V$5,V$5-U539,IF(U539&gt;=V$5,0))*('Electrical System Specification'!D$16*'Electrical System Specification'!Q$16)</f>
        <v>0</v>
      </c>
      <c r="W539" s="28">
        <f t="shared" si="132"/>
        <v>0</v>
      </c>
      <c r="X539" s="165">
        <f>IF(U539&gt;V$5,U539-V$5,0)*'Electrical System Specification'!D$17</f>
        <v>2058.0099736611014</v>
      </c>
      <c r="Y539">
        <f>(X539*C539)*'Electrical System Specification'!D$17</f>
        <v>293.81248952987409</v>
      </c>
      <c r="Z539" s="165">
        <f t="shared" si="133"/>
        <v>-293.81248952987409</v>
      </c>
      <c r="AA539" s="165">
        <f t="shared" si="134"/>
        <v>9299.1189756958684</v>
      </c>
      <c r="AB539" s="165"/>
    </row>
    <row r="540" spans="3:28" x14ac:dyDescent="0.2">
      <c r="I540" s="174"/>
      <c r="J540" s="174"/>
      <c r="K540" s="174"/>
      <c r="L540" s="174"/>
      <c r="M540" s="174"/>
      <c r="N540" s="174"/>
      <c r="O540" s="173"/>
      <c r="P540" s="173"/>
      <c r="Q540" s="173"/>
      <c r="R540" s="174"/>
      <c r="S540" s="165"/>
      <c r="U540" s="165"/>
      <c r="V540" s="16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0BD84-C01C-EC44-AC7D-744542DECBAA}">
  <dimension ref="B1:L534"/>
  <sheetViews>
    <sheetView workbookViewId="0">
      <selection activeCell="F4" sqref="F4"/>
    </sheetView>
  </sheetViews>
  <sheetFormatPr baseColWidth="10" defaultRowHeight="15" x14ac:dyDescent="0.2"/>
  <cols>
    <col min="4" max="4" width="15.1640625" customWidth="1"/>
    <col min="5" max="5" width="13" customWidth="1"/>
  </cols>
  <sheetData>
    <row r="1" spans="2:12" x14ac:dyDescent="0.2">
      <c r="D1" s="28" t="s">
        <v>270</v>
      </c>
      <c r="E1">
        <v>0.3</v>
      </c>
      <c r="G1" s="28" t="s">
        <v>271</v>
      </c>
      <c r="H1" s="28" t="s">
        <v>272</v>
      </c>
      <c r="I1">
        <f>'Vehicle Data'!C6</f>
        <v>439</v>
      </c>
      <c r="K1" s="28" t="s">
        <v>127</v>
      </c>
      <c r="L1">
        <v>0.6</v>
      </c>
    </row>
    <row r="2" spans="2:12" x14ac:dyDescent="0.2">
      <c r="B2" s="28" t="s">
        <v>267</v>
      </c>
      <c r="C2" s="28" t="s">
        <v>5</v>
      </c>
      <c r="D2" s="28" t="s">
        <v>273</v>
      </c>
      <c r="E2" s="28" t="s">
        <v>274</v>
      </c>
    </row>
    <row r="3" spans="2:12" x14ac:dyDescent="0.2">
      <c r="B3" s="148" cm="1">
        <f t="array" ref="B3:B534">Data!AF2:AF533</f>
        <v>0</v>
      </c>
      <c r="C3" s="151"/>
    </row>
    <row r="4" spans="2:12" x14ac:dyDescent="0.2">
      <c r="B4" s="148">
        <v>0.15641098600795228</v>
      </c>
      <c r="C4" s="148" cm="1">
        <f t="array" ref="C4:C534">Data!AG3:AG533</f>
        <v>0</v>
      </c>
      <c r="D4">
        <f>(I$1*C4*E$1)/(L$1*1.8)</f>
        <v>0</v>
      </c>
      <c r="E4">
        <f>(I$1*L$1)+D4</f>
        <v>263.39999999999998</v>
      </c>
    </row>
    <row r="5" spans="2:12" x14ac:dyDescent="0.2">
      <c r="B5" s="148">
        <v>0.15641098600795228</v>
      </c>
      <c r="C5" s="148">
        <v>0.99165834023029442</v>
      </c>
      <c r="D5">
        <f t="shared" ref="D5:D68" si="0">(I$1*C5*E$1)/(L$1*1.8)</f>
        <v>120.92722537808311</v>
      </c>
      <c r="E5">
        <f t="shared" ref="E5:E68" si="1">(I$1*L$1)+D5</f>
        <v>384.32722537808309</v>
      </c>
    </row>
    <row r="6" spans="2:12" x14ac:dyDescent="0.2">
      <c r="B6" s="148">
        <v>0.1537062252816897</v>
      </c>
      <c r="C6" s="148">
        <v>0.99133712671196872</v>
      </c>
      <c r="D6">
        <f t="shared" si="0"/>
        <v>120.88805517404283</v>
      </c>
      <c r="E6">
        <f t="shared" si="1"/>
        <v>384.28805517404282</v>
      </c>
    </row>
    <row r="7" spans="2:12" x14ac:dyDescent="0.2">
      <c r="B7" s="148">
        <v>0.15168839835575454</v>
      </c>
      <c r="C7" s="148">
        <v>0.99106868181867447</v>
      </c>
      <c r="D7">
        <f t="shared" si="0"/>
        <v>120.85531981066613</v>
      </c>
      <c r="E7">
        <f t="shared" si="1"/>
        <v>384.25531981066609</v>
      </c>
    </row>
    <row r="8" spans="2:12" x14ac:dyDescent="0.2">
      <c r="B8" s="148">
        <v>0.14904780574497406</v>
      </c>
      <c r="C8" s="148">
        <v>0.99077717562065337</v>
      </c>
      <c r="D8">
        <f t="shared" si="0"/>
        <v>120.81977224929632</v>
      </c>
      <c r="E8">
        <f t="shared" si="1"/>
        <v>384.21977224929628</v>
      </c>
    </row>
    <row r="9" spans="2:12" x14ac:dyDescent="0.2">
      <c r="B9" s="148">
        <v>0.14726671528497001</v>
      </c>
      <c r="C9" s="148">
        <v>0.99054445324871854</v>
      </c>
      <c r="D9">
        <f t="shared" si="0"/>
        <v>120.79139304894093</v>
      </c>
      <c r="E9">
        <f t="shared" si="1"/>
        <v>384.19139304894088</v>
      </c>
    </row>
    <row r="10" spans="2:12" x14ac:dyDescent="0.2">
      <c r="B10" s="148">
        <v>0.14616832893730861</v>
      </c>
      <c r="C10" s="148">
        <v>0.46375060609462943</v>
      </c>
      <c r="D10">
        <f t="shared" si="0"/>
        <v>56.551810020983964</v>
      </c>
      <c r="E10">
        <f t="shared" si="1"/>
        <v>319.95181002098394</v>
      </c>
    </row>
    <row r="11" spans="2:12" x14ac:dyDescent="0.2">
      <c r="B11" s="148">
        <v>0.14556729585358846</v>
      </c>
      <c r="C11" s="148">
        <v>0.46373121739605883</v>
      </c>
      <c r="D11">
        <f t="shared" si="0"/>
        <v>56.549445676908284</v>
      </c>
      <c r="E11">
        <f t="shared" si="1"/>
        <v>319.94944567690828</v>
      </c>
    </row>
    <row r="12" spans="2:12" x14ac:dyDescent="0.2">
      <c r="B12" s="148">
        <v>0.14473265695865545</v>
      </c>
      <c r="C12" s="148">
        <v>0.46370900154729977</v>
      </c>
      <c r="D12">
        <f t="shared" si="0"/>
        <v>56.54673657757349</v>
      </c>
      <c r="E12">
        <f t="shared" si="1"/>
        <v>319.94673657757346</v>
      </c>
    </row>
    <row r="13" spans="2:12" x14ac:dyDescent="0.2">
      <c r="B13" s="148">
        <v>0.14404113154782752</v>
      </c>
      <c r="C13" s="148">
        <v>0.46368883040681197</v>
      </c>
      <c r="D13">
        <f t="shared" si="0"/>
        <v>56.544276819052897</v>
      </c>
      <c r="E13">
        <f t="shared" si="1"/>
        <v>319.9442768190529</v>
      </c>
    </row>
    <row r="14" spans="2:12" x14ac:dyDescent="0.2">
      <c r="B14" s="148">
        <v>0.14338381935684866</v>
      </c>
      <c r="C14" s="148">
        <v>0.4636693984910561</v>
      </c>
      <c r="D14">
        <f t="shared" si="0"/>
        <v>56.541907204881561</v>
      </c>
      <c r="E14">
        <f t="shared" si="1"/>
        <v>319.94190720488155</v>
      </c>
    </row>
    <row r="15" spans="2:12" x14ac:dyDescent="0.2">
      <c r="B15" s="148">
        <v>0.14253866984232622</v>
      </c>
      <c r="C15" s="148">
        <v>0.46364816052968977</v>
      </c>
      <c r="D15">
        <f t="shared" si="0"/>
        <v>56.539317353481607</v>
      </c>
      <c r="E15">
        <f t="shared" si="1"/>
        <v>319.93931735348156</v>
      </c>
    </row>
    <row r="16" spans="2:12" x14ac:dyDescent="0.2">
      <c r="B16" s="148">
        <v>0.14213486574713335</v>
      </c>
      <c r="C16" s="148">
        <v>0.46363227111614752</v>
      </c>
      <c r="D16">
        <f t="shared" si="0"/>
        <v>56.537379727774649</v>
      </c>
      <c r="E16">
        <f t="shared" si="1"/>
        <v>319.93737972777461</v>
      </c>
    </row>
    <row r="17" spans="2:5" x14ac:dyDescent="0.2">
      <c r="B17" s="148">
        <v>0.14131009226048821</v>
      </c>
      <c r="C17" s="148">
        <v>0.46361191388208145</v>
      </c>
      <c r="D17">
        <f t="shared" si="0"/>
        <v>56.534897276176039</v>
      </c>
      <c r="E17">
        <f t="shared" si="1"/>
        <v>319.934897276176</v>
      </c>
    </row>
    <row r="18" spans="2:5" x14ac:dyDescent="0.2">
      <c r="B18" s="148">
        <v>0.14110481349061724</v>
      </c>
      <c r="C18" s="148">
        <v>0.46359879796916936</v>
      </c>
      <c r="D18">
        <f t="shared" si="0"/>
        <v>56.533297863462593</v>
      </c>
      <c r="E18">
        <f t="shared" si="1"/>
        <v>319.9332978634626</v>
      </c>
    </row>
    <row r="19" spans="2:5" x14ac:dyDescent="0.2">
      <c r="B19" s="148">
        <v>0.14039398519640894</v>
      </c>
      <c r="C19" s="148">
        <v>0.46358028428917047</v>
      </c>
      <c r="D19">
        <f t="shared" si="0"/>
        <v>56.531040223040499</v>
      </c>
      <c r="E19">
        <f t="shared" si="1"/>
        <v>319.9310402230405</v>
      </c>
    </row>
    <row r="20" spans="2:5" x14ac:dyDescent="0.2">
      <c r="B20" s="148">
        <v>0.1401288065758165</v>
      </c>
      <c r="C20" s="148">
        <v>0.46356696835873279</v>
      </c>
      <c r="D20">
        <f t="shared" si="0"/>
        <v>56.529416419301015</v>
      </c>
      <c r="E20">
        <f t="shared" si="1"/>
        <v>319.92941641930099</v>
      </c>
    </row>
    <row r="21" spans="2:5" x14ac:dyDescent="0.2">
      <c r="B21" s="148">
        <v>0.13951872175741384</v>
      </c>
      <c r="C21" s="148">
        <v>0.46355008508975687</v>
      </c>
      <c r="D21">
        <f t="shared" si="0"/>
        <v>56.527357598445342</v>
      </c>
      <c r="E21">
        <f t="shared" si="1"/>
        <v>319.92735759844533</v>
      </c>
    </row>
    <row r="22" spans="2:5" x14ac:dyDescent="0.2">
      <c r="B22" s="148">
        <v>0.13917513271179305</v>
      </c>
      <c r="C22" s="148">
        <v>0.46353635745158372</v>
      </c>
      <c r="D22">
        <f t="shared" si="0"/>
        <v>56.525683589234788</v>
      </c>
      <c r="E22">
        <f t="shared" si="1"/>
        <v>319.92568358923478</v>
      </c>
    </row>
    <row r="23" spans="2:5" x14ac:dyDescent="0.2">
      <c r="B23" s="148">
        <v>0.13870223217858771</v>
      </c>
      <c r="C23" s="148">
        <v>0.46352144050897193</v>
      </c>
      <c r="D23">
        <f t="shared" si="0"/>
        <v>56.523864550955182</v>
      </c>
      <c r="E23">
        <f t="shared" si="1"/>
        <v>319.92386455095516</v>
      </c>
    </row>
    <row r="24" spans="2:5" x14ac:dyDescent="0.2">
      <c r="B24" s="148">
        <v>0.13825218297761541</v>
      </c>
      <c r="C24" s="148">
        <v>0.46350699389431865</v>
      </c>
      <c r="D24">
        <f t="shared" si="0"/>
        <v>56.522102866557191</v>
      </c>
      <c r="E24">
        <f t="shared" si="1"/>
        <v>319.92210286655717</v>
      </c>
    </row>
    <row r="25" spans="2:5" x14ac:dyDescent="0.2">
      <c r="B25" s="148">
        <v>0.13998682780271074</v>
      </c>
      <c r="C25" s="148">
        <v>0.46351599337948757</v>
      </c>
      <c r="D25">
        <f t="shared" si="0"/>
        <v>56.523200303776392</v>
      </c>
      <c r="E25">
        <f t="shared" si="1"/>
        <v>319.92320030377635</v>
      </c>
    </row>
    <row r="26" spans="2:5" x14ac:dyDescent="0.2">
      <c r="B26" s="148">
        <v>0.14264112096404441</v>
      </c>
      <c r="C26" s="148">
        <v>0.46353447531743164</v>
      </c>
      <c r="D26">
        <f t="shared" si="0"/>
        <v>56.525454073431241</v>
      </c>
      <c r="E26">
        <f t="shared" si="1"/>
        <v>319.92545407343124</v>
      </c>
    </row>
    <row r="27" spans="2:5" x14ac:dyDescent="0.2">
      <c r="B27" s="148">
        <v>0.14350214131905409</v>
      </c>
      <c r="C27" s="148">
        <v>0.46353371386032455</v>
      </c>
      <c r="D27">
        <f t="shared" si="0"/>
        <v>56.525361217967351</v>
      </c>
      <c r="E27">
        <f t="shared" si="1"/>
        <v>319.92536121796735</v>
      </c>
    </row>
    <row r="28" spans="2:5" x14ac:dyDescent="0.2">
      <c r="B28" s="148">
        <v>0.1457535201374601</v>
      </c>
      <c r="C28" s="148">
        <v>0.46354740218990004</v>
      </c>
      <c r="D28">
        <f t="shared" si="0"/>
        <v>56.527030433712802</v>
      </c>
      <c r="E28">
        <f t="shared" si="1"/>
        <v>319.92703043371279</v>
      </c>
    </row>
    <row r="29" spans="2:5" x14ac:dyDescent="0.2">
      <c r="B29" s="148">
        <v>0.14519574058855059</v>
      </c>
      <c r="C29" s="148">
        <v>0.46353165636743732</v>
      </c>
      <c r="D29">
        <f t="shared" si="0"/>
        <v>56.525110318140271</v>
      </c>
      <c r="E29">
        <f t="shared" si="1"/>
        <v>319.92511031814024</v>
      </c>
    </row>
    <row r="30" spans="2:5" x14ac:dyDescent="0.2">
      <c r="B30" s="148">
        <v>0.14483785622942227</v>
      </c>
      <c r="C30" s="148">
        <v>0.46351821054889336</v>
      </c>
      <c r="D30">
        <f t="shared" si="0"/>
        <v>56.523470675267824</v>
      </c>
      <c r="E30">
        <f t="shared" si="1"/>
        <v>319.92347067526782</v>
      </c>
    </row>
    <row r="31" spans="2:5" x14ac:dyDescent="0.2">
      <c r="B31" s="148">
        <v>0.14439205502324237</v>
      </c>
      <c r="C31" s="148">
        <v>0.46350406283486023</v>
      </c>
      <c r="D31">
        <f t="shared" si="0"/>
        <v>56.521745440139888</v>
      </c>
      <c r="E31">
        <f t="shared" si="1"/>
        <v>319.92174544013989</v>
      </c>
    </row>
    <row r="32" spans="2:5" x14ac:dyDescent="0.2">
      <c r="B32" s="148">
        <v>0.14418896963946312</v>
      </c>
      <c r="C32" s="148">
        <v>0.46349259125430936</v>
      </c>
      <c r="D32">
        <f t="shared" si="0"/>
        <v>56.520346544622726</v>
      </c>
      <c r="E32">
        <f t="shared" si="1"/>
        <v>319.9203465446227</v>
      </c>
    </row>
    <row r="33" spans="2:5" x14ac:dyDescent="0.2">
      <c r="B33" s="148">
        <v>0.14397636629285002</v>
      </c>
      <c r="C33" s="148">
        <v>0.46348118199755123</v>
      </c>
      <c r="D33">
        <f t="shared" si="0"/>
        <v>56.518955249145819</v>
      </c>
      <c r="E33">
        <f t="shared" si="1"/>
        <v>319.91895524914582</v>
      </c>
    </row>
    <row r="34" spans="2:5" x14ac:dyDescent="0.2">
      <c r="B34" s="148">
        <v>0.14389827103843691</v>
      </c>
      <c r="C34" s="148">
        <v>0.46347127925709086</v>
      </c>
      <c r="D34">
        <f t="shared" si="0"/>
        <v>56.517747664961902</v>
      </c>
      <c r="E34">
        <f t="shared" si="1"/>
        <v>319.91774766496189</v>
      </c>
    </row>
    <row r="35" spans="2:5" x14ac:dyDescent="0.2">
      <c r="B35" s="148">
        <v>0.14456395940157563</v>
      </c>
      <c r="C35" s="148">
        <v>0.10006752633545203</v>
      </c>
      <c r="D35">
        <f t="shared" si="0"/>
        <v>12.202678905906509</v>
      </c>
      <c r="E35">
        <f t="shared" si="1"/>
        <v>275.60267890590649</v>
      </c>
    </row>
    <row r="36" spans="2:5" x14ac:dyDescent="0.2">
      <c r="B36" s="148">
        <v>0.14465691462952024</v>
      </c>
      <c r="C36" s="148">
        <v>0.463467901456798</v>
      </c>
      <c r="D36">
        <f t="shared" si="0"/>
        <v>56.517335760981744</v>
      </c>
      <c r="E36">
        <f t="shared" si="1"/>
        <v>319.9173357609817</v>
      </c>
    </row>
    <row r="37" spans="2:5" x14ac:dyDescent="0.2">
      <c r="B37" s="148">
        <v>0.14489856087715364</v>
      </c>
      <c r="C37" s="148">
        <v>0.46346133911054571</v>
      </c>
      <c r="D37">
        <f t="shared" si="0"/>
        <v>56.516535519313763</v>
      </c>
      <c r="E37">
        <f t="shared" si="1"/>
        <v>319.91653551931375</v>
      </c>
    </row>
    <row r="38" spans="2:5" x14ac:dyDescent="0.2">
      <c r="B38" s="148">
        <v>0.15389846301446788</v>
      </c>
      <c r="C38" s="148">
        <v>-3.592791637802137</v>
      </c>
      <c r="D38">
        <f t="shared" si="0"/>
        <v>-438.12098027642719</v>
      </c>
      <c r="E38">
        <f t="shared" si="1"/>
        <v>-174.72098027642721</v>
      </c>
    </row>
    <row r="39" spans="2:5" x14ac:dyDescent="0.2">
      <c r="B39" s="148">
        <v>0.16303550470407729</v>
      </c>
      <c r="C39" s="148">
        <v>-3.0668166477451688</v>
      </c>
      <c r="D39">
        <f t="shared" si="0"/>
        <v>-373.98125232225806</v>
      </c>
      <c r="E39">
        <f t="shared" si="1"/>
        <v>-110.58125232225808</v>
      </c>
    </row>
    <row r="40" spans="2:5" x14ac:dyDescent="0.2">
      <c r="B40" s="148">
        <v>0.18081613499663454</v>
      </c>
      <c r="C40" s="148">
        <v>-4.977431909031524</v>
      </c>
      <c r="D40">
        <f t="shared" si="0"/>
        <v>-606.97016890689963</v>
      </c>
      <c r="E40">
        <f t="shared" si="1"/>
        <v>-343.57016890689965</v>
      </c>
    </row>
    <row r="41" spans="2:5" x14ac:dyDescent="0.2">
      <c r="B41" s="148">
        <v>0.19692137087255546</v>
      </c>
      <c r="C41" s="148">
        <v>-3.3938300695747463</v>
      </c>
      <c r="D41">
        <f t="shared" si="0"/>
        <v>-413.85872237314265</v>
      </c>
      <c r="E41">
        <f t="shared" si="1"/>
        <v>-150.45872237314268</v>
      </c>
    </row>
    <row r="42" spans="2:5" x14ac:dyDescent="0.2">
      <c r="B42" s="148">
        <v>0.21743524936219089</v>
      </c>
      <c r="C42" s="148">
        <v>-3.3672337618386967</v>
      </c>
      <c r="D42">
        <f t="shared" si="0"/>
        <v>-410.61545040199661</v>
      </c>
      <c r="E42">
        <f t="shared" si="1"/>
        <v>-147.21545040199663</v>
      </c>
    </row>
    <row r="43" spans="2:5" x14ac:dyDescent="0.2">
      <c r="B43" s="148">
        <v>0.24582847336108071</v>
      </c>
      <c r="C43" s="148">
        <v>-3.3278659655071201</v>
      </c>
      <c r="D43">
        <f t="shared" si="0"/>
        <v>-405.81476634934046</v>
      </c>
      <c r="E43">
        <f t="shared" si="1"/>
        <v>-142.41476634934048</v>
      </c>
    </row>
    <row r="44" spans="2:5" x14ac:dyDescent="0.2">
      <c r="B44" s="148">
        <v>0.28787417532950438</v>
      </c>
      <c r="C44" s="148">
        <v>-3.2644512092021141</v>
      </c>
      <c r="D44">
        <f t="shared" si="0"/>
        <v>-398.08168912214666</v>
      </c>
      <c r="E44">
        <f t="shared" si="1"/>
        <v>-134.68168912214668</v>
      </c>
    </row>
    <row r="45" spans="2:5" x14ac:dyDescent="0.2">
      <c r="B45" s="148">
        <v>0.4896781399371013</v>
      </c>
      <c r="C45" s="148">
        <v>-4.7821036246830788</v>
      </c>
      <c r="D45">
        <f t="shared" si="0"/>
        <v>-583.15096978774204</v>
      </c>
      <c r="E45">
        <f t="shared" si="1"/>
        <v>-319.75096978774206</v>
      </c>
    </row>
    <row r="46" spans="2:5" x14ac:dyDescent="0.2">
      <c r="B46" s="148">
        <v>0.51533359047649496</v>
      </c>
      <c r="C46" s="148">
        <v>-0.29107359343935801</v>
      </c>
      <c r="D46">
        <f t="shared" si="0"/>
        <v>-35.494807644410599</v>
      </c>
      <c r="E46">
        <f t="shared" si="1"/>
        <v>227.90519235558938</v>
      </c>
    </row>
    <row r="47" spans="2:5" x14ac:dyDescent="0.2">
      <c r="B47" s="148">
        <v>0.5177852318861077</v>
      </c>
      <c r="C47" s="148">
        <v>9.5897628953899618E-3</v>
      </c>
      <c r="D47">
        <f t="shared" si="0"/>
        <v>1.1694183086322756</v>
      </c>
      <c r="E47">
        <f t="shared" si="1"/>
        <v>264.56941830863224</v>
      </c>
    </row>
    <row r="48" spans="2:5" x14ac:dyDescent="0.2">
      <c r="B48" s="148">
        <v>0.52089757448189367</v>
      </c>
      <c r="C48" s="148">
        <v>0</v>
      </c>
      <c r="D48">
        <f t="shared" si="0"/>
        <v>0</v>
      </c>
      <c r="E48">
        <f t="shared" si="1"/>
        <v>263.39999999999998</v>
      </c>
    </row>
    <row r="49" spans="2:5" x14ac:dyDescent="0.2">
      <c r="B49" s="148">
        <v>0.52373822613369858</v>
      </c>
      <c r="C49" s="148">
        <v>0</v>
      </c>
      <c r="D49">
        <f t="shared" si="0"/>
        <v>0</v>
      </c>
      <c r="E49">
        <f t="shared" si="1"/>
        <v>263.39999999999998</v>
      </c>
    </row>
    <row r="50" spans="2:5" x14ac:dyDescent="0.2">
      <c r="B50" s="148">
        <v>0.52665006217812038</v>
      </c>
      <c r="C50" s="148">
        <v>0</v>
      </c>
      <c r="D50">
        <f t="shared" si="0"/>
        <v>0</v>
      </c>
      <c r="E50">
        <f t="shared" si="1"/>
        <v>263.39999999999998</v>
      </c>
    </row>
    <row r="51" spans="2:5" x14ac:dyDescent="0.2">
      <c r="B51" s="148">
        <v>0.52884525715831221</v>
      </c>
      <c r="C51" s="148">
        <v>0</v>
      </c>
      <c r="D51">
        <f t="shared" si="0"/>
        <v>0</v>
      </c>
      <c r="E51">
        <f t="shared" si="1"/>
        <v>263.39999999999998</v>
      </c>
    </row>
    <row r="52" spans="2:5" x14ac:dyDescent="0.2">
      <c r="B52" s="148">
        <v>0.53154875867633722</v>
      </c>
      <c r="C52" s="148">
        <v>0</v>
      </c>
      <c r="D52">
        <f t="shared" si="0"/>
        <v>0</v>
      </c>
      <c r="E52">
        <f t="shared" si="1"/>
        <v>263.39999999999998</v>
      </c>
    </row>
    <row r="53" spans="2:5" x14ac:dyDescent="0.2">
      <c r="B53" s="148">
        <v>0.53284877455025448</v>
      </c>
      <c r="C53" s="148">
        <v>0</v>
      </c>
      <c r="D53">
        <f t="shared" si="0"/>
        <v>0</v>
      </c>
      <c r="E53">
        <f t="shared" si="1"/>
        <v>263.39999999999998</v>
      </c>
    </row>
    <row r="54" spans="2:5" x14ac:dyDescent="0.2">
      <c r="B54" s="148">
        <v>0.46416716992322971</v>
      </c>
      <c r="C54" s="148">
        <v>1.0510643714700243</v>
      </c>
      <c r="D54">
        <f t="shared" si="0"/>
        <v>128.17146085426128</v>
      </c>
      <c r="E54">
        <f t="shared" si="1"/>
        <v>391.57146085426126</v>
      </c>
    </row>
    <row r="55" spans="2:5" x14ac:dyDescent="0.2">
      <c r="B55" s="148">
        <v>0.41599559055826751</v>
      </c>
      <c r="C55" s="148">
        <v>1.0360545708245648</v>
      </c>
      <c r="D55">
        <f t="shared" si="0"/>
        <v>126.34109905332885</v>
      </c>
      <c r="E55">
        <f t="shared" si="1"/>
        <v>389.74109905332881</v>
      </c>
    </row>
    <row r="56" spans="2:5" x14ac:dyDescent="0.2">
      <c r="B56" s="148">
        <v>0.37929907907664134</v>
      </c>
      <c r="C56" s="148">
        <v>1.0263423774317728</v>
      </c>
      <c r="D56">
        <f t="shared" si="0"/>
        <v>125.15675102570785</v>
      </c>
      <c r="E56">
        <f t="shared" si="1"/>
        <v>388.55675102570785</v>
      </c>
    </row>
    <row r="57" spans="2:5" x14ac:dyDescent="0.2">
      <c r="B57" s="148">
        <v>0.35095383440558814</v>
      </c>
      <c r="C57" s="148">
        <v>1.0196356853407871</v>
      </c>
      <c r="D57">
        <f t="shared" si="0"/>
        <v>124.33890718461262</v>
      </c>
      <c r="E57">
        <f t="shared" si="1"/>
        <v>387.73890718461257</v>
      </c>
    </row>
    <row r="58" spans="2:5" x14ac:dyDescent="0.2">
      <c r="B58" s="148">
        <v>0.32867242653214035</v>
      </c>
      <c r="C58" s="148">
        <v>1.0147684922336611</v>
      </c>
      <c r="D58">
        <f t="shared" si="0"/>
        <v>123.74538002516033</v>
      </c>
      <c r="E58">
        <f t="shared" si="1"/>
        <v>387.14538002516031</v>
      </c>
    </row>
    <row r="59" spans="2:5" x14ac:dyDescent="0.2">
      <c r="B59" s="148">
        <v>0.31067108477666411</v>
      </c>
      <c r="C59" s="148">
        <v>1.0110789023349573</v>
      </c>
      <c r="D59">
        <f t="shared" si="0"/>
        <v>123.29545503473508</v>
      </c>
      <c r="E59">
        <f t="shared" si="1"/>
        <v>386.69545503473506</v>
      </c>
    </row>
    <row r="60" spans="2:5" x14ac:dyDescent="0.2">
      <c r="B60" s="148">
        <v>0.29544311937467999</v>
      </c>
      <c r="C60" s="148">
        <v>1.0081556255994137</v>
      </c>
      <c r="D60">
        <f t="shared" si="0"/>
        <v>122.93897767726183</v>
      </c>
      <c r="E60">
        <f t="shared" si="1"/>
        <v>386.33897767726182</v>
      </c>
    </row>
    <row r="61" spans="2:5" x14ac:dyDescent="0.2">
      <c r="B61" s="148">
        <v>0.28228402743501052</v>
      </c>
      <c r="C61" s="148">
        <v>1.0057769554219151</v>
      </c>
      <c r="D61">
        <f t="shared" si="0"/>
        <v>122.64891206395021</v>
      </c>
      <c r="E61">
        <f t="shared" si="1"/>
        <v>386.04891206395018</v>
      </c>
    </row>
    <row r="62" spans="2:5" x14ac:dyDescent="0.2">
      <c r="B62" s="148">
        <v>0.27078685091094579</v>
      </c>
      <c r="C62" s="148">
        <v>1.0038053976988013</v>
      </c>
      <c r="D62">
        <f t="shared" si="0"/>
        <v>122.40849155271493</v>
      </c>
      <c r="E62">
        <f t="shared" si="1"/>
        <v>385.80849155271494</v>
      </c>
    </row>
    <row r="63" spans="2:5" x14ac:dyDescent="0.2">
      <c r="B63" s="148">
        <v>0.26068661612446226</v>
      </c>
      <c r="C63" s="148">
        <v>1.0021488566410151</v>
      </c>
      <c r="D63">
        <f t="shared" si="0"/>
        <v>122.20648557372375</v>
      </c>
      <c r="E63">
        <f t="shared" si="1"/>
        <v>385.60648557372372</v>
      </c>
    </row>
    <row r="64" spans="2:5" x14ac:dyDescent="0.2">
      <c r="B64" s="148">
        <v>0.25182717500835627</v>
      </c>
      <c r="C64" s="148">
        <v>1.0007446277045657</v>
      </c>
      <c r="D64">
        <f t="shared" si="0"/>
        <v>122.03524765619564</v>
      </c>
      <c r="E64">
        <f t="shared" si="1"/>
        <v>385.4352476561956</v>
      </c>
    </row>
    <row r="65" spans="2:5" x14ac:dyDescent="0.2">
      <c r="B65" s="148">
        <v>0.24387437232881651</v>
      </c>
      <c r="C65" s="148">
        <v>0.99953135694493389</v>
      </c>
      <c r="D65">
        <f t="shared" si="0"/>
        <v>121.88729602745167</v>
      </c>
      <c r="E65">
        <f t="shared" si="1"/>
        <v>385.28729602745165</v>
      </c>
    </row>
    <row r="66" spans="2:5" x14ac:dyDescent="0.2">
      <c r="B66" s="148">
        <v>0.23678067220953181</v>
      </c>
      <c r="C66" s="148">
        <v>0.99847895140339815</v>
      </c>
      <c r="D66">
        <f t="shared" si="0"/>
        <v>121.75896101835882</v>
      </c>
      <c r="E66">
        <f t="shared" si="1"/>
        <v>385.15896101835881</v>
      </c>
    </row>
    <row r="67" spans="2:5" x14ac:dyDescent="0.2">
      <c r="B67" s="148">
        <v>0.23042193466630828</v>
      </c>
      <c r="C67" s="148">
        <v>0.99755814730874159</v>
      </c>
      <c r="D67">
        <f t="shared" si="0"/>
        <v>121.64667407459375</v>
      </c>
      <c r="E67">
        <f t="shared" si="1"/>
        <v>385.04667407459374</v>
      </c>
    </row>
    <row r="68" spans="2:5" x14ac:dyDescent="0.2">
      <c r="B68" s="148">
        <v>0.22462694847929174</v>
      </c>
      <c r="C68" s="148">
        <v>0.99674186427779099</v>
      </c>
      <c r="D68">
        <f t="shared" si="0"/>
        <v>121.54713289387504</v>
      </c>
      <c r="E68">
        <f t="shared" si="1"/>
        <v>384.94713289387505</v>
      </c>
    </row>
    <row r="69" spans="2:5" x14ac:dyDescent="0.2">
      <c r="B69" s="148">
        <v>0.21935196075392716</v>
      </c>
      <c r="C69" s="148">
        <v>0.99601521688177741</v>
      </c>
      <c r="D69">
        <f t="shared" ref="D69:D132" si="2">(I$1*C69*E$1)/(L$1*1.8)</f>
        <v>121.45852228086119</v>
      </c>
      <c r="E69">
        <f t="shared" ref="E69:E132" si="3">(I$1*L$1)+D69</f>
        <v>384.85852228086117</v>
      </c>
    </row>
    <row r="70" spans="2:5" x14ac:dyDescent="0.2">
      <c r="B70" s="148">
        <v>0.21440025276423144</v>
      </c>
      <c r="C70" s="148">
        <v>0.99535656590525989</v>
      </c>
      <c r="D70">
        <f t="shared" si="2"/>
        <v>121.37820345344696</v>
      </c>
      <c r="E70">
        <f t="shared" si="3"/>
        <v>384.77820345344696</v>
      </c>
    </row>
    <row r="71" spans="2:5" x14ac:dyDescent="0.2">
      <c r="B71" s="148">
        <v>0.20995477772256416</v>
      </c>
      <c r="C71" s="148">
        <v>0.99476939029789913</v>
      </c>
      <c r="D71">
        <f t="shared" si="2"/>
        <v>121.306600650216</v>
      </c>
      <c r="E71">
        <f t="shared" si="3"/>
        <v>384.70660065021599</v>
      </c>
    </row>
    <row r="72" spans="2:5" x14ac:dyDescent="0.2">
      <c r="B72" s="148">
        <v>0.23204346509976082</v>
      </c>
      <c r="C72" s="148">
        <v>-3.3619541872023739</v>
      </c>
      <c r="D72">
        <f t="shared" si="2"/>
        <v>-409.9716356060672</v>
      </c>
      <c r="E72">
        <f t="shared" si="3"/>
        <v>-146.57163560606722</v>
      </c>
    </row>
    <row r="73" spans="2:5" x14ac:dyDescent="0.2">
      <c r="B73" s="148">
        <v>0.2627395929837979</v>
      </c>
      <c r="C73" s="148">
        <v>-3.3203957241897721</v>
      </c>
      <c r="D73">
        <f t="shared" si="2"/>
        <v>-404.90381192203051</v>
      </c>
      <c r="E73">
        <f t="shared" si="3"/>
        <v>-141.50381192203054</v>
      </c>
    </row>
    <row r="74" spans="2:5" x14ac:dyDescent="0.2">
      <c r="B74" s="148">
        <v>0.30942816614971064</v>
      </c>
      <c r="C74" s="148">
        <v>-3.2519793715286269</v>
      </c>
      <c r="D74">
        <f t="shared" si="2"/>
        <v>-396.56081780585197</v>
      </c>
      <c r="E74">
        <f t="shared" si="3"/>
        <v>-133.16081780585199</v>
      </c>
    </row>
    <row r="75" spans="2:5" x14ac:dyDescent="0.2">
      <c r="B75" s="148">
        <v>0.50540713216277156</v>
      </c>
      <c r="C75" s="148">
        <v>-4.4545309754080158</v>
      </c>
      <c r="D75">
        <f t="shared" si="2"/>
        <v>-543.20530505669967</v>
      </c>
      <c r="E75">
        <f t="shared" si="3"/>
        <v>-279.80530505669969</v>
      </c>
    </row>
    <row r="76" spans="2:5" x14ac:dyDescent="0.2">
      <c r="B76" s="148">
        <v>0.56189079216566773</v>
      </c>
      <c r="C76" s="148">
        <v>-0.61405982658236535</v>
      </c>
      <c r="D76">
        <f t="shared" si="2"/>
        <v>-74.88118440823844</v>
      </c>
      <c r="E76">
        <f t="shared" si="3"/>
        <v>188.51881559176155</v>
      </c>
    </row>
    <row r="77" spans="2:5" x14ac:dyDescent="0.2">
      <c r="B77" s="148">
        <v>0.48737240659556991</v>
      </c>
      <c r="C77" s="148">
        <v>1.0544533831195342</v>
      </c>
      <c r="D77">
        <f t="shared" si="2"/>
        <v>128.58473199707652</v>
      </c>
      <c r="E77">
        <f t="shared" si="3"/>
        <v>391.98473199707649</v>
      </c>
    </row>
    <row r="78" spans="2:5" x14ac:dyDescent="0.2">
      <c r="B78" s="148">
        <v>0.43677976217071318</v>
      </c>
      <c r="C78" s="148">
        <v>1.0383247126202306</v>
      </c>
      <c r="D78">
        <f t="shared" si="2"/>
        <v>126.61793023341144</v>
      </c>
      <c r="E78">
        <f t="shared" si="3"/>
        <v>390.01793023341145</v>
      </c>
    </row>
    <row r="79" spans="2:5" x14ac:dyDescent="0.2">
      <c r="B79" s="148">
        <v>0.39964247376994338</v>
      </c>
      <c r="C79" s="148">
        <v>1.0281522453860448</v>
      </c>
      <c r="D79">
        <f t="shared" si="2"/>
        <v>125.37745436790932</v>
      </c>
      <c r="E79">
        <f t="shared" si="3"/>
        <v>388.77745436790929</v>
      </c>
    </row>
    <row r="80" spans="2:5" x14ac:dyDescent="0.2">
      <c r="B80" s="148">
        <v>0.37092058966140862</v>
      </c>
      <c r="C80" s="148">
        <v>1.0211469027988906</v>
      </c>
      <c r="D80">
        <f t="shared" si="2"/>
        <v>124.52319175797582</v>
      </c>
      <c r="E80">
        <f t="shared" si="3"/>
        <v>387.92319175797581</v>
      </c>
    </row>
    <row r="81" spans="2:5" x14ac:dyDescent="0.2">
      <c r="B81" s="148">
        <v>0.34775406992621971</v>
      </c>
      <c r="C81" s="148">
        <v>1.0160161320691083</v>
      </c>
      <c r="D81">
        <f t="shared" si="2"/>
        <v>123.89752277176071</v>
      </c>
      <c r="E81">
        <f t="shared" si="3"/>
        <v>387.29752277176067</v>
      </c>
    </row>
    <row r="82" spans="2:5" x14ac:dyDescent="0.2">
      <c r="B82" s="148">
        <v>0.32865404749073185</v>
      </c>
      <c r="C82" s="148">
        <v>1.0121042667389288</v>
      </c>
      <c r="D82">
        <f t="shared" si="2"/>
        <v>123.42049252733047</v>
      </c>
      <c r="E82">
        <f t="shared" si="3"/>
        <v>386.82049252733043</v>
      </c>
    </row>
    <row r="83" spans="2:5" x14ac:dyDescent="0.2">
      <c r="B83" s="148">
        <v>0.31263514895777883</v>
      </c>
      <c r="C83" s="148">
        <v>1.0090286005204714</v>
      </c>
      <c r="D83">
        <f t="shared" si="2"/>
        <v>123.04543211902414</v>
      </c>
      <c r="E83">
        <f t="shared" si="3"/>
        <v>386.44543211902413</v>
      </c>
    </row>
    <row r="84" spans="2:5" x14ac:dyDescent="0.2">
      <c r="B84" s="148">
        <v>0.29871509196421142</v>
      </c>
      <c r="C84" s="148">
        <v>1.0065267778677629</v>
      </c>
      <c r="D84">
        <f t="shared" si="2"/>
        <v>122.74034874554107</v>
      </c>
      <c r="E84">
        <f t="shared" si="3"/>
        <v>386.14034874554102</v>
      </c>
    </row>
    <row r="85" spans="2:5" x14ac:dyDescent="0.2">
      <c r="B85" s="148">
        <v>0.28665718534544959</v>
      </c>
      <c r="C85" s="148">
        <v>1.0044665216829292</v>
      </c>
      <c r="D85">
        <f t="shared" si="2"/>
        <v>122.4891119496683</v>
      </c>
      <c r="E85">
        <f t="shared" si="3"/>
        <v>385.88911194966829</v>
      </c>
    </row>
    <row r="86" spans="2:5" x14ac:dyDescent="0.2">
      <c r="B86" s="148">
        <v>0.27601653816809235</v>
      </c>
      <c r="C86" s="148">
        <v>1.0027351289598359</v>
      </c>
      <c r="D86">
        <f t="shared" si="2"/>
        <v>122.27797822593551</v>
      </c>
      <c r="E86">
        <f t="shared" si="3"/>
        <v>385.67797822593548</v>
      </c>
    </row>
    <row r="87" spans="2:5" x14ac:dyDescent="0.2">
      <c r="B87" s="148">
        <v>0.26657629763372021</v>
      </c>
      <c r="C87" s="148">
        <v>1.0012624106526449</v>
      </c>
      <c r="D87">
        <f t="shared" si="2"/>
        <v>122.09838841014196</v>
      </c>
      <c r="E87">
        <f t="shared" si="3"/>
        <v>385.49838841014196</v>
      </c>
    </row>
    <row r="88" spans="2:5" x14ac:dyDescent="0.2">
      <c r="B88" s="148">
        <v>0.25816545298258897</v>
      </c>
      <c r="C88" s="148">
        <v>0.99999677707754231</v>
      </c>
      <c r="D88">
        <f t="shared" si="2"/>
        <v>121.94405142695585</v>
      </c>
      <c r="E88">
        <f t="shared" si="3"/>
        <v>385.34405142695584</v>
      </c>
    </row>
    <row r="89" spans="2:5" x14ac:dyDescent="0.2">
      <c r="B89" s="148">
        <v>0.25059292935324784</v>
      </c>
      <c r="C89" s="148">
        <v>0.99889594521727132</v>
      </c>
      <c r="D89">
        <f t="shared" si="2"/>
        <v>121.80981109732834</v>
      </c>
      <c r="E89">
        <f t="shared" si="3"/>
        <v>385.20981109732833</v>
      </c>
    </row>
    <row r="90" spans="2:5" x14ac:dyDescent="0.2">
      <c r="B90" s="148">
        <v>0.24380013653244489</v>
      </c>
      <c r="C90" s="148">
        <v>0.99793400971972712</v>
      </c>
      <c r="D90">
        <f t="shared" si="2"/>
        <v>121.69250840748893</v>
      </c>
      <c r="E90">
        <f t="shared" si="3"/>
        <v>385.09250840748894</v>
      </c>
    </row>
    <row r="91" spans="2:5" x14ac:dyDescent="0.2">
      <c r="B91" s="148">
        <v>0.23742687349284416</v>
      </c>
      <c r="C91" s="148">
        <v>0.99707140029021102</v>
      </c>
      <c r="D91">
        <f t="shared" si="2"/>
        <v>121.58731797983405</v>
      </c>
      <c r="E91">
        <f t="shared" si="3"/>
        <v>384.98731797983402</v>
      </c>
    </row>
    <row r="92" spans="2:5" x14ac:dyDescent="0.2">
      <c r="B92" s="148">
        <v>0.23101327513821304</v>
      </c>
      <c r="C92" s="148">
        <v>0.99626894789929132</v>
      </c>
      <c r="D92">
        <f t="shared" si="2"/>
        <v>121.48946336883026</v>
      </c>
      <c r="E92">
        <f t="shared" si="3"/>
        <v>384.88946336883021</v>
      </c>
    </row>
    <row r="93" spans="2:5" x14ac:dyDescent="0.2">
      <c r="B93" s="148">
        <v>0.2256580379196616</v>
      </c>
      <c r="C93" s="148">
        <v>0.9955830619106536</v>
      </c>
      <c r="D93">
        <f t="shared" si="2"/>
        <v>121.40582338299357</v>
      </c>
      <c r="E93">
        <f t="shared" si="3"/>
        <v>384.80582338299354</v>
      </c>
    </row>
    <row r="94" spans="2:5" x14ac:dyDescent="0.2">
      <c r="B94" s="148">
        <v>0.22077269141276193</v>
      </c>
      <c r="C94" s="148">
        <v>0.99496817593787479</v>
      </c>
      <c r="D94">
        <f t="shared" si="2"/>
        <v>121.33084145464639</v>
      </c>
      <c r="E94">
        <f t="shared" si="3"/>
        <v>384.73084145464634</v>
      </c>
    </row>
    <row r="95" spans="2:5" x14ac:dyDescent="0.2">
      <c r="B95" s="148">
        <v>0.21625884916907456</v>
      </c>
      <c r="C95" s="148">
        <v>0.99441166698775496</v>
      </c>
      <c r="D95">
        <f t="shared" si="2"/>
        <v>121.26297827989565</v>
      </c>
      <c r="E95">
        <f t="shared" si="3"/>
        <v>384.66297827989564</v>
      </c>
    </row>
    <row r="96" spans="2:5" x14ac:dyDescent="0.2">
      <c r="B96" s="148">
        <v>0.21701381393737348</v>
      </c>
      <c r="C96" s="148">
        <v>0</v>
      </c>
      <c r="D96">
        <f t="shared" si="2"/>
        <v>0</v>
      </c>
      <c r="E96">
        <f t="shared" si="3"/>
        <v>263.39999999999998</v>
      </c>
    </row>
    <row r="97" spans="2:5" x14ac:dyDescent="0.2">
      <c r="B97" s="148">
        <v>0.21539787396776944</v>
      </c>
      <c r="C97" s="148">
        <v>0.46457513433527114</v>
      </c>
      <c r="D97">
        <f t="shared" si="2"/>
        <v>56.65235665921778</v>
      </c>
      <c r="E97">
        <f t="shared" si="3"/>
        <v>320.05235665921776</v>
      </c>
    </row>
    <row r="98" spans="2:5" x14ac:dyDescent="0.2">
      <c r="B98" s="148">
        <v>0.21385845407067819</v>
      </c>
      <c r="C98" s="148">
        <v>0.46452918641625429</v>
      </c>
      <c r="D98">
        <f t="shared" si="2"/>
        <v>56.646753565759894</v>
      </c>
      <c r="E98">
        <f t="shared" si="3"/>
        <v>320.0467535657599</v>
      </c>
    </row>
    <row r="99" spans="2:5" x14ac:dyDescent="0.2">
      <c r="B99" s="148">
        <v>0.21238615585730022</v>
      </c>
      <c r="C99" s="148">
        <v>0.4644852051147032</v>
      </c>
      <c r="D99">
        <f t="shared" si="2"/>
        <v>56.641390290376307</v>
      </c>
      <c r="E99">
        <f t="shared" si="3"/>
        <v>320.04139029037628</v>
      </c>
    </row>
    <row r="100" spans="2:5" x14ac:dyDescent="0.2">
      <c r="B100" s="148">
        <v>0.21091814164016282</v>
      </c>
      <c r="C100" s="148">
        <v>0.46444238965616091</v>
      </c>
      <c r="D100">
        <f t="shared" si="2"/>
        <v>56.636169183070727</v>
      </c>
      <c r="E100">
        <f t="shared" si="3"/>
        <v>320.03616918307068</v>
      </c>
    </row>
    <row r="101" spans="2:5" x14ac:dyDescent="0.2">
      <c r="B101" s="148">
        <v>0.20938254140727652</v>
      </c>
      <c r="C101" s="148">
        <v>0.46439987908563074</v>
      </c>
      <c r="D101">
        <f t="shared" si="2"/>
        <v>56.630985255164404</v>
      </c>
      <c r="E101">
        <f t="shared" si="3"/>
        <v>320.03098525516441</v>
      </c>
    </row>
    <row r="102" spans="2:5" x14ac:dyDescent="0.2">
      <c r="B102" s="148">
        <v>0.20765290430244918</v>
      </c>
      <c r="C102" s="148">
        <v>0.46435624431760597</v>
      </c>
      <c r="D102">
        <f t="shared" si="2"/>
        <v>56.625664237619162</v>
      </c>
      <c r="E102">
        <f t="shared" si="3"/>
        <v>320.02566423761914</v>
      </c>
    </row>
    <row r="103" spans="2:5" x14ac:dyDescent="0.2">
      <c r="B103" s="148">
        <v>0.2059211329717956</v>
      </c>
      <c r="C103" s="148">
        <v>0.46431366151675729</v>
      </c>
      <c r="D103">
        <f t="shared" si="2"/>
        <v>56.620471501626781</v>
      </c>
      <c r="E103">
        <f t="shared" si="3"/>
        <v>320.02047150162673</v>
      </c>
    </row>
    <row r="104" spans="2:5" x14ac:dyDescent="0.2">
      <c r="B104" s="148">
        <v>0.20434206009218425</v>
      </c>
      <c r="C104" s="148">
        <v>0.46427379080223091</v>
      </c>
      <c r="D104">
        <f t="shared" si="2"/>
        <v>56.615609489494261</v>
      </c>
      <c r="E104">
        <f t="shared" si="3"/>
        <v>320.01560948949424</v>
      </c>
    </row>
    <row r="105" spans="2:5" x14ac:dyDescent="0.2">
      <c r="B105" s="148">
        <v>0.20285604167821009</v>
      </c>
      <c r="C105" s="148">
        <v>0.46423587750096446</v>
      </c>
      <c r="D105">
        <f t="shared" si="2"/>
        <v>56.61098617303427</v>
      </c>
      <c r="E105">
        <f t="shared" si="3"/>
        <v>320.01098617303427</v>
      </c>
    </row>
    <row r="106" spans="2:5" x14ac:dyDescent="0.2">
      <c r="B106" s="148">
        <v>0.20141921811625838</v>
      </c>
      <c r="C106" s="148">
        <v>0.46419937430628</v>
      </c>
      <c r="D106">
        <f t="shared" si="2"/>
        <v>56.606534811238028</v>
      </c>
      <c r="E106">
        <f t="shared" si="3"/>
        <v>320.006534811238</v>
      </c>
    </row>
    <row r="107" spans="2:5" x14ac:dyDescent="0.2">
      <c r="B107" s="148">
        <v>0.20005761420742765</v>
      </c>
      <c r="C107" s="148">
        <v>0.46416450673035292</v>
      </c>
      <c r="D107">
        <f t="shared" si="2"/>
        <v>56.602282904062477</v>
      </c>
      <c r="E107">
        <f t="shared" si="3"/>
        <v>320.00228290406244</v>
      </c>
    </row>
    <row r="108" spans="2:5" x14ac:dyDescent="0.2">
      <c r="B108" s="148">
        <v>0.19878752494514587</v>
      </c>
      <c r="C108" s="148">
        <v>0.46413138737585857</v>
      </c>
      <c r="D108">
        <f t="shared" si="2"/>
        <v>56.598244182778309</v>
      </c>
      <c r="E108">
        <f t="shared" si="3"/>
        <v>319.99824418277831</v>
      </c>
    </row>
    <row r="109" spans="2:5" x14ac:dyDescent="0.2">
      <c r="B109" s="148">
        <v>0.19758596401258055</v>
      </c>
      <c r="C109" s="148">
        <v>0.4640997123490701</v>
      </c>
      <c r="D109">
        <f t="shared" si="2"/>
        <v>56.594381589233826</v>
      </c>
      <c r="E109">
        <f t="shared" si="3"/>
        <v>319.9943815892338</v>
      </c>
    </row>
    <row r="110" spans="2:5" x14ac:dyDescent="0.2">
      <c r="B110" s="148">
        <v>0.19648376339564305</v>
      </c>
      <c r="C110" s="148">
        <v>0.46406975127241457</v>
      </c>
      <c r="D110">
        <f t="shared" si="2"/>
        <v>56.590728002386101</v>
      </c>
      <c r="E110">
        <f t="shared" si="3"/>
        <v>319.99072800238605</v>
      </c>
    </row>
    <row r="111" spans="2:5" x14ac:dyDescent="0.2">
      <c r="B111" s="148">
        <v>0.19545854422327735</v>
      </c>
      <c r="C111" s="148">
        <v>0.46404121414786226</v>
      </c>
      <c r="D111">
        <f t="shared" si="2"/>
        <v>56.587248058586532</v>
      </c>
      <c r="E111">
        <f t="shared" si="3"/>
        <v>319.98724805858649</v>
      </c>
    </row>
    <row r="112" spans="2:5" x14ac:dyDescent="0.2">
      <c r="B112" s="148">
        <v>0.1944719003765436</v>
      </c>
      <c r="C112" s="148">
        <v>0.4640136603734823</v>
      </c>
      <c r="D112">
        <f t="shared" si="2"/>
        <v>56.583888028877418</v>
      </c>
      <c r="E112">
        <f t="shared" si="3"/>
        <v>319.9838880288774</v>
      </c>
    </row>
    <row r="113" spans="2:5" x14ac:dyDescent="0.2">
      <c r="B113" s="148">
        <v>0.19356402560182789</v>
      </c>
      <c r="C113" s="148">
        <v>0.46398746440257949</v>
      </c>
      <c r="D113">
        <f t="shared" si="2"/>
        <v>56.580693575758986</v>
      </c>
      <c r="E113">
        <f t="shared" si="3"/>
        <v>319.98069357575895</v>
      </c>
    </row>
    <row r="114" spans="2:5" x14ac:dyDescent="0.2">
      <c r="B114" s="148">
        <v>0.19267455677852921</v>
      </c>
      <c r="C114" s="148">
        <v>0.46396197548161477</v>
      </c>
      <c r="D114">
        <f t="shared" si="2"/>
        <v>56.577585343452462</v>
      </c>
      <c r="E114">
        <f t="shared" si="3"/>
        <v>319.97758534345246</v>
      </c>
    </row>
    <row r="115" spans="2:5" x14ac:dyDescent="0.2">
      <c r="B115" s="148">
        <v>0.19186845298431526</v>
      </c>
      <c r="C115" s="148">
        <v>0.46393781799822736</v>
      </c>
      <c r="D115">
        <f t="shared" si="2"/>
        <v>56.574639472561607</v>
      </c>
      <c r="E115">
        <f t="shared" si="3"/>
        <v>319.97463947256159</v>
      </c>
    </row>
    <row r="116" spans="2:5" x14ac:dyDescent="0.2">
      <c r="B116" s="148">
        <v>0.19120731085716897</v>
      </c>
      <c r="C116" s="148">
        <v>0.46391555754023817</v>
      </c>
      <c r="D116">
        <f t="shared" si="2"/>
        <v>56.571924933379044</v>
      </c>
      <c r="E116">
        <f t="shared" si="3"/>
        <v>319.971924933379</v>
      </c>
    </row>
    <row r="117" spans="2:5" x14ac:dyDescent="0.2">
      <c r="B117" s="148">
        <v>0.20536906741797573</v>
      </c>
      <c r="C117" s="148">
        <v>-3.4142072423525249</v>
      </c>
      <c r="D117">
        <f t="shared" si="2"/>
        <v>-416.3436053868773</v>
      </c>
      <c r="E117">
        <f t="shared" si="3"/>
        <v>-152.94360538687732</v>
      </c>
    </row>
    <row r="118" spans="2:5" x14ac:dyDescent="0.2">
      <c r="B118" s="148">
        <v>0.22292049633244504</v>
      </c>
      <c r="C118" s="148">
        <v>-3.3954637721688865</v>
      </c>
      <c r="D118">
        <f t="shared" si="2"/>
        <v>-414.05794332837252</v>
      </c>
      <c r="E118">
        <f t="shared" si="3"/>
        <v>-150.65794332837254</v>
      </c>
    </row>
    <row r="119" spans="2:5" x14ac:dyDescent="0.2">
      <c r="B119" s="148">
        <v>0.24547319863160597</v>
      </c>
      <c r="C119" s="148">
        <v>-3.3697697444622317</v>
      </c>
      <c r="D119">
        <f t="shared" si="2"/>
        <v>-410.92469939414434</v>
      </c>
      <c r="E119">
        <f t="shared" si="3"/>
        <v>-147.52469939414436</v>
      </c>
    </row>
    <row r="120" spans="2:5" x14ac:dyDescent="0.2">
      <c r="B120" s="148">
        <v>0.23986314235079065</v>
      </c>
      <c r="C120" s="148">
        <v>0.99600432177769438</v>
      </c>
      <c r="D120">
        <f t="shared" si="2"/>
        <v>121.4571936834466</v>
      </c>
      <c r="E120">
        <f t="shared" si="3"/>
        <v>384.85719368344655</v>
      </c>
    </row>
    <row r="121" spans="2:5" x14ac:dyDescent="0.2">
      <c r="B121" s="148">
        <v>0.23453190418698897</v>
      </c>
      <c r="C121" s="148">
        <v>0.99535103856303242</v>
      </c>
      <c r="D121">
        <f t="shared" si="2"/>
        <v>121.37752942476978</v>
      </c>
      <c r="E121">
        <f t="shared" si="3"/>
        <v>384.77752942476974</v>
      </c>
    </row>
    <row r="122" spans="2:5" x14ac:dyDescent="0.2">
      <c r="B122" s="148">
        <v>0.23528460166036375</v>
      </c>
      <c r="C122" s="148">
        <v>0</v>
      </c>
      <c r="D122">
        <f t="shared" si="2"/>
        <v>0</v>
      </c>
      <c r="E122">
        <f t="shared" si="3"/>
        <v>263.39999999999998</v>
      </c>
    </row>
    <row r="123" spans="2:5" x14ac:dyDescent="0.2">
      <c r="B123" s="148">
        <v>0.23334206265608037</v>
      </c>
      <c r="C123" s="148">
        <v>0.46476889829248763</v>
      </c>
      <c r="D123">
        <f t="shared" si="2"/>
        <v>56.675985097333907</v>
      </c>
      <c r="E123">
        <f t="shared" si="3"/>
        <v>320.0759850973339</v>
      </c>
    </row>
    <row r="124" spans="2:5" x14ac:dyDescent="0.2">
      <c r="B124" s="148">
        <v>0.23131289005833622</v>
      </c>
      <c r="C124" s="148">
        <v>0.46471300252676129</v>
      </c>
      <c r="D124">
        <f t="shared" si="2"/>
        <v>56.669168919235609</v>
      </c>
      <c r="E124">
        <f t="shared" si="3"/>
        <v>320.06916891923561</v>
      </c>
    </row>
    <row r="125" spans="2:5" x14ac:dyDescent="0.2">
      <c r="B125" s="148">
        <v>0.22922466147666815</v>
      </c>
      <c r="C125" s="148">
        <v>0.46465800271589064</v>
      </c>
      <c r="D125">
        <f t="shared" si="2"/>
        <v>56.662461997854429</v>
      </c>
      <c r="E125">
        <f t="shared" si="3"/>
        <v>320.06246199785443</v>
      </c>
    </row>
    <row r="126" spans="2:5" x14ac:dyDescent="0.2">
      <c r="B126" s="148">
        <v>0.22681457778134079</v>
      </c>
      <c r="C126" s="148">
        <v>0.46460087726501137</v>
      </c>
      <c r="D126">
        <f t="shared" si="2"/>
        <v>56.655495866483321</v>
      </c>
      <c r="E126">
        <f t="shared" si="3"/>
        <v>320.05549586648328</v>
      </c>
    </row>
    <row r="127" spans="2:5" x14ac:dyDescent="0.2">
      <c r="B127" s="148">
        <v>0.22457727954983103</v>
      </c>
      <c r="C127" s="148">
        <v>0.46454726909060057</v>
      </c>
      <c r="D127">
        <f t="shared" si="2"/>
        <v>56.648958647437119</v>
      </c>
      <c r="E127">
        <f t="shared" si="3"/>
        <v>320.04895864743708</v>
      </c>
    </row>
    <row r="128" spans="2:5" x14ac:dyDescent="0.2">
      <c r="B128" s="148">
        <v>0.22250556798164386</v>
      </c>
      <c r="C128" s="148">
        <v>0.46449694288186677</v>
      </c>
      <c r="D128">
        <f t="shared" si="2"/>
        <v>56.642821645872075</v>
      </c>
      <c r="E128">
        <f t="shared" si="3"/>
        <v>320.04282164587204</v>
      </c>
    </row>
    <row r="129" spans="2:5" x14ac:dyDescent="0.2">
      <c r="B129" s="148">
        <v>0.22037432799821227</v>
      </c>
      <c r="C129" s="148">
        <v>0.46444728549973419</v>
      </c>
      <c r="D129">
        <f t="shared" si="2"/>
        <v>56.636766203995357</v>
      </c>
      <c r="E129">
        <f t="shared" si="3"/>
        <v>320.03676620399534</v>
      </c>
    </row>
    <row r="130" spans="2:5" x14ac:dyDescent="0.2">
      <c r="B130" s="148">
        <v>0.21829411626969089</v>
      </c>
      <c r="C130" s="148">
        <v>0.46439946891828354</v>
      </c>
      <c r="D130">
        <f t="shared" si="2"/>
        <v>56.630935237535127</v>
      </c>
      <c r="E130">
        <f t="shared" si="3"/>
        <v>320.03093523753512</v>
      </c>
    </row>
    <row r="131" spans="2:5" x14ac:dyDescent="0.2">
      <c r="B131" s="148">
        <v>0.21642525632307441</v>
      </c>
      <c r="C131" s="148">
        <v>0.46435514024599561</v>
      </c>
      <c r="D131">
        <f t="shared" si="2"/>
        <v>56.625529602220013</v>
      </c>
      <c r="E131">
        <f t="shared" si="3"/>
        <v>320.02552960221999</v>
      </c>
    </row>
    <row r="132" spans="2:5" x14ac:dyDescent="0.2">
      <c r="B132" s="148">
        <v>0.21467867996468151</v>
      </c>
      <c r="C132" s="148">
        <v>0.46431320983778068</v>
      </c>
      <c r="D132">
        <f t="shared" si="2"/>
        <v>56.620416421884912</v>
      </c>
      <c r="E132">
        <f t="shared" si="3"/>
        <v>320.02041642188487</v>
      </c>
    </row>
    <row r="133" spans="2:5" x14ac:dyDescent="0.2">
      <c r="B133" s="148">
        <v>0.21302149577967724</v>
      </c>
      <c r="C133" s="148">
        <v>0.46427323589795871</v>
      </c>
      <c r="D133">
        <f t="shared" ref="D133:D196" si="4">(I$1*C133*E$1)/(L$1*1.8)</f>
        <v>56.615541822001077</v>
      </c>
      <c r="E133">
        <f t="shared" ref="E133:E196" si="5">(I$1*L$1)+D133</f>
        <v>320.01554182200107</v>
      </c>
    </row>
    <row r="134" spans="2:5" x14ac:dyDescent="0.2">
      <c r="B134" s="148">
        <v>0.21144872093435244</v>
      </c>
      <c r="C134" s="148">
        <v>0.46423509048538864</v>
      </c>
      <c r="D134">
        <f t="shared" si="4"/>
        <v>56.610890200857106</v>
      </c>
      <c r="E134">
        <f t="shared" si="5"/>
        <v>320.01089020085709</v>
      </c>
    </row>
    <row r="135" spans="2:5" x14ac:dyDescent="0.2">
      <c r="B135" s="148">
        <v>0.21002533263708092</v>
      </c>
      <c r="C135" s="148">
        <v>0.46419937598330269</v>
      </c>
      <c r="D135">
        <f t="shared" si="4"/>
        <v>56.60653501574162</v>
      </c>
      <c r="E135">
        <f t="shared" si="5"/>
        <v>320.00653501574158</v>
      </c>
    </row>
    <row r="136" spans="2:5" x14ac:dyDescent="0.2">
      <c r="B136" s="148">
        <v>0.20868130007138225</v>
      </c>
      <c r="C136" s="148">
        <v>0.46416528434145615</v>
      </c>
      <c r="D136">
        <f t="shared" si="4"/>
        <v>56.602377729416446</v>
      </c>
      <c r="E136">
        <f t="shared" si="5"/>
        <v>320.00237772941642</v>
      </c>
    </row>
    <row r="137" spans="2:5" x14ac:dyDescent="0.2">
      <c r="B137" s="148">
        <v>0.20744260072388851</v>
      </c>
      <c r="C137" s="148">
        <v>0.46413302013058105</v>
      </c>
      <c r="D137">
        <f t="shared" si="4"/>
        <v>56.598443288145852</v>
      </c>
      <c r="E137">
        <f t="shared" si="5"/>
        <v>319.99844328814584</v>
      </c>
    </row>
    <row r="138" spans="2:5" x14ac:dyDescent="0.2">
      <c r="B138" s="148">
        <v>0.20628735814501351</v>
      </c>
      <c r="C138" s="148">
        <v>0.46410229788560808</v>
      </c>
      <c r="D138">
        <f t="shared" si="4"/>
        <v>56.594696881050538</v>
      </c>
      <c r="E138">
        <f t="shared" si="5"/>
        <v>319.99469688105052</v>
      </c>
    </row>
    <row r="139" spans="2:5" x14ac:dyDescent="0.2">
      <c r="B139" s="148">
        <v>0.20518116228667269</v>
      </c>
      <c r="C139" s="148">
        <v>0.4640727205462491</v>
      </c>
      <c r="D139">
        <f t="shared" si="4"/>
        <v>56.591090088834257</v>
      </c>
      <c r="E139">
        <f t="shared" si="5"/>
        <v>319.99109008883426</v>
      </c>
    </row>
    <row r="140" spans="2:5" x14ac:dyDescent="0.2">
      <c r="B140" s="148">
        <v>0.2040746599071139</v>
      </c>
      <c r="C140" s="148">
        <v>0.46404376131131336</v>
      </c>
      <c r="D140">
        <f t="shared" si="4"/>
        <v>56.587558671018478</v>
      </c>
      <c r="E140">
        <f t="shared" si="5"/>
        <v>319.98755867101846</v>
      </c>
    </row>
    <row r="141" spans="2:5" x14ac:dyDescent="0.2">
      <c r="B141" s="148">
        <v>0.21991054934497997</v>
      </c>
      <c r="C141" s="148">
        <v>-3.4059135717257636</v>
      </c>
      <c r="D141">
        <f t="shared" si="4"/>
        <v>-415.33223832989165</v>
      </c>
      <c r="E141">
        <f t="shared" si="5"/>
        <v>-151.93223832989167</v>
      </c>
    </row>
    <row r="142" spans="2:5" x14ac:dyDescent="0.2">
      <c r="B142" s="148">
        <v>0.23998332921691845</v>
      </c>
      <c r="C142" s="148">
        <v>-3.3843877713589996</v>
      </c>
      <c r="D142">
        <f t="shared" si="4"/>
        <v>-412.7072865629446</v>
      </c>
      <c r="E142">
        <f t="shared" si="5"/>
        <v>-149.30728656294463</v>
      </c>
    </row>
    <row r="143" spans="2:5" x14ac:dyDescent="0.2">
      <c r="B143" s="148">
        <v>0.26659531937554304</v>
      </c>
      <c r="C143" s="148">
        <v>-3.3539774383401655</v>
      </c>
      <c r="D143">
        <f t="shared" si="4"/>
        <v>-408.99891539759238</v>
      </c>
      <c r="E143">
        <f t="shared" si="5"/>
        <v>-145.59891539759241</v>
      </c>
    </row>
    <row r="144" spans="2:5" x14ac:dyDescent="0.2">
      <c r="B144" s="148">
        <v>0.30398306547070336</v>
      </c>
      <c r="C144" s="148">
        <v>-3.3079481536046802</v>
      </c>
      <c r="D144">
        <f t="shared" si="4"/>
        <v>-403.38589984234841</v>
      </c>
      <c r="E144">
        <f t="shared" si="5"/>
        <v>-139.98589984234843</v>
      </c>
    </row>
    <row r="145" spans="2:5" x14ac:dyDescent="0.2">
      <c r="B145" s="148">
        <v>0.36204444091070664</v>
      </c>
      <c r="C145" s="148">
        <v>-3.2302050770849378</v>
      </c>
      <c r="D145">
        <f t="shared" si="4"/>
        <v>-393.90556356674654</v>
      </c>
      <c r="E145">
        <f t="shared" si="5"/>
        <v>-130.50556356674656</v>
      </c>
    </row>
    <row r="146" spans="2:5" x14ac:dyDescent="0.2">
      <c r="B146" s="148">
        <v>0.34403834257386395</v>
      </c>
      <c r="C146" s="148">
        <v>1.0090429707636461</v>
      </c>
      <c r="D146">
        <f t="shared" si="4"/>
        <v>123.04718449034462</v>
      </c>
      <c r="E146">
        <f t="shared" si="5"/>
        <v>386.44718449034463</v>
      </c>
    </row>
    <row r="147" spans="2:5" x14ac:dyDescent="0.2">
      <c r="B147" s="148">
        <v>0.32845030077115395</v>
      </c>
      <c r="C147" s="148">
        <v>1.0065194394068073</v>
      </c>
      <c r="D147">
        <f t="shared" si="4"/>
        <v>122.73945386099676</v>
      </c>
      <c r="E147">
        <f t="shared" si="5"/>
        <v>386.13945386099675</v>
      </c>
    </row>
    <row r="148" spans="2:5" x14ac:dyDescent="0.2">
      <c r="B148" s="148">
        <v>0.31477331618434617</v>
      </c>
      <c r="C148" s="148">
        <v>1.0044310736772679</v>
      </c>
      <c r="D148">
        <f t="shared" si="4"/>
        <v>122.48478926231127</v>
      </c>
      <c r="E148">
        <f t="shared" si="5"/>
        <v>385.88478926231124</v>
      </c>
    </row>
    <row r="149" spans="2:5" x14ac:dyDescent="0.2">
      <c r="B149" s="148">
        <v>0.30256156107277221</v>
      </c>
      <c r="C149" s="148">
        <v>1.0026689094629857</v>
      </c>
      <c r="D149">
        <f t="shared" si="4"/>
        <v>122.26990312618074</v>
      </c>
      <c r="E149">
        <f t="shared" si="5"/>
        <v>385.66990312618071</v>
      </c>
    </row>
    <row r="150" spans="2:5" x14ac:dyDescent="0.2">
      <c r="B150" s="148">
        <v>0.29162283238812298</v>
      </c>
      <c r="C150" s="148">
        <v>1.0011658810281951</v>
      </c>
      <c r="D150">
        <f t="shared" si="4"/>
        <v>122.08661715871602</v>
      </c>
      <c r="E150">
        <f t="shared" si="5"/>
        <v>385.486617158716</v>
      </c>
    </row>
    <row r="151" spans="2:5" x14ac:dyDescent="0.2">
      <c r="B151" s="148">
        <v>0.2818285433237912</v>
      </c>
      <c r="C151" s="148">
        <v>0.99987376556482388</v>
      </c>
      <c r="D151">
        <f t="shared" si="4"/>
        <v>121.92905085637713</v>
      </c>
      <c r="E151">
        <f t="shared" si="5"/>
        <v>385.32905085637708</v>
      </c>
    </row>
    <row r="152" spans="2:5" x14ac:dyDescent="0.2">
      <c r="B152" s="148">
        <v>0.27297626492553823</v>
      </c>
      <c r="C152" s="148">
        <v>0.99875004125326494</v>
      </c>
      <c r="D152">
        <f t="shared" si="4"/>
        <v>121.79201891949536</v>
      </c>
      <c r="E152">
        <f t="shared" si="5"/>
        <v>385.19201891949535</v>
      </c>
    </row>
    <row r="153" spans="2:5" x14ac:dyDescent="0.2">
      <c r="B153" s="148">
        <v>0.26498378419399976</v>
      </c>
      <c r="C153" s="148">
        <v>0.99776720739033631</v>
      </c>
      <c r="D153">
        <f t="shared" si="4"/>
        <v>121.67216779009932</v>
      </c>
      <c r="E153">
        <f t="shared" si="5"/>
        <v>385.07216779009929</v>
      </c>
    </row>
    <row r="154" spans="2:5" x14ac:dyDescent="0.2">
      <c r="B154" s="148">
        <v>0.25771263953048862</v>
      </c>
      <c r="C154" s="148">
        <v>0.99689968716411037</v>
      </c>
      <c r="D154">
        <f t="shared" si="4"/>
        <v>121.56637851806789</v>
      </c>
      <c r="E154">
        <f t="shared" si="5"/>
        <v>384.96637851806787</v>
      </c>
    </row>
    <row r="155" spans="2:5" x14ac:dyDescent="0.2">
      <c r="B155" s="148">
        <v>0.25103836535161006</v>
      </c>
      <c r="C155" s="148">
        <v>0.99612697641135772</v>
      </c>
      <c r="D155">
        <f t="shared" si="4"/>
        <v>121.47215073460723</v>
      </c>
      <c r="E155">
        <f t="shared" si="5"/>
        <v>384.8721507346072</v>
      </c>
    </row>
    <row r="156" spans="2:5" x14ac:dyDescent="0.2">
      <c r="B156" s="148">
        <v>0.2513942095843924</v>
      </c>
      <c r="C156" s="148">
        <v>0</v>
      </c>
      <c r="D156">
        <f t="shared" si="4"/>
        <v>0</v>
      </c>
      <c r="E156">
        <f t="shared" si="5"/>
        <v>263.39999999999998</v>
      </c>
    </row>
    <row r="157" spans="2:5" x14ac:dyDescent="0.2">
      <c r="B157" s="148">
        <v>0.24858048135480046</v>
      </c>
      <c r="C157" s="148">
        <v>0.46491692828302739</v>
      </c>
      <c r="D157">
        <f t="shared" si="4"/>
        <v>56.694036532291385</v>
      </c>
      <c r="E157">
        <f t="shared" si="5"/>
        <v>320.09403653229134</v>
      </c>
    </row>
    <row r="158" spans="2:5" x14ac:dyDescent="0.2">
      <c r="B158" s="148">
        <v>0.24590235286012219</v>
      </c>
      <c r="C158" s="148">
        <v>0.46485027362410108</v>
      </c>
      <c r="D158">
        <f t="shared" si="4"/>
        <v>56.685908366938989</v>
      </c>
      <c r="E158">
        <f t="shared" si="5"/>
        <v>320.08590836693895</v>
      </c>
    </row>
    <row r="159" spans="2:5" x14ac:dyDescent="0.2">
      <c r="B159" s="148">
        <v>0.2434309387754354</v>
      </c>
      <c r="C159" s="148">
        <v>0.46478796891494595</v>
      </c>
      <c r="D159">
        <f t="shared" si="4"/>
        <v>56.678310653794789</v>
      </c>
      <c r="E159">
        <f t="shared" si="5"/>
        <v>320.07831065379474</v>
      </c>
    </row>
    <row r="160" spans="2:5" x14ac:dyDescent="0.2">
      <c r="B160" s="148">
        <v>0.24100979478279236</v>
      </c>
      <c r="C160" s="148">
        <v>0.46472805229598391</v>
      </c>
      <c r="D160">
        <f t="shared" si="4"/>
        <v>56.671004154982477</v>
      </c>
      <c r="E160">
        <f t="shared" si="5"/>
        <v>320.07100415498246</v>
      </c>
    </row>
    <row r="161" spans="2:5" x14ac:dyDescent="0.2">
      <c r="B161" s="148">
        <v>0.23868488752533129</v>
      </c>
      <c r="C161" s="148">
        <v>0.4646709203757568</v>
      </c>
      <c r="D161">
        <f t="shared" si="4"/>
        <v>56.664037234710335</v>
      </c>
      <c r="E161">
        <f t="shared" si="5"/>
        <v>320.06403723471033</v>
      </c>
    </row>
    <row r="162" spans="2:5" x14ac:dyDescent="0.2">
      <c r="B162" s="148">
        <v>0.26178783176807852</v>
      </c>
      <c r="C162" s="148">
        <v>-3.2389761028524506</v>
      </c>
      <c r="D162">
        <f t="shared" si="4"/>
        <v>-394.97514143117382</v>
      </c>
      <c r="E162">
        <f t="shared" si="5"/>
        <v>-131.57514143117385</v>
      </c>
    </row>
    <row r="163" spans="2:5" x14ac:dyDescent="0.2">
      <c r="B163" s="148">
        <v>0.26816601662425843</v>
      </c>
      <c r="C163" s="148">
        <v>-0.74580665558466952</v>
      </c>
      <c r="D163">
        <f t="shared" si="4"/>
        <v>-90.946978278241644</v>
      </c>
      <c r="E163">
        <f t="shared" si="5"/>
        <v>172.45302172175832</v>
      </c>
    </row>
    <row r="164" spans="2:5" x14ac:dyDescent="0.2">
      <c r="B164" s="148">
        <v>0.27491618283566183</v>
      </c>
      <c r="C164" s="148">
        <v>-0.72749446008260055</v>
      </c>
      <c r="D164">
        <f t="shared" si="4"/>
        <v>-88.713907771183784</v>
      </c>
      <c r="E164">
        <f t="shared" si="5"/>
        <v>174.68609222881619</v>
      </c>
    </row>
    <row r="165" spans="2:5" x14ac:dyDescent="0.2">
      <c r="B165" s="148">
        <v>0.27877246300726083</v>
      </c>
      <c r="C165" s="148">
        <v>-0.3587154876103924</v>
      </c>
      <c r="D165">
        <f t="shared" si="4"/>
        <v>-43.743360850267294</v>
      </c>
      <c r="E165">
        <f t="shared" si="5"/>
        <v>219.65663914973268</v>
      </c>
    </row>
    <row r="166" spans="2:5" x14ac:dyDescent="0.2">
      <c r="B166" s="148">
        <v>0.28283782807831637</v>
      </c>
      <c r="C166" s="148">
        <v>-0.35355949619408811</v>
      </c>
      <c r="D166">
        <f t="shared" si="4"/>
        <v>-43.114616341445739</v>
      </c>
      <c r="E166">
        <f t="shared" si="5"/>
        <v>220.28538365855422</v>
      </c>
    </row>
    <row r="167" spans="2:5" x14ac:dyDescent="0.2">
      <c r="B167" s="148">
        <v>0.28361143520592724</v>
      </c>
      <c r="C167" s="148">
        <v>0</v>
      </c>
      <c r="D167">
        <f t="shared" si="4"/>
        <v>0</v>
      </c>
      <c r="E167">
        <f t="shared" si="5"/>
        <v>263.39999999999998</v>
      </c>
    </row>
    <row r="168" spans="2:5" x14ac:dyDescent="0.2">
      <c r="B168" s="148">
        <v>0.28413344025354037</v>
      </c>
      <c r="C168" s="148">
        <v>0</v>
      </c>
      <c r="D168">
        <f t="shared" si="4"/>
        <v>0</v>
      </c>
      <c r="E168">
        <f t="shared" si="5"/>
        <v>263.39999999999998</v>
      </c>
    </row>
    <row r="169" spans="2:5" x14ac:dyDescent="0.2">
      <c r="B169" s="148">
        <v>0.28449868202897161</v>
      </c>
      <c r="C169" s="148">
        <v>0</v>
      </c>
      <c r="D169">
        <f t="shared" si="4"/>
        <v>0</v>
      </c>
      <c r="E169">
        <f t="shared" si="5"/>
        <v>263.39999999999998</v>
      </c>
    </row>
    <row r="170" spans="2:5" x14ac:dyDescent="0.2">
      <c r="B170" s="148">
        <v>0.28486140101441343</v>
      </c>
      <c r="C170" s="148">
        <v>0</v>
      </c>
      <c r="D170">
        <f t="shared" si="4"/>
        <v>0</v>
      </c>
      <c r="E170">
        <f t="shared" si="5"/>
        <v>263.39999999999998</v>
      </c>
    </row>
    <row r="171" spans="2:5" x14ac:dyDescent="0.2">
      <c r="B171" s="148">
        <v>0.28532252849701367</v>
      </c>
      <c r="C171" s="148">
        <v>0</v>
      </c>
      <c r="D171">
        <f t="shared" si="4"/>
        <v>0</v>
      </c>
      <c r="E171">
        <f t="shared" si="5"/>
        <v>263.39999999999998</v>
      </c>
    </row>
    <row r="172" spans="2:5" x14ac:dyDescent="0.2">
      <c r="B172" s="148">
        <v>0.28574662488255348</v>
      </c>
      <c r="C172" s="148">
        <v>0</v>
      </c>
      <c r="D172">
        <f t="shared" si="4"/>
        <v>0</v>
      </c>
      <c r="E172">
        <f t="shared" si="5"/>
        <v>263.39999999999998</v>
      </c>
    </row>
    <row r="173" spans="2:5" x14ac:dyDescent="0.2">
      <c r="B173" s="148">
        <v>0.28613369017114243</v>
      </c>
      <c r="C173" s="148">
        <v>0</v>
      </c>
      <c r="D173">
        <f t="shared" si="4"/>
        <v>0</v>
      </c>
      <c r="E173">
        <f t="shared" si="5"/>
        <v>263.39999999999998</v>
      </c>
    </row>
    <row r="174" spans="2:5" x14ac:dyDescent="0.2">
      <c r="B174" s="148">
        <v>0.28650350130605889</v>
      </c>
      <c r="C174" s="148">
        <v>0</v>
      </c>
      <c r="D174">
        <f t="shared" si="4"/>
        <v>0</v>
      </c>
      <c r="E174">
        <f t="shared" si="5"/>
        <v>263.39999999999998</v>
      </c>
    </row>
    <row r="175" spans="2:5" x14ac:dyDescent="0.2">
      <c r="B175" s="148">
        <v>0.28687128948626284</v>
      </c>
      <c r="C175" s="148">
        <v>0</v>
      </c>
      <c r="D175">
        <f t="shared" si="4"/>
        <v>0</v>
      </c>
      <c r="E175">
        <f t="shared" si="5"/>
        <v>263.39999999999998</v>
      </c>
    </row>
    <row r="176" spans="2:5" x14ac:dyDescent="0.2">
      <c r="B176" s="148">
        <v>0.28724871622054965</v>
      </c>
      <c r="C176" s="148">
        <v>0</v>
      </c>
      <c r="D176">
        <f t="shared" si="4"/>
        <v>0</v>
      </c>
      <c r="E176">
        <f t="shared" si="5"/>
        <v>263.39999999999998</v>
      </c>
    </row>
    <row r="177" spans="2:5" x14ac:dyDescent="0.2">
      <c r="B177" s="148">
        <v>0.28763730462884834</v>
      </c>
      <c r="C177" s="148">
        <v>0</v>
      </c>
      <c r="D177">
        <f t="shared" si="4"/>
        <v>0</v>
      </c>
      <c r="E177">
        <f t="shared" si="5"/>
        <v>263.39999999999998</v>
      </c>
    </row>
    <row r="178" spans="2:5" x14ac:dyDescent="0.2">
      <c r="B178" s="148">
        <v>0.28805176246033259</v>
      </c>
      <c r="C178" s="148">
        <v>0</v>
      </c>
      <c r="D178">
        <f t="shared" si="4"/>
        <v>0</v>
      </c>
      <c r="E178">
        <f t="shared" si="5"/>
        <v>263.39999999999998</v>
      </c>
    </row>
    <row r="179" spans="2:5" x14ac:dyDescent="0.2">
      <c r="B179" s="148">
        <v>0.28847433572583397</v>
      </c>
      <c r="C179" s="148">
        <v>0</v>
      </c>
      <c r="D179">
        <f t="shared" si="4"/>
        <v>0</v>
      </c>
      <c r="E179">
        <f t="shared" si="5"/>
        <v>263.39999999999998</v>
      </c>
    </row>
    <row r="180" spans="2:5" x14ac:dyDescent="0.2">
      <c r="B180" s="148">
        <v>0.28890147835109453</v>
      </c>
      <c r="C180" s="148">
        <v>0</v>
      </c>
      <c r="D180">
        <f t="shared" si="4"/>
        <v>0</v>
      </c>
      <c r="E180">
        <f t="shared" si="5"/>
        <v>263.39999999999998</v>
      </c>
    </row>
    <row r="181" spans="2:5" x14ac:dyDescent="0.2">
      <c r="B181" s="148">
        <v>0.28934332872528229</v>
      </c>
      <c r="C181" s="148">
        <v>0</v>
      </c>
      <c r="D181">
        <f t="shared" si="4"/>
        <v>0</v>
      </c>
      <c r="E181">
        <f t="shared" si="5"/>
        <v>263.39999999999998</v>
      </c>
    </row>
    <row r="182" spans="2:5" x14ac:dyDescent="0.2">
      <c r="B182" s="148">
        <v>0.28981054868718709</v>
      </c>
      <c r="C182" s="148">
        <v>0</v>
      </c>
      <c r="D182">
        <f t="shared" si="4"/>
        <v>0</v>
      </c>
      <c r="E182">
        <f t="shared" si="5"/>
        <v>263.39999999999998</v>
      </c>
    </row>
    <row r="183" spans="2:5" x14ac:dyDescent="0.2">
      <c r="B183" s="148">
        <v>0.29033255373485506</v>
      </c>
      <c r="C183" s="148">
        <v>0</v>
      </c>
      <c r="D183">
        <f t="shared" si="4"/>
        <v>0</v>
      </c>
      <c r="E183">
        <f t="shared" si="5"/>
        <v>263.39999999999998</v>
      </c>
    </row>
    <row r="184" spans="2:5" x14ac:dyDescent="0.2">
      <c r="B184" s="148">
        <v>0.29091391322733312</v>
      </c>
      <c r="C184" s="148">
        <v>0</v>
      </c>
      <c r="D184">
        <f t="shared" si="4"/>
        <v>0</v>
      </c>
      <c r="E184">
        <f t="shared" si="5"/>
        <v>263.39999999999998</v>
      </c>
    </row>
    <row r="185" spans="2:5" x14ac:dyDescent="0.2">
      <c r="B185" s="148">
        <v>0.29151150358888639</v>
      </c>
      <c r="C185" s="148">
        <v>0</v>
      </c>
      <c r="D185">
        <f t="shared" si="4"/>
        <v>0</v>
      </c>
      <c r="E185">
        <f t="shared" si="5"/>
        <v>263.39999999999998</v>
      </c>
    </row>
    <row r="186" spans="2:5" x14ac:dyDescent="0.2">
      <c r="B186" s="148">
        <v>0.28730632375949722</v>
      </c>
      <c r="C186" s="148">
        <v>0.48583232983555813</v>
      </c>
      <c r="D186">
        <f t="shared" si="4"/>
        <v>59.244553554947217</v>
      </c>
      <c r="E186">
        <f t="shared" si="5"/>
        <v>322.64455355494721</v>
      </c>
    </row>
    <row r="187" spans="2:5" x14ac:dyDescent="0.2">
      <c r="B187" s="148">
        <v>0.27874103300357755</v>
      </c>
      <c r="C187" s="148">
        <v>0.99850132502112121</v>
      </c>
      <c r="D187">
        <f t="shared" si="4"/>
        <v>121.76168935674227</v>
      </c>
      <c r="E187">
        <f t="shared" si="5"/>
        <v>385.16168935674227</v>
      </c>
    </row>
    <row r="188" spans="2:5" x14ac:dyDescent="0.2">
      <c r="B188" s="148">
        <v>0.27096230310228681</v>
      </c>
      <c r="C188" s="148">
        <v>0.99756232368334319</v>
      </c>
      <c r="D188">
        <f t="shared" si="4"/>
        <v>121.64718336027435</v>
      </c>
      <c r="E188">
        <f t="shared" si="5"/>
        <v>385.04718336027435</v>
      </c>
    </row>
    <row r="189" spans="2:5" x14ac:dyDescent="0.2">
      <c r="B189" s="148">
        <v>0.26381934930746526</v>
      </c>
      <c r="C189" s="148">
        <v>0.99672806717157847</v>
      </c>
      <c r="D189">
        <f t="shared" si="4"/>
        <v>121.54545041342304</v>
      </c>
      <c r="E189">
        <f t="shared" si="5"/>
        <v>384.94545041342303</v>
      </c>
    </row>
    <row r="190" spans="2:5" x14ac:dyDescent="0.2">
      <c r="B190" s="148">
        <v>0.26433045226732005</v>
      </c>
      <c r="C190" s="148">
        <v>0</v>
      </c>
      <c r="D190">
        <f t="shared" si="4"/>
        <v>0</v>
      </c>
      <c r="E190">
        <f t="shared" si="5"/>
        <v>263.39999999999998</v>
      </c>
    </row>
    <row r="191" spans="2:5" x14ac:dyDescent="0.2">
      <c r="B191" s="148">
        <v>0.26125709785040441</v>
      </c>
      <c r="C191" s="148">
        <v>0.46504156218907089</v>
      </c>
      <c r="D191">
        <f t="shared" si="4"/>
        <v>56.709234944722809</v>
      </c>
      <c r="E191">
        <f t="shared" si="5"/>
        <v>320.1092349447228</v>
      </c>
    </row>
    <row r="192" spans="2:5" x14ac:dyDescent="0.2">
      <c r="B192" s="148">
        <v>0.25765159319157177</v>
      </c>
      <c r="C192" s="148">
        <v>0.46496144032776188</v>
      </c>
      <c r="D192">
        <f t="shared" si="4"/>
        <v>56.699464528857625</v>
      </c>
      <c r="E192">
        <f t="shared" si="5"/>
        <v>320.0994645288576</v>
      </c>
    </row>
    <row r="193" spans="2:5" x14ac:dyDescent="0.2">
      <c r="B193" s="148">
        <v>0.25219692833237661</v>
      </c>
      <c r="C193" s="148">
        <v>0.46486308932181103</v>
      </c>
      <c r="D193">
        <f t="shared" si="4"/>
        <v>56.687471170076392</v>
      </c>
      <c r="E193">
        <f t="shared" si="5"/>
        <v>320.08747117007636</v>
      </c>
    </row>
    <row r="194" spans="2:5" x14ac:dyDescent="0.2">
      <c r="B194" s="148">
        <v>0.2455247247924548</v>
      </c>
      <c r="C194" s="148">
        <v>0.46475439741965652</v>
      </c>
      <c r="D194">
        <f t="shared" si="4"/>
        <v>56.674216796452548</v>
      </c>
      <c r="E194">
        <f t="shared" si="5"/>
        <v>320.0742167964525</v>
      </c>
    </row>
    <row r="195" spans="2:5" x14ac:dyDescent="0.2">
      <c r="B195" s="148">
        <v>0.23864764307612391</v>
      </c>
      <c r="C195" s="148">
        <v>0.46464691921087209</v>
      </c>
      <c r="D195">
        <f t="shared" si="4"/>
        <v>56.661110425992455</v>
      </c>
      <c r="E195">
        <f t="shared" si="5"/>
        <v>320.06111042599241</v>
      </c>
    </row>
    <row r="196" spans="2:5" x14ac:dyDescent="0.2">
      <c r="B196" s="148">
        <v>0.23189643678154395</v>
      </c>
      <c r="C196" s="148">
        <v>0.46454412310605164</v>
      </c>
      <c r="D196">
        <f t="shared" si="4"/>
        <v>56.648575012099066</v>
      </c>
      <c r="E196">
        <f t="shared" si="5"/>
        <v>320.04857501209904</v>
      </c>
    </row>
    <row r="197" spans="2:5" x14ac:dyDescent="0.2">
      <c r="B197" s="148">
        <v>0.22546099579466719</v>
      </c>
      <c r="C197" s="148">
        <v>0.46444777612767218</v>
      </c>
      <c r="D197">
        <f t="shared" ref="D197:D260" si="6">(I$1*C197*E$1)/(L$1*1.8)</f>
        <v>56.636826033346686</v>
      </c>
      <c r="E197">
        <f t="shared" ref="E197:E260" si="7">(I$1*L$1)+D197</f>
        <v>320.03682603334664</v>
      </c>
    </row>
    <row r="198" spans="2:5" x14ac:dyDescent="0.2">
      <c r="B198" s="148">
        <v>0.21529611892368394</v>
      </c>
      <c r="C198" s="148">
        <v>1.3219867176109363</v>
      </c>
      <c r="D198">
        <f t="shared" si="6"/>
        <v>161.20893584200027</v>
      </c>
      <c r="E198">
        <f t="shared" si="7"/>
        <v>424.60893584200028</v>
      </c>
    </row>
    <row r="199" spans="2:5" x14ac:dyDescent="0.2">
      <c r="B199" s="148">
        <v>0.2094111148869465</v>
      </c>
      <c r="C199" s="148">
        <v>0.46419077987369117</v>
      </c>
      <c r="D199">
        <f t="shared" si="6"/>
        <v>56.605486767930671</v>
      </c>
      <c r="E199">
        <f t="shared" si="7"/>
        <v>320.00548676793062</v>
      </c>
    </row>
    <row r="200" spans="2:5" x14ac:dyDescent="0.2">
      <c r="B200" s="148">
        <v>0.20383641490826632</v>
      </c>
      <c r="C200" s="148">
        <v>0.46411356628684747</v>
      </c>
      <c r="D200">
        <f t="shared" si="6"/>
        <v>56.596070999979446</v>
      </c>
      <c r="E200">
        <f t="shared" si="7"/>
        <v>319.99607099997945</v>
      </c>
    </row>
    <row r="201" spans="2:5" x14ac:dyDescent="0.2">
      <c r="B201" s="148">
        <v>0.19844103083690764</v>
      </c>
      <c r="C201" s="148">
        <v>0.46404009438181998</v>
      </c>
      <c r="D201">
        <f t="shared" si="6"/>
        <v>56.587111509338598</v>
      </c>
      <c r="E201">
        <f t="shared" si="7"/>
        <v>319.98711150933855</v>
      </c>
    </row>
    <row r="202" spans="2:5" x14ac:dyDescent="0.2">
      <c r="B202" s="148">
        <v>0.19308051880974655</v>
      </c>
      <c r="C202" s="148">
        <v>0.46396874236501662</v>
      </c>
      <c r="D202">
        <f t="shared" si="6"/>
        <v>56.578410527289513</v>
      </c>
      <c r="E202">
        <f t="shared" si="7"/>
        <v>319.9784105272895</v>
      </c>
    </row>
    <row r="203" spans="2:5" x14ac:dyDescent="0.2">
      <c r="B203" s="148">
        <v>0.1877620403311743</v>
      </c>
      <c r="C203" s="148">
        <v>0.46389947355671785</v>
      </c>
      <c r="D203">
        <f t="shared" si="6"/>
        <v>56.569963580944197</v>
      </c>
      <c r="E203">
        <f t="shared" si="7"/>
        <v>319.96996358094418</v>
      </c>
    </row>
    <row r="204" spans="2:5" x14ac:dyDescent="0.2">
      <c r="B204" s="148">
        <v>0.18285203829198374</v>
      </c>
      <c r="C204" s="148">
        <v>0.46383580839443328</v>
      </c>
      <c r="D204">
        <f t="shared" si="6"/>
        <v>56.562199968098938</v>
      </c>
      <c r="E204">
        <f t="shared" si="7"/>
        <v>319.9621999680989</v>
      </c>
    </row>
    <row r="205" spans="2:5" x14ac:dyDescent="0.2">
      <c r="B205" s="148">
        <v>0.17799713121697103</v>
      </c>
      <c r="C205" s="148">
        <v>0.46377407049154534</v>
      </c>
      <c r="D205">
        <f t="shared" si="6"/>
        <v>56.554671373830111</v>
      </c>
      <c r="E205">
        <f t="shared" si="7"/>
        <v>319.95467137383008</v>
      </c>
    </row>
    <row r="206" spans="2:5" x14ac:dyDescent="0.2">
      <c r="B206" s="148">
        <v>0.17311132767403248</v>
      </c>
      <c r="C206" s="148">
        <v>0.46371333492990713</v>
      </c>
      <c r="D206">
        <f t="shared" si="6"/>
        <v>56.547265009508116</v>
      </c>
      <c r="E206">
        <f t="shared" si="7"/>
        <v>319.9472650095081</v>
      </c>
    </row>
    <row r="207" spans="2:5" x14ac:dyDescent="0.2">
      <c r="B207" s="148">
        <v>0.17794227536991716</v>
      </c>
      <c r="C207" s="148">
        <v>-3.0345122289592403</v>
      </c>
      <c r="D207">
        <f t="shared" si="6"/>
        <v>-370.04190792030732</v>
      </c>
      <c r="E207">
        <f t="shared" si="7"/>
        <v>-106.64190792030735</v>
      </c>
    </row>
    <row r="208" spans="2:5" x14ac:dyDescent="0.2">
      <c r="B208" s="148">
        <v>0.1772163886984415</v>
      </c>
      <c r="C208" s="148">
        <v>-1.1285637940649342</v>
      </c>
      <c r="D208">
        <f t="shared" si="6"/>
        <v>-137.6220848873628</v>
      </c>
      <c r="E208">
        <f t="shared" si="7"/>
        <v>125.77791511263717</v>
      </c>
    </row>
    <row r="209" spans="2:5" x14ac:dyDescent="0.2">
      <c r="B209" s="148">
        <v>0.17872657901177719</v>
      </c>
      <c r="C209" s="148">
        <v>-1.678541611766833</v>
      </c>
      <c r="D209">
        <f t="shared" si="6"/>
        <v>-204.68882432378877</v>
      </c>
      <c r="E209">
        <f t="shared" si="7"/>
        <v>58.711175676211212</v>
      </c>
    </row>
    <row r="210" spans="2:5" x14ac:dyDescent="0.2">
      <c r="B210" s="148">
        <v>0.18419838473276909</v>
      </c>
      <c r="C210" s="148">
        <v>-2.7144646285872098</v>
      </c>
      <c r="D210">
        <f t="shared" si="6"/>
        <v>-331.01388109716248</v>
      </c>
      <c r="E210">
        <f t="shared" si="7"/>
        <v>-67.613881097162505</v>
      </c>
    </row>
    <row r="211" spans="2:5" x14ac:dyDescent="0.2">
      <c r="B211" s="148">
        <v>0.19001477246949131</v>
      </c>
      <c r="C211" s="148">
        <v>-2.6313743584345781</v>
      </c>
      <c r="D211">
        <f t="shared" si="6"/>
        <v>-320.88148426466103</v>
      </c>
      <c r="E211">
        <f t="shared" si="7"/>
        <v>-57.481484264661049</v>
      </c>
    </row>
    <row r="212" spans="2:5" x14ac:dyDescent="0.2">
      <c r="B212" s="148">
        <v>0.19630048086853147</v>
      </c>
      <c r="C212" s="148">
        <v>-2.54711551284923</v>
      </c>
      <c r="D212">
        <f t="shared" si="6"/>
        <v>-310.6065861502255</v>
      </c>
      <c r="E212">
        <f t="shared" si="7"/>
        <v>-47.206586150225519</v>
      </c>
    </row>
    <row r="213" spans="2:5" x14ac:dyDescent="0.2">
      <c r="B213" s="148">
        <v>0.28000000000000003</v>
      </c>
      <c r="C213" s="148">
        <v>-0.71428571428571164</v>
      </c>
      <c r="D213">
        <f t="shared" si="6"/>
        <v>-87.103174603174281</v>
      </c>
      <c r="E213">
        <f t="shared" si="7"/>
        <v>176.29682539682568</v>
      </c>
    </row>
    <row r="214" spans="2:5" x14ac:dyDescent="0.2">
      <c r="B214" s="148">
        <v>0.28000000000000003</v>
      </c>
      <c r="C214" s="148">
        <v>0</v>
      </c>
      <c r="D214">
        <f t="shared" si="6"/>
        <v>0</v>
      </c>
      <c r="E214">
        <f t="shared" si="7"/>
        <v>263.39999999999998</v>
      </c>
    </row>
    <row r="215" spans="2:5" x14ac:dyDescent="0.2">
      <c r="B215" s="148">
        <v>0.28413344025354037</v>
      </c>
      <c r="C215" s="148">
        <v>0</v>
      </c>
      <c r="D215">
        <f t="shared" si="6"/>
        <v>0</v>
      </c>
      <c r="E215">
        <f t="shared" si="7"/>
        <v>263.39999999999998</v>
      </c>
    </row>
    <row r="216" spans="2:5" x14ac:dyDescent="0.2">
      <c r="B216" s="148">
        <v>0.28449868202897161</v>
      </c>
      <c r="C216" s="148">
        <v>0</v>
      </c>
      <c r="D216">
        <f t="shared" si="6"/>
        <v>0</v>
      </c>
      <c r="E216">
        <f t="shared" si="7"/>
        <v>263.39999999999998</v>
      </c>
    </row>
    <row r="217" spans="2:5" x14ac:dyDescent="0.2">
      <c r="B217" s="148">
        <v>0.28486140101441343</v>
      </c>
      <c r="C217" s="148">
        <v>0</v>
      </c>
      <c r="D217">
        <f t="shared" si="6"/>
        <v>0</v>
      </c>
      <c r="E217">
        <f t="shared" si="7"/>
        <v>263.39999999999998</v>
      </c>
    </row>
    <row r="218" spans="2:5" x14ac:dyDescent="0.2">
      <c r="B218" s="148">
        <v>0.28532252849701367</v>
      </c>
      <c r="C218" s="148">
        <v>0</v>
      </c>
      <c r="D218">
        <f t="shared" si="6"/>
        <v>0</v>
      </c>
      <c r="E218">
        <f t="shared" si="7"/>
        <v>263.39999999999998</v>
      </c>
    </row>
    <row r="219" spans="2:5" x14ac:dyDescent="0.2">
      <c r="B219" s="148">
        <v>0.28574662488255348</v>
      </c>
      <c r="C219" s="148">
        <v>0</v>
      </c>
      <c r="D219">
        <f t="shared" si="6"/>
        <v>0</v>
      </c>
      <c r="E219">
        <f t="shared" si="7"/>
        <v>263.39999999999998</v>
      </c>
    </row>
    <row r="220" spans="2:5" x14ac:dyDescent="0.2">
      <c r="B220" s="148">
        <v>0.28613369017114243</v>
      </c>
      <c r="C220" s="148">
        <v>0</v>
      </c>
      <c r="D220">
        <f t="shared" si="6"/>
        <v>0</v>
      </c>
      <c r="E220">
        <f t="shared" si="7"/>
        <v>263.39999999999998</v>
      </c>
    </row>
    <row r="221" spans="2:5" x14ac:dyDescent="0.2">
      <c r="B221" s="148">
        <v>0.28650350130605889</v>
      </c>
      <c r="C221" s="148">
        <v>0</v>
      </c>
      <c r="D221">
        <f t="shared" si="6"/>
        <v>0</v>
      </c>
      <c r="E221">
        <f t="shared" si="7"/>
        <v>263.39999999999998</v>
      </c>
    </row>
    <row r="222" spans="2:5" x14ac:dyDescent="0.2">
      <c r="B222" s="148">
        <v>0.28687128948626284</v>
      </c>
      <c r="C222" s="148">
        <v>0</v>
      </c>
      <c r="D222">
        <f t="shared" si="6"/>
        <v>0</v>
      </c>
      <c r="E222">
        <f t="shared" si="7"/>
        <v>263.39999999999998</v>
      </c>
    </row>
    <row r="223" spans="2:5" x14ac:dyDescent="0.2">
      <c r="B223" s="148">
        <v>0.28000000000000003</v>
      </c>
      <c r="C223" s="148">
        <v>0</v>
      </c>
      <c r="D223">
        <f t="shared" si="6"/>
        <v>0</v>
      </c>
      <c r="E223">
        <f t="shared" si="7"/>
        <v>263.39999999999998</v>
      </c>
    </row>
    <row r="224" spans="2:5" x14ac:dyDescent="0.2">
      <c r="B224" s="148">
        <v>0.28413344025354037</v>
      </c>
      <c r="C224" s="148">
        <v>0</v>
      </c>
      <c r="D224">
        <f t="shared" si="6"/>
        <v>0</v>
      </c>
      <c r="E224">
        <f t="shared" si="7"/>
        <v>263.39999999999998</v>
      </c>
    </row>
    <row r="225" spans="2:5" x14ac:dyDescent="0.2">
      <c r="B225" s="148">
        <v>0.28449868202897161</v>
      </c>
      <c r="C225" s="148">
        <v>0</v>
      </c>
      <c r="D225">
        <f t="shared" si="6"/>
        <v>0</v>
      </c>
      <c r="E225">
        <f t="shared" si="7"/>
        <v>263.39999999999998</v>
      </c>
    </row>
    <row r="226" spans="2:5" x14ac:dyDescent="0.2">
      <c r="B226" s="148">
        <v>0.28486140101441343</v>
      </c>
      <c r="C226" s="148">
        <v>0</v>
      </c>
      <c r="D226">
        <f t="shared" si="6"/>
        <v>0</v>
      </c>
      <c r="E226">
        <f t="shared" si="7"/>
        <v>263.39999999999998</v>
      </c>
    </row>
    <row r="227" spans="2:5" x14ac:dyDescent="0.2">
      <c r="B227" s="148">
        <v>0.28532252849701367</v>
      </c>
      <c r="C227" s="148">
        <v>0</v>
      </c>
      <c r="D227">
        <f t="shared" si="6"/>
        <v>0</v>
      </c>
      <c r="E227">
        <f t="shared" si="7"/>
        <v>263.39999999999998</v>
      </c>
    </row>
    <row r="228" spans="2:5" x14ac:dyDescent="0.2">
      <c r="B228" s="148">
        <v>0.28574662488255348</v>
      </c>
      <c r="C228" s="148">
        <v>0</v>
      </c>
      <c r="D228">
        <f t="shared" si="6"/>
        <v>0</v>
      </c>
      <c r="E228">
        <f t="shared" si="7"/>
        <v>263.39999999999998</v>
      </c>
    </row>
    <row r="229" spans="2:5" x14ac:dyDescent="0.2">
      <c r="B229" s="148">
        <v>0.28613369017114243</v>
      </c>
      <c r="C229" s="148">
        <v>0</v>
      </c>
      <c r="D229">
        <f t="shared" si="6"/>
        <v>0</v>
      </c>
      <c r="E229">
        <f t="shared" si="7"/>
        <v>263.39999999999998</v>
      </c>
    </row>
    <row r="230" spans="2:5" x14ac:dyDescent="0.2">
      <c r="B230" s="148">
        <v>0.28650350130605889</v>
      </c>
      <c r="C230" s="148">
        <v>0</v>
      </c>
      <c r="D230">
        <f t="shared" si="6"/>
        <v>0</v>
      </c>
      <c r="E230">
        <f t="shared" si="7"/>
        <v>263.39999999999998</v>
      </c>
    </row>
    <row r="231" spans="2:5" x14ac:dyDescent="0.2">
      <c r="B231" s="148">
        <v>0.28687128948626284</v>
      </c>
      <c r="C231" s="148">
        <v>0</v>
      </c>
      <c r="D231">
        <f t="shared" si="6"/>
        <v>0</v>
      </c>
      <c r="E231">
        <f t="shared" si="7"/>
        <v>263.39999999999998</v>
      </c>
    </row>
    <row r="232" spans="2:5" x14ac:dyDescent="0.2">
      <c r="B232" s="148">
        <v>0.28724871622054965</v>
      </c>
      <c r="C232" s="148">
        <v>0</v>
      </c>
      <c r="D232">
        <f t="shared" si="6"/>
        <v>0</v>
      </c>
      <c r="E232">
        <f t="shared" si="7"/>
        <v>263.39999999999998</v>
      </c>
    </row>
    <row r="233" spans="2:5" x14ac:dyDescent="0.2">
      <c r="B233" s="148">
        <v>0.28763730462884834</v>
      </c>
      <c r="C233" s="148">
        <v>0</v>
      </c>
      <c r="D233">
        <f t="shared" si="6"/>
        <v>0</v>
      </c>
      <c r="E233">
        <f t="shared" si="7"/>
        <v>263.39999999999998</v>
      </c>
    </row>
    <row r="234" spans="2:5" x14ac:dyDescent="0.2">
      <c r="B234" s="148">
        <v>0.28805176246033259</v>
      </c>
      <c r="C234" s="148">
        <v>0</v>
      </c>
      <c r="D234">
        <f t="shared" si="6"/>
        <v>0</v>
      </c>
      <c r="E234">
        <f t="shared" si="7"/>
        <v>263.39999999999998</v>
      </c>
    </row>
    <row r="235" spans="2:5" x14ac:dyDescent="0.2">
      <c r="B235" s="148">
        <v>0.28847433572583397</v>
      </c>
      <c r="C235" s="148">
        <v>0</v>
      </c>
      <c r="D235">
        <f t="shared" si="6"/>
        <v>0</v>
      </c>
      <c r="E235">
        <f t="shared" si="7"/>
        <v>263.39999999999998</v>
      </c>
    </row>
    <row r="236" spans="2:5" x14ac:dyDescent="0.2">
      <c r="B236" s="148">
        <v>0.28890147835109453</v>
      </c>
      <c r="C236" s="148">
        <v>0</v>
      </c>
      <c r="D236">
        <f t="shared" si="6"/>
        <v>0</v>
      </c>
      <c r="E236">
        <f t="shared" si="7"/>
        <v>263.39999999999998</v>
      </c>
    </row>
    <row r="237" spans="2:5" x14ac:dyDescent="0.2">
      <c r="B237" s="148">
        <v>0.28934332872528229</v>
      </c>
      <c r="C237" s="148">
        <v>0</v>
      </c>
      <c r="D237">
        <f t="shared" si="6"/>
        <v>0</v>
      </c>
      <c r="E237">
        <f t="shared" si="7"/>
        <v>263.39999999999998</v>
      </c>
    </row>
    <row r="238" spans="2:5" x14ac:dyDescent="0.2">
      <c r="B238" s="148">
        <v>0.28981054868718709</v>
      </c>
      <c r="C238" s="148">
        <v>0</v>
      </c>
      <c r="D238">
        <f t="shared" si="6"/>
        <v>0</v>
      </c>
      <c r="E238">
        <f t="shared" si="7"/>
        <v>263.39999999999998</v>
      </c>
    </row>
    <row r="239" spans="2:5" x14ac:dyDescent="0.2">
      <c r="B239" s="148">
        <v>0.29033255373485506</v>
      </c>
      <c r="C239" s="148">
        <v>0</v>
      </c>
      <c r="D239">
        <f t="shared" si="6"/>
        <v>0</v>
      </c>
      <c r="E239">
        <f t="shared" si="7"/>
        <v>263.39999999999998</v>
      </c>
    </row>
    <row r="240" spans="2:5" x14ac:dyDescent="0.2">
      <c r="B240" s="148">
        <v>0.29091391322733312</v>
      </c>
      <c r="C240" s="148">
        <v>0</v>
      </c>
      <c r="D240">
        <f t="shared" si="6"/>
        <v>0</v>
      </c>
      <c r="E240">
        <f t="shared" si="7"/>
        <v>263.39999999999998</v>
      </c>
    </row>
    <row r="241" spans="2:5" x14ac:dyDescent="0.2">
      <c r="B241" s="148">
        <v>0.29151150358888639</v>
      </c>
      <c r="C241" s="148">
        <v>0</v>
      </c>
      <c r="D241">
        <f t="shared" si="6"/>
        <v>0</v>
      </c>
      <c r="E241">
        <f t="shared" si="7"/>
        <v>263.39999999999998</v>
      </c>
    </row>
    <row r="242" spans="2:5" x14ac:dyDescent="0.2">
      <c r="B242" s="148">
        <v>0.28730632375949722</v>
      </c>
      <c r="C242" s="148">
        <v>0.48583232983555813</v>
      </c>
      <c r="D242">
        <f t="shared" si="6"/>
        <v>59.244553554947217</v>
      </c>
      <c r="E242">
        <f t="shared" si="7"/>
        <v>322.64455355494721</v>
      </c>
    </row>
    <row r="243" spans="2:5" x14ac:dyDescent="0.2">
      <c r="B243" s="148">
        <v>0.27874103300357755</v>
      </c>
      <c r="C243" s="148">
        <v>0.99850132502112121</v>
      </c>
      <c r="D243">
        <f t="shared" si="6"/>
        <v>121.76168935674227</v>
      </c>
      <c r="E243">
        <f t="shared" si="7"/>
        <v>385.16168935674227</v>
      </c>
    </row>
    <row r="244" spans="2:5" x14ac:dyDescent="0.2">
      <c r="B244" s="148">
        <v>0.27096230310228681</v>
      </c>
      <c r="C244" s="148">
        <v>0.99756232368334319</v>
      </c>
      <c r="D244">
        <f t="shared" si="6"/>
        <v>121.64718336027435</v>
      </c>
      <c r="E244">
        <f t="shared" si="7"/>
        <v>385.04718336027435</v>
      </c>
    </row>
    <row r="245" spans="2:5" x14ac:dyDescent="0.2">
      <c r="B245" s="148">
        <v>0.26381934930746526</v>
      </c>
      <c r="C245" s="148">
        <v>0.99672806717157847</v>
      </c>
      <c r="D245">
        <f t="shared" si="6"/>
        <v>121.54545041342304</v>
      </c>
      <c r="E245">
        <f t="shared" si="7"/>
        <v>384.94545041342303</v>
      </c>
    </row>
    <row r="246" spans="2:5" x14ac:dyDescent="0.2">
      <c r="B246" s="148">
        <v>0.26433045226732005</v>
      </c>
      <c r="C246" s="148">
        <v>0</v>
      </c>
      <c r="D246">
        <f t="shared" si="6"/>
        <v>0</v>
      </c>
      <c r="E246">
        <f t="shared" si="7"/>
        <v>263.39999999999998</v>
      </c>
    </row>
    <row r="247" spans="2:5" x14ac:dyDescent="0.2">
      <c r="B247" s="148">
        <v>0.26125709785040441</v>
      </c>
      <c r="C247" s="148">
        <v>0.46504156218907089</v>
      </c>
      <c r="D247">
        <f t="shared" si="6"/>
        <v>56.709234944722809</v>
      </c>
      <c r="E247">
        <f t="shared" si="7"/>
        <v>320.1092349447228</v>
      </c>
    </row>
    <row r="248" spans="2:5" x14ac:dyDescent="0.2">
      <c r="B248" s="148">
        <v>0.25765159319157177</v>
      </c>
      <c r="C248" s="148">
        <v>0.46496144032776188</v>
      </c>
      <c r="D248">
        <f t="shared" si="6"/>
        <v>56.699464528857625</v>
      </c>
      <c r="E248">
        <f t="shared" si="7"/>
        <v>320.0994645288576</v>
      </c>
    </row>
    <row r="249" spans="2:5" x14ac:dyDescent="0.2">
      <c r="B249" s="148">
        <v>0.25219692833237661</v>
      </c>
      <c r="C249" s="148">
        <v>0.46486308932181103</v>
      </c>
      <c r="D249">
        <f t="shared" si="6"/>
        <v>56.687471170076392</v>
      </c>
      <c r="E249">
        <f t="shared" si="7"/>
        <v>320.08747117007636</v>
      </c>
    </row>
    <row r="250" spans="2:5" x14ac:dyDescent="0.2">
      <c r="B250" s="148">
        <v>0.2455247247924548</v>
      </c>
      <c r="C250" s="148">
        <v>0.46475439741965652</v>
      </c>
      <c r="D250">
        <f t="shared" si="6"/>
        <v>56.674216796452548</v>
      </c>
      <c r="E250">
        <f t="shared" si="7"/>
        <v>320.0742167964525</v>
      </c>
    </row>
    <row r="251" spans="2:5" x14ac:dyDescent="0.2">
      <c r="B251" s="148">
        <v>0.23864764307612391</v>
      </c>
      <c r="C251" s="148">
        <v>0.46464691921087209</v>
      </c>
      <c r="D251">
        <f t="shared" si="6"/>
        <v>56.661110425992455</v>
      </c>
      <c r="E251">
        <f t="shared" si="7"/>
        <v>320.06111042599241</v>
      </c>
    </row>
    <row r="252" spans="2:5" x14ac:dyDescent="0.2">
      <c r="B252" s="148">
        <v>0.23189643678154395</v>
      </c>
      <c r="C252" s="148">
        <v>0.46454412310605164</v>
      </c>
      <c r="D252">
        <f t="shared" si="6"/>
        <v>56.648575012099066</v>
      </c>
      <c r="E252">
        <f t="shared" si="7"/>
        <v>320.04857501209904</v>
      </c>
    </row>
    <row r="253" spans="2:5" x14ac:dyDescent="0.2">
      <c r="B253" s="148">
        <v>0.22546099579466719</v>
      </c>
      <c r="C253" s="148">
        <v>0.46444777612767218</v>
      </c>
      <c r="D253">
        <f t="shared" si="6"/>
        <v>56.636826033346686</v>
      </c>
      <c r="E253">
        <f t="shared" si="7"/>
        <v>320.03682603334664</v>
      </c>
    </row>
    <row r="254" spans="2:5" x14ac:dyDescent="0.2">
      <c r="B254" s="148">
        <v>0.21529611892368394</v>
      </c>
      <c r="C254" s="148">
        <v>1.3219867176109363</v>
      </c>
      <c r="D254">
        <f t="shared" si="6"/>
        <v>161.20893584200027</v>
      </c>
      <c r="E254">
        <f t="shared" si="7"/>
        <v>424.60893584200028</v>
      </c>
    </row>
    <row r="255" spans="2:5" x14ac:dyDescent="0.2">
      <c r="B255" s="148">
        <v>0.2094111148869465</v>
      </c>
      <c r="C255" s="148">
        <v>0.46419077987369117</v>
      </c>
      <c r="D255">
        <f t="shared" si="6"/>
        <v>56.605486767930671</v>
      </c>
      <c r="E255">
        <f t="shared" si="7"/>
        <v>320.00548676793062</v>
      </c>
    </row>
    <row r="256" spans="2:5" x14ac:dyDescent="0.2">
      <c r="B256" s="148">
        <v>0.20383641490826632</v>
      </c>
      <c r="C256" s="148">
        <v>0.46411356628684747</v>
      </c>
      <c r="D256">
        <f t="shared" si="6"/>
        <v>56.596070999979446</v>
      </c>
      <c r="E256">
        <f t="shared" si="7"/>
        <v>319.99607099997945</v>
      </c>
    </row>
    <row r="257" spans="2:5" x14ac:dyDescent="0.2">
      <c r="B257" s="148">
        <v>0.19844103083690764</v>
      </c>
      <c r="C257" s="148">
        <v>0.46404009438181998</v>
      </c>
      <c r="D257">
        <f t="shared" si="6"/>
        <v>56.587111509338598</v>
      </c>
      <c r="E257">
        <f t="shared" si="7"/>
        <v>319.98711150933855</v>
      </c>
    </row>
    <row r="258" spans="2:5" x14ac:dyDescent="0.2">
      <c r="B258" s="148">
        <v>0.19308051880974655</v>
      </c>
      <c r="C258" s="148">
        <v>0.46396874236501662</v>
      </c>
      <c r="D258">
        <f t="shared" si="6"/>
        <v>56.578410527289513</v>
      </c>
      <c r="E258">
        <f t="shared" si="7"/>
        <v>319.9784105272895</v>
      </c>
    </row>
    <row r="259" spans="2:5" x14ac:dyDescent="0.2">
      <c r="B259" s="148">
        <v>0.1877620403311743</v>
      </c>
      <c r="C259" s="148">
        <v>0.46389947355671785</v>
      </c>
      <c r="D259">
        <f t="shared" si="6"/>
        <v>56.569963580944197</v>
      </c>
      <c r="E259">
        <f t="shared" si="7"/>
        <v>319.96996358094418</v>
      </c>
    </row>
    <row r="260" spans="2:5" x14ac:dyDescent="0.2">
      <c r="B260" s="148">
        <v>0.18285203829198374</v>
      </c>
      <c r="C260" s="148">
        <v>0.46383580839443328</v>
      </c>
      <c r="D260">
        <f t="shared" si="6"/>
        <v>56.562199968098938</v>
      </c>
      <c r="E260">
        <f t="shared" si="7"/>
        <v>319.9621999680989</v>
      </c>
    </row>
    <row r="261" spans="2:5" x14ac:dyDescent="0.2">
      <c r="B261" s="148">
        <v>0.17799713121697103</v>
      </c>
      <c r="C261" s="148">
        <v>0.46377407049154534</v>
      </c>
      <c r="D261">
        <f t="shared" ref="D261:D324" si="8">(I$1*C261*E$1)/(L$1*1.8)</f>
        <v>56.554671373830111</v>
      </c>
      <c r="E261">
        <f t="shared" ref="E261:E324" si="9">(I$1*L$1)+D261</f>
        <v>319.95467137383008</v>
      </c>
    </row>
    <row r="262" spans="2:5" x14ac:dyDescent="0.2">
      <c r="B262" s="148">
        <v>0.17311132767403248</v>
      </c>
      <c r="C262" s="148">
        <v>0.46371333492990713</v>
      </c>
      <c r="D262">
        <f t="shared" si="8"/>
        <v>56.547265009508116</v>
      </c>
      <c r="E262">
        <f t="shared" si="9"/>
        <v>319.9472650095081</v>
      </c>
    </row>
    <row r="263" spans="2:5" x14ac:dyDescent="0.2">
      <c r="B263" s="148">
        <v>0.1680529794830373</v>
      </c>
      <c r="C263" s="148">
        <v>0.46365217447760393</v>
      </c>
      <c r="D263">
        <f t="shared" si="8"/>
        <v>56.539806832130033</v>
      </c>
      <c r="E263">
        <f t="shared" si="9"/>
        <v>319.93980683212999</v>
      </c>
    </row>
    <row r="264" spans="2:5" x14ac:dyDescent="0.2">
      <c r="B264" s="148">
        <v>0.16307065027232898</v>
      </c>
      <c r="C264" s="148">
        <v>0.46359295813805207</v>
      </c>
      <c r="D264">
        <f t="shared" si="8"/>
        <v>56.532585728501346</v>
      </c>
      <c r="E264">
        <f t="shared" si="9"/>
        <v>319.93258572850129</v>
      </c>
    </row>
    <row r="265" spans="2:5" x14ac:dyDescent="0.2">
      <c r="B265" s="148">
        <v>0.15862815335102889</v>
      </c>
      <c r="C265" s="148">
        <v>0.46354002558269219</v>
      </c>
      <c r="D265">
        <f t="shared" si="8"/>
        <v>56.526130897444958</v>
      </c>
      <c r="E265">
        <f t="shared" si="9"/>
        <v>319.92613089744492</v>
      </c>
    </row>
    <row r="266" spans="2:5" x14ac:dyDescent="0.2">
      <c r="B266" s="148">
        <v>0.15433060894490444</v>
      </c>
      <c r="C266" s="148">
        <v>0.46348944424911731</v>
      </c>
      <c r="D266">
        <f t="shared" si="8"/>
        <v>56.519962784822908</v>
      </c>
      <c r="E266">
        <f t="shared" si="9"/>
        <v>319.91996278482287</v>
      </c>
    </row>
    <row r="267" spans="2:5" x14ac:dyDescent="0.2">
      <c r="B267" s="148">
        <v>0.14990622868564935</v>
      </c>
      <c r="C267" s="148">
        <v>0.46343857386400006</v>
      </c>
      <c r="D267">
        <f t="shared" si="8"/>
        <v>56.513759423971109</v>
      </c>
      <c r="E267">
        <f t="shared" si="9"/>
        <v>319.9137594239711</v>
      </c>
    </row>
    <row r="268" spans="2:5" x14ac:dyDescent="0.2">
      <c r="B268" s="148">
        <v>0.14540274772967207</v>
      </c>
      <c r="C268" s="148">
        <v>0.46338784667517796</v>
      </c>
      <c r="D268">
        <f t="shared" si="8"/>
        <v>56.507573525111972</v>
      </c>
      <c r="E268">
        <f t="shared" si="9"/>
        <v>319.90757352511196</v>
      </c>
    </row>
    <row r="269" spans="2:5" x14ac:dyDescent="0.2">
      <c r="B269" s="148">
        <v>3.7766904654961109</v>
      </c>
      <c r="C269" s="148">
        <v>-7.2919888226040619E-2</v>
      </c>
      <c r="D269">
        <f t="shared" si="8"/>
        <v>-8.8921752586755094</v>
      </c>
      <c r="E269">
        <f t="shared" si="9"/>
        <v>254.50782474132447</v>
      </c>
    </row>
    <row r="270" spans="2:5" x14ac:dyDescent="0.2">
      <c r="B270" s="148">
        <v>3.2381418800676647</v>
      </c>
      <c r="C270" s="148">
        <v>0</v>
      </c>
      <c r="D270">
        <f t="shared" si="8"/>
        <v>0</v>
      </c>
      <c r="E270">
        <f t="shared" si="9"/>
        <v>263.39999999999998</v>
      </c>
    </row>
    <row r="271" spans="2:5" x14ac:dyDescent="0.2">
      <c r="B271" s="148">
        <v>9.690078770555291E-2</v>
      </c>
      <c r="C271" s="148">
        <v>-2.063966710030555</v>
      </c>
      <c r="D271">
        <f t="shared" si="8"/>
        <v>-251.68927380650376</v>
      </c>
      <c r="E271">
        <f t="shared" si="9"/>
        <v>11.710726193496214</v>
      </c>
    </row>
    <row r="272" spans="2:5" x14ac:dyDescent="0.2">
      <c r="B272" s="148">
        <v>0.12327120064124182</v>
      </c>
      <c r="C272" s="148">
        <v>-1.6224389716302232</v>
      </c>
      <c r="D272">
        <f t="shared" si="8"/>
        <v>-197.84741904046331</v>
      </c>
      <c r="E272">
        <f t="shared" si="9"/>
        <v>65.55258095953667</v>
      </c>
    </row>
    <row r="273" spans="2:5" x14ac:dyDescent="0.2">
      <c r="B273" s="148">
        <v>0.12987137607189844</v>
      </c>
      <c r="C273" s="148">
        <v>-3.0799704453624583</v>
      </c>
      <c r="D273">
        <f t="shared" si="8"/>
        <v>-375.58528486503309</v>
      </c>
      <c r="E273">
        <f t="shared" si="9"/>
        <v>-112.18528486503311</v>
      </c>
    </row>
    <row r="274" spans="2:5" x14ac:dyDescent="0.2">
      <c r="B274" s="148">
        <v>0.15427038040671606</v>
      </c>
      <c r="C274" s="148">
        <v>-3.2410628578331608</v>
      </c>
      <c r="D274">
        <f t="shared" si="8"/>
        <v>-395.22960960798821</v>
      </c>
      <c r="E274">
        <f t="shared" si="9"/>
        <v>-131.82960960798823</v>
      </c>
    </row>
    <row r="275" spans="2:5" x14ac:dyDescent="0.2">
      <c r="B275" s="148">
        <v>0.16609972848166848</v>
      </c>
      <c r="C275" s="148">
        <v>-1.2040958876225614</v>
      </c>
      <c r="D275">
        <f t="shared" si="8"/>
        <v>-146.83280407397345</v>
      </c>
      <c r="E275">
        <f t="shared" si="9"/>
        <v>116.56719592602653</v>
      </c>
    </row>
    <row r="276" spans="2:5" x14ac:dyDescent="0.2">
      <c r="B276" s="148">
        <v>0.28000000000000003</v>
      </c>
      <c r="C276" s="148">
        <v>1.0714285714285738</v>
      </c>
      <c r="D276">
        <f t="shared" si="8"/>
        <v>130.65476190476218</v>
      </c>
      <c r="E276">
        <f t="shared" si="9"/>
        <v>394.05476190476213</v>
      </c>
    </row>
    <row r="277" spans="2:5" x14ac:dyDescent="0.2">
      <c r="B277" s="148">
        <v>0.26203417267826506</v>
      </c>
      <c r="C277" s="148">
        <v>-3.8162961333590477</v>
      </c>
      <c r="D277">
        <f t="shared" si="8"/>
        <v>-465.37611181795046</v>
      </c>
      <c r="E277">
        <f t="shared" si="9"/>
        <v>-201.97611181795048</v>
      </c>
    </row>
    <row r="278" spans="2:5" x14ac:dyDescent="0.2">
      <c r="B278" s="148">
        <v>0.28449868202897161</v>
      </c>
      <c r="C278" s="148">
        <v>-2.4604683403373926</v>
      </c>
      <c r="D278">
        <f t="shared" si="8"/>
        <v>-300.04044483558761</v>
      </c>
      <c r="E278">
        <f t="shared" si="9"/>
        <v>-36.64044483558763</v>
      </c>
    </row>
    <row r="279" spans="2:5" x14ac:dyDescent="0.2">
      <c r="B279" s="148">
        <v>0.28486140101441343</v>
      </c>
      <c r="C279" s="148">
        <v>0</v>
      </c>
      <c r="D279">
        <f t="shared" si="8"/>
        <v>0</v>
      </c>
      <c r="E279">
        <f t="shared" si="9"/>
        <v>263.39999999999998</v>
      </c>
    </row>
    <row r="280" spans="2:5" x14ac:dyDescent="0.2">
      <c r="B280" s="148">
        <v>0.28532252849701367</v>
      </c>
      <c r="C280" s="148">
        <v>0</v>
      </c>
      <c r="D280">
        <f t="shared" si="8"/>
        <v>0</v>
      </c>
      <c r="E280">
        <f t="shared" si="9"/>
        <v>263.39999999999998</v>
      </c>
    </row>
    <row r="281" spans="2:5" x14ac:dyDescent="0.2">
      <c r="B281" s="148">
        <v>0.28574662488255348</v>
      </c>
      <c r="C281" s="148">
        <v>0</v>
      </c>
      <c r="D281">
        <f t="shared" si="8"/>
        <v>0</v>
      </c>
      <c r="E281">
        <f t="shared" si="9"/>
        <v>263.39999999999998</v>
      </c>
    </row>
    <row r="282" spans="2:5" x14ac:dyDescent="0.2">
      <c r="B282" s="148">
        <v>0.28613369017114243</v>
      </c>
      <c r="C282" s="148">
        <v>0</v>
      </c>
      <c r="D282">
        <f t="shared" si="8"/>
        <v>0</v>
      </c>
      <c r="E282">
        <f t="shared" si="9"/>
        <v>263.39999999999998</v>
      </c>
    </row>
    <row r="283" spans="2:5" x14ac:dyDescent="0.2">
      <c r="B283" s="148">
        <v>0.28650350130605889</v>
      </c>
      <c r="C283" s="148">
        <v>0</v>
      </c>
      <c r="D283">
        <f t="shared" si="8"/>
        <v>0</v>
      </c>
      <c r="E283">
        <f t="shared" si="9"/>
        <v>263.39999999999998</v>
      </c>
    </row>
    <row r="284" spans="2:5" x14ac:dyDescent="0.2">
      <c r="B284" s="148">
        <v>0.28687128948626284</v>
      </c>
      <c r="C284" s="148">
        <v>0</v>
      </c>
      <c r="D284">
        <f t="shared" si="8"/>
        <v>0</v>
      </c>
      <c r="E284">
        <f t="shared" si="9"/>
        <v>263.39999999999998</v>
      </c>
    </row>
    <row r="285" spans="2:5" x14ac:dyDescent="0.2">
      <c r="B285" s="148">
        <v>0.28724871622054965</v>
      </c>
      <c r="C285" s="148">
        <v>0</v>
      </c>
      <c r="D285">
        <f t="shared" si="8"/>
        <v>0</v>
      </c>
      <c r="E285">
        <f t="shared" si="9"/>
        <v>263.39999999999998</v>
      </c>
    </row>
    <row r="286" spans="2:5" x14ac:dyDescent="0.2">
      <c r="B286" s="148">
        <v>0.28763730462884834</v>
      </c>
      <c r="C286" s="148">
        <v>0</v>
      </c>
      <c r="D286">
        <f t="shared" si="8"/>
        <v>0</v>
      </c>
      <c r="E286">
        <f t="shared" si="9"/>
        <v>263.39999999999998</v>
      </c>
    </row>
    <row r="287" spans="2:5" x14ac:dyDescent="0.2">
      <c r="B287" s="148">
        <v>0.28805176246033259</v>
      </c>
      <c r="C287" s="148">
        <v>0</v>
      </c>
      <c r="D287">
        <f t="shared" si="8"/>
        <v>0</v>
      </c>
      <c r="E287">
        <f t="shared" si="9"/>
        <v>263.39999999999998</v>
      </c>
    </row>
    <row r="288" spans="2:5" x14ac:dyDescent="0.2">
      <c r="B288" s="148">
        <v>0.28847433572583397</v>
      </c>
      <c r="C288" s="148">
        <v>0</v>
      </c>
      <c r="D288">
        <f t="shared" si="8"/>
        <v>0</v>
      </c>
      <c r="E288">
        <f t="shared" si="9"/>
        <v>263.39999999999998</v>
      </c>
    </row>
    <row r="289" spans="2:5" x14ac:dyDescent="0.2">
      <c r="B289" s="148">
        <v>0.28890147835109453</v>
      </c>
      <c r="C289" s="148">
        <v>0</v>
      </c>
      <c r="D289">
        <f t="shared" si="8"/>
        <v>0</v>
      </c>
      <c r="E289">
        <f t="shared" si="9"/>
        <v>263.39999999999998</v>
      </c>
    </row>
    <row r="290" spans="2:5" x14ac:dyDescent="0.2">
      <c r="B290" s="148">
        <v>0.28934332872528229</v>
      </c>
      <c r="C290" s="148">
        <v>0</v>
      </c>
      <c r="D290">
        <f t="shared" si="8"/>
        <v>0</v>
      </c>
      <c r="E290">
        <f t="shared" si="9"/>
        <v>263.39999999999998</v>
      </c>
    </row>
    <row r="291" spans="2:5" x14ac:dyDescent="0.2">
      <c r="B291" s="148">
        <v>0.28981054868718709</v>
      </c>
      <c r="C291" s="148">
        <v>0</v>
      </c>
      <c r="D291">
        <f t="shared" si="8"/>
        <v>0</v>
      </c>
      <c r="E291">
        <f t="shared" si="9"/>
        <v>263.39999999999998</v>
      </c>
    </row>
    <row r="292" spans="2:5" x14ac:dyDescent="0.2">
      <c r="B292" s="148">
        <v>0.29033255373485506</v>
      </c>
      <c r="C292" s="148">
        <v>0</v>
      </c>
      <c r="D292">
        <f t="shared" si="8"/>
        <v>0</v>
      </c>
      <c r="E292">
        <f t="shared" si="9"/>
        <v>263.39999999999998</v>
      </c>
    </row>
    <row r="293" spans="2:5" x14ac:dyDescent="0.2">
      <c r="B293" s="148">
        <v>0.29091391322733312</v>
      </c>
      <c r="C293" s="148">
        <v>0</v>
      </c>
      <c r="D293">
        <f t="shared" si="8"/>
        <v>0</v>
      </c>
      <c r="E293">
        <f t="shared" si="9"/>
        <v>263.39999999999998</v>
      </c>
    </row>
    <row r="294" spans="2:5" x14ac:dyDescent="0.2">
      <c r="B294" s="148">
        <v>0.29151150358888639</v>
      </c>
      <c r="C294" s="148">
        <v>0</v>
      </c>
      <c r="D294">
        <f t="shared" si="8"/>
        <v>0</v>
      </c>
      <c r="E294">
        <f t="shared" si="9"/>
        <v>263.39999999999998</v>
      </c>
    </row>
    <row r="295" spans="2:5" x14ac:dyDescent="0.2">
      <c r="B295" s="148">
        <v>0.28730632375949722</v>
      </c>
      <c r="C295" s="148">
        <v>0.48583232983555813</v>
      </c>
      <c r="D295">
        <f t="shared" si="8"/>
        <v>59.244553554947217</v>
      </c>
      <c r="E295">
        <f t="shared" si="9"/>
        <v>322.64455355494721</v>
      </c>
    </row>
    <row r="296" spans="2:5" x14ac:dyDescent="0.2">
      <c r="B296" s="148">
        <v>0.27874103300357755</v>
      </c>
      <c r="C296" s="148">
        <v>0.99850132502112121</v>
      </c>
      <c r="D296">
        <f t="shared" si="8"/>
        <v>121.76168935674227</v>
      </c>
      <c r="E296">
        <f t="shared" si="9"/>
        <v>385.16168935674227</v>
      </c>
    </row>
    <row r="297" spans="2:5" x14ac:dyDescent="0.2">
      <c r="B297" s="148">
        <v>0.27096230310228681</v>
      </c>
      <c r="C297" s="148">
        <v>0.99756232368334319</v>
      </c>
      <c r="D297">
        <f t="shared" si="8"/>
        <v>121.64718336027435</v>
      </c>
      <c r="E297">
        <f t="shared" si="9"/>
        <v>385.04718336027435</v>
      </c>
    </row>
    <row r="298" spans="2:5" x14ac:dyDescent="0.2">
      <c r="B298" s="148">
        <v>0.26381934930746526</v>
      </c>
      <c r="C298" s="148">
        <v>0.99672806717157847</v>
      </c>
      <c r="D298">
        <f t="shared" si="8"/>
        <v>121.54545041342304</v>
      </c>
      <c r="E298">
        <f t="shared" si="9"/>
        <v>384.94545041342303</v>
      </c>
    </row>
    <row r="299" spans="2:5" x14ac:dyDescent="0.2">
      <c r="B299" s="148">
        <v>0.26433045226732005</v>
      </c>
      <c r="C299" s="148">
        <v>0</v>
      </c>
      <c r="D299">
        <f t="shared" si="8"/>
        <v>0</v>
      </c>
      <c r="E299">
        <f t="shared" si="9"/>
        <v>263.39999999999998</v>
      </c>
    </row>
    <row r="300" spans="2:5" x14ac:dyDescent="0.2">
      <c r="B300" s="148">
        <v>0.26125709785040441</v>
      </c>
      <c r="C300" s="148">
        <v>0.46504156218907089</v>
      </c>
      <c r="D300">
        <f t="shared" si="8"/>
        <v>56.709234944722809</v>
      </c>
      <c r="E300">
        <f t="shared" si="9"/>
        <v>320.1092349447228</v>
      </c>
    </row>
    <row r="301" spans="2:5" x14ac:dyDescent="0.2">
      <c r="B301" s="148">
        <v>0.25765159319157177</v>
      </c>
      <c r="C301" s="148">
        <v>0.46496144032776188</v>
      </c>
      <c r="D301">
        <f t="shared" si="8"/>
        <v>56.699464528857625</v>
      </c>
      <c r="E301">
        <f t="shared" si="9"/>
        <v>320.0994645288576</v>
      </c>
    </row>
    <row r="302" spans="2:5" x14ac:dyDescent="0.2">
      <c r="B302" s="148">
        <v>0.25219692833237661</v>
      </c>
      <c r="C302" s="148">
        <v>0.46486308932181103</v>
      </c>
      <c r="D302">
        <f t="shared" si="8"/>
        <v>56.687471170076392</v>
      </c>
      <c r="E302">
        <f t="shared" si="9"/>
        <v>320.08747117007636</v>
      </c>
    </row>
    <row r="303" spans="2:5" x14ac:dyDescent="0.2">
      <c r="B303" s="148">
        <v>0.2455247247924548</v>
      </c>
      <c r="C303" s="148">
        <v>0.46475439741965652</v>
      </c>
      <c r="D303">
        <f t="shared" si="8"/>
        <v>56.674216796452548</v>
      </c>
      <c r="E303">
        <f t="shared" si="9"/>
        <v>320.0742167964525</v>
      </c>
    </row>
    <row r="304" spans="2:5" x14ac:dyDescent="0.2">
      <c r="B304" s="148">
        <v>0.23864764307612391</v>
      </c>
      <c r="C304" s="148">
        <v>0.46464691921087209</v>
      </c>
      <c r="D304">
        <f t="shared" si="8"/>
        <v>56.661110425992455</v>
      </c>
      <c r="E304">
        <f t="shared" si="9"/>
        <v>320.06111042599241</v>
      </c>
    </row>
    <row r="305" spans="2:5" x14ac:dyDescent="0.2">
      <c r="B305" s="148">
        <v>0.23189643678154395</v>
      </c>
      <c r="C305" s="148">
        <v>0.46454412310605164</v>
      </c>
      <c r="D305">
        <f t="shared" si="8"/>
        <v>56.648575012099066</v>
      </c>
      <c r="E305">
        <f t="shared" si="9"/>
        <v>320.04857501209904</v>
      </c>
    </row>
    <row r="306" spans="2:5" x14ac:dyDescent="0.2">
      <c r="B306" s="148">
        <v>0.22546099579466719</v>
      </c>
      <c r="C306" s="148">
        <v>0.46444777612767218</v>
      </c>
      <c r="D306">
        <f t="shared" si="8"/>
        <v>56.636826033346686</v>
      </c>
      <c r="E306">
        <f t="shared" si="9"/>
        <v>320.03682603334664</v>
      </c>
    </row>
    <row r="307" spans="2:5" x14ac:dyDescent="0.2">
      <c r="B307" s="148">
        <v>0.21529611892368394</v>
      </c>
      <c r="C307" s="148">
        <v>1.3219867176109363</v>
      </c>
      <c r="D307">
        <f t="shared" si="8"/>
        <v>161.20893584200027</v>
      </c>
      <c r="E307">
        <f t="shared" si="9"/>
        <v>424.60893584200028</v>
      </c>
    </row>
    <row r="308" spans="2:5" x14ac:dyDescent="0.2">
      <c r="B308" s="148">
        <v>0.2094111148869465</v>
      </c>
      <c r="C308" s="148">
        <v>0.46419077987369117</v>
      </c>
      <c r="D308">
        <f t="shared" si="8"/>
        <v>56.605486767930671</v>
      </c>
      <c r="E308">
        <f t="shared" si="9"/>
        <v>320.00548676793062</v>
      </c>
    </row>
    <row r="309" spans="2:5" x14ac:dyDescent="0.2">
      <c r="B309" s="148">
        <v>0.20383641490826632</v>
      </c>
      <c r="C309" s="148">
        <v>0.46411356628684747</v>
      </c>
      <c r="D309">
        <f t="shared" si="8"/>
        <v>56.596070999979446</v>
      </c>
      <c r="E309">
        <f t="shared" si="9"/>
        <v>319.99607099997945</v>
      </c>
    </row>
    <row r="310" spans="2:5" x14ac:dyDescent="0.2">
      <c r="B310" s="148">
        <v>0.19844103083690764</v>
      </c>
      <c r="C310" s="148">
        <v>0.46404009438181998</v>
      </c>
      <c r="D310">
        <f t="shared" si="8"/>
        <v>56.587111509338598</v>
      </c>
      <c r="E310">
        <f t="shared" si="9"/>
        <v>319.98711150933855</v>
      </c>
    </row>
    <row r="311" spans="2:5" x14ac:dyDescent="0.2">
      <c r="B311" s="148">
        <v>0.19308051880974655</v>
      </c>
      <c r="C311" s="148">
        <v>0.46396874236501662</v>
      </c>
      <c r="D311">
        <f t="shared" si="8"/>
        <v>56.578410527289513</v>
      </c>
      <c r="E311">
        <f t="shared" si="9"/>
        <v>319.9784105272895</v>
      </c>
    </row>
    <row r="312" spans="2:5" x14ac:dyDescent="0.2">
      <c r="B312" s="148">
        <v>0.1877620403311743</v>
      </c>
      <c r="C312" s="148">
        <v>0.46389947355671785</v>
      </c>
      <c r="D312">
        <f t="shared" si="8"/>
        <v>56.569963580944197</v>
      </c>
      <c r="E312">
        <f t="shared" si="9"/>
        <v>319.96996358094418</v>
      </c>
    </row>
    <row r="313" spans="2:5" x14ac:dyDescent="0.2">
      <c r="B313" s="148">
        <v>0.18285203829198374</v>
      </c>
      <c r="C313" s="148">
        <v>0.46383580839443328</v>
      </c>
      <c r="D313">
        <f t="shared" si="8"/>
        <v>56.562199968098938</v>
      </c>
      <c r="E313">
        <f t="shared" si="9"/>
        <v>319.9621999680989</v>
      </c>
    </row>
    <row r="314" spans="2:5" x14ac:dyDescent="0.2">
      <c r="B314" s="148">
        <v>0.17799713121697103</v>
      </c>
      <c r="C314" s="148">
        <v>0.46377407049154534</v>
      </c>
      <c r="D314">
        <f t="shared" si="8"/>
        <v>56.554671373830111</v>
      </c>
      <c r="E314">
        <f t="shared" si="9"/>
        <v>319.95467137383008</v>
      </c>
    </row>
    <row r="315" spans="2:5" x14ac:dyDescent="0.2">
      <c r="B315" s="148">
        <v>0.17311132767403248</v>
      </c>
      <c r="C315" s="148">
        <v>0.46371333492990713</v>
      </c>
      <c r="D315">
        <f t="shared" si="8"/>
        <v>56.547265009508116</v>
      </c>
      <c r="E315">
        <f t="shared" si="9"/>
        <v>319.9472650095081</v>
      </c>
    </row>
    <row r="316" spans="2:5" x14ac:dyDescent="0.2">
      <c r="B316" s="148">
        <v>0.1680529794830373</v>
      </c>
      <c r="C316" s="148">
        <v>0.46365217447760393</v>
      </c>
      <c r="D316">
        <f t="shared" si="8"/>
        <v>56.539806832130033</v>
      </c>
      <c r="E316">
        <f t="shared" si="9"/>
        <v>319.93980683212999</v>
      </c>
    </row>
    <row r="317" spans="2:5" x14ac:dyDescent="0.2">
      <c r="B317" s="148">
        <v>0.16307065027232898</v>
      </c>
      <c r="C317" s="148">
        <v>0.46359295813805207</v>
      </c>
      <c r="D317">
        <f t="shared" si="8"/>
        <v>56.532585728501346</v>
      </c>
      <c r="E317">
        <f t="shared" si="9"/>
        <v>319.93258572850129</v>
      </c>
    </row>
    <row r="318" spans="2:5" x14ac:dyDescent="0.2">
      <c r="B318" s="148">
        <v>0.15862815335102889</v>
      </c>
      <c r="C318" s="148">
        <v>0.46354002558269219</v>
      </c>
      <c r="D318">
        <f t="shared" si="8"/>
        <v>56.526130897444958</v>
      </c>
      <c r="E318">
        <f t="shared" si="9"/>
        <v>319.92613089744492</v>
      </c>
    </row>
    <row r="319" spans="2:5" x14ac:dyDescent="0.2">
      <c r="B319" s="148">
        <v>0.15433060894490444</v>
      </c>
      <c r="C319" s="148">
        <v>0.46348944424911731</v>
      </c>
      <c r="D319">
        <f t="shared" si="8"/>
        <v>56.519962784822908</v>
      </c>
      <c r="E319">
        <f t="shared" si="9"/>
        <v>319.91996278482287</v>
      </c>
    </row>
    <row r="320" spans="2:5" x14ac:dyDescent="0.2">
      <c r="B320" s="148">
        <v>0.15133919931198422</v>
      </c>
      <c r="C320" s="148">
        <v>-0.25469707634934674</v>
      </c>
      <c r="D320">
        <f t="shared" si="8"/>
        <v>-31.058893477045334</v>
      </c>
      <c r="E320">
        <f t="shared" si="9"/>
        <v>232.34110652295465</v>
      </c>
    </row>
    <row r="321" spans="2:5" x14ac:dyDescent="0.2">
      <c r="B321" s="148">
        <v>0.15168673521659251</v>
      </c>
      <c r="C321" s="148">
        <v>-1.977760280565289</v>
      </c>
      <c r="D321">
        <f t="shared" si="8"/>
        <v>-241.17687865782273</v>
      </c>
      <c r="E321">
        <f t="shared" si="9"/>
        <v>22.223121342177251</v>
      </c>
    </row>
    <row r="322" spans="2:5" x14ac:dyDescent="0.2">
      <c r="B322" s="148">
        <v>4.9763450839478161</v>
      </c>
      <c r="C322" s="148">
        <v>-0.50237673590287046</v>
      </c>
      <c r="D322">
        <f t="shared" si="8"/>
        <v>-61.262051961488922</v>
      </c>
      <c r="E322">
        <f t="shared" si="9"/>
        <v>202.13794803851107</v>
      </c>
    </row>
    <row r="323" spans="2:5" x14ac:dyDescent="0.2">
      <c r="B323" s="148">
        <v>20.840214319097555</v>
      </c>
      <c r="C323" s="148">
        <v>-9.5968302886752614E-3</v>
      </c>
      <c r="D323">
        <f t="shared" si="8"/>
        <v>-1.1702801379801222</v>
      </c>
      <c r="E323">
        <f t="shared" si="9"/>
        <v>262.22971986201986</v>
      </c>
    </row>
    <row r="324" spans="2:5" x14ac:dyDescent="0.2">
      <c r="B324" s="148">
        <v>0.14114401255485984</v>
      </c>
      <c r="C324" s="148">
        <v>0</v>
      </c>
      <c r="D324">
        <f t="shared" si="8"/>
        <v>0</v>
      </c>
      <c r="E324">
        <f t="shared" si="9"/>
        <v>263.39999999999998</v>
      </c>
    </row>
    <row r="325" spans="2:5" x14ac:dyDescent="0.2">
      <c r="B325" s="148">
        <v>0.142715096892297</v>
      </c>
      <c r="C325" s="148">
        <v>0</v>
      </c>
      <c r="D325">
        <f t="shared" ref="D325:D388" si="10">(I$1*C325*E$1)/(L$1*1.8)</f>
        <v>0</v>
      </c>
      <c r="E325">
        <f t="shared" ref="E325:E388" si="11">(I$1*L$1)+D325</f>
        <v>263.39999999999998</v>
      </c>
    </row>
    <row r="326" spans="2:5" x14ac:dyDescent="0.2">
      <c r="B326" s="148">
        <v>0.14431357377246506</v>
      </c>
      <c r="C326" s="148">
        <v>0</v>
      </c>
      <c r="D326">
        <f t="shared" si="10"/>
        <v>0</v>
      </c>
      <c r="E326">
        <f t="shared" si="11"/>
        <v>263.39999999999998</v>
      </c>
    </row>
    <row r="327" spans="2:5" x14ac:dyDescent="0.2">
      <c r="B327" s="148">
        <v>0.15</v>
      </c>
      <c r="C327" s="148">
        <v>0</v>
      </c>
      <c r="D327">
        <f t="shared" si="10"/>
        <v>0</v>
      </c>
      <c r="E327">
        <f t="shared" si="11"/>
        <v>263.39999999999998</v>
      </c>
    </row>
    <row r="328" spans="2:5" x14ac:dyDescent="0.2">
      <c r="B328" s="148">
        <v>0.147298479340045</v>
      </c>
      <c r="C328" s="148">
        <v>0</v>
      </c>
      <c r="D328">
        <f t="shared" si="10"/>
        <v>0</v>
      </c>
      <c r="E328">
        <f t="shared" si="11"/>
        <v>263.39999999999998</v>
      </c>
    </row>
    <row r="329" spans="2:5" x14ac:dyDescent="0.2">
      <c r="B329" s="148">
        <v>0.18453</v>
      </c>
      <c r="C329" s="148">
        <v>0</v>
      </c>
      <c r="D329">
        <f t="shared" si="10"/>
        <v>0</v>
      </c>
      <c r="E329">
        <f t="shared" si="11"/>
        <v>263.39999999999998</v>
      </c>
    </row>
    <row r="330" spans="2:5" x14ac:dyDescent="0.2">
      <c r="B330" s="148">
        <v>0.28413344025354037</v>
      </c>
      <c r="C330" s="148">
        <v>0</v>
      </c>
      <c r="D330">
        <f t="shared" si="10"/>
        <v>0</v>
      </c>
      <c r="E330">
        <f t="shared" si="11"/>
        <v>263.39999999999998</v>
      </c>
    </row>
    <row r="331" spans="2:5" x14ac:dyDescent="0.2">
      <c r="B331" s="148">
        <v>0.28449868202897161</v>
      </c>
      <c r="C331" s="148">
        <v>0</v>
      </c>
      <c r="D331">
        <f t="shared" si="10"/>
        <v>0</v>
      </c>
      <c r="E331">
        <f t="shared" si="11"/>
        <v>263.39999999999998</v>
      </c>
    </row>
    <row r="332" spans="2:5" x14ac:dyDescent="0.2">
      <c r="B332" s="148">
        <v>0.28486140101441343</v>
      </c>
      <c r="C332" s="148">
        <v>0</v>
      </c>
      <c r="D332">
        <f t="shared" si="10"/>
        <v>0</v>
      </c>
      <c r="E332">
        <f t="shared" si="11"/>
        <v>263.39999999999998</v>
      </c>
    </row>
    <row r="333" spans="2:5" x14ac:dyDescent="0.2">
      <c r="B333" s="148">
        <v>0.28532252849701367</v>
      </c>
      <c r="C333" s="148">
        <v>0</v>
      </c>
      <c r="D333">
        <f t="shared" si="10"/>
        <v>0</v>
      </c>
      <c r="E333">
        <f t="shared" si="11"/>
        <v>263.39999999999998</v>
      </c>
    </row>
    <row r="334" spans="2:5" x14ac:dyDescent="0.2">
      <c r="B334" s="148">
        <v>0.28574662488255348</v>
      </c>
      <c r="C334" s="148">
        <v>0</v>
      </c>
      <c r="D334">
        <f t="shared" si="10"/>
        <v>0</v>
      </c>
      <c r="E334">
        <f t="shared" si="11"/>
        <v>263.39999999999998</v>
      </c>
    </row>
    <row r="335" spans="2:5" x14ac:dyDescent="0.2">
      <c r="B335" s="148">
        <v>0.28613369017114243</v>
      </c>
      <c r="C335" s="148">
        <v>0</v>
      </c>
      <c r="D335">
        <f t="shared" si="10"/>
        <v>0</v>
      </c>
      <c r="E335">
        <f t="shared" si="11"/>
        <v>263.39999999999998</v>
      </c>
    </row>
    <row r="336" spans="2:5" x14ac:dyDescent="0.2">
      <c r="B336" s="148">
        <v>0.28650350130605889</v>
      </c>
      <c r="C336" s="148">
        <v>0</v>
      </c>
      <c r="D336">
        <f t="shared" si="10"/>
        <v>0</v>
      </c>
      <c r="E336">
        <f t="shared" si="11"/>
        <v>263.39999999999998</v>
      </c>
    </row>
    <row r="337" spans="2:5" x14ac:dyDescent="0.2">
      <c r="B337" s="148">
        <v>0.28687128948626284</v>
      </c>
      <c r="C337" s="148">
        <v>0</v>
      </c>
      <c r="D337">
        <f t="shared" si="10"/>
        <v>0</v>
      </c>
      <c r="E337">
        <f t="shared" si="11"/>
        <v>263.39999999999998</v>
      </c>
    </row>
    <row r="338" spans="2:5" x14ac:dyDescent="0.2">
      <c r="B338" s="148">
        <v>0.28724871622054965</v>
      </c>
      <c r="C338" s="148">
        <v>0</v>
      </c>
      <c r="D338">
        <f t="shared" si="10"/>
        <v>0</v>
      </c>
      <c r="E338">
        <f t="shared" si="11"/>
        <v>263.39999999999998</v>
      </c>
    </row>
    <row r="339" spans="2:5" x14ac:dyDescent="0.2">
      <c r="B339" s="148">
        <v>0.28763730462884834</v>
      </c>
      <c r="C339" s="148">
        <v>0</v>
      </c>
      <c r="D339">
        <f t="shared" si="10"/>
        <v>0</v>
      </c>
      <c r="E339">
        <f t="shared" si="11"/>
        <v>263.39999999999998</v>
      </c>
    </row>
    <row r="340" spans="2:5" x14ac:dyDescent="0.2">
      <c r="B340" s="148">
        <v>0.28805176246033259</v>
      </c>
      <c r="C340" s="148">
        <v>0</v>
      </c>
      <c r="D340">
        <f t="shared" si="10"/>
        <v>0</v>
      </c>
      <c r="E340">
        <f t="shared" si="11"/>
        <v>263.39999999999998</v>
      </c>
    </row>
    <row r="341" spans="2:5" x14ac:dyDescent="0.2">
      <c r="B341" s="148">
        <v>0.28847433572583397</v>
      </c>
      <c r="C341" s="148">
        <v>0</v>
      </c>
      <c r="D341">
        <f t="shared" si="10"/>
        <v>0</v>
      </c>
      <c r="E341">
        <f t="shared" si="11"/>
        <v>263.39999999999998</v>
      </c>
    </row>
    <row r="342" spans="2:5" x14ac:dyDescent="0.2">
      <c r="B342" s="148">
        <v>0.28890147835109453</v>
      </c>
      <c r="C342" s="148">
        <v>0</v>
      </c>
      <c r="D342">
        <f t="shared" si="10"/>
        <v>0</v>
      </c>
      <c r="E342">
        <f t="shared" si="11"/>
        <v>263.39999999999998</v>
      </c>
    </row>
    <row r="343" spans="2:5" x14ac:dyDescent="0.2">
      <c r="B343" s="148">
        <v>0.28934332872528229</v>
      </c>
      <c r="C343" s="148">
        <v>0</v>
      </c>
      <c r="D343">
        <f t="shared" si="10"/>
        <v>0</v>
      </c>
      <c r="E343">
        <f t="shared" si="11"/>
        <v>263.39999999999998</v>
      </c>
    </row>
    <row r="344" spans="2:5" x14ac:dyDescent="0.2">
      <c r="B344" s="148">
        <v>0.28981054868718709</v>
      </c>
      <c r="C344" s="148">
        <v>0</v>
      </c>
      <c r="D344">
        <f t="shared" si="10"/>
        <v>0</v>
      </c>
      <c r="E344">
        <f t="shared" si="11"/>
        <v>263.39999999999998</v>
      </c>
    </row>
    <row r="345" spans="2:5" x14ac:dyDescent="0.2">
      <c r="B345" s="148">
        <v>0.29033255373485506</v>
      </c>
      <c r="C345" s="148">
        <v>0</v>
      </c>
      <c r="D345">
        <f t="shared" si="10"/>
        <v>0</v>
      </c>
      <c r="E345">
        <f t="shared" si="11"/>
        <v>263.39999999999998</v>
      </c>
    </row>
    <row r="346" spans="2:5" x14ac:dyDescent="0.2">
      <c r="B346" s="148">
        <v>0.29091391322733312</v>
      </c>
      <c r="C346" s="148">
        <v>0</v>
      </c>
      <c r="D346">
        <f t="shared" si="10"/>
        <v>0</v>
      </c>
      <c r="E346">
        <f t="shared" si="11"/>
        <v>263.39999999999998</v>
      </c>
    </row>
    <row r="347" spans="2:5" x14ac:dyDescent="0.2">
      <c r="B347" s="148">
        <v>0.29151150358888639</v>
      </c>
      <c r="C347" s="148">
        <v>0</v>
      </c>
      <c r="D347">
        <f t="shared" si="10"/>
        <v>0</v>
      </c>
      <c r="E347">
        <f t="shared" si="11"/>
        <v>263.39999999999998</v>
      </c>
    </row>
    <row r="348" spans="2:5" x14ac:dyDescent="0.2">
      <c r="B348" s="148">
        <v>0.28730632375949722</v>
      </c>
      <c r="C348" s="148">
        <v>0.48583232983555813</v>
      </c>
      <c r="D348">
        <f t="shared" si="10"/>
        <v>59.244553554947217</v>
      </c>
      <c r="E348">
        <f t="shared" si="11"/>
        <v>322.64455355494721</v>
      </c>
    </row>
    <row r="349" spans="2:5" x14ac:dyDescent="0.2">
      <c r="B349" s="148">
        <v>0.27874103300357755</v>
      </c>
      <c r="C349" s="148">
        <v>0.99850132502112121</v>
      </c>
      <c r="D349">
        <f t="shared" si="10"/>
        <v>121.76168935674227</v>
      </c>
      <c r="E349">
        <f t="shared" si="11"/>
        <v>385.16168935674227</v>
      </c>
    </row>
    <row r="350" spans="2:5" x14ac:dyDescent="0.2">
      <c r="B350" s="148">
        <v>0.27096230310228681</v>
      </c>
      <c r="C350" s="148">
        <v>0.99756232368334319</v>
      </c>
      <c r="D350">
        <f t="shared" si="10"/>
        <v>121.64718336027435</v>
      </c>
      <c r="E350">
        <f t="shared" si="11"/>
        <v>385.04718336027435</v>
      </c>
    </row>
    <row r="351" spans="2:5" x14ac:dyDescent="0.2">
      <c r="B351" s="148">
        <v>0.26381934930746526</v>
      </c>
      <c r="C351" s="148">
        <v>0.99672806717157847</v>
      </c>
      <c r="D351">
        <f t="shared" si="10"/>
        <v>121.54545041342304</v>
      </c>
      <c r="E351">
        <f t="shared" si="11"/>
        <v>384.94545041342303</v>
      </c>
    </row>
    <row r="352" spans="2:5" x14ac:dyDescent="0.2">
      <c r="B352" s="148">
        <v>0.26433045226732005</v>
      </c>
      <c r="C352" s="148">
        <v>0</v>
      </c>
      <c r="D352">
        <f t="shared" si="10"/>
        <v>0</v>
      </c>
      <c r="E352">
        <f t="shared" si="11"/>
        <v>263.39999999999998</v>
      </c>
    </row>
    <row r="353" spans="2:5" x14ac:dyDescent="0.2">
      <c r="B353" s="148">
        <v>0.26125709785040441</v>
      </c>
      <c r="C353" s="148">
        <v>0.46504156218907089</v>
      </c>
      <c r="D353">
        <f t="shared" si="10"/>
        <v>56.709234944722809</v>
      </c>
      <c r="E353">
        <f t="shared" si="11"/>
        <v>320.1092349447228</v>
      </c>
    </row>
    <row r="354" spans="2:5" x14ac:dyDescent="0.2">
      <c r="B354" s="148">
        <v>0.25765159319157177</v>
      </c>
      <c r="C354" s="148">
        <v>0.46496144032776188</v>
      </c>
      <c r="D354">
        <f t="shared" si="10"/>
        <v>56.699464528857625</v>
      </c>
      <c r="E354">
        <f t="shared" si="11"/>
        <v>320.0994645288576</v>
      </c>
    </row>
    <row r="355" spans="2:5" x14ac:dyDescent="0.2">
      <c r="B355" s="148">
        <v>0.25219692833237661</v>
      </c>
      <c r="C355" s="148">
        <v>0.46486308932181103</v>
      </c>
      <c r="D355">
        <f t="shared" si="10"/>
        <v>56.687471170076392</v>
      </c>
      <c r="E355">
        <f t="shared" si="11"/>
        <v>320.08747117007636</v>
      </c>
    </row>
    <row r="356" spans="2:5" x14ac:dyDescent="0.2">
      <c r="B356" s="148">
        <v>0.2455247247924548</v>
      </c>
      <c r="C356" s="148">
        <v>0.46475439741965652</v>
      </c>
      <c r="D356">
        <f t="shared" si="10"/>
        <v>56.674216796452548</v>
      </c>
      <c r="E356">
        <f t="shared" si="11"/>
        <v>320.0742167964525</v>
      </c>
    </row>
    <row r="357" spans="2:5" x14ac:dyDescent="0.2">
      <c r="B357" s="148">
        <v>0.23864764307612391</v>
      </c>
      <c r="C357" s="148">
        <v>0.46464691921087209</v>
      </c>
      <c r="D357">
        <f t="shared" si="10"/>
        <v>56.661110425992455</v>
      </c>
      <c r="E357">
        <f t="shared" si="11"/>
        <v>320.06111042599241</v>
      </c>
    </row>
    <row r="358" spans="2:5" x14ac:dyDescent="0.2">
      <c r="B358" s="148">
        <v>0.23189643678154395</v>
      </c>
      <c r="C358" s="148">
        <v>0.46454412310605164</v>
      </c>
      <c r="D358">
        <f t="shared" si="10"/>
        <v>56.648575012099066</v>
      </c>
      <c r="E358">
        <f t="shared" si="11"/>
        <v>320.04857501209904</v>
      </c>
    </row>
    <row r="359" spans="2:5" x14ac:dyDescent="0.2">
      <c r="B359" s="148">
        <v>0.22546099579466719</v>
      </c>
      <c r="C359" s="148">
        <v>0.46444777612767218</v>
      </c>
      <c r="D359">
        <f t="shared" si="10"/>
        <v>56.636826033346686</v>
      </c>
      <c r="E359">
        <f t="shared" si="11"/>
        <v>320.03682603334664</v>
      </c>
    </row>
    <row r="360" spans="2:5" x14ac:dyDescent="0.2">
      <c r="B360" s="148">
        <v>0.21529611892368394</v>
      </c>
      <c r="C360" s="148">
        <v>1.3219867176109363</v>
      </c>
      <c r="D360">
        <f t="shared" si="10"/>
        <v>161.20893584200027</v>
      </c>
      <c r="E360">
        <f t="shared" si="11"/>
        <v>424.60893584200028</v>
      </c>
    </row>
    <row r="361" spans="2:5" x14ac:dyDescent="0.2">
      <c r="B361" s="148">
        <v>0.2094111148869465</v>
      </c>
      <c r="C361" s="148">
        <v>0.46419077987369117</v>
      </c>
      <c r="D361">
        <f t="shared" si="10"/>
        <v>56.605486767930671</v>
      </c>
      <c r="E361">
        <f t="shared" si="11"/>
        <v>320.00548676793062</v>
      </c>
    </row>
    <row r="362" spans="2:5" x14ac:dyDescent="0.2">
      <c r="B362" s="148">
        <v>0.20383641490826632</v>
      </c>
      <c r="C362" s="148">
        <v>0.46411356628684747</v>
      </c>
      <c r="D362">
        <f t="shared" si="10"/>
        <v>56.596070999979446</v>
      </c>
      <c r="E362">
        <f t="shared" si="11"/>
        <v>319.99607099997945</v>
      </c>
    </row>
    <row r="363" spans="2:5" x14ac:dyDescent="0.2">
      <c r="B363" s="148">
        <v>0.19844103083690764</v>
      </c>
      <c r="C363" s="148">
        <v>0.46404009438181998</v>
      </c>
      <c r="D363">
        <f t="shared" si="10"/>
        <v>56.587111509338598</v>
      </c>
      <c r="E363">
        <f t="shared" si="11"/>
        <v>319.98711150933855</v>
      </c>
    </row>
    <row r="364" spans="2:5" x14ac:dyDescent="0.2">
      <c r="B364" s="148">
        <v>0.19308051880974655</v>
      </c>
      <c r="C364" s="148">
        <v>0.46396874236501662</v>
      </c>
      <c r="D364">
        <f t="shared" si="10"/>
        <v>56.578410527289513</v>
      </c>
      <c r="E364">
        <f t="shared" si="11"/>
        <v>319.9784105272895</v>
      </c>
    </row>
    <row r="365" spans="2:5" x14ac:dyDescent="0.2">
      <c r="B365" s="148">
        <v>0.1877620403311743</v>
      </c>
      <c r="C365" s="148">
        <v>0.46389947355671785</v>
      </c>
      <c r="D365">
        <f t="shared" si="10"/>
        <v>56.569963580944197</v>
      </c>
      <c r="E365">
        <f t="shared" si="11"/>
        <v>319.96996358094418</v>
      </c>
    </row>
    <row r="366" spans="2:5" x14ac:dyDescent="0.2">
      <c r="B366" s="148">
        <v>0.18285203829198374</v>
      </c>
      <c r="C366" s="148">
        <v>0.46383580839443328</v>
      </c>
      <c r="D366">
        <f t="shared" si="10"/>
        <v>56.562199968098938</v>
      </c>
      <c r="E366">
        <f t="shared" si="11"/>
        <v>319.9621999680989</v>
      </c>
    </row>
    <row r="367" spans="2:5" x14ac:dyDescent="0.2">
      <c r="B367" s="148">
        <v>0.17799713121697103</v>
      </c>
      <c r="C367" s="148">
        <v>0.46377407049154534</v>
      </c>
      <c r="D367">
        <f t="shared" si="10"/>
        <v>56.554671373830111</v>
      </c>
      <c r="E367">
        <f t="shared" si="11"/>
        <v>319.95467137383008</v>
      </c>
    </row>
    <row r="368" spans="2:5" x14ac:dyDescent="0.2">
      <c r="B368" s="148">
        <v>0.17311132767403248</v>
      </c>
      <c r="C368" s="148">
        <v>0.46371333492990713</v>
      </c>
      <c r="D368">
        <f t="shared" si="10"/>
        <v>56.547265009508116</v>
      </c>
      <c r="E368">
        <f t="shared" si="11"/>
        <v>319.9472650095081</v>
      </c>
    </row>
    <row r="369" spans="2:5" x14ac:dyDescent="0.2">
      <c r="B369" s="148">
        <v>0.1680529794830373</v>
      </c>
      <c r="C369" s="148">
        <v>0.46365217447760393</v>
      </c>
      <c r="D369">
        <f t="shared" si="10"/>
        <v>56.539806832130033</v>
      </c>
      <c r="E369">
        <f t="shared" si="11"/>
        <v>319.93980683212999</v>
      </c>
    </row>
    <row r="370" spans="2:5" x14ac:dyDescent="0.2">
      <c r="B370" s="148">
        <v>0.16307065027232898</v>
      </c>
      <c r="C370" s="148">
        <v>0.46359295813805207</v>
      </c>
      <c r="D370">
        <f t="shared" si="10"/>
        <v>56.532585728501346</v>
      </c>
      <c r="E370">
        <f t="shared" si="11"/>
        <v>319.93258572850129</v>
      </c>
    </row>
    <row r="371" spans="2:5" x14ac:dyDescent="0.2">
      <c r="B371" s="148">
        <v>0.15862815335102889</v>
      </c>
      <c r="C371" s="148">
        <v>0.46354002558269219</v>
      </c>
      <c r="D371">
        <f t="shared" si="10"/>
        <v>56.526130897444958</v>
      </c>
      <c r="E371">
        <f t="shared" si="11"/>
        <v>319.92613089744492</v>
      </c>
    </row>
    <row r="372" spans="2:5" x14ac:dyDescent="0.2">
      <c r="B372" s="148">
        <v>0.15433060894490444</v>
      </c>
      <c r="C372" s="148">
        <v>0.46348944424911731</v>
      </c>
      <c r="D372">
        <f t="shared" si="10"/>
        <v>56.519962784822908</v>
      </c>
      <c r="E372">
        <f t="shared" si="11"/>
        <v>319.91996278482287</v>
      </c>
    </row>
    <row r="373" spans="2:5" x14ac:dyDescent="0.2">
      <c r="B373" s="148">
        <v>0.14990622868564935</v>
      </c>
      <c r="C373" s="148">
        <v>0.46343857386400006</v>
      </c>
      <c r="D373">
        <f t="shared" si="10"/>
        <v>56.513759423971109</v>
      </c>
      <c r="E373">
        <f t="shared" si="11"/>
        <v>319.9137594239711</v>
      </c>
    </row>
    <row r="374" spans="2:5" x14ac:dyDescent="0.2">
      <c r="B374" s="148">
        <v>0.14540274772967207</v>
      </c>
      <c r="C374" s="148">
        <v>0.46338784667517796</v>
      </c>
      <c r="D374">
        <f t="shared" si="10"/>
        <v>56.507573525111972</v>
      </c>
      <c r="E374">
        <f t="shared" si="11"/>
        <v>319.90757352511196</v>
      </c>
    </row>
    <row r="375" spans="2:5" x14ac:dyDescent="0.2">
      <c r="B375" s="148">
        <v>-0.43748377175060532</v>
      </c>
      <c r="C375" s="148">
        <v>0.17233975629914169</v>
      </c>
      <c r="D375">
        <f t="shared" si="10"/>
        <v>21.015875837589778</v>
      </c>
      <c r="E375">
        <f t="shared" si="11"/>
        <v>284.41587583758974</v>
      </c>
    </row>
    <row r="376" spans="2:5" x14ac:dyDescent="0.2">
      <c r="B376" s="148">
        <v>0.15206784939068071</v>
      </c>
      <c r="C376" s="148">
        <v>0</v>
      </c>
      <c r="D376">
        <f t="shared" si="10"/>
        <v>0</v>
      </c>
      <c r="E376">
        <f t="shared" si="11"/>
        <v>263.39999999999998</v>
      </c>
    </row>
    <row r="377" spans="2:5" x14ac:dyDescent="0.2">
      <c r="B377" s="148">
        <v>0.15314081528676013</v>
      </c>
      <c r="C377" s="148">
        <v>-0.65299378100310534</v>
      </c>
      <c r="D377">
        <f t="shared" si="10"/>
        <v>-79.628963850100888</v>
      </c>
      <c r="E377">
        <f t="shared" si="11"/>
        <v>183.77103614989909</v>
      </c>
    </row>
    <row r="378" spans="2:5" x14ac:dyDescent="0.2">
      <c r="B378" s="148">
        <v>0.1565317194401194</v>
      </c>
      <c r="C378" s="148">
        <v>-1.9165444618703276</v>
      </c>
      <c r="D378">
        <f t="shared" si="10"/>
        <v>-233.71194965585383</v>
      </c>
      <c r="E378">
        <f t="shared" si="11"/>
        <v>29.688050344146149</v>
      </c>
    </row>
    <row r="379" spans="2:5" x14ac:dyDescent="0.2">
      <c r="B379" s="148">
        <v>0.16378211903795437</v>
      </c>
      <c r="C379" s="148">
        <v>-3.0528363104407723</v>
      </c>
      <c r="D379">
        <f t="shared" si="10"/>
        <v>-372.2764278565275</v>
      </c>
      <c r="E379">
        <f t="shared" si="11"/>
        <v>-108.87642785652753</v>
      </c>
    </row>
    <row r="380" spans="2:5" x14ac:dyDescent="0.2">
      <c r="B380" s="148">
        <v>0.16662561417978863</v>
      </c>
      <c r="C380" s="148">
        <v>-1.2002956507287035</v>
      </c>
      <c r="D380">
        <f t="shared" si="10"/>
        <v>-146.36938629719467</v>
      </c>
      <c r="E380">
        <f t="shared" si="11"/>
        <v>117.03061370280531</v>
      </c>
    </row>
    <row r="381" spans="2:5" x14ac:dyDescent="0.2">
      <c r="B381" s="148">
        <v>0.17164593589216109</v>
      </c>
      <c r="C381" s="148">
        <v>-1.7477838810496498</v>
      </c>
      <c r="D381">
        <f t="shared" si="10"/>
        <v>-213.13253438355451</v>
      </c>
      <c r="E381">
        <f t="shared" si="11"/>
        <v>50.267465616445463</v>
      </c>
    </row>
    <row r="382" spans="2:5" x14ac:dyDescent="0.2">
      <c r="B382" s="148">
        <v>0.18114790096928787</v>
      </c>
      <c r="C382" s="148">
        <v>-2.760175510312818</v>
      </c>
      <c r="D382">
        <f t="shared" si="10"/>
        <v>-336.58806917425756</v>
      </c>
      <c r="E382">
        <f t="shared" si="11"/>
        <v>-73.188069174257578</v>
      </c>
    </row>
    <row r="383" spans="2:5" x14ac:dyDescent="0.2">
      <c r="B383" s="148">
        <v>0.19145245179427345</v>
      </c>
      <c r="C383" s="148">
        <v>-2.6116145043536889</v>
      </c>
      <c r="D383">
        <f t="shared" si="10"/>
        <v>-318.4718798364637</v>
      </c>
      <c r="E383">
        <f t="shared" si="11"/>
        <v>-55.071879836463722</v>
      </c>
    </row>
    <row r="384" spans="2:5" x14ac:dyDescent="0.2">
      <c r="B384" s="148">
        <v>0.19920770165937668</v>
      </c>
      <c r="C384" s="148">
        <v>-1.003977247536229</v>
      </c>
      <c r="D384">
        <f t="shared" si="10"/>
        <v>-122.4294476856679</v>
      </c>
      <c r="E384">
        <f t="shared" si="11"/>
        <v>140.97055231433208</v>
      </c>
    </row>
    <row r="385" spans="2:5" x14ac:dyDescent="0.2">
      <c r="B385" s="148">
        <v>0.20402897813065191</v>
      </c>
      <c r="C385" s="148">
        <v>-0.98025291226979117</v>
      </c>
      <c r="D385">
        <f t="shared" si="10"/>
        <v>-119.5363968017884</v>
      </c>
      <c r="E385">
        <f t="shared" si="11"/>
        <v>143.86360319821159</v>
      </c>
    </row>
    <row r="386" spans="2:5" x14ac:dyDescent="0.2">
      <c r="B386" s="148">
        <v>0.16</v>
      </c>
      <c r="C386" s="148">
        <v>-1.8749999999999933</v>
      </c>
      <c r="D386">
        <f t="shared" si="10"/>
        <v>-228.64583333333249</v>
      </c>
      <c r="E386">
        <f t="shared" si="11"/>
        <v>34.754166666667487</v>
      </c>
    </row>
    <row r="387" spans="2:5" x14ac:dyDescent="0.2">
      <c r="B387" s="148">
        <v>0.24</v>
      </c>
      <c r="C387" s="148">
        <v>0</v>
      </c>
      <c r="D387">
        <f t="shared" si="10"/>
        <v>0</v>
      </c>
      <c r="E387">
        <f t="shared" si="11"/>
        <v>263.39999999999998</v>
      </c>
    </row>
    <row r="388" spans="2:5" x14ac:dyDescent="0.2">
      <c r="B388" s="148">
        <v>0.28413344025354037</v>
      </c>
      <c r="C388" s="148">
        <v>0</v>
      </c>
      <c r="D388">
        <f t="shared" si="10"/>
        <v>0</v>
      </c>
      <c r="E388">
        <f t="shared" si="11"/>
        <v>263.39999999999998</v>
      </c>
    </row>
    <row r="389" spans="2:5" x14ac:dyDescent="0.2">
      <c r="B389" s="148">
        <v>0.28449868202897161</v>
      </c>
      <c r="C389" s="148">
        <v>0</v>
      </c>
      <c r="D389">
        <f t="shared" ref="D389:D452" si="12">(I$1*C389*E$1)/(L$1*1.8)</f>
        <v>0</v>
      </c>
      <c r="E389">
        <f t="shared" ref="E389:E452" si="13">(I$1*L$1)+D389</f>
        <v>263.39999999999998</v>
      </c>
    </row>
    <row r="390" spans="2:5" x14ac:dyDescent="0.2">
      <c r="B390" s="148">
        <v>0.28486140101441343</v>
      </c>
      <c r="C390" s="148">
        <v>0</v>
      </c>
      <c r="D390">
        <f t="shared" si="12"/>
        <v>0</v>
      </c>
      <c r="E390">
        <f t="shared" si="13"/>
        <v>263.39999999999998</v>
      </c>
    </row>
    <row r="391" spans="2:5" x14ac:dyDescent="0.2">
      <c r="B391" s="148">
        <v>0.28532252849701367</v>
      </c>
      <c r="C391" s="148">
        <v>0</v>
      </c>
      <c r="D391">
        <f t="shared" si="12"/>
        <v>0</v>
      </c>
      <c r="E391">
        <f t="shared" si="13"/>
        <v>263.39999999999998</v>
      </c>
    </row>
    <row r="392" spans="2:5" x14ac:dyDescent="0.2">
      <c r="B392" s="148">
        <v>0.28574662488255348</v>
      </c>
      <c r="C392" s="148">
        <v>0</v>
      </c>
      <c r="D392">
        <f t="shared" si="12"/>
        <v>0</v>
      </c>
      <c r="E392">
        <f t="shared" si="13"/>
        <v>263.39999999999998</v>
      </c>
    </row>
    <row r="393" spans="2:5" x14ac:dyDescent="0.2">
      <c r="B393" s="148">
        <v>0.28613369017114243</v>
      </c>
      <c r="C393" s="148">
        <v>0</v>
      </c>
      <c r="D393">
        <f t="shared" si="12"/>
        <v>0</v>
      </c>
      <c r="E393">
        <f t="shared" si="13"/>
        <v>263.39999999999998</v>
      </c>
    </row>
    <row r="394" spans="2:5" x14ac:dyDescent="0.2">
      <c r="B394" s="148">
        <v>0.28650350130605889</v>
      </c>
      <c r="C394" s="148">
        <v>0</v>
      </c>
      <c r="D394">
        <f t="shared" si="12"/>
        <v>0</v>
      </c>
      <c r="E394">
        <f t="shared" si="13"/>
        <v>263.39999999999998</v>
      </c>
    </row>
    <row r="395" spans="2:5" x14ac:dyDescent="0.2">
      <c r="B395" s="148">
        <v>0.28687128948626284</v>
      </c>
      <c r="C395" s="148">
        <v>0</v>
      </c>
      <c r="D395">
        <f t="shared" si="12"/>
        <v>0</v>
      </c>
      <c r="E395">
        <f t="shared" si="13"/>
        <v>263.39999999999998</v>
      </c>
    </row>
    <row r="396" spans="2:5" x14ac:dyDescent="0.2">
      <c r="B396" s="148">
        <v>0.28724871622054965</v>
      </c>
      <c r="C396" s="148">
        <v>0</v>
      </c>
      <c r="D396">
        <f t="shared" si="12"/>
        <v>0</v>
      </c>
      <c r="E396">
        <f t="shared" si="13"/>
        <v>263.39999999999998</v>
      </c>
    </row>
    <row r="397" spans="2:5" x14ac:dyDescent="0.2">
      <c r="B397" s="148">
        <v>0.28763730462884834</v>
      </c>
      <c r="C397" s="148">
        <v>0</v>
      </c>
      <c r="D397">
        <f t="shared" si="12"/>
        <v>0</v>
      </c>
      <c r="E397">
        <f t="shared" si="13"/>
        <v>263.39999999999998</v>
      </c>
    </row>
    <row r="398" spans="2:5" x14ac:dyDescent="0.2">
      <c r="B398" s="148">
        <v>0.28805176246033259</v>
      </c>
      <c r="C398" s="148">
        <v>0</v>
      </c>
      <c r="D398">
        <f t="shared" si="12"/>
        <v>0</v>
      </c>
      <c r="E398">
        <f t="shared" si="13"/>
        <v>263.39999999999998</v>
      </c>
    </row>
    <row r="399" spans="2:5" x14ac:dyDescent="0.2">
      <c r="B399" s="148">
        <v>0.28847433572583397</v>
      </c>
      <c r="C399" s="148">
        <v>0</v>
      </c>
      <c r="D399">
        <f t="shared" si="12"/>
        <v>0</v>
      </c>
      <c r="E399">
        <f t="shared" si="13"/>
        <v>263.39999999999998</v>
      </c>
    </row>
    <row r="400" spans="2:5" x14ac:dyDescent="0.2">
      <c r="B400" s="148">
        <v>0.28890147835109453</v>
      </c>
      <c r="C400" s="148">
        <v>0</v>
      </c>
      <c r="D400">
        <f t="shared" si="12"/>
        <v>0</v>
      </c>
      <c r="E400">
        <f t="shared" si="13"/>
        <v>263.39999999999998</v>
      </c>
    </row>
    <row r="401" spans="2:5" x14ac:dyDescent="0.2">
      <c r="B401" s="148">
        <v>0.28934332872528229</v>
      </c>
      <c r="C401" s="148">
        <v>0</v>
      </c>
      <c r="D401">
        <f t="shared" si="12"/>
        <v>0</v>
      </c>
      <c r="E401">
        <f t="shared" si="13"/>
        <v>263.39999999999998</v>
      </c>
    </row>
    <row r="402" spans="2:5" x14ac:dyDescent="0.2">
      <c r="B402" s="148">
        <v>0.28981054868718709</v>
      </c>
      <c r="C402" s="148">
        <v>0</v>
      </c>
      <c r="D402">
        <f t="shared" si="12"/>
        <v>0</v>
      </c>
      <c r="E402">
        <f t="shared" si="13"/>
        <v>263.39999999999998</v>
      </c>
    </row>
    <row r="403" spans="2:5" x14ac:dyDescent="0.2">
      <c r="B403" s="148">
        <v>0.29033255373485506</v>
      </c>
      <c r="C403" s="148">
        <v>0</v>
      </c>
      <c r="D403">
        <f t="shared" si="12"/>
        <v>0</v>
      </c>
      <c r="E403">
        <f t="shared" si="13"/>
        <v>263.39999999999998</v>
      </c>
    </row>
    <row r="404" spans="2:5" x14ac:dyDescent="0.2">
      <c r="B404" s="148">
        <v>0.29091391322733312</v>
      </c>
      <c r="C404" s="148">
        <v>0</v>
      </c>
      <c r="D404">
        <f t="shared" si="12"/>
        <v>0</v>
      </c>
      <c r="E404">
        <f t="shared" si="13"/>
        <v>263.39999999999998</v>
      </c>
    </row>
    <row r="405" spans="2:5" x14ac:dyDescent="0.2">
      <c r="B405" s="148">
        <v>0.29151150358888639</v>
      </c>
      <c r="C405" s="148">
        <v>0</v>
      </c>
      <c r="D405">
        <f t="shared" si="12"/>
        <v>0</v>
      </c>
      <c r="E405">
        <f t="shared" si="13"/>
        <v>263.39999999999998</v>
      </c>
    </row>
    <row r="406" spans="2:5" x14ac:dyDescent="0.2">
      <c r="B406" s="148">
        <v>0.28730632375949722</v>
      </c>
      <c r="C406" s="148">
        <v>0.48583232983555813</v>
      </c>
      <c r="D406">
        <f t="shared" si="12"/>
        <v>59.244553554947217</v>
      </c>
      <c r="E406">
        <f t="shared" si="13"/>
        <v>322.64455355494721</v>
      </c>
    </row>
    <row r="407" spans="2:5" x14ac:dyDescent="0.2">
      <c r="B407" s="148">
        <v>0.27874103300357755</v>
      </c>
      <c r="C407" s="148">
        <v>0.99850132502112121</v>
      </c>
      <c r="D407">
        <f t="shared" si="12"/>
        <v>121.76168935674227</v>
      </c>
      <c r="E407">
        <f t="shared" si="13"/>
        <v>385.16168935674227</v>
      </c>
    </row>
    <row r="408" spans="2:5" x14ac:dyDescent="0.2">
      <c r="B408" s="148">
        <v>0.27096230310228681</v>
      </c>
      <c r="C408" s="148">
        <v>0.99756232368334319</v>
      </c>
      <c r="D408">
        <f t="shared" si="12"/>
        <v>121.64718336027435</v>
      </c>
      <c r="E408">
        <f t="shared" si="13"/>
        <v>385.04718336027435</v>
      </c>
    </row>
    <row r="409" spans="2:5" x14ac:dyDescent="0.2">
      <c r="B409" s="148">
        <v>0.26381934930746526</v>
      </c>
      <c r="C409" s="148">
        <v>0.99672806717157847</v>
      </c>
      <c r="D409">
        <f t="shared" si="12"/>
        <v>121.54545041342304</v>
      </c>
      <c r="E409">
        <f t="shared" si="13"/>
        <v>384.94545041342303</v>
      </c>
    </row>
    <row r="410" spans="2:5" x14ac:dyDescent="0.2">
      <c r="B410" s="148">
        <v>0.26433045226732005</v>
      </c>
      <c r="C410" s="148">
        <v>0</v>
      </c>
      <c r="D410">
        <f t="shared" si="12"/>
        <v>0</v>
      </c>
      <c r="E410">
        <f t="shared" si="13"/>
        <v>263.39999999999998</v>
      </c>
    </row>
    <row r="411" spans="2:5" x14ac:dyDescent="0.2">
      <c r="B411" s="148">
        <v>0.26125709785040441</v>
      </c>
      <c r="C411" s="148">
        <v>0.46504156218907089</v>
      </c>
      <c r="D411">
        <f t="shared" si="12"/>
        <v>56.709234944722809</v>
      </c>
      <c r="E411">
        <f t="shared" si="13"/>
        <v>320.1092349447228</v>
      </c>
    </row>
    <row r="412" spans="2:5" x14ac:dyDescent="0.2">
      <c r="B412" s="148">
        <v>0.25765159319157177</v>
      </c>
      <c r="C412" s="148">
        <v>0.46496144032776188</v>
      </c>
      <c r="D412">
        <f t="shared" si="12"/>
        <v>56.699464528857625</v>
      </c>
      <c r="E412">
        <f t="shared" si="13"/>
        <v>320.0994645288576</v>
      </c>
    </row>
    <row r="413" spans="2:5" x14ac:dyDescent="0.2">
      <c r="B413" s="148">
        <v>0.25219692833237661</v>
      </c>
      <c r="C413" s="148">
        <v>0.46486308932181103</v>
      </c>
      <c r="D413">
        <f t="shared" si="12"/>
        <v>56.687471170076392</v>
      </c>
      <c r="E413">
        <f t="shared" si="13"/>
        <v>320.08747117007636</v>
      </c>
    </row>
    <row r="414" spans="2:5" x14ac:dyDescent="0.2">
      <c r="B414" s="148">
        <v>0.2455247247924548</v>
      </c>
      <c r="C414" s="148">
        <v>0.46475439741965652</v>
      </c>
      <c r="D414">
        <f t="shared" si="12"/>
        <v>56.674216796452548</v>
      </c>
      <c r="E414">
        <f t="shared" si="13"/>
        <v>320.0742167964525</v>
      </c>
    </row>
    <row r="415" spans="2:5" x14ac:dyDescent="0.2">
      <c r="B415" s="148">
        <v>0.23864764307612391</v>
      </c>
      <c r="C415" s="148">
        <v>0.46464691921087209</v>
      </c>
      <c r="D415">
        <f t="shared" si="12"/>
        <v>56.661110425992455</v>
      </c>
      <c r="E415">
        <f t="shared" si="13"/>
        <v>320.06111042599241</v>
      </c>
    </row>
    <row r="416" spans="2:5" x14ac:dyDescent="0.2">
      <c r="B416" s="148">
        <v>0.23189643678154395</v>
      </c>
      <c r="C416" s="148">
        <v>0.46454412310605164</v>
      </c>
      <c r="D416">
        <f t="shared" si="12"/>
        <v>56.648575012099066</v>
      </c>
      <c r="E416">
        <f t="shared" si="13"/>
        <v>320.04857501209904</v>
      </c>
    </row>
    <row r="417" spans="2:5" x14ac:dyDescent="0.2">
      <c r="B417" s="148">
        <v>0.22546099579466719</v>
      </c>
      <c r="C417" s="148">
        <v>0.46444777612767218</v>
      </c>
      <c r="D417">
        <f t="shared" si="12"/>
        <v>56.636826033346686</v>
      </c>
      <c r="E417">
        <f t="shared" si="13"/>
        <v>320.03682603334664</v>
      </c>
    </row>
    <row r="418" spans="2:5" x14ac:dyDescent="0.2">
      <c r="B418" s="148">
        <v>0.21529611892368394</v>
      </c>
      <c r="C418" s="148">
        <v>1.3219867176109363</v>
      </c>
      <c r="D418">
        <f t="shared" si="12"/>
        <v>161.20893584200027</v>
      </c>
      <c r="E418">
        <f t="shared" si="13"/>
        <v>424.60893584200028</v>
      </c>
    </row>
    <row r="419" spans="2:5" x14ac:dyDescent="0.2">
      <c r="B419" s="148">
        <v>0.2094111148869465</v>
      </c>
      <c r="C419" s="148">
        <v>0.46419077987369117</v>
      </c>
      <c r="D419">
        <f t="shared" si="12"/>
        <v>56.605486767930671</v>
      </c>
      <c r="E419">
        <f t="shared" si="13"/>
        <v>320.00548676793062</v>
      </c>
    </row>
    <row r="420" spans="2:5" x14ac:dyDescent="0.2">
      <c r="B420" s="148">
        <v>0.20383641490826632</v>
      </c>
      <c r="C420" s="148">
        <v>0.46411356628684747</v>
      </c>
      <c r="D420">
        <f t="shared" si="12"/>
        <v>56.596070999979446</v>
      </c>
      <c r="E420">
        <f t="shared" si="13"/>
        <v>319.99607099997945</v>
      </c>
    </row>
    <row r="421" spans="2:5" x14ac:dyDescent="0.2">
      <c r="B421" s="148">
        <v>0.19844103083690764</v>
      </c>
      <c r="C421" s="148">
        <v>0.46404009438181998</v>
      </c>
      <c r="D421">
        <f t="shared" si="12"/>
        <v>56.587111509338598</v>
      </c>
      <c r="E421">
        <f t="shared" si="13"/>
        <v>319.98711150933855</v>
      </c>
    </row>
    <row r="422" spans="2:5" x14ac:dyDescent="0.2">
      <c r="B422" s="148">
        <v>0.19308051880974655</v>
      </c>
      <c r="C422" s="148">
        <v>0.46396874236501662</v>
      </c>
      <c r="D422">
        <f t="shared" si="12"/>
        <v>56.578410527289513</v>
      </c>
      <c r="E422">
        <f t="shared" si="13"/>
        <v>319.9784105272895</v>
      </c>
    </row>
    <row r="423" spans="2:5" x14ac:dyDescent="0.2">
      <c r="B423" s="148">
        <v>0.1877620403311743</v>
      </c>
      <c r="C423" s="148">
        <v>0.46389947355671785</v>
      </c>
      <c r="D423">
        <f t="shared" si="12"/>
        <v>56.569963580944197</v>
      </c>
      <c r="E423">
        <f t="shared" si="13"/>
        <v>319.96996358094418</v>
      </c>
    </row>
    <row r="424" spans="2:5" x14ac:dyDescent="0.2">
      <c r="B424" s="148">
        <v>0.18285203829198374</v>
      </c>
      <c r="C424" s="148">
        <v>0.46383580839443328</v>
      </c>
      <c r="D424">
        <f t="shared" si="12"/>
        <v>56.562199968098938</v>
      </c>
      <c r="E424">
        <f t="shared" si="13"/>
        <v>319.9621999680989</v>
      </c>
    </row>
    <row r="425" spans="2:5" x14ac:dyDescent="0.2">
      <c r="B425" s="148">
        <v>0.17799713121697103</v>
      </c>
      <c r="C425" s="148">
        <v>0.46377407049154534</v>
      </c>
      <c r="D425">
        <f t="shared" si="12"/>
        <v>56.554671373830111</v>
      </c>
      <c r="E425">
        <f t="shared" si="13"/>
        <v>319.95467137383008</v>
      </c>
    </row>
    <row r="426" spans="2:5" x14ac:dyDescent="0.2">
      <c r="B426" s="148">
        <v>0.17311132767403248</v>
      </c>
      <c r="C426" s="148">
        <v>0.46371333492990713</v>
      </c>
      <c r="D426">
        <f t="shared" si="12"/>
        <v>56.547265009508116</v>
      </c>
      <c r="E426">
        <f t="shared" si="13"/>
        <v>319.9472650095081</v>
      </c>
    </row>
    <row r="427" spans="2:5" x14ac:dyDescent="0.2">
      <c r="B427" s="148">
        <v>0.1680529794830373</v>
      </c>
      <c r="C427" s="148">
        <v>0.46365217447760393</v>
      </c>
      <c r="D427">
        <f t="shared" si="12"/>
        <v>56.539806832130033</v>
      </c>
      <c r="E427">
        <f t="shared" si="13"/>
        <v>319.93980683212999</v>
      </c>
    </row>
    <row r="428" spans="2:5" x14ac:dyDescent="0.2">
      <c r="B428" s="148">
        <v>0.16307065027232898</v>
      </c>
      <c r="C428" s="148">
        <v>0.46359295813805207</v>
      </c>
      <c r="D428">
        <f t="shared" si="12"/>
        <v>56.532585728501346</v>
      </c>
      <c r="E428">
        <f t="shared" si="13"/>
        <v>319.93258572850129</v>
      </c>
    </row>
    <row r="429" spans="2:5" x14ac:dyDescent="0.2">
      <c r="B429" s="148">
        <v>0.15862815335102889</v>
      </c>
      <c r="C429" s="148">
        <v>0.46354002558269219</v>
      </c>
      <c r="D429">
        <f t="shared" si="12"/>
        <v>56.526130897444958</v>
      </c>
      <c r="E429">
        <f t="shared" si="13"/>
        <v>319.92613089744492</v>
      </c>
    </row>
    <row r="430" spans="2:5" x14ac:dyDescent="0.2">
      <c r="B430" s="148">
        <v>0.15433060894490444</v>
      </c>
      <c r="C430" s="148">
        <v>0.46348944424911731</v>
      </c>
      <c r="D430">
        <f t="shared" si="12"/>
        <v>56.519962784822908</v>
      </c>
      <c r="E430">
        <f t="shared" si="13"/>
        <v>319.91996278482287</v>
      </c>
    </row>
    <row r="431" spans="2:5" x14ac:dyDescent="0.2">
      <c r="B431" s="148">
        <v>0.15546663202049291</v>
      </c>
      <c r="C431" s="148">
        <v>-2.1776097365844307</v>
      </c>
      <c r="D431">
        <f t="shared" si="12"/>
        <v>-265.54740954460141</v>
      </c>
      <c r="E431">
        <f t="shared" si="13"/>
        <v>-2.1474095446014303</v>
      </c>
    </row>
    <row r="432" spans="2:5" x14ac:dyDescent="0.2">
      <c r="B432" s="148">
        <v>0.15449574883171457</v>
      </c>
      <c r="C432" s="148">
        <v>-1.2945340018245453</v>
      </c>
      <c r="D432">
        <f t="shared" si="12"/>
        <v>-157.86122966693759</v>
      </c>
      <c r="E432">
        <f t="shared" si="13"/>
        <v>105.53877033306239</v>
      </c>
    </row>
    <row r="433" spans="2:5" x14ac:dyDescent="0.2">
      <c r="B433" s="148">
        <v>8.9338706255226885</v>
      </c>
      <c r="C433" s="148">
        <v>-3.3580069890753406E-2</v>
      </c>
      <c r="D433">
        <f t="shared" si="12"/>
        <v>-4.0949029672335397</v>
      </c>
      <c r="E433">
        <f t="shared" si="13"/>
        <v>259.30509703276641</v>
      </c>
    </row>
    <row r="434" spans="2:5" x14ac:dyDescent="0.2">
      <c r="B434" s="148">
        <v>0.16374396992775886</v>
      </c>
      <c r="C434" s="148">
        <v>-1.8321285365950011</v>
      </c>
      <c r="D434">
        <f t="shared" si="12"/>
        <v>-223.41789654589039</v>
      </c>
      <c r="E434">
        <f t="shared" si="13"/>
        <v>39.982103454109591</v>
      </c>
    </row>
    <row r="435" spans="2:5" x14ac:dyDescent="0.2">
      <c r="B435" s="148">
        <v>0.17227617921048244</v>
      </c>
      <c r="C435" s="148">
        <v>-2.9023165146303445</v>
      </c>
      <c r="D435">
        <f t="shared" si="12"/>
        <v>-353.92137497853366</v>
      </c>
      <c r="E435">
        <f t="shared" si="13"/>
        <v>-90.521374978533686</v>
      </c>
    </row>
    <row r="436" spans="2:5" x14ac:dyDescent="0.2">
      <c r="B436" s="148">
        <v>0.18574351708184622</v>
      </c>
      <c r="C436" s="148">
        <v>-3.7686375869126594</v>
      </c>
      <c r="D436">
        <f t="shared" si="12"/>
        <v>-459.56441684851592</v>
      </c>
      <c r="E436">
        <f t="shared" si="13"/>
        <v>-196.16441684851594</v>
      </c>
    </row>
    <row r="437" spans="2:5" x14ac:dyDescent="0.2">
      <c r="B437" s="148">
        <v>0.24529999999999999</v>
      </c>
      <c r="C437" s="148">
        <v>-2.8536485935589049</v>
      </c>
      <c r="D437">
        <f t="shared" si="12"/>
        <v>-347.98659238121087</v>
      </c>
      <c r="E437">
        <f t="shared" si="13"/>
        <v>-84.586592381210892</v>
      </c>
    </row>
    <row r="438" spans="2:5" x14ac:dyDescent="0.2">
      <c r="B438" s="148">
        <v>0.189</v>
      </c>
      <c r="C438" s="148">
        <v>0</v>
      </c>
      <c r="D438">
        <f t="shared" si="12"/>
        <v>0</v>
      </c>
      <c r="E438">
        <f t="shared" si="13"/>
        <v>263.39999999999998</v>
      </c>
    </row>
    <row r="439" spans="2:5" x14ac:dyDescent="0.2">
      <c r="B439" s="148">
        <v>0.28413344025354037</v>
      </c>
      <c r="C439" s="148">
        <v>0</v>
      </c>
      <c r="D439">
        <f t="shared" si="12"/>
        <v>0</v>
      </c>
      <c r="E439">
        <f t="shared" si="13"/>
        <v>263.39999999999998</v>
      </c>
    </row>
    <row r="440" spans="2:5" x14ac:dyDescent="0.2">
      <c r="B440" s="148">
        <v>0.28449868202897161</v>
      </c>
      <c r="C440" s="148">
        <v>0</v>
      </c>
      <c r="D440">
        <f t="shared" si="12"/>
        <v>0</v>
      </c>
      <c r="E440">
        <f t="shared" si="13"/>
        <v>263.39999999999998</v>
      </c>
    </row>
    <row r="441" spans="2:5" x14ac:dyDescent="0.2">
      <c r="B441" s="148">
        <v>0.28486140101441343</v>
      </c>
      <c r="C441" s="148">
        <v>0</v>
      </c>
      <c r="D441">
        <f t="shared" si="12"/>
        <v>0</v>
      </c>
      <c r="E441">
        <f t="shared" si="13"/>
        <v>263.39999999999998</v>
      </c>
    </row>
    <row r="442" spans="2:5" x14ac:dyDescent="0.2">
      <c r="B442" s="148">
        <v>0.28532252849701367</v>
      </c>
      <c r="C442" s="148">
        <v>0</v>
      </c>
      <c r="D442">
        <f t="shared" si="12"/>
        <v>0</v>
      </c>
      <c r="E442">
        <f t="shared" si="13"/>
        <v>263.39999999999998</v>
      </c>
    </row>
    <row r="443" spans="2:5" x14ac:dyDescent="0.2">
      <c r="B443" s="148">
        <v>0.28574662488255348</v>
      </c>
      <c r="C443" s="148">
        <v>0</v>
      </c>
      <c r="D443">
        <f t="shared" si="12"/>
        <v>0</v>
      </c>
      <c r="E443">
        <f t="shared" si="13"/>
        <v>263.39999999999998</v>
      </c>
    </row>
    <row r="444" spans="2:5" x14ac:dyDescent="0.2">
      <c r="B444" s="148">
        <v>0.28613369017114243</v>
      </c>
      <c r="C444" s="148">
        <v>0</v>
      </c>
      <c r="D444">
        <f t="shared" si="12"/>
        <v>0</v>
      </c>
      <c r="E444">
        <f t="shared" si="13"/>
        <v>263.39999999999998</v>
      </c>
    </row>
    <row r="445" spans="2:5" x14ac:dyDescent="0.2">
      <c r="B445" s="148">
        <v>0.28650350130605889</v>
      </c>
      <c r="C445" s="148">
        <v>0</v>
      </c>
      <c r="D445">
        <f t="shared" si="12"/>
        <v>0</v>
      </c>
      <c r="E445">
        <f t="shared" si="13"/>
        <v>263.39999999999998</v>
      </c>
    </row>
    <row r="446" spans="2:5" x14ac:dyDescent="0.2">
      <c r="B446" s="148">
        <v>0.28687128948626284</v>
      </c>
      <c r="C446" s="148">
        <v>0</v>
      </c>
      <c r="D446">
        <f t="shared" si="12"/>
        <v>0</v>
      </c>
      <c r="E446">
        <f t="shared" si="13"/>
        <v>263.39999999999998</v>
      </c>
    </row>
    <row r="447" spans="2:5" x14ac:dyDescent="0.2">
      <c r="B447" s="148">
        <v>0.28724871622054965</v>
      </c>
      <c r="C447" s="148">
        <v>0</v>
      </c>
      <c r="D447">
        <f t="shared" si="12"/>
        <v>0</v>
      </c>
      <c r="E447">
        <f t="shared" si="13"/>
        <v>263.39999999999998</v>
      </c>
    </row>
    <row r="448" spans="2:5" x14ac:dyDescent="0.2">
      <c r="B448" s="148">
        <v>0.28763730462884834</v>
      </c>
      <c r="C448" s="148">
        <v>0</v>
      </c>
      <c r="D448">
        <f t="shared" si="12"/>
        <v>0</v>
      </c>
      <c r="E448">
        <f t="shared" si="13"/>
        <v>263.39999999999998</v>
      </c>
    </row>
    <row r="449" spans="2:5" x14ac:dyDescent="0.2">
      <c r="B449" s="148">
        <v>0.28805176246033259</v>
      </c>
      <c r="C449" s="148">
        <v>0</v>
      </c>
      <c r="D449">
        <f t="shared" si="12"/>
        <v>0</v>
      </c>
      <c r="E449">
        <f t="shared" si="13"/>
        <v>263.39999999999998</v>
      </c>
    </row>
    <row r="450" spans="2:5" x14ac:dyDescent="0.2">
      <c r="B450" s="148">
        <v>0.28847433572583397</v>
      </c>
      <c r="C450" s="148">
        <v>0</v>
      </c>
      <c r="D450">
        <f t="shared" si="12"/>
        <v>0</v>
      </c>
      <c r="E450">
        <f t="shared" si="13"/>
        <v>263.39999999999998</v>
      </c>
    </row>
    <row r="451" spans="2:5" x14ac:dyDescent="0.2">
      <c r="B451" s="148">
        <v>0.28890147835109453</v>
      </c>
      <c r="C451" s="148">
        <v>0</v>
      </c>
      <c r="D451">
        <f t="shared" si="12"/>
        <v>0</v>
      </c>
      <c r="E451">
        <f t="shared" si="13"/>
        <v>263.39999999999998</v>
      </c>
    </row>
    <row r="452" spans="2:5" x14ac:dyDescent="0.2">
      <c r="B452" s="148">
        <v>0.28934332872528229</v>
      </c>
      <c r="C452" s="148">
        <v>0</v>
      </c>
      <c r="D452">
        <f t="shared" si="12"/>
        <v>0</v>
      </c>
      <c r="E452">
        <f t="shared" si="13"/>
        <v>263.39999999999998</v>
      </c>
    </row>
    <row r="453" spans="2:5" x14ac:dyDescent="0.2">
      <c r="B453" s="148">
        <v>0.28981054868718709</v>
      </c>
      <c r="C453" s="148">
        <v>0</v>
      </c>
      <c r="D453">
        <f t="shared" ref="D453:D516" si="14">(I$1*C453*E$1)/(L$1*1.8)</f>
        <v>0</v>
      </c>
      <c r="E453">
        <f t="shared" ref="E453:E516" si="15">(I$1*L$1)+D453</f>
        <v>263.39999999999998</v>
      </c>
    </row>
    <row r="454" spans="2:5" x14ac:dyDescent="0.2">
      <c r="B454" s="148">
        <v>0.29033255373485506</v>
      </c>
      <c r="C454" s="148">
        <v>0</v>
      </c>
      <c r="D454">
        <f t="shared" si="14"/>
        <v>0</v>
      </c>
      <c r="E454">
        <f t="shared" si="15"/>
        <v>263.39999999999998</v>
      </c>
    </row>
    <row r="455" spans="2:5" x14ac:dyDescent="0.2">
      <c r="B455" s="148">
        <v>0.29091391322733312</v>
      </c>
      <c r="C455" s="148">
        <v>0</v>
      </c>
      <c r="D455">
        <f t="shared" si="14"/>
        <v>0</v>
      </c>
      <c r="E455">
        <f t="shared" si="15"/>
        <v>263.39999999999998</v>
      </c>
    </row>
    <row r="456" spans="2:5" x14ac:dyDescent="0.2">
      <c r="B456" s="148">
        <v>0.29151150358888639</v>
      </c>
      <c r="C456" s="148">
        <v>0</v>
      </c>
      <c r="D456">
        <f t="shared" si="14"/>
        <v>0</v>
      </c>
      <c r="E456">
        <f t="shared" si="15"/>
        <v>263.39999999999998</v>
      </c>
    </row>
    <row r="457" spans="2:5" x14ac:dyDescent="0.2">
      <c r="B457" s="148">
        <v>0.28730632375949722</v>
      </c>
      <c r="C457" s="148">
        <v>0.48583232983555813</v>
      </c>
      <c r="D457">
        <f t="shared" si="14"/>
        <v>59.244553554947217</v>
      </c>
      <c r="E457">
        <f t="shared" si="15"/>
        <v>322.64455355494721</v>
      </c>
    </row>
    <row r="458" spans="2:5" x14ac:dyDescent="0.2">
      <c r="B458" s="148">
        <v>0.27874103300357755</v>
      </c>
      <c r="C458" s="148">
        <v>0.99850132502112121</v>
      </c>
      <c r="D458">
        <f t="shared" si="14"/>
        <v>121.76168935674227</v>
      </c>
      <c r="E458">
        <f t="shared" si="15"/>
        <v>385.16168935674227</v>
      </c>
    </row>
    <row r="459" spans="2:5" x14ac:dyDescent="0.2">
      <c r="B459" s="148">
        <v>0.27096230310228681</v>
      </c>
      <c r="C459" s="148">
        <v>0.99756232368334319</v>
      </c>
      <c r="D459">
        <f t="shared" si="14"/>
        <v>121.64718336027435</v>
      </c>
      <c r="E459">
        <f t="shared" si="15"/>
        <v>385.04718336027435</v>
      </c>
    </row>
    <row r="460" spans="2:5" x14ac:dyDescent="0.2">
      <c r="B460" s="148">
        <v>0.26381934930746526</v>
      </c>
      <c r="C460" s="148">
        <v>0.99672806717157847</v>
      </c>
      <c r="D460">
        <f t="shared" si="14"/>
        <v>121.54545041342304</v>
      </c>
      <c r="E460">
        <f t="shared" si="15"/>
        <v>384.94545041342303</v>
      </c>
    </row>
    <row r="461" spans="2:5" x14ac:dyDescent="0.2">
      <c r="B461" s="148">
        <v>0.26433045226732005</v>
      </c>
      <c r="C461" s="148">
        <v>0</v>
      </c>
      <c r="D461">
        <f t="shared" si="14"/>
        <v>0</v>
      </c>
      <c r="E461">
        <f t="shared" si="15"/>
        <v>263.39999999999998</v>
      </c>
    </row>
    <row r="462" spans="2:5" x14ac:dyDescent="0.2">
      <c r="B462" s="148">
        <v>0.26125709785040441</v>
      </c>
      <c r="C462" s="148">
        <v>0.46504156218907089</v>
      </c>
      <c r="D462">
        <f t="shared" si="14"/>
        <v>56.709234944722809</v>
      </c>
      <c r="E462">
        <f t="shared" si="15"/>
        <v>320.1092349447228</v>
      </c>
    </row>
    <row r="463" spans="2:5" x14ac:dyDescent="0.2">
      <c r="B463" s="148">
        <v>0.25765159319157177</v>
      </c>
      <c r="C463" s="148">
        <v>0.46496144032776188</v>
      </c>
      <c r="D463">
        <f t="shared" si="14"/>
        <v>56.699464528857625</v>
      </c>
      <c r="E463">
        <f t="shared" si="15"/>
        <v>320.0994645288576</v>
      </c>
    </row>
    <row r="464" spans="2:5" x14ac:dyDescent="0.2">
      <c r="B464" s="148">
        <v>0.25219692833237661</v>
      </c>
      <c r="C464" s="148">
        <v>0.46486308932181103</v>
      </c>
      <c r="D464">
        <f t="shared" si="14"/>
        <v>56.687471170076392</v>
      </c>
      <c r="E464">
        <f t="shared" si="15"/>
        <v>320.08747117007636</v>
      </c>
    </row>
    <row r="465" spans="2:5" x14ac:dyDescent="0.2">
      <c r="B465" s="148">
        <v>0.2455247247924548</v>
      </c>
      <c r="C465" s="148">
        <v>0.46475439741965652</v>
      </c>
      <c r="D465">
        <f t="shared" si="14"/>
        <v>56.674216796452548</v>
      </c>
      <c r="E465">
        <f t="shared" si="15"/>
        <v>320.0742167964525</v>
      </c>
    </row>
    <row r="466" spans="2:5" x14ac:dyDescent="0.2">
      <c r="B466" s="148">
        <v>0.23864764307612391</v>
      </c>
      <c r="C466" s="148">
        <v>0.46464691921087209</v>
      </c>
      <c r="D466">
        <f t="shared" si="14"/>
        <v>56.661110425992455</v>
      </c>
      <c r="E466">
        <f t="shared" si="15"/>
        <v>320.06111042599241</v>
      </c>
    </row>
    <row r="467" spans="2:5" x14ac:dyDescent="0.2">
      <c r="B467" s="148">
        <v>0.23189643678154395</v>
      </c>
      <c r="C467" s="148">
        <v>0.46454412310605164</v>
      </c>
      <c r="D467">
        <f t="shared" si="14"/>
        <v>56.648575012099066</v>
      </c>
      <c r="E467">
        <f t="shared" si="15"/>
        <v>320.04857501209904</v>
      </c>
    </row>
    <row r="468" spans="2:5" x14ac:dyDescent="0.2">
      <c r="B468" s="148">
        <v>0.22546099579466719</v>
      </c>
      <c r="C468" s="148">
        <v>0.46444777612767218</v>
      </c>
      <c r="D468">
        <f t="shared" si="14"/>
        <v>56.636826033346686</v>
      </c>
      <c r="E468">
        <f t="shared" si="15"/>
        <v>320.03682603334664</v>
      </c>
    </row>
    <row r="469" spans="2:5" x14ac:dyDescent="0.2">
      <c r="B469" s="148">
        <v>0.21529611892368394</v>
      </c>
      <c r="C469" s="148">
        <v>1.3219867176109363</v>
      </c>
      <c r="D469">
        <f t="shared" si="14"/>
        <v>161.20893584200027</v>
      </c>
      <c r="E469">
        <f t="shared" si="15"/>
        <v>424.60893584200028</v>
      </c>
    </row>
    <row r="470" spans="2:5" x14ac:dyDescent="0.2">
      <c r="B470" s="148">
        <v>0.2094111148869465</v>
      </c>
      <c r="C470" s="148">
        <v>0.46419077987369117</v>
      </c>
      <c r="D470">
        <f t="shared" si="14"/>
        <v>56.605486767930671</v>
      </c>
      <c r="E470">
        <f t="shared" si="15"/>
        <v>320.00548676793062</v>
      </c>
    </row>
    <row r="471" spans="2:5" x14ac:dyDescent="0.2">
      <c r="B471" s="148">
        <v>0.20383641490826632</v>
      </c>
      <c r="C471" s="148">
        <v>0.46411356628684747</v>
      </c>
      <c r="D471">
        <f t="shared" si="14"/>
        <v>56.596070999979446</v>
      </c>
      <c r="E471">
        <f t="shared" si="15"/>
        <v>319.99607099997945</v>
      </c>
    </row>
    <row r="472" spans="2:5" x14ac:dyDescent="0.2">
      <c r="B472" s="148">
        <v>0.19844103083690764</v>
      </c>
      <c r="C472" s="148">
        <v>0.46404009438181998</v>
      </c>
      <c r="D472">
        <f t="shared" si="14"/>
        <v>56.587111509338598</v>
      </c>
      <c r="E472">
        <f t="shared" si="15"/>
        <v>319.98711150933855</v>
      </c>
    </row>
    <row r="473" spans="2:5" x14ac:dyDescent="0.2">
      <c r="B473" s="148">
        <v>0.19308051880974655</v>
      </c>
      <c r="C473" s="148">
        <v>0.46396874236501662</v>
      </c>
      <c r="D473">
        <f t="shared" si="14"/>
        <v>56.578410527289513</v>
      </c>
      <c r="E473">
        <f t="shared" si="15"/>
        <v>319.9784105272895</v>
      </c>
    </row>
    <row r="474" spans="2:5" x14ac:dyDescent="0.2">
      <c r="B474" s="148">
        <v>0.1877620403311743</v>
      </c>
      <c r="C474" s="148">
        <v>0.46389947355671785</v>
      </c>
      <c r="D474">
        <f t="shared" si="14"/>
        <v>56.569963580944197</v>
      </c>
      <c r="E474">
        <f t="shared" si="15"/>
        <v>319.96996358094418</v>
      </c>
    </row>
    <row r="475" spans="2:5" x14ac:dyDescent="0.2">
      <c r="B475" s="148">
        <v>0.18285203829198374</v>
      </c>
      <c r="C475" s="148">
        <v>0.46383580839443328</v>
      </c>
      <c r="D475">
        <f t="shared" si="14"/>
        <v>56.562199968098938</v>
      </c>
      <c r="E475">
        <f t="shared" si="15"/>
        <v>319.9621999680989</v>
      </c>
    </row>
    <row r="476" spans="2:5" x14ac:dyDescent="0.2">
      <c r="B476" s="148">
        <v>0.17799713121697103</v>
      </c>
      <c r="C476" s="148">
        <v>0.46377407049154534</v>
      </c>
      <c r="D476">
        <f t="shared" si="14"/>
        <v>56.554671373830111</v>
      </c>
      <c r="E476">
        <f t="shared" si="15"/>
        <v>319.95467137383008</v>
      </c>
    </row>
    <row r="477" spans="2:5" x14ac:dyDescent="0.2">
      <c r="B477" s="148">
        <v>0.17311132767403248</v>
      </c>
      <c r="C477" s="148">
        <v>0.46371333492990713</v>
      </c>
      <c r="D477">
        <f t="shared" si="14"/>
        <v>56.547265009508116</v>
      </c>
      <c r="E477">
        <f t="shared" si="15"/>
        <v>319.9472650095081</v>
      </c>
    </row>
    <row r="478" spans="2:5" x14ac:dyDescent="0.2">
      <c r="B478" s="148">
        <v>0.1680529794830373</v>
      </c>
      <c r="C478" s="148">
        <v>0.46365217447760393</v>
      </c>
      <c r="D478">
        <f t="shared" si="14"/>
        <v>56.539806832130033</v>
      </c>
      <c r="E478">
        <f t="shared" si="15"/>
        <v>319.93980683212999</v>
      </c>
    </row>
    <row r="479" spans="2:5" x14ac:dyDescent="0.2">
      <c r="B479" s="148">
        <v>0.16307065027232898</v>
      </c>
      <c r="C479" s="148">
        <v>0.46359295813805207</v>
      </c>
      <c r="D479">
        <f t="shared" si="14"/>
        <v>56.532585728501346</v>
      </c>
      <c r="E479">
        <f t="shared" si="15"/>
        <v>319.93258572850129</v>
      </c>
    </row>
    <row r="480" spans="2:5" x14ac:dyDescent="0.2">
      <c r="B480" s="148">
        <v>0.15862815335102889</v>
      </c>
      <c r="C480" s="148">
        <v>0.46354002558269219</v>
      </c>
      <c r="D480">
        <f t="shared" si="14"/>
        <v>56.526130897444958</v>
      </c>
      <c r="E480">
        <f t="shared" si="15"/>
        <v>319.92613089744492</v>
      </c>
    </row>
    <row r="481" spans="2:5" x14ac:dyDescent="0.2">
      <c r="B481" s="148">
        <v>0.15433060894490444</v>
      </c>
      <c r="C481" s="148">
        <v>0.46348944424911731</v>
      </c>
      <c r="D481">
        <f t="shared" si="14"/>
        <v>56.519962784822908</v>
      </c>
      <c r="E481">
        <f t="shared" si="15"/>
        <v>319.91996278482287</v>
      </c>
    </row>
    <row r="482" spans="2:5" x14ac:dyDescent="0.2">
      <c r="B482" s="148">
        <v>0.14990622868564935</v>
      </c>
      <c r="C482" s="148">
        <v>0.46343857386400006</v>
      </c>
      <c r="D482">
        <f t="shared" si="14"/>
        <v>56.513759423971109</v>
      </c>
      <c r="E482">
        <f t="shared" si="15"/>
        <v>319.9137594239711</v>
      </c>
    </row>
    <row r="483" spans="2:5" x14ac:dyDescent="0.2">
      <c r="B483" s="148">
        <v>0.14540274772967207</v>
      </c>
      <c r="C483" s="148">
        <v>0.46338784667517796</v>
      </c>
      <c r="D483">
        <f t="shared" si="14"/>
        <v>56.507573525111972</v>
      </c>
      <c r="E483">
        <f t="shared" si="15"/>
        <v>319.90757352511196</v>
      </c>
    </row>
    <row r="484" spans="2:5" x14ac:dyDescent="0.2">
      <c r="B484" s="148">
        <v>16.130985371394839</v>
      </c>
      <c r="C484" s="148">
        <v>-2.9470973760310448E-2</v>
      </c>
      <c r="D484">
        <f t="shared" si="14"/>
        <v>-3.5938215224378567</v>
      </c>
      <c r="E484">
        <f t="shared" si="15"/>
        <v>259.80617847756213</v>
      </c>
    </row>
    <row r="485" spans="2:5" x14ac:dyDescent="0.2">
      <c r="B485" s="148">
        <v>0.15977875157884833</v>
      </c>
      <c r="C485" s="148">
        <v>-1.8775963451683084</v>
      </c>
      <c r="D485">
        <f t="shared" si="14"/>
        <v>-228.96244320246871</v>
      </c>
      <c r="E485">
        <f t="shared" si="15"/>
        <v>34.437556797531272</v>
      </c>
    </row>
    <row r="486" spans="2:5" x14ac:dyDescent="0.2">
      <c r="B486" s="148">
        <v>0.16283157673686738</v>
      </c>
      <c r="C486" s="148">
        <v>-1.2282629942421754</v>
      </c>
      <c r="D486">
        <f t="shared" si="14"/>
        <v>-149.77984846453194</v>
      </c>
      <c r="E486">
        <f t="shared" si="15"/>
        <v>113.62015153546804</v>
      </c>
    </row>
    <row r="487" spans="2:5" x14ac:dyDescent="0.2">
      <c r="B487" s="148">
        <v>0.16763870247158968</v>
      </c>
      <c r="C487" s="148">
        <v>-1.7895628848048544</v>
      </c>
      <c r="D487">
        <f t="shared" si="14"/>
        <v>-218.22725178592529</v>
      </c>
      <c r="E487">
        <f t="shared" si="15"/>
        <v>45.172748214074687</v>
      </c>
    </row>
    <row r="488" spans="2:5" x14ac:dyDescent="0.2">
      <c r="B488" s="148">
        <v>0.17278352904298511</v>
      </c>
      <c r="C488" s="148">
        <v>-1.7362766095914437</v>
      </c>
      <c r="D488">
        <f t="shared" si="14"/>
        <v>-211.72928655851214</v>
      </c>
      <c r="E488">
        <f t="shared" si="15"/>
        <v>51.670713441487834</v>
      </c>
    </row>
    <row r="489" spans="2:5" x14ac:dyDescent="0.2">
      <c r="B489" s="148">
        <v>0.18642566797461274</v>
      </c>
      <c r="C489" s="148">
        <v>-3.7548477503394349</v>
      </c>
      <c r="D489">
        <f t="shared" si="14"/>
        <v>-457.88282288861438</v>
      </c>
      <c r="E489">
        <f t="shared" si="15"/>
        <v>-194.48282288861441</v>
      </c>
    </row>
    <row r="490" spans="2:5" x14ac:dyDescent="0.2">
      <c r="B490" s="148">
        <v>0.1916141944556734</v>
      </c>
      <c r="C490" s="148">
        <v>-1.043764010114949</v>
      </c>
      <c r="D490">
        <f t="shared" si="14"/>
        <v>-127.28122234457292</v>
      </c>
      <c r="E490">
        <f t="shared" si="15"/>
        <v>136.11877765542704</v>
      </c>
    </row>
    <row r="491" spans="2:5" x14ac:dyDescent="0.2">
      <c r="B491" s="148">
        <v>0.18</v>
      </c>
      <c r="C491" s="148">
        <v>-2.7777777777777777</v>
      </c>
      <c r="D491">
        <f t="shared" si="14"/>
        <v>-338.73456790123453</v>
      </c>
      <c r="E491">
        <f t="shared" si="15"/>
        <v>-75.33456790123455</v>
      </c>
    </row>
    <row r="492" spans="2:5" x14ac:dyDescent="0.2">
      <c r="B492" s="148">
        <v>0.24</v>
      </c>
      <c r="C492" s="148">
        <v>-0.83333333333333037</v>
      </c>
      <c r="D492">
        <f t="shared" si="14"/>
        <v>-101.62037037037</v>
      </c>
      <c r="E492">
        <f t="shared" si="15"/>
        <v>161.77962962962999</v>
      </c>
    </row>
    <row r="493" spans="2:5" x14ac:dyDescent="0.2">
      <c r="B493" s="148">
        <v>0.28413344025354037</v>
      </c>
      <c r="C493" s="148">
        <v>0</v>
      </c>
      <c r="D493">
        <f t="shared" si="14"/>
        <v>0</v>
      </c>
      <c r="E493">
        <f t="shared" si="15"/>
        <v>263.39999999999998</v>
      </c>
    </row>
    <row r="494" spans="2:5" x14ac:dyDescent="0.2">
      <c r="B494" s="148">
        <v>0.28449868202897161</v>
      </c>
      <c r="C494" s="148">
        <v>0</v>
      </c>
      <c r="D494">
        <f t="shared" si="14"/>
        <v>0</v>
      </c>
      <c r="E494">
        <f t="shared" si="15"/>
        <v>263.39999999999998</v>
      </c>
    </row>
    <row r="495" spans="2:5" x14ac:dyDescent="0.2">
      <c r="B495" s="148">
        <v>0.28486140101441343</v>
      </c>
      <c r="C495" s="148">
        <v>0</v>
      </c>
      <c r="D495">
        <f t="shared" si="14"/>
        <v>0</v>
      </c>
      <c r="E495">
        <f t="shared" si="15"/>
        <v>263.39999999999998</v>
      </c>
    </row>
    <row r="496" spans="2:5" x14ac:dyDescent="0.2">
      <c r="B496" s="148">
        <v>0.28532252849701367</v>
      </c>
      <c r="C496" s="148">
        <v>0</v>
      </c>
      <c r="D496">
        <f t="shared" si="14"/>
        <v>0</v>
      </c>
      <c r="E496">
        <f t="shared" si="15"/>
        <v>263.39999999999998</v>
      </c>
    </row>
    <row r="497" spans="2:5" x14ac:dyDescent="0.2">
      <c r="B497" s="148">
        <v>0.28574662488255348</v>
      </c>
      <c r="C497" s="148">
        <v>0</v>
      </c>
      <c r="D497">
        <f t="shared" si="14"/>
        <v>0</v>
      </c>
      <c r="E497">
        <f t="shared" si="15"/>
        <v>263.39999999999998</v>
      </c>
    </row>
    <row r="498" spans="2:5" x14ac:dyDescent="0.2">
      <c r="B498" s="148">
        <v>0.28613369017114243</v>
      </c>
      <c r="C498" s="148">
        <v>0</v>
      </c>
      <c r="D498">
        <f t="shared" si="14"/>
        <v>0</v>
      </c>
      <c r="E498">
        <f t="shared" si="15"/>
        <v>263.39999999999998</v>
      </c>
    </row>
    <row r="499" spans="2:5" x14ac:dyDescent="0.2">
      <c r="B499" s="148">
        <v>0.28650350130605889</v>
      </c>
      <c r="C499" s="148">
        <v>0</v>
      </c>
      <c r="D499">
        <f t="shared" si="14"/>
        <v>0</v>
      </c>
      <c r="E499">
        <f t="shared" si="15"/>
        <v>263.39999999999998</v>
      </c>
    </row>
    <row r="500" spans="2:5" x14ac:dyDescent="0.2">
      <c r="B500" s="148">
        <v>0.28687128948626284</v>
      </c>
      <c r="C500" s="148">
        <v>0</v>
      </c>
      <c r="D500">
        <f t="shared" si="14"/>
        <v>0</v>
      </c>
      <c r="E500">
        <f t="shared" si="15"/>
        <v>263.39999999999998</v>
      </c>
    </row>
    <row r="501" spans="2:5" x14ac:dyDescent="0.2">
      <c r="B501" s="148">
        <v>0.28724871622054965</v>
      </c>
      <c r="C501" s="148">
        <v>0</v>
      </c>
      <c r="D501">
        <f t="shared" si="14"/>
        <v>0</v>
      </c>
      <c r="E501">
        <f t="shared" si="15"/>
        <v>263.39999999999998</v>
      </c>
    </row>
    <row r="502" spans="2:5" x14ac:dyDescent="0.2">
      <c r="B502" s="148">
        <v>0.28763730462884834</v>
      </c>
      <c r="C502" s="148">
        <v>0</v>
      </c>
      <c r="D502">
        <f t="shared" si="14"/>
        <v>0</v>
      </c>
      <c r="E502">
        <f t="shared" si="15"/>
        <v>263.39999999999998</v>
      </c>
    </row>
    <row r="503" spans="2:5" x14ac:dyDescent="0.2">
      <c r="B503" s="148">
        <v>0.28805176246033259</v>
      </c>
      <c r="C503" s="148">
        <v>0</v>
      </c>
      <c r="D503">
        <f t="shared" si="14"/>
        <v>0</v>
      </c>
      <c r="E503">
        <f t="shared" si="15"/>
        <v>263.39999999999998</v>
      </c>
    </row>
    <row r="504" spans="2:5" x14ac:dyDescent="0.2">
      <c r="B504" s="148">
        <v>0.28847433572583397</v>
      </c>
      <c r="C504" s="148">
        <v>0</v>
      </c>
      <c r="D504">
        <f t="shared" si="14"/>
        <v>0</v>
      </c>
      <c r="E504">
        <f t="shared" si="15"/>
        <v>263.39999999999998</v>
      </c>
    </row>
    <row r="505" spans="2:5" x14ac:dyDescent="0.2">
      <c r="B505" s="148">
        <v>0.28890147835109453</v>
      </c>
      <c r="C505" s="148">
        <v>0</v>
      </c>
      <c r="D505">
        <f t="shared" si="14"/>
        <v>0</v>
      </c>
      <c r="E505">
        <f t="shared" si="15"/>
        <v>263.39999999999998</v>
      </c>
    </row>
    <row r="506" spans="2:5" x14ac:dyDescent="0.2">
      <c r="B506" s="148">
        <v>0.28934332872528229</v>
      </c>
      <c r="C506" s="148">
        <v>0</v>
      </c>
      <c r="D506">
        <f t="shared" si="14"/>
        <v>0</v>
      </c>
      <c r="E506">
        <f t="shared" si="15"/>
        <v>263.39999999999998</v>
      </c>
    </row>
    <row r="507" spans="2:5" x14ac:dyDescent="0.2">
      <c r="B507" s="148">
        <v>0.28981054868718709</v>
      </c>
      <c r="C507" s="148">
        <v>0</v>
      </c>
      <c r="D507">
        <f t="shared" si="14"/>
        <v>0</v>
      </c>
      <c r="E507">
        <f t="shared" si="15"/>
        <v>263.39999999999998</v>
      </c>
    </row>
    <row r="508" spans="2:5" x14ac:dyDescent="0.2">
      <c r="B508" s="148">
        <v>0.29033255373485506</v>
      </c>
      <c r="C508" s="148">
        <v>0</v>
      </c>
      <c r="D508">
        <f t="shared" si="14"/>
        <v>0</v>
      </c>
      <c r="E508">
        <f t="shared" si="15"/>
        <v>263.39999999999998</v>
      </c>
    </row>
    <row r="509" spans="2:5" x14ac:dyDescent="0.2">
      <c r="B509" s="148">
        <v>0.29091391322733312</v>
      </c>
      <c r="C509" s="148">
        <v>0</v>
      </c>
      <c r="D509">
        <f t="shared" si="14"/>
        <v>0</v>
      </c>
      <c r="E509">
        <f t="shared" si="15"/>
        <v>263.39999999999998</v>
      </c>
    </row>
    <row r="510" spans="2:5" x14ac:dyDescent="0.2">
      <c r="B510" s="148">
        <v>0.29151150358888639</v>
      </c>
      <c r="C510" s="148">
        <v>0</v>
      </c>
      <c r="D510">
        <f t="shared" si="14"/>
        <v>0</v>
      </c>
      <c r="E510">
        <f t="shared" si="15"/>
        <v>263.39999999999998</v>
      </c>
    </row>
    <row r="511" spans="2:5" x14ac:dyDescent="0.2">
      <c r="B511" s="148">
        <v>0.28730632375949722</v>
      </c>
      <c r="C511" s="148">
        <v>0.48583232983555813</v>
      </c>
      <c r="D511">
        <f t="shared" si="14"/>
        <v>59.244553554947217</v>
      </c>
      <c r="E511">
        <f t="shared" si="15"/>
        <v>322.64455355494721</v>
      </c>
    </row>
    <row r="512" spans="2:5" x14ac:dyDescent="0.2">
      <c r="B512" s="148">
        <v>0.27874103300357755</v>
      </c>
      <c r="C512" s="148">
        <v>0.99850132502112121</v>
      </c>
      <c r="D512">
        <f t="shared" si="14"/>
        <v>121.76168935674227</v>
      </c>
      <c r="E512">
        <f t="shared" si="15"/>
        <v>385.16168935674227</v>
      </c>
    </row>
    <row r="513" spans="2:5" x14ac:dyDescent="0.2">
      <c r="B513" s="148">
        <v>0.27096230310228681</v>
      </c>
      <c r="C513" s="148">
        <v>0.99756232368334319</v>
      </c>
      <c r="D513">
        <f t="shared" si="14"/>
        <v>121.64718336027435</v>
      </c>
      <c r="E513">
        <f t="shared" si="15"/>
        <v>385.04718336027435</v>
      </c>
    </row>
    <row r="514" spans="2:5" x14ac:dyDescent="0.2">
      <c r="B514" s="148">
        <v>0.26381934930746526</v>
      </c>
      <c r="C514" s="148">
        <v>0.99672806717157847</v>
      </c>
      <c r="D514">
        <f t="shared" si="14"/>
        <v>121.54545041342304</v>
      </c>
      <c r="E514">
        <f t="shared" si="15"/>
        <v>384.94545041342303</v>
      </c>
    </row>
    <row r="515" spans="2:5" x14ac:dyDescent="0.2">
      <c r="B515" s="148">
        <v>0.26433045226732005</v>
      </c>
      <c r="C515" s="148">
        <v>0</v>
      </c>
      <c r="D515">
        <f t="shared" si="14"/>
        <v>0</v>
      </c>
      <c r="E515">
        <f t="shared" si="15"/>
        <v>263.39999999999998</v>
      </c>
    </row>
    <row r="516" spans="2:5" x14ac:dyDescent="0.2">
      <c r="B516" s="148">
        <v>0.26125709785040441</v>
      </c>
      <c r="C516" s="148">
        <v>0.46504156218907089</v>
      </c>
      <c r="D516">
        <f t="shared" si="14"/>
        <v>56.709234944722809</v>
      </c>
      <c r="E516">
        <f t="shared" si="15"/>
        <v>320.1092349447228</v>
      </c>
    </row>
    <row r="517" spans="2:5" x14ac:dyDescent="0.2">
      <c r="B517" s="148">
        <v>0.25765159319157177</v>
      </c>
      <c r="C517" s="148">
        <v>0.46496144032776188</v>
      </c>
      <c r="D517">
        <f t="shared" ref="D517:D534" si="16">(I$1*C517*E$1)/(L$1*1.8)</f>
        <v>56.699464528857625</v>
      </c>
      <c r="E517">
        <f t="shared" ref="E517:E534" si="17">(I$1*L$1)+D517</f>
        <v>320.0994645288576</v>
      </c>
    </row>
    <row r="518" spans="2:5" x14ac:dyDescent="0.2">
      <c r="B518" s="148">
        <v>0.25219692833237661</v>
      </c>
      <c r="C518" s="148">
        <v>0.46486308932181103</v>
      </c>
      <c r="D518">
        <f t="shared" si="16"/>
        <v>56.687471170076392</v>
      </c>
      <c r="E518">
        <f t="shared" si="17"/>
        <v>320.08747117007636</v>
      </c>
    </row>
    <row r="519" spans="2:5" x14ac:dyDescent="0.2">
      <c r="B519" s="148">
        <v>0.2455247247924548</v>
      </c>
      <c r="C519" s="148">
        <v>0.46475439741965652</v>
      </c>
      <c r="D519">
        <f t="shared" si="16"/>
        <v>56.674216796452548</v>
      </c>
      <c r="E519">
        <f t="shared" si="17"/>
        <v>320.0742167964525</v>
      </c>
    </row>
    <row r="520" spans="2:5" x14ac:dyDescent="0.2">
      <c r="B520" s="148">
        <v>0.23864764307612391</v>
      </c>
      <c r="C520" s="148">
        <v>0.46464691921087209</v>
      </c>
      <c r="D520">
        <f t="shared" si="16"/>
        <v>56.661110425992455</v>
      </c>
      <c r="E520">
        <f t="shared" si="17"/>
        <v>320.06111042599241</v>
      </c>
    </row>
    <row r="521" spans="2:5" x14ac:dyDescent="0.2">
      <c r="B521" s="148">
        <v>0.23189643678154395</v>
      </c>
      <c r="C521" s="148">
        <v>0.46454412310605164</v>
      </c>
      <c r="D521">
        <f t="shared" si="16"/>
        <v>56.648575012099066</v>
      </c>
      <c r="E521">
        <f t="shared" si="17"/>
        <v>320.04857501209904</v>
      </c>
    </row>
    <row r="522" spans="2:5" x14ac:dyDescent="0.2">
      <c r="B522" s="148">
        <v>0.22546099579466719</v>
      </c>
      <c r="C522" s="148">
        <v>0.46444777612767218</v>
      </c>
      <c r="D522">
        <f t="shared" si="16"/>
        <v>56.636826033346686</v>
      </c>
      <c r="E522">
        <f t="shared" si="17"/>
        <v>320.03682603334664</v>
      </c>
    </row>
    <row r="523" spans="2:5" x14ac:dyDescent="0.2">
      <c r="B523" s="148">
        <v>0.21529611892368394</v>
      </c>
      <c r="C523" s="148">
        <v>1.3219867176109363</v>
      </c>
      <c r="D523">
        <f t="shared" si="16"/>
        <v>161.20893584200027</v>
      </c>
      <c r="E523">
        <f t="shared" si="17"/>
        <v>424.60893584200028</v>
      </c>
    </row>
    <row r="524" spans="2:5" x14ac:dyDescent="0.2">
      <c r="B524" s="148">
        <v>0.2094111148869465</v>
      </c>
      <c r="C524" s="148">
        <v>0.46419077987369117</v>
      </c>
      <c r="D524">
        <f t="shared" si="16"/>
        <v>56.605486767930671</v>
      </c>
      <c r="E524">
        <f t="shared" si="17"/>
        <v>320.00548676793062</v>
      </c>
    </row>
    <row r="525" spans="2:5" x14ac:dyDescent="0.2">
      <c r="B525" s="148">
        <v>0.20383641490826632</v>
      </c>
      <c r="C525" s="148">
        <v>0.46411356628684747</v>
      </c>
      <c r="D525">
        <f t="shared" si="16"/>
        <v>56.596070999979446</v>
      </c>
      <c r="E525">
        <f t="shared" si="17"/>
        <v>319.99607099997945</v>
      </c>
    </row>
    <row r="526" spans="2:5" x14ac:dyDescent="0.2">
      <c r="B526" s="148">
        <v>0.19844103083690764</v>
      </c>
      <c r="C526" s="148">
        <v>0.46404009438181998</v>
      </c>
      <c r="D526">
        <f t="shared" si="16"/>
        <v>56.587111509338598</v>
      </c>
      <c r="E526">
        <f t="shared" si="17"/>
        <v>319.98711150933855</v>
      </c>
    </row>
    <row r="527" spans="2:5" x14ac:dyDescent="0.2">
      <c r="B527" s="148">
        <v>0.19308051880974655</v>
      </c>
      <c r="C527" s="148">
        <v>0.46396874236501662</v>
      </c>
      <c r="D527">
        <f t="shared" si="16"/>
        <v>56.578410527289513</v>
      </c>
      <c r="E527">
        <f t="shared" si="17"/>
        <v>319.9784105272895</v>
      </c>
    </row>
    <row r="528" spans="2:5" x14ac:dyDescent="0.2">
      <c r="B528" s="148">
        <v>0.1877620403311743</v>
      </c>
      <c r="C528" s="148">
        <v>0.46389947355671785</v>
      </c>
      <c r="D528">
        <f t="shared" si="16"/>
        <v>56.569963580944197</v>
      </c>
      <c r="E528">
        <f t="shared" si="17"/>
        <v>319.96996358094418</v>
      </c>
    </row>
    <row r="529" spans="2:5" x14ac:dyDescent="0.2">
      <c r="B529" s="148">
        <v>0.18285203829198374</v>
      </c>
      <c r="C529" s="148">
        <v>0.46383580839443328</v>
      </c>
      <c r="D529">
        <f t="shared" si="16"/>
        <v>56.562199968098938</v>
      </c>
      <c r="E529">
        <f t="shared" si="17"/>
        <v>319.9621999680989</v>
      </c>
    </row>
    <row r="530" spans="2:5" x14ac:dyDescent="0.2">
      <c r="B530" s="148">
        <v>0.17799713121697103</v>
      </c>
      <c r="C530" s="148">
        <v>0.46377407049154534</v>
      </c>
      <c r="D530">
        <f t="shared" si="16"/>
        <v>56.554671373830111</v>
      </c>
      <c r="E530">
        <f t="shared" si="17"/>
        <v>319.95467137383008</v>
      </c>
    </row>
    <row r="531" spans="2:5" x14ac:dyDescent="0.2">
      <c r="B531" s="148">
        <v>0.17311132767403248</v>
      </c>
      <c r="C531" s="148">
        <v>0.46371333492990713</v>
      </c>
      <c r="D531">
        <f t="shared" si="16"/>
        <v>56.547265009508116</v>
      </c>
      <c r="E531">
        <f t="shared" si="17"/>
        <v>319.9472650095081</v>
      </c>
    </row>
    <row r="532" spans="2:5" x14ac:dyDescent="0.2">
      <c r="B532" s="148">
        <v>0.1680529794830373</v>
      </c>
      <c r="C532" s="148">
        <v>0.46365217447760393</v>
      </c>
      <c r="D532">
        <f t="shared" si="16"/>
        <v>56.539806832130033</v>
      </c>
      <c r="E532">
        <f t="shared" si="17"/>
        <v>319.93980683212999</v>
      </c>
    </row>
    <row r="533" spans="2:5" x14ac:dyDescent="0.2">
      <c r="B533" s="148">
        <v>0.16307065027232898</v>
      </c>
      <c r="C533" s="148">
        <v>0.46359295813805207</v>
      </c>
      <c r="D533">
        <f t="shared" si="16"/>
        <v>56.532585728501346</v>
      </c>
      <c r="E533">
        <f t="shared" si="17"/>
        <v>319.93258572850129</v>
      </c>
    </row>
    <row r="534" spans="2:5" x14ac:dyDescent="0.2">
      <c r="B534" s="148">
        <v>0.15862815335102889</v>
      </c>
      <c r="C534" s="148">
        <v>0.46354002558269219</v>
      </c>
      <c r="D534">
        <f t="shared" si="16"/>
        <v>56.526130897444958</v>
      </c>
      <c r="E534">
        <f t="shared" si="17"/>
        <v>319.92613089744492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93D06-DFDB-AB47-83CC-AD37D06069E7}">
  <dimension ref="A1"/>
  <sheetViews>
    <sheetView topLeftCell="A14" zoomScale="75" workbookViewId="0">
      <selection activeCell="K45" sqref="K45"/>
    </sheetView>
  </sheetViews>
  <sheetFormatPr baseColWidth="10" defaultColWidth="11.5" defaultRowHeight="15" x14ac:dyDescent="0.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55D85-C994-6C48-93A9-4093A543C078}">
  <dimension ref="E74"/>
  <sheetViews>
    <sheetView topLeftCell="C49" workbookViewId="0">
      <selection activeCell="D78" sqref="D78"/>
    </sheetView>
  </sheetViews>
  <sheetFormatPr baseColWidth="10" defaultColWidth="11.5" defaultRowHeight="15" x14ac:dyDescent="0.2"/>
  <sheetData>
    <row r="74" spans="5:5" x14ac:dyDescent="0.2">
      <c r="E74" t="s">
        <v>181</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9C976-14C5-B041-BCE8-74EDE256450F}">
  <dimension ref="E5:N58"/>
  <sheetViews>
    <sheetView topLeftCell="B1" workbookViewId="0">
      <selection activeCell="N3" sqref="N3"/>
    </sheetView>
  </sheetViews>
  <sheetFormatPr baseColWidth="10" defaultColWidth="11.5" defaultRowHeight="15" x14ac:dyDescent="0.2"/>
  <sheetData>
    <row r="5" spans="5:14" x14ac:dyDescent="0.2">
      <c r="E5" s="28" t="s">
        <v>51</v>
      </c>
    </row>
    <row r="7" spans="5:14" x14ac:dyDescent="0.2">
      <c r="H7">
        <v>0.05</v>
      </c>
    </row>
    <row r="8" spans="5:14" x14ac:dyDescent="0.2">
      <c r="E8" s="28" t="s">
        <v>0</v>
      </c>
      <c r="F8" s="28" t="s">
        <v>1</v>
      </c>
      <c r="G8" s="28" t="s">
        <v>52</v>
      </c>
      <c r="H8" s="28" t="s">
        <v>53</v>
      </c>
      <c r="I8" s="28" t="s">
        <v>4</v>
      </c>
      <c r="J8" s="28" t="s">
        <v>5</v>
      </c>
      <c r="K8" s="28" t="s">
        <v>54</v>
      </c>
      <c r="L8" s="28" t="s">
        <v>43</v>
      </c>
    </row>
    <row r="10" spans="5:14" x14ac:dyDescent="0.2">
      <c r="E10" s="23">
        <v>8.4017032</v>
      </c>
      <c r="F10" s="23">
        <v>5</v>
      </c>
      <c r="G10" s="23">
        <v>134.95022874642865</v>
      </c>
      <c r="H10" s="23">
        <v>232.49999799999998</v>
      </c>
      <c r="I10" s="26">
        <v>32.920194368966996</v>
      </c>
      <c r="J10" s="27">
        <f t="shared" ref="J10:J58" si="0">(I11-I10)/(H11-H10)</f>
        <v>1.5058560261321348</v>
      </c>
      <c r="K10" s="27">
        <f t="shared" ref="K10:K58" si="1">I10/3.5</f>
        <v>9.4057698197048563</v>
      </c>
      <c r="L10" s="27">
        <f t="shared" ref="L10:L58" si="2">(K11-K10)/(H11-H10)</f>
        <v>0.43024457889488044</v>
      </c>
      <c r="M10">
        <f t="shared" ref="M10:M58" si="3">2*E10</f>
        <v>16.8034064</v>
      </c>
      <c r="N10">
        <f t="shared" ref="N10:N58" si="4">M11-M10</f>
        <v>0</v>
      </c>
    </row>
    <row r="11" spans="5:14" x14ac:dyDescent="0.2">
      <c r="E11" s="23">
        <v>8.4017032</v>
      </c>
      <c r="F11" s="23">
        <v>5</v>
      </c>
      <c r="G11" s="23">
        <v>136.62307716619131</v>
      </c>
      <c r="H11" s="23">
        <v>232.54999799999999</v>
      </c>
      <c r="I11" s="26">
        <v>32.99548717027362</v>
      </c>
      <c r="J11" s="27">
        <f t="shared" si="0"/>
        <v>1.3787271212738679</v>
      </c>
      <c r="K11" s="27">
        <f t="shared" si="1"/>
        <v>9.4272820486496052</v>
      </c>
      <c r="L11" s="27">
        <f t="shared" si="2"/>
        <v>0.39392203464968667</v>
      </c>
      <c r="M11">
        <f t="shared" si="3"/>
        <v>16.8034064</v>
      </c>
      <c r="N11">
        <f t="shared" si="4"/>
        <v>0</v>
      </c>
    </row>
    <row r="12" spans="5:14" x14ac:dyDescent="0.2">
      <c r="E12" s="23">
        <v>8.4017032</v>
      </c>
      <c r="F12" s="23">
        <v>5</v>
      </c>
      <c r="G12" s="23">
        <v>138.29631827684872</v>
      </c>
      <c r="H12" s="23">
        <v>232.599998</v>
      </c>
      <c r="I12" s="26">
        <v>33.064423526337329</v>
      </c>
      <c r="J12" s="27">
        <f t="shared" si="0"/>
        <v>2.7120275443066801</v>
      </c>
      <c r="K12" s="27">
        <f t="shared" si="1"/>
        <v>9.446978150382094</v>
      </c>
      <c r="L12" s="27">
        <f t="shared" si="2"/>
        <v>0.77486501265903618</v>
      </c>
      <c r="M12">
        <f t="shared" si="3"/>
        <v>16.8034064</v>
      </c>
      <c r="N12">
        <f t="shared" si="4"/>
        <v>0</v>
      </c>
    </row>
    <row r="13" spans="5:14" x14ac:dyDescent="0.2">
      <c r="E13" s="23">
        <v>8.4017032</v>
      </c>
      <c r="F13" s="23">
        <v>5</v>
      </c>
      <c r="G13" s="23">
        <v>139.97151370763731</v>
      </c>
      <c r="H13" s="23">
        <v>232.64999799999998</v>
      </c>
      <c r="I13" s="26">
        <v>33.200024903552617</v>
      </c>
      <c r="J13" s="27">
        <f t="shared" si="0"/>
        <v>-3.9360679461027392</v>
      </c>
      <c r="K13" s="27">
        <f t="shared" si="1"/>
        <v>9.4857214010150326</v>
      </c>
      <c r="L13" s="27">
        <f t="shared" si="2"/>
        <v>-1.1245908417436397</v>
      </c>
      <c r="M13">
        <f t="shared" si="3"/>
        <v>16.8034064</v>
      </c>
      <c r="N13">
        <f t="shared" si="4"/>
        <v>0</v>
      </c>
    </row>
    <row r="14" spans="5:14" x14ac:dyDescent="0.2">
      <c r="E14" s="23">
        <v>8.4017032</v>
      </c>
      <c r="F14" s="23">
        <v>5</v>
      </c>
      <c r="G14" s="23">
        <v>141.6455689710096</v>
      </c>
      <c r="H14" s="23">
        <v>232.69999799999999</v>
      </c>
      <c r="I14" s="26">
        <v>33.003221506247435</v>
      </c>
      <c r="J14" s="27">
        <f t="shared" si="0"/>
        <v>-0.71803544304013989</v>
      </c>
      <c r="K14" s="27">
        <f t="shared" si="1"/>
        <v>9.4294918589278378</v>
      </c>
      <c r="L14" s="27">
        <f t="shared" si="2"/>
        <v>-0.2051529837257238</v>
      </c>
      <c r="M14">
        <f t="shared" si="3"/>
        <v>16.8034064</v>
      </c>
      <c r="N14">
        <f t="shared" si="4"/>
        <v>0.19999679999999742</v>
      </c>
    </row>
    <row r="15" spans="5:14" x14ac:dyDescent="0.2">
      <c r="E15" s="23">
        <v>8.5017015999999987</v>
      </c>
      <c r="F15" s="23">
        <v>5</v>
      </c>
      <c r="G15" s="23">
        <v>143.30930815843354</v>
      </c>
      <c r="H15" s="23">
        <v>232.74999799999998</v>
      </c>
      <c r="I15" s="26">
        <v>32.96731973409544</v>
      </c>
      <c r="J15" s="27">
        <f t="shared" si="0"/>
        <v>-2.5984730159237079</v>
      </c>
      <c r="K15" s="27">
        <f t="shared" si="1"/>
        <v>9.4192342097415551</v>
      </c>
      <c r="L15" s="27">
        <f t="shared" si="2"/>
        <v>-0.74242086169250321</v>
      </c>
      <c r="M15">
        <f t="shared" si="3"/>
        <v>17.003403199999997</v>
      </c>
      <c r="N15">
        <f t="shared" si="4"/>
        <v>0.23161543095177706</v>
      </c>
    </row>
    <row r="16" spans="5:14" x14ac:dyDescent="0.2">
      <c r="E16" s="23">
        <v>8.6175093154758873</v>
      </c>
      <c r="F16" s="23">
        <v>5</v>
      </c>
      <c r="G16" s="23">
        <v>144.96580245814718</v>
      </c>
      <c r="H16" s="23">
        <v>232.79999799999999</v>
      </c>
      <c r="I16" s="26">
        <v>32.837396083299225</v>
      </c>
      <c r="J16" s="27">
        <f t="shared" si="0"/>
        <v>-2.1943853523868722</v>
      </c>
      <c r="K16" s="27">
        <f t="shared" si="1"/>
        <v>9.3821131666569215</v>
      </c>
      <c r="L16" s="27">
        <f t="shared" si="2"/>
        <v>-0.62696724353909117</v>
      </c>
      <c r="M16">
        <f t="shared" si="3"/>
        <v>17.235018630951775</v>
      </c>
      <c r="N16">
        <f t="shared" si="4"/>
        <v>0.56838776904822552</v>
      </c>
    </row>
    <row r="17" spans="5:14" x14ac:dyDescent="0.2">
      <c r="E17" s="23">
        <v>8.9017032</v>
      </c>
      <c r="F17" s="23">
        <v>5</v>
      </c>
      <c r="G17" s="23">
        <v>146.60900873417822</v>
      </c>
      <c r="H17" s="23">
        <v>232.849998</v>
      </c>
      <c r="I17" s="26">
        <v>32.727676815679857</v>
      </c>
      <c r="J17" s="27">
        <f t="shared" si="0"/>
        <v>2.4739410371816373E-2</v>
      </c>
      <c r="K17" s="27">
        <f t="shared" si="1"/>
        <v>9.3507648044799598</v>
      </c>
      <c r="L17" s="27">
        <f t="shared" si="2"/>
        <v>7.0684029633507296E-3</v>
      </c>
      <c r="M17">
        <f t="shared" si="3"/>
        <v>17.8034064</v>
      </c>
      <c r="N17">
        <f t="shared" si="4"/>
        <v>0.43161223095195567</v>
      </c>
    </row>
    <row r="18" spans="5:14" x14ac:dyDescent="0.2">
      <c r="E18" s="23">
        <v>9.1175093154759779</v>
      </c>
      <c r="F18" s="23">
        <v>5</v>
      </c>
      <c r="G18" s="23">
        <v>148.243351180075</v>
      </c>
      <c r="H18" s="23">
        <v>232.89999799999998</v>
      </c>
      <c r="I18" s="26">
        <v>32.728913786198447</v>
      </c>
      <c r="J18" s="27">
        <f t="shared" si="0"/>
        <v>-0.89451932380634513</v>
      </c>
      <c r="K18" s="27">
        <f t="shared" si="1"/>
        <v>9.3511182246281273</v>
      </c>
      <c r="L18" s="27">
        <f t="shared" si="2"/>
        <v>-0.25557694965895067</v>
      </c>
      <c r="M18">
        <f t="shared" si="3"/>
        <v>18.235018630951956</v>
      </c>
      <c r="N18">
        <f t="shared" si="4"/>
        <v>0.59999199999981911</v>
      </c>
    </row>
    <row r="19" spans="5:14" x14ac:dyDescent="0.2">
      <c r="E19" s="23">
        <v>9.4175053154758874</v>
      </c>
      <c r="F19" s="23">
        <v>5</v>
      </c>
      <c r="G19" s="23">
        <v>149.8730510616588</v>
      </c>
      <c r="H19" s="23">
        <v>232.94999799999999</v>
      </c>
      <c r="I19" s="26">
        <v>32.68418782000812</v>
      </c>
      <c r="J19" s="27">
        <f t="shared" si="0"/>
        <v>-1.124565429155197</v>
      </c>
      <c r="K19" s="27">
        <f t="shared" si="1"/>
        <v>9.3383393771451768</v>
      </c>
      <c r="L19" s="27">
        <f t="shared" si="2"/>
        <v>-0.32130440833004614</v>
      </c>
      <c r="M19">
        <f t="shared" si="3"/>
        <v>18.835010630951775</v>
      </c>
      <c r="N19">
        <f t="shared" si="4"/>
        <v>0.6000050528380747</v>
      </c>
    </row>
    <row r="20" spans="5:14" x14ac:dyDescent="0.2">
      <c r="E20" s="23">
        <v>9.7175078418949248</v>
      </c>
      <c r="F20" s="23">
        <v>5</v>
      </c>
      <c r="G20" s="23">
        <v>151.48448711310886</v>
      </c>
      <c r="H20" s="23">
        <v>232.99999799999998</v>
      </c>
      <c r="I20" s="26">
        <v>32.627959548550379</v>
      </c>
      <c r="J20" s="27">
        <f t="shared" si="0"/>
        <v>-1.0622344728448212</v>
      </c>
      <c r="K20" s="27">
        <f t="shared" si="1"/>
        <v>9.32227415672868</v>
      </c>
      <c r="L20" s="27">
        <f t="shared" si="2"/>
        <v>-0.30349556366996416</v>
      </c>
      <c r="M20">
        <f t="shared" si="3"/>
        <v>19.43501568378985</v>
      </c>
      <c r="N20">
        <f t="shared" si="4"/>
        <v>0.39999494716192174</v>
      </c>
    </row>
    <row r="21" spans="5:14" x14ac:dyDescent="0.2">
      <c r="E21" s="23">
        <v>9.9175053154758857</v>
      </c>
      <c r="F21" s="23">
        <v>5</v>
      </c>
      <c r="G21" s="23">
        <v>153.09515138423947</v>
      </c>
      <c r="H21" s="23">
        <v>233.04999799999999</v>
      </c>
      <c r="I21" s="26">
        <v>32.574847824908126</v>
      </c>
      <c r="J21" s="27">
        <f t="shared" si="0"/>
        <v>0.80744840833101361</v>
      </c>
      <c r="K21" s="27">
        <f t="shared" si="1"/>
        <v>9.3070993785451783</v>
      </c>
      <c r="L21" s="27">
        <f t="shared" si="2"/>
        <v>0.23069954523743247</v>
      </c>
      <c r="M21">
        <f t="shared" si="3"/>
        <v>19.835010630951771</v>
      </c>
      <c r="N21">
        <f t="shared" si="4"/>
        <v>0.56840056904822944</v>
      </c>
    </row>
    <row r="22" spans="5:14" x14ac:dyDescent="0.2">
      <c r="E22" s="23">
        <v>10.2017056</v>
      </c>
      <c r="F22" s="23">
        <v>5</v>
      </c>
      <c r="G22" s="23">
        <v>154.70851528379029</v>
      </c>
      <c r="H22" s="23">
        <v>233.099998</v>
      </c>
      <c r="I22" s="26">
        <v>32.615220245324686</v>
      </c>
      <c r="J22" s="27">
        <f t="shared" si="0"/>
        <v>2.0857459403846699</v>
      </c>
      <c r="K22" s="27">
        <f t="shared" si="1"/>
        <v>9.3186343558070526</v>
      </c>
      <c r="L22" s="27">
        <f t="shared" si="2"/>
        <v>0.59592741153848727</v>
      </c>
      <c r="M22">
        <f t="shared" si="3"/>
        <v>20.403411200000001</v>
      </c>
      <c r="N22">
        <f t="shared" si="4"/>
        <v>0.39999519999999933</v>
      </c>
    </row>
    <row r="23" spans="5:14" x14ac:dyDescent="0.2">
      <c r="E23" s="23">
        <v>10.4017032</v>
      </c>
      <c r="F23" s="23">
        <v>5</v>
      </c>
      <c r="G23" s="23">
        <v>156.32790029399953</v>
      </c>
      <c r="H23" s="23">
        <v>233.14999799999998</v>
      </c>
      <c r="I23" s="26">
        <v>32.719507542343884</v>
      </c>
      <c r="J23" s="27">
        <f t="shared" si="0"/>
        <v>0.22606195508169524</v>
      </c>
      <c r="K23" s="27">
        <f t="shared" si="1"/>
        <v>9.3484307263839668</v>
      </c>
      <c r="L23" s="27">
        <f t="shared" si="2"/>
        <v>6.4589130023356728E-2</v>
      </c>
      <c r="M23">
        <f t="shared" si="3"/>
        <v>20.8034064</v>
      </c>
      <c r="N23">
        <f t="shared" si="4"/>
        <v>0.43161223095177448</v>
      </c>
    </row>
    <row r="24" spans="5:14" x14ac:dyDescent="0.2">
      <c r="E24" s="23">
        <v>10.617509315475887</v>
      </c>
      <c r="F24" s="23">
        <v>5</v>
      </c>
      <c r="G24" s="23">
        <v>157.9513160718671</v>
      </c>
      <c r="H24" s="23">
        <v>233.19999799999999</v>
      </c>
      <c r="I24" s="26">
        <v>32.730810640097971</v>
      </c>
      <c r="J24" s="27">
        <f t="shared" si="0"/>
        <v>-0.86227524050728299</v>
      </c>
      <c r="K24" s="27">
        <f t="shared" si="1"/>
        <v>9.3516601828851353</v>
      </c>
      <c r="L24" s="27">
        <f t="shared" si="2"/>
        <v>-0.24636435443065227</v>
      </c>
      <c r="M24">
        <f t="shared" si="3"/>
        <v>21.235018630951775</v>
      </c>
      <c r="N24">
        <f t="shared" si="4"/>
        <v>0.36839096904822455</v>
      </c>
    </row>
    <row r="25" spans="5:14" x14ac:dyDescent="0.2">
      <c r="E25" s="23">
        <v>10.8017048</v>
      </c>
      <c r="F25" s="23">
        <v>5</v>
      </c>
      <c r="G25" s="23">
        <v>159.57382389955183</v>
      </c>
      <c r="H25" s="23">
        <v>233.24999799999998</v>
      </c>
      <c r="I25" s="26">
        <v>32.687696878072622</v>
      </c>
      <c r="J25" s="27">
        <f t="shared" si="0"/>
        <v>-1.7477413736212388</v>
      </c>
      <c r="K25" s="27">
        <f t="shared" si="1"/>
        <v>9.3393419651636069</v>
      </c>
      <c r="L25" s="27">
        <f t="shared" si="2"/>
        <v>-0.49935467817749685</v>
      </c>
      <c r="M25">
        <f t="shared" si="3"/>
        <v>21.603409599999999</v>
      </c>
      <c r="N25">
        <f t="shared" si="4"/>
        <v>0.39999359999999839</v>
      </c>
    </row>
    <row r="26" spans="5:14" x14ac:dyDescent="0.2">
      <c r="E26" s="23">
        <v>11.001701599999999</v>
      </c>
      <c r="F26" s="23">
        <v>5</v>
      </c>
      <c r="G26" s="23">
        <v>161.19451488771026</v>
      </c>
      <c r="H26" s="23">
        <v>233.29999799999999</v>
      </c>
      <c r="I26" s="26">
        <v>32.60030980939154</v>
      </c>
      <c r="J26" s="27">
        <f t="shared" si="0"/>
        <v>-1.4762371710897977</v>
      </c>
      <c r="K26" s="27">
        <f t="shared" si="1"/>
        <v>9.3143742312547264</v>
      </c>
      <c r="L26" s="27">
        <f t="shared" si="2"/>
        <v>-0.42178204888281456</v>
      </c>
      <c r="M26">
        <f t="shared" si="3"/>
        <v>22.003403199999997</v>
      </c>
      <c r="N26">
        <f t="shared" si="4"/>
        <v>0.23161543095177706</v>
      </c>
    </row>
    <row r="27" spans="5:14" x14ac:dyDescent="0.2">
      <c r="E27" s="23">
        <v>11.117509315475887</v>
      </c>
      <c r="F27" s="23">
        <v>5</v>
      </c>
      <c r="G27" s="23">
        <v>162.81388009800017</v>
      </c>
      <c r="H27" s="23">
        <v>233.349998</v>
      </c>
      <c r="I27" s="26">
        <v>32.526497950837033</v>
      </c>
      <c r="J27" s="27">
        <f t="shared" si="0"/>
        <v>-1.3151975173551245</v>
      </c>
      <c r="K27" s="27">
        <f t="shared" si="1"/>
        <v>9.2932851288105809</v>
      </c>
      <c r="L27" s="27">
        <f t="shared" si="2"/>
        <v>-0.37577071924433653</v>
      </c>
      <c r="M27">
        <f t="shared" si="3"/>
        <v>22.235018630951775</v>
      </c>
      <c r="N27">
        <f t="shared" si="4"/>
        <v>0.1999970528382562</v>
      </c>
    </row>
    <row r="28" spans="5:14" x14ac:dyDescent="0.2">
      <c r="E28" s="23">
        <v>11.217507841895015</v>
      </c>
      <c r="F28" s="23">
        <v>5</v>
      </c>
      <c r="G28" s="23">
        <v>164.43208530829105</v>
      </c>
      <c r="H28" s="23">
        <v>233.39999799999998</v>
      </c>
      <c r="I28" s="26">
        <v>32.460738074969299</v>
      </c>
      <c r="J28" s="27">
        <f t="shared" si="0"/>
        <v>-1.1777291498559515</v>
      </c>
      <c r="K28" s="27">
        <f t="shared" si="1"/>
        <v>9.2744965928483705</v>
      </c>
      <c r="L28" s="27">
        <f t="shared" si="2"/>
        <v>-0.33649404281596584</v>
      </c>
      <c r="M28">
        <f t="shared" si="3"/>
        <v>22.435015683790031</v>
      </c>
      <c r="N28">
        <f t="shared" si="4"/>
        <v>0.36839071620996933</v>
      </c>
    </row>
    <row r="29" spans="5:14" x14ac:dyDescent="0.2">
      <c r="E29" s="23">
        <v>11.4017032</v>
      </c>
      <c r="F29" s="23">
        <v>5</v>
      </c>
      <c r="G29" s="23">
        <v>166.04896893834317</v>
      </c>
      <c r="H29" s="23">
        <v>233.44999799999999</v>
      </c>
      <c r="I29" s="26">
        <v>32.401851617476488</v>
      </c>
      <c r="J29" s="27">
        <f t="shared" si="0"/>
        <v>-1.0478330093918251</v>
      </c>
      <c r="K29" s="27">
        <f t="shared" si="1"/>
        <v>9.2576718907075684</v>
      </c>
      <c r="L29" s="27">
        <f t="shared" si="2"/>
        <v>-0.2993808598262459</v>
      </c>
      <c r="M29">
        <f t="shared" si="3"/>
        <v>22.8034064</v>
      </c>
      <c r="N29">
        <f t="shared" si="4"/>
        <v>0</v>
      </c>
    </row>
    <row r="30" spans="5:14" x14ac:dyDescent="0.2">
      <c r="E30" s="23">
        <v>11.4017032</v>
      </c>
      <c r="F30" s="23">
        <v>5</v>
      </c>
      <c r="G30" s="23">
        <v>167.66456940792261</v>
      </c>
      <c r="H30" s="23">
        <v>233.49999799999998</v>
      </c>
      <c r="I30" s="26">
        <v>32.349459967006915</v>
      </c>
      <c r="J30" s="27">
        <f t="shared" si="0"/>
        <v>-0.93233038791332612</v>
      </c>
      <c r="K30" s="27">
        <f t="shared" si="1"/>
        <v>9.2427028477162612</v>
      </c>
      <c r="L30" s="27">
        <f t="shared" si="2"/>
        <v>-0.26638011083236873</v>
      </c>
      <c r="M30">
        <f t="shared" si="3"/>
        <v>22.8034064</v>
      </c>
      <c r="N30">
        <f t="shared" si="4"/>
        <v>0.19999679999999742</v>
      </c>
    </row>
    <row r="31" spans="5:14" x14ac:dyDescent="0.2">
      <c r="E31" s="23">
        <v>11.501701599999999</v>
      </c>
      <c r="F31" s="23">
        <v>5</v>
      </c>
      <c r="G31" s="23">
        <v>169.2788051367915</v>
      </c>
      <c r="H31" s="23">
        <v>233.54999799999999</v>
      </c>
      <c r="I31" s="26">
        <v>32.302843447611238</v>
      </c>
      <c r="J31" s="27">
        <f t="shared" si="0"/>
        <v>-0.83038264761095648</v>
      </c>
      <c r="K31" s="27">
        <f t="shared" si="1"/>
        <v>9.2293838421746397</v>
      </c>
      <c r="L31" s="27">
        <f t="shared" si="2"/>
        <v>-0.23725218503171708</v>
      </c>
      <c r="M31">
        <f t="shared" si="3"/>
        <v>23.003403199999997</v>
      </c>
      <c r="N31">
        <f t="shared" si="4"/>
        <v>0</v>
      </c>
    </row>
    <row r="32" spans="5:14" x14ac:dyDescent="0.2">
      <c r="E32" s="23">
        <v>11.501701599999999</v>
      </c>
      <c r="F32" s="23">
        <v>5</v>
      </c>
      <c r="G32" s="23">
        <v>170.89169244589729</v>
      </c>
      <c r="H32" s="23">
        <v>233.599998</v>
      </c>
      <c r="I32" s="26">
        <v>32.261324315230681</v>
      </c>
      <c r="J32" s="27">
        <f t="shared" si="0"/>
        <v>-0.74250432339792127</v>
      </c>
      <c r="K32" s="27">
        <f t="shared" si="1"/>
        <v>9.2175212329230511</v>
      </c>
      <c r="L32" s="27">
        <f t="shared" si="2"/>
        <v>-0.21214409239938578</v>
      </c>
      <c r="M32">
        <f t="shared" si="3"/>
        <v>23.003403199999997</v>
      </c>
      <c r="N32">
        <f t="shared" si="4"/>
        <v>0</v>
      </c>
    </row>
    <row r="33" spans="5:14" x14ac:dyDescent="0.2">
      <c r="E33" s="23">
        <v>11.501701599999999</v>
      </c>
      <c r="F33" s="23">
        <v>5</v>
      </c>
      <c r="G33" s="23">
        <v>172.50313027358303</v>
      </c>
      <c r="H33" s="23">
        <v>233.64999799999998</v>
      </c>
      <c r="I33" s="26">
        <v>32.224199099060797</v>
      </c>
      <c r="J33" s="27">
        <f t="shared" si="0"/>
        <v>-0.68475024254736705</v>
      </c>
      <c r="K33" s="27">
        <f t="shared" si="1"/>
        <v>9.2069140283030855</v>
      </c>
      <c r="L33" s="27">
        <f t="shared" si="2"/>
        <v>-0.19564292644210993</v>
      </c>
      <c r="M33">
        <f t="shared" si="3"/>
        <v>23.003403199999997</v>
      </c>
      <c r="N33">
        <f t="shared" si="4"/>
        <v>0</v>
      </c>
    </row>
    <row r="34" spans="5:14" x14ac:dyDescent="0.2">
      <c r="E34" s="23">
        <v>11.501701599999999</v>
      </c>
      <c r="F34" s="23">
        <v>5</v>
      </c>
      <c r="G34" s="23">
        <v>174.11305126174048</v>
      </c>
      <c r="H34" s="23">
        <v>233.69999799999999</v>
      </c>
      <c r="I34" s="26">
        <v>32.189961586933421</v>
      </c>
      <c r="J34" s="27">
        <f t="shared" si="0"/>
        <v>-0.60573710739084474</v>
      </c>
      <c r="K34" s="27">
        <f t="shared" si="1"/>
        <v>9.1971318819809778</v>
      </c>
      <c r="L34" s="27">
        <f t="shared" si="2"/>
        <v>-0.17306774496882801</v>
      </c>
      <c r="M34">
        <f t="shared" si="3"/>
        <v>23.003403199999997</v>
      </c>
      <c r="N34">
        <f t="shared" si="4"/>
        <v>-0.19999679999999742</v>
      </c>
    </row>
    <row r="35" spans="5:14" x14ac:dyDescent="0.2">
      <c r="E35" s="23">
        <v>11.4017032</v>
      </c>
      <c r="F35" s="23">
        <v>5</v>
      </c>
      <c r="G35" s="23">
        <v>175.72141224989889</v>
      </c>
      <c r="H35" s="23">
        <v>233.74999799999998</v>
      </c>
      <c r="I35" s="26">
        <v>32.159674731563889</v>
      </c>
      <c r="J35" s="27">
        <f t="shared" si="0"/>
        <v>-0.55808823193133705</v>
      </c>
      <c r="K35" s="27">
        <f t="shared" si="1"/>
        <v>9.1884784947325393</v>
      </c>
      <c r="L35" s="27">
        <f t="shared" si="2"/>
        <v>-0.15945378055178522</v>
      </c>
      <c r="M35">
        <f t="shared" si="3"/>
        <v>22.8034064</v>
      </c>
      <c r="N35">
        <f t="shared" si="4"/>
        <v>-3.1604230951774781E-2</v>
      </c>
    </row>
    <row r="36" spans="5:14" x14ac:dyDescent="0.2">
      <c r="E36" s="23">
        <v>11.385901084524113</v>
      </c>
      <c r="F36" s="23">
        <v>5</v>
      </c>
      <c r="G36" s="23">
        <v>177.32812899142607</v>
      </c>
      <c r="H36" s="23">
        <v>233.79999799999999</v>
      </c>
      <c r="I36" s="26">
        <v>32.131770319967316</v>
      </c>
      <c r="J36" s="27">
        <f t="shared" si="0"/>
        <v>-0.51867891874226335</v>
      </c>
      <c r="K36" s="27">
        <f t="shared" si="1"/>
        <v>9.1805058057049482</v>
      </c>
      <c r="L36" s="27">
        <f t="shared" si="2"/>
        <v>-0.14819397678351903</v>
      </c>
      <c r="M36">
        <f t="shared" si="3"/>
        <v>22.771802169048225</v>
      </c>
      <c r="N36">
        <f t="shared" si="4"/>
        <v>-0.19999705283789382</v>
      </c>
    </row>
    <row r="37" spans="5:14" x14ac:dyDescent="0.2">
      <c r="E37" s="23">
        <v>11.285902558105166</v>
      </c>
      <c r="F37" s="23">
        <v>5</v>
      </c>
      <c r="G37" s="23">
        <v>178.93263417721619</v>
      </c>
      <c r="H37" s="23">
        <v>233.849998</v>
      </c>
      <c r="I37" s="26">
        <v>32.105836374030197</v>
      </c>
      <c r="J37" s="27">
        <f t="shared" si="0"/>
        <v>-0.50536265904500688</v>
      </c>
      <c r="K37" s="27">
        <f t="shared" si="1"/>
        <v>9.1730961068657706</v>
      </c>
      <c r="L37" s="27">
        <f t="shared" si="2"/>
        <v>-0.14438933115572133</v>
      </c>
      <c r="M37">
        <f t="shared" si="3"/>
        <v>22.571805116210331</v>
      </c>
      <c r="N37">
        <f t="shared" si="4"/>
        <v>-0.3683907162103317</v>
      </c>
    </row>
    <row r="38" spans="5:14" x14ac:dyDescent="0.2">
      <c r="E38" s="23">
        <v>11.1017072</v>
      </c>
      <c r="F38" s="23">
        <v>5</v>
      </c>
      <c r="G38" s="23">
        <v>180.53537832584925</v>
      </c>
      <c r="H38" s="23">
        <v>233.89999799999998</v>
      </c>
      <c r="I38" s="26">
        <v>32.080568241077955</v>
      </c>
      <c r="J38" s="27">
        <f t="shared" si="0"/>
        <v>-0.46032704287402221</v>
      </c>
      <c r="K38" s="27">
        <f t="shared" si="1"/>
        <v>9.165876640307987</v>
      </c>
      <c r="L38" s="27">
        <f t="shared" si="2"/>
        <v>-0.13152201224973079</v>
      </c>
      <c r="M38">
        <f t="shared" si="3"/>
        <v>22.2034144</v>
      </c>
      <c r="N38">
        <f t="shared" si="4"/>
        <v>-0.2316154309517735</v>
      </c>
    </row>
    <row r="39" spans="5:14" x14ac:dyDescent="0.2">
      <c r="E39" s="23">
        <v>10.985899484524113</v>
      </c>
      <c r="F39" s="23">
        <v>5</v>
      </c>
      <c r="G39" s="23">
        <v>182.13652351163839</v>
      </c>
      <c r="H39" s="23">
        <v>233.94999799999999</v>
      </c>
      <c r="I39" s="26">
        <v>32.057551888934249</v>
      </c>
      <c r="J39" s="27">
        <f t="shared" si="0"/>
        <v>-0.39762460432839281</v>
      </c>
      <c r="K39" s="27">
        <f t="shared" si="1"/>
        <v>9.159300539695499</v>
      </c>
      <c r="L39" s="27">
        <f t="shared" si="2"/>
        <v>-0.113607029808097</v>
      </c>
      <c r="M39">
        <f t="shared" si="3"/>
        <v>21.971798969048226</v>
      </c>
      <c r="N39">
        <f t="shared" si="4"/>
        <v>-0.39999385283789479</v>
      </c>
    </row>
    <row r="40" spans="5:14" x14ac:dyDescent="0.2">
      <c r="E40" s="23">
        <v>10.785902558105166</v>
      </c>
      <c r="F40" s="23">
        <v>5</v>
      </c>
      <c r="G40" s="23">
        <v>183.73627294405981</v>
      </c>
      <c r="H40" s="23">
        <v>233.99999799999998</v>
      </c>
      <c r="I40" s="26">
        <v>32.037670658717836</v>
      </c>
      <c r="J40" s="27">
        <f t="shared" si="0"/>
        <v>-0.33129909677419817</v>
      </c>
      <c r="K40" s="27">
        <f t="shared" si="1"/>
        <v>9.153620188205096</v>
      </c>
      <c r="L40" s="27">
        <f t="shared" si="2"/>
        <v>-9.4656884792612819E-2</v>
      </c>
      <c r="M40">
        <f t="shared" si="3"/>
        <v>21.571805116210331</v>
      </c>
      <c r="N40">
        <f t="shared" si="4"/>
        <v>-0.39999722270314209</v>
      </c>
    </row>
    <row r="41" spans="5:14" x14ac:dyDescent="0.2">
      <c r="E41" s="23">
        <v>10.585903946753595</v>
      </c>
      <c r="F41" s="23">
        <v>5</v>
      </c>
      <c r="G41" s="23">
        <v>185.33483077174458</v>
      </c>
      <c r="H41" s="23">
        <v>234.04999799999999</v>
      </c>
      <c r="I41" s="26">
        <v>32.021105703879122</v>
      </c>
      <c r="J41" s="27">
        <f t="shared" si="0"/>
        <v>-0.26895536137183307</v>
      </c>
      <c r="K41" s="27">
        <f t="shared" si="1"/>
        <v>9.1488873439654643</v>
      </c>
      <c r="L41" s="27">
        <f t="shared" si="2"/>
        <v>-7.6844388963391033E-2</v>
      </c>
      <c r="M41">
        <f t="shared" si="3"/>
        <v>21.171807893507189</v>
      </c>
      <c r="N41">
        <f t="shared" si="4"/>
        <v>-0.4000057244589641</v>
      </c>
    </row>
    <row r="42" spans="5:14" x14ac:dyDescent="0.2">
      <c r="E42" s="23">
        <v>10.385901084524113</v>
      </c>
      <c r="F42" s="23">
        <v>5</v>
      </c>
      <c r="G42" s="23">
        <v>186.93249496937625</v>
      </c>
      <c r="H42" s="23">
        <v>234.099998</v>
      </c>
      <c r="I42" s="26">
        <v>32.007657935810528</v>
      </c>
      <c r="J42" s="27">
        <f t="shared" si="0"/>
        <v>-0.24339594610077372</v>
      </c>
      <c r="K42" s="27">
        <f t="shared" si="1"/>
        <v>9.1450451245172939</v>
      </c>
      <c r="L42" s="27">
        <f t="shared" si="2"/>
        <v>-6.9541698885930273E-2</v>
      </c>
      <c r="M42">
        <f t="shared" si="3"/>
        <v>20.771802169048225</v>
      </c>
      <c r="N42">
        <f t="shared" si="4"/>
        <v>-0.59999427554140183</v>
      </c>
    </row>
    <row r="43" spans="5:14" x14ac:dyDescent="0.2">
      <c r="E43" s="23">
        <v>10.085903946753412</v>
      </c>
      <c r="F43" s="23">
        <v>5</v>
      </c>
      <c r="G43" s="23">
        <v>188.52928859943029</v>
      </c>
      <c r="H43" s="23">
        <v>234.14999799999998</v>
      </c>
      <c r="I43" s="26">
        <v>31.995488138505493</v>
      </c>
      <c r="J43" s="27">
        <f t="shared" si="0"/>
        <v>-0.22782136708835815</v>
      </c>
      <c r="K43" s="27">
        <f t="shared" si="1"/>
        <v>9.1415680395729986</v>
      </c>
      <c r="L43" s="27">
        <f t="shared" si="2"/>
        <v>-6.5091819168102333E-2</v>
      </c>
      <c r="M43">
        <f t="shared" si="3"/>
        <v>20.171807893506823</v>
      </c>
      <c r="N43">
        <f t="shared" si="4"/>
        <v>-0.40000572445859817</v>
      </c>
    </row>
    <row r="44" spans="5:14" x14ac:dyDescent="0.2">
      <c r="E44" s="23">
        <v>9.8859010845241126</v>
      </c>
      <c r="F44" s="23">
        <v>5</v>
      </c>
      <c r="G44" s="23">
        <v>190.12579808085033</v>
      </c>
      <c r="H44" s="23">
        <v>234.19999799999999</v>
      </c>
      <c r="I44" s="26">
        <v>31.984097070151073</v>
      </c>
      <c r="J44" s="27">
        <f t="shared" si="0"/>
        <v>1.0072320261388394</v>
      </c>
      <c r="K44" s="27">
        <f t="shared" si="1"/>
        <v>9.1383134486145927</v>
      </c>
      <c r="L44" s="27">
        <f t="shared" si="2"/>
        <v>0.28778057889680619</v>
      </c>
      <c r="M44">
        <f t="shared" si="3"/>
        <v>19.771802169048225</v>
      </c>
      <c r="N44">
        <f t="shared" si="4"/>
        <v>-0.5999942755410359</v>
      </c>
    </row>
    <row r="45" spans="5:14" x14ac:dyDescent="0.2">
      <c r="E45" s="23">
        <v>9.5859039467535947</v>
      </c>
      <c r="F45" s="23">
        <v>5</v>
      </c>
      <c r="G45" s="23">
        <v>191.72193615353302</v>
      </c>
      <c r="H45" s="23">
        <v>234.24999799999998</v>
      </c>
      <c r="I45" s="26">
        <v>32.034458671457998</v>
      </c>
      <c r="J45" s="27">
        <f t="shared" si="0"/>
        <v>15.089766154355269</v>
      </c>
      <c r="K45" s="27">
        <f t="shared" si="1"/>
        <v>9.1527024775594281</v>
      </c>
      <c r="L45" s="27">
        <f t="shared" si="2"/>
        <v>4.3113617583872141</v>
      </c>
      <c r="M45">
        <f t="shared" si="3"/>
        <v>19.171807893507189</v>
      </c>
      <c r="N45">
        <f t="shared" si="4"/>
        <v>-0.60000277729685791</v>
      </c>
    </row>
    <row r="46" spans="5:14" x14ac:dyDescent="0.2">
      <c r="E46" s="23">
        <v>9.2859025581051657</v>
      </c>
      <c r="F46" s="23">
        <v>5</v>
      </c>
      <c r="G46" s="23">
        <v>193.33590527562373</v>
      </c>
      <c r="H46" s="23">
        <v>234.29999799999999</v>
      </c>
      <c r="I46" s="26">
        <v>32.788946979175932</v>
      </c>
      <c r="J46" s="27">
        <f t="shared" si="0"/>
        <v>15.338472976698009</v>
      </c>
      <c r="K46" s="27">
        <f t="shared" si="1"/>
        <v>9.3682705654788379</v>
      </c>
      <c r="L46" s="27">
        <f t="shared" si="2"/>
        <v>4.3824208504851452</v>
      </c>
      <c r="M46">
        <f t="shared" si="3"/>
        <v>18.571805116210331</v>
      </c>
      <c r="N46">
        <f t="shared" si="4"/>
        <v>-0.56840191621033398</v>
      </c>
    </row>
    <row r="47" spans="5:14" x14ac:dyDescent="0.2">
      <c r="E47" s="23">
        <v>9.0017015999999987</v>
      </c>
      <c r="F47" s="23">
        <v>5</v>
      </c>
      <c r="G47" s="23">
        <v>194.99569301755923</v>
      </c>
      <c r="H47" s="23">
        <v>234.349998</v>
      </c>
      <c r="I47" s="26">
        <v>33.555870628011007</v>
      </c>
      <c r="J47" s="27">
        <f t="shared" si="0"/>
        <v>-8.5124730093838856</v>
      </c>
      <c r="K47" s="27">
        <f t="shared" si="1"/>
        <v>9.5873916080031449</v>
      </c>
      <c r="L47" s="27">
        <f t="shared" si="2"/>
        <v>-2.4321351455382381</v>
      </c>
      <c r="M47">
        <f t="shared" si="3"/>
        <v>18.003403199999997</v>
      </c>
      <c r="N47">
        <f t="shared" si="4"/>
        <v>-0.19999679999999742</v>
      </c>
    </row>
    <row r="48" spans="5:14" x14ac:dyDescent="0.2">
      <c r="E48" s="23">
        <v>8.9017032</v>
      </c>
      <c r="F48" s="23">
        <v>5</v>
      </c>
      <c r="G48" s="23">
        <v>196.66023035524907</v>
      </c>
      <c r="H48" s="23">
        <v>234.39999799999998</v>
      </c>
      <c r="I48" s="26">
        <v>33.130246977541958</v>
      </c>
      <c r="J48" s="27">
        <f t="shared" si="0"/>
        <v>2.4589656382181695</v>
      </c>
      <c r="K48" s="27">
        <f t="shared" si="1"/>
        <v>9.4657848507262745</v>
      </c>
      <c r="L48" s="27">
        <f t="shared" si="2"/>
        <v>0.70256161091945668</v>
      </c>
      <c r="M48">
        <f t="shared" si="3"/>
        <v>17.8034064</v>
      </c>
      <c r="N48">
        <f t="shared" si="4"/>
        <v>0</v>
      </c>
    </row>
    <row r="49" spans="5:14" x14ac:dyDescent="0.2">
      <c r="E49" s="23">
        <v>8.9017032</v>
      </c>
      <c r="F49" s="23">
        <v>5</v>
      </c>
      <c r="G49" s="23">
        <v>198.32559084524399</v>
      </c>
      <c r="H49" s="23">
        <v>234.44999799999999</v>
      </c>
      <c r="I49" s="26">
        <v>33.253195259452895</v>
      </c>
      <c r="J49" s="27">
        <f t="shared" si="0"/>
        <v>2.1366064712134585</v>
      </c>
      <c r="K49" s="27">
        <f t="shared" si="1"/>
        <v>9.5009129312722553</v>
      </c>
      <c r="L49" s="27">
        <f t="shared" si="2"/>
        <v>0.61045899177528395</v>
      </c>
      <c r="M49">
        <f t="shared" si="3"/>
        <v>17.8034064</v>
      </c>
      <c r="N49">
        <f t="shared" si="4"/>
        <v>0</v>
      </c>
    </row>
    <row r="50" spans="5:14" x14ac:dyDescent="0.2">
      <c r="E50" s="23">
        <v>8.9017032</v>
      </c>
      <c r="F50" s="23">
        <v>5</v>
      </c>
      <c r="G50" s="23">
        <v>200.00131642303086</v>
      </c>
      <c r="H50" s="23">
        <v>234.49999799999998</v>
      </c>
      <c r="I50" s="26">
        <v>33.360025583013531</v>
      </c>
      <c r="J50" s="27">
        <f t="shared" si="0"/>
        <v>1.3620404213953663</v>
      </c>
      <c r="K50" s="27">
        <f t="shared" si="1"/>
        <v>9.5314358808610091</v>
      </c>
      <c r="L50" s="27">
        <f t="shared" si="2"/>
        <v>0.38915440611296181</v>
      </c>
      <c r="M50">
        <f t="shared" si="3"/>
        <v>17.8034064</v>
      </c>
      <c r="N50">
        <f t="shared" si="4"/>
        <v>-0.19999680000000097</v>
      </c>
    </row>
    <row r="51" spans="5:14" x14ac:dyDescent="0.2">
      <c r="E51" s="23">
        <v>8.8017047999999996</v>
      </c>
      <c r="F51" s="23">
        <v>5</v>
      </c>
      <c r="G51" s="23">
        <v>201.68376822376587</v>
      </c>
      <c r="H51" s="23">
        <v>234.54999799999999</v>
      </c>
      <c r="I51" s="26">
        <v>33.428127604083315</v>
      </c>
      <c r="J51" s="27">
        <f t="shared" si="0"/>
        <v>0.37684470069385112</v>
      </c>
      <c r="K51" s="27">
        <f t="shared" si="1"/>
        <v>9.5508936011666616</v>
      </c>
      <c r="L51" s="27">
        <f t="shared" si="2"/>
        <v>0.10766991448396762</v>
      </c>
      <c r="M51">
        <f t="shared" si="3"/>
        <v>17.603409599999999</v>
      </c>
      <c r="N51">
        <f t="shared" si="4"/>
        <v>-3.1604483789667626E-2</v>
      </c>
    </row>
    <row r="52" spans="5:14" x14ac:dyDescent="0.2">
      <c r="E52" s="23">
        <v>8.7859025581051657</v>
      </c>
      <c r="F52" s="23">
        <v>5</v>
      </c>
      <c r="G52" s="23">
        <v>203.36906718660779</v>
      </c>
      <c r="H52" s="23">
        <v>234.599998</v>
      </c>
      <c r="I52" s="26">
        <v>33.446969839118012</v>
      </c>
      <c r="J52" s="27">
        <f t="shared" si="0"/>
        <v>0.62482570192067033</v>
      </c>
      <c r="K52" s="27">
        <f t="shared" si="1"/>
        <v>9.5562770968908612</v>
      </c>
      <c r="L52" s="27">
        <f t="shared" si="2"/>
        <v>0.17852162912016617</v>
      </c>
      <c r="M52">
        <f t="shared" si="3"/>
        <v>17.571805116210331</v>
      </c>
      <c r="N52">
        <f t="shared" si="4"/>
        <v>-0.19999814716246789</v>
      </c>
    </row>
    <row r="53" spans="5:14" x14ac:dyDescent="0.2">
      <c r="E53" s="23">
        <v>8.6859034845239318</v>
      </c>
      <c r="F53" s="23">
        <v>5</v>
      </c>
      <c r="G53" s="23">
        <v>205.05155227439977</v>
      </c>
      <c r="H53" s="23">
        <v>234.64999799999998</v>
      </c>
      <c r="I53" s="26">
        <v>33.478211124214035</v>
      </c>
      <c r="J53" s="27">
        <f t="shared" si="0"/>
        <v>2.9740121323021982</v>
      </c>
      <c r="K53" s="27">
        <f t="shared" si="1"/>
        <v>9.5652031783468665</v>
      </c>
      <c r="L53" s="27">
        <f t="shared" si="2"/>
        <v>0.84971775208634748</v>
      </c>
      <c r="M53">
        <f t="shared" si="3"/>
        <v>17.371806969047864</v>
      </c>
      <c r="N53">
        <f t="shared" si="4"/>
        <v>-0.36840376904786609</v>
      </c>
    </row>
    <row r="54" spans="5:14" x14ac:dyDescent="0.2">
      <c r="E54" s="23">
        <v>8.5017015999999987</v>
      </c>
      <c r="F54" s="23">
        <v>5</v>
      </c>
      <c r="G54" s="23">
        <v>206.73465785218559</v>
      </c>
      <c r="H54" s="23">
        <v>234.69999799999999</v>
      </c>
      <c r="I54" s="26">
        <v>33.626911730829178</v>
      </c>
      <c r="J54" s="27">
        <f t="shared" si="0"/>
        <v>8.7885985659470247</v>
      </c>
      <c r="K54" s="27">
        <f t="shared" si="1"/>
        <v>9.6076890659511935</v>
      </c>
      <c r="L54" s="27">
        <f t="shared" si="2"/>
        <v>2.511028161699155</v>
      </c>
      <c r="M54">
        <f t="shared" si="3"/>
        <v>17.003403199999997</v>
      </c>
      <c r="N54">
        <f t="shared" si="4"/>
        <v>-0.19999679999999742</v>
      </c>
    </row>
    <row r="55" spans="5:14" x14ac:dyDescent="0.2">
      <c r="E55" s="23">
        <v>8.4017032</v>
      </c>
      <c r="F55" s="23">
        <v>5</v>
      </c>
      <c r="G55" s="23">
        <v>208.43003764802066</v>
      </c>
      <c r="H55" s="23">
        <v>234.74999799999998</v>
      </c>
      <c r="I55" s="26">
        <v>34.06634165912638</v>
      </c>
      <c r="J55" s="27">
        <f t="shared" si="0"/>
        <v>4.531007686397821</v>
      </c>
      <c r="K55" s="27">
        <f t="shared" si="1"/>
        <v>9.7332404740361085</v>
      </c>
      <c r="L55" s="27">
        <f t="shared" si="2"/>
        <v>1.2945736246850967</v>
      </c>
      <c r="M55">
        <f t="shared" si="3"/>
        <v>16.8034064</v>
      </c>
      <c r="N55">
        <f t="shared" si="4"/>
        <v>-3.1604230951774781E-2</v>
      </c>
    </row>
    <row r="56" spans="5:14" x14ac:dyDescent="0.2">
      <c r="E56" s="23">
        <v>8.3859010845241126</v>
      </c>
      <c r="F56" s="23">
        <v>5</v>
      </c>
      <c r="G56" s="23">
        <v>210.14409799101779</v>
      </c>
      <c r="H56" s="23">
        <v>234.79999799999999</v>
      </c>
      <c r="I56" s="26">
        <v>34.292892043446322</v>
      </c>
      <c r="J56" s="27">
        <f t="shared" si="0"/>
        <v>4.4948148631494871E-2</v>
      </c>
      <c r="K56" s="27">
        <f t="shared" si="1"/>
        <v>9.797969155270378</v>
      </c>
      <c r="L56" s="27">
        <f t="shared" si="2"/>
        <v>1.2842328180437257E-2</v>
      </c>
      <c r="M56">
        <f t="shared" si="3"/>
        <v>16.771802169048225</v>
      </c>
      <c r="N56">
        <f t="shared" si="4"/>
        <v>-0.16839256904822619</v>
      </c>
    </row>
    <row r="57" spans="5:14" x14ac:dyDescent="0.2">
      <c r="E57" s="23">
        <v>8.3017047999999996</v>
      </c>
      <c r="F57" s="23">
        <v>5</v>
      </c>
      <c r="G57" s="23">
        <v>211.86012525112397</v>
      </c>
      <c r="H57" s="23">
        <v>234.849998</v>
      </c>
      <c r="I57" s="26">
        <v>34.295139450877898</v>
      </c>
      <c r="J57" s="27">
        <f t="shared" si="0"/>
        <v>0.2031302507152315</v>
      </c>
      <c r="K57" s="27">
        <f t="shared" si="1"/>
        <v>9.7986112716794</v>
      </c>
      <c r="L57" s="27">
        <f t="shared" si="2"/>
        <v>5.8037214490040769E-2</v>
      </c>
      <c r="M57">
        <f t="shared" si="3"/>
        <v>16.603409599999999</v>
      </c>
      <c r="N57">
        <f t="shared" si="4"/>
        <v>3.1604230952137158E-2</v>
      </c>
    </row>
    <row r="58" spans="5:14" x14ac:dyDescent="0.2">
      <c r="E58" s="23">
        <v>8.3175069154760681</v>
      </c>
      <c r="F58" s="23">
        <v>5</v>
      </c>
      <c r="G58" s="23">
        <v>213.57246717844225</v>
      </c>
      <c r="H58" s="23">
        <v>234.89999799999998</v>
      </c>
      <c r="I58" s="26">
        <v>34.305295963413656</v>
      </c>
      <c r="J58" s="27">
        <f t="shared" si="0"/>
        <v>0.14604212965303498</v>
      </c>
      <c r="K58" s="27">
        <f t="shared" si="1"/>
        <v>9.8015131324039011</v>
      </c>
      <c r="L58" s="27">
        <f t="shared" si="2"/>
        <v>4.1726322758009991E-2</v>
      </c>
      <c r="M58">
        <f t="shared" si="3"/>
        <v>16.635013830952136</v>
      </c>
      <c r="N58">
        <f t="shared" si="4"/>
        <v>-16.635013830952136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95D17-EF2B-2F40-B91F-451B8985954E}">
  <dimension ref="A1"/>
  <sheetViews>
    <sheetView topLeftCell="C1" workbookViewId="0">
      <selection activeCell="I43" sqref="I43"/>
    </sheetView>
  </sheetViews>
  <sheetFormatPr baseColWidth="10" defaultColWidth="11.5" defaultRowHeight="15" x14ac:dyDescent="0.2"/>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D8316-BA9B-6F44-A8E9-588162B194E7}">
  <dimension ref="A1"/>
  <sheetViews>
    <sheetView workbookViewId="0">
      <selection activeCell="A2" sqref="A2"/>
    </sheetView>
  </sheetViews>
  <sheetFormatPr baseColWidth="10" defaultColWidth="11.5" defaultRowHeight="15" x14ac:dyDescent="0.2"/>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FBD2E-293A-C94C-BF70-462D39BEE6E1}">
  <dimension ref="B1:W38"/>
  <sheetViews>
    <sheetView workbookViewId="0">
      <selection activeCell="Z7" sqref="Z7"/>
    </sheetView>
  </sheetViews>
  <sheetFormatPr baseColWidth="10" defaultColWidth="11.5" defaultRowHeight="15" x14ac:dyDescent="0.2"/>
  <cols>
    <col min="2" max="2" width="17.33203125" customWidth="1"/>
    <col min="3" max="3" width="8" customWidth="1"/>
    <col min="4" max="4" width="7.5" customWidth="1"/>
    <col min="5" max="5" width="11.6640625" customWidth="1"/>
    <col min="6" max="6" width="5.5" customWidth="1"/>
    <col min="7" max="7" width="13.33203125" customWidth="1"/>
    <col min="8" max="8" width="16" customWidth="1"/>
    <col min="9" max="9" width="16.33203125" customWidth="1"/>
    <col min="10" max="10" width="17" customWidth="1"/>
    <col min="15" max="15" width="4" customWidth="1"/>
    <col min="16" max="16" width="9.33203125" customWidth="1"/>
    <col min="17" max="17" width="0.33203125" hidden="1" customWidth="1"/>
    <col min="18" max="18" width="11.6640625" bestFit="1" customWidth="1"/>
    <col min="19" max="19" width="7.1640625" customWidth="1"/>
    <col min="21" max="21" width="16.83203125" customWidth="1"/>
  </cols>
  <sheetData>
    <row r="1" spans="2:23" ht="16" thickBot="1" x14ac:dyDescent="0.25">
      <c r="N1" s="85"/>
      <c r="O1" s="86" t="s">
        <v>152</v>
      </c>
      <c r="P1" s="87" t="s">
        <v>151</v>
      </c>
      <c r="Q1" s="88"/>
      <c r="R1" s="86" t="s">
        <v>149</v>
      </c>
      <c r="S1" s="87" t="s">
        <v>150</v>
      </c>
      <c r="T1" s="90" t="s">
        <v>68</v>
      </c>
      <c r="U1" s="91"/>
      <c r="V1" s="86" t="s">
        <v>70</v>
      </c>
      <c r="W1" s="89"/>
    </row>
    <row r="2" spans="2:23" x14ac:dyDescent="0.2">
      <c r="B2" s="7" t="s">
        <v>9</v>
      </c>
      <c r="C2" s="20">
        <v>365</v>
      </c>
      <c r="E2" s="76" t="s">
        <v>14</v>
      </c>
      <c r="F2" s="77"/>
      <c r="H2" s="81" t="s">
        <v>10</v>
      </c>
      <c r="I2" s="82">
        <v>22</v>
      </c>
      <c r="J2" s="81" t="s">
        <v>12</v>
      </c>
      <c r="K2" t="s">
        <v>24</v>
      </c>
      <c r="N2" s="92" t="s">
        <v>61</v>
      </c>
      <c r="O2" s="93">
        <v>2</v>
      </c>
      <c r="P2" s="118">
        <f>SQRT((E$20*O2)/C$6)</f>
        <v>3.2549654376045223</v>
      </c>
      <c r="Q2" s="94"/>
      <c r="R2" s="121">
        <f>0.5*2*PI()*O2</f>
        <v>6.2831853071795862</v>
      </c>
      <c r="S2" s="122">
        <f>0.25*PI()*2*O2</f>
        <v>3.1415926535897931</v>
      </c>
      <c r="T2" s="125">
        <f>(C$14^2-P2^2)/(2*H$20)</f>
        <v>9.5857676656472979</v>
      </c>
      <c r="U2" s="126">
        <f>(C$14^2-P2^2)/(2*H$21)</f>
        <v>14.378651498470948</v>
      </c>
      <c r="V2" s="127">
        <f>(C$14-P2)/H$20</f>
        <v>1.1503267145084921</v>
      </c>
      <c r="W2" s="126">
        <f>(C$14-P2)/H$21</f>
        <v>1.7254900717627382</v>
      </c>
    </row>
    <row r="3" spans="2:23" ht="16" thickBot="1" x14ac:dyDescent="0.25">
      <c r="B3" s="70" t="s">
        <v>159</v>
      </c>
      <c r="C3" s="18">
        <v>70</v>
      </c>
      <c r="E3" s="144" t="s">
        <v>18</v>
      </c>
      <c r="F3" s="142">
        <f>F5+F6</f>
        <v>0.25559999999999999</v>
      </c>
      <c r="H3" s="83" t="s">
        <v>11</v>
      </c>
      <c r="I3" s="84">
        <v>18</v>
      </c>
      <c r="J3" s="83" t="s">
        <v>13</v>
      </c>
      <c r="K3" t="s">
        <v>25</v>
      </c>
      <c r="N3" s="95" t="s">
        <v>62</v>
      </c>
      <c r="O3" s="93">
        <v>20</v>
      </c>
      <c r="P3" s="119">
        <f t="shared" ref="P3:P5" si="0">SQRT((E$20*O3)/C$6)</f>
        <v>10.293104487956974</v>
      </c>
      <c r="Q3" s="94"/>
      <c r="R3" s="121">
        <f t="shared" ref="R3:R5" si="1">0.5*2*PI()*O3</f>
        <v>62.831853071795862</v>
      </c>
      <c r="S3" s="122">
        <f t="shared" ref="S3:S5" si="2">0.25*PI()*2*O3</f>
        <v>31.415926535897931</v>
      </c>
      <c r="T3" s="128">
        <f t="shared" ref="T3" si="3">(C$14^2-P3^2)/(2*H$20)</f>
        <v>4.1857676656472975</v>
      </c>
      <c r="U3" s="122">
        <f t="shared" ref="U3" si="4">(C$14^2-P3^2)/(2*H$21)</f>
        <v>6.2786514984709472</v>
      </c>
      <c r="V3" s="121">
        <f>(C$14-P3)/H$20</f>
        <v>0.35316519561026444</v>
      </c>
      <c r="W3" s="122">
        <f>(C$14-P3)/H$21</f>
        <v>0.52974779341539668</v>
      </c>
    </row>
    <row r="4" spans="2:23" x14ac:dyDescent="0.2">
      <c r="B4" s="9" t="s">
        <v>15</v>
      </c>
      <c r="C4" s="18">
        <v>27</v>
      </c>
      <c r="E4" s="78"/>
      <c r="F4" s="79"/>
      <c r="H4" s="81" t="s">
        <v>36</v>
      </c>
      <c r="I4" s="82">
        <v>7000</v>
      </c>
      <c r="J4" s="81" t="s">
        <v>37</v>
      </c>
      <c r="N4" s="95" t="s">
        <v>63</v>
      </c>
      <c r="O4" s="93">
        <v>35</v>
      </c>
      <c r="P4" s="119">
        <f t="shared" si="0"/>
        <v>13.616497346968492</v>
      </c>
      <c r="Q4" s="94"/>
      <c r="R4" s="121">
        <f t="shared" si="1"/>
        <v>109.95574287564276</v>
      </c>
      <c r="S4" s="122">
        <f t="shared" si="2"/>
        <v>54.977871437821378</v>
      </c>
      <c r="T4" s="128"/>
      <c r="U4" s="122"/>
      <c r="V4" s="121"/>
      <c r="W4" s="122"/>
    </row>
    <row r="5" spans="2:23" ht="16" thickBot="1" x14ac:dyDescent="0.25">
      <c r="B5" s="11" t="s">
        <v>17</v>
      </c>
      <c r="C5" s="19">
        <v>0.3</v>
      </c>
      <c r="E5" s="78" t="s">
        <v>19</v>
      </c>
      <c r="F5" s="141">
        <v>0.154</v>
      </c>
      <c r="H5" s="83"/>
      <c r="I5" s="84">
        <f>I4/60</f>
        <v>116.66666666666667</v>
      </c>
      <c r="J5" s="83" t="s">
        <v>38</v>
      </c>
      <c r="N5" s="96" t="s">
        <v>64</v>
      </c>
      <c r="O5" s="97">
        <v>50</v>
      </c>
      <c r="P5" s="120">
        <f t="shared" si="0"/>
        <v>16.274827188022613</v>
      </c>
      <c r="Q5" s="98"/>
      <c r="R5" s="123">
        <f t="shared" si="1"/>
        <v>157.07963267948966</v>
      </c>
      <c r="S5" s="124">
        <f t="shared" si="2"/>
        <v>78.539816339744831</v>
      </c>
      <c r="T5" s="129"/>
      <c r="U5" s="124"/>
      <c r="V5" s="123"/>
      <c r="W5" s="124"/>
    </row>
    <row r="6" spans="2:23" ht="16" thickBot="1" x14ac:dyDescent="0.25">
      <c r="B6" s="21" t="s">
        <v>41</v>
      </c>
      <c r="C6" s="17">
        <f>(C2+C3+C40)+4</f>
        <v>439</v>
      </c>
      <c r="E6" s="80" t="s">
        <v>20</v>
      </c>
      <c r="F6" s="143">
        <v>0.1016</v>
      </c>
      <c r="N6" s="88" t="s">
        <v>65</v>
      </c>
      <c r="O6" s="91"/>
      <c r="P6" s="89">
        <f>C14</f>
        <v>13.411199999999999</v>
      </c>
      <c r="T6" s="88" t="s">
        <v>30</v>
      </c>
      <c r="U6" s="86" t="s">
        <v>69</v>
      </c>
      <c r="V6" s="86" t="s">
        <v>30</v>
      </c>
      <c r="W6" s="87" t="s">
        <v>69</v>
      </c>
    </row>
    <row r="7" spans="2:23" ht="16" thickBot="1" x14ac:dyDescent="0.25">
      <c r="B7" s="73" t="s">
        <v>48</v>
      </c>
      <c r="C7" s="33" t="s">
        <v>49</v>
      </c>
      <c r="E7" s="145" t="s">
        <v>157</v>
      </c>
      <c r="F7" s="140">
        <f>2*PI()*F3</f>
        <v>1.6059821645151022</v>
      </c>
      <c r="H7" s="28" t="s">
        <v>74</v>
      </c>
    </row>
    <row r="8" spans="2:23" ht="16" thickBot="1" x14ac:dyDescent="0.25">
      <c r="N8" s="28" t="s">
        <v>66</v>
      </c>
    </row>
    <row r="9" spans="2:23" ht="16" thickBot="1" x14ac:dyDescent="0.25">
      <c r="B9" s="5" t="s">
        <v>16</v>
      </c>
      <c r="C9" s="6">
        <v>1.94</v>
      </c>
      <c r="H9" s="72" t="s">
        <v>75</v>
      </c>
    </row>
    <row r="10" spans="2:23" x14ac:dyDescent="0.2">
      <c r="H10" s="56">
        <f>G14*I$2</f>
        <v>266.36521079107854</v>
      </c>
      <c r="T10" s="28" t="s">
        <v>71</v>
      </c>
    </row>
    <row r="11" spans="2:23" ht="16" thickBot="1" x14ac:dyDescent="0.25">
      <c r="H11" s="56">
        <f t="shared" ref="H11:H12" si="5">G15*I$2</f>
        <v>177.57680719405238</v>
      </c>
    </row>
    <row r="12" spans="2:23" ht="16" thickBot="1" x14ac:dyDescent="0.25">
      <c r="F12" s="72" t="s">
        <v>50</v>
      </c>
      <c r="G12" s="4"/>
      <c r="H12" s="57">
        <f t="shared" si="5"/>
        <v>119.1684013918569</v>
      </c>
      <c r="S12" s="28" t="s">
        <v>72</v>
      </c>
      <c r="T12">
        <f>(C$16-R11^2)/(2*I14)</f>
        <v>1.6912425198496082</v>
      </c>
    </row>
    <row r="13" spans="2:23" ht="16" thickBot="1" x14ac:dyDescent="0.25">
      <c r="B13" s="7" t="s">
        <v>21</v>
      </c>
      <c r="C13" s="13">
        <v>30</v>
      </c>
      <c r="D13" s="8" t="s">
        <v>22</v>
      </c>
      <c r="F13" s="3" t="s">
        <v>1</v>
      </c>
      <c r="G13" s="74" t="s">
        <v>73</v>
      </c>
      <c r="H13" s="4" t="s">
        <v>35</v>
      </c>
      <c r="I13" s="72" t="s">
        <v>158</v>
      </c>
      <c r="J13" s="72" t="s">
        <v>155</v>
      </c>
      <c r="K13" s="72" t="s">
        <v>156</v>
      </c>
    </row>
    <row r="14" spans="2:23" ht="16" thickBot="1" x14ac:dyDescent="0.25">
      <c r="B14" s="11"/>
      <c r="C14" s="14">
        <f>0.44704*C13</f>
        <v>13.411199999999999</v>
      </c>
      <c r="D14" s="12" t="s">
        <v>23</v>
      </c>
      <c r="F14" s="55">
        <v>1</v>
      </c>
      <c r="G14" s="134">
        <f>I5/(F7*C16)</f>
        <v>12.107509581412661</v>
      </c>
      <c r="H14" s="135">
        <f>H10/F$3</f>
        <v>1042.1174131106359</v>
      </c>
      <c r="I14" s="136">
        <f>(H14/C$6)-0.6</f>
        <v>1.773843765627872</v>
      </c>
      <c r="J14" s="136">
        <f>C16/I14</f>
        <v>3.3824850396992163</v>
      </c>
      <c r="K14" s="136">
        <f>C16^2/(2*I14)</f>
        <v>10.147455119097648</v>
      </c>
    </row>
    <row r="15" spans="2:23" x14ac:dyDescent="0.2">
      <c r="B15" t="s">
        <v>39</v>
      </c>
      <c r="C15">
        <v>9</v>
      </c>
      <c r="F15" s="55">
        <v>2</v>
      </c>
      <c r="G15" s="134">
        <f>I5/(F7*C15)</f>
        <v>8.0716730542751076</v>
      </c>
      <c r="H15" s="135">
        <f t="shared" ref="H15:H16" si="6">H11/F$3</f>
        <v>694.74494207375733</v>
      </c>
      <c r="I15" s="136">
        <f>(H15/C$6)-0.6</f>
        <v>0.98256251041858167</v>
      </c>
      <c r="J15" s="136">
        <f>(C15-C16)/I15</f>
        <v>3.0532408556092472</v>
      </c>
      <c r="K15" s="136">
        <f>(C15^2-C16^2)/(2*I15)</f>
        <v>22.899306417069354</v>
      </c>
    </row>
    <row r="16" spans="2:23" ht="16" thickBot="1" x14ac:dyDescent="0.25">
      <c r="B16" t="s">
        <v>40</v>
      </c>
      <c r="C16">
        <v>6</v>
      </c>
      <c r="F16" s="55">
        <v>3</v>
      </c>
      <c r="G16" s="134">
        <f>I5/(C14*F7)</f>
        <v>5.4167455178116777</v>
      </c>
      <c r="H16" s="135">
        <f t="shared" si="6"/>
        <v>466.23005239380637</v>
      </c>
      <c r="I16" s="137">
        <f>(H16/C$6)-0.6</f>
        <v>0.46202745420001456</v>
      </c>
      <c r="J16" s="137">
        <f>(C14-C15)/I16</f>
        <v>9.5474845918796056</v>
      </c>
      <c r="K16" s="137">
        <f>(C14^2-C15^2)/(2*I16)</f>
        <v>106.98529334276611</v>
      </c>
    </row>
    <row r="17" spans="2:11" ht="16" thickBot="1" x14ac:dyDescent="0.25">
      <c r="B17" s="34" t="s">
        <v>47</v>
      </c>
      <c r="C17" s="35"/>
      <c r="D17" s="35"/>
      <c r="E17" s="35"/>
      <c r="F17" s="35"/>
      <c r="G17" s="35"/>
      <c r="H17" s="36"/>
      <c r="I17" s="75" t="s">
        <v>81</v>
      </c>
      <c r="J17" s="139">
        <f>SUM(J14:J16)</f>
        <v>15.983210487188069</v>
      </c>
      <c r="K17" s="138">
        <f>SUM(K14:K16)</f>
        <v>140.03205487893311</v>
      </c>
    </row>
    <row r="18" spans="2:11" ht="16" thickBot="1" x14ac:dyDescent="0.25">
      <c r="B18" s="37" t="s">
        <v>26</v>
      </c>
      <c r="C18" s="38"/>
      <c r="D18" s="39"/>
      <c r="E18" s="40" t="s">
        <v>35</v>
      </c>
      <c r="F18" s="41" t="s">
        <v>154</v>
      </c>
      <c r="G18" s="38"/>
      <c r="H18" s="42" t="s">
        <v>153</v>
      </c>
    </row>
    <row r="19" spans="2:11" x14ac:dyDescent="0.2">
      <c r="B19" s="43" t="s">
        <v>27</v>
      </c>
      <c r="C19" s="44" t="s">
        <v>28</v>
      </c>
      <c r="D19" s="45" t="s">
        <v>29</v>
      </c>
      <c r="E19" s="46"/>
      <c r="F19" s="36"/>
      <c r="G19" s="47"/>
      <c r="H19" s="45"/>
    </row>
    <row r="20" spans="2:11" x14ac:dyDescent="0.2">
      <c r="B20" s="43" t="s">
        <v>30</v>
      </c>
      <c r="C20" s="43">
        <v>0.9</v>
      </c>
      <c r="D20" s="45">
        <v>1.2999999999999999E-2</v>
      </c>
      <c r="E20" s="130">
        <f>(C$6*0.6*9.81)*C20</f>
        <v>2325.5585999999998</v>
      </c>
      <c r="F20" s="132">
        <f>E20/C$6</f>
        <v>5.2973999999999997</v>
      </c>
      <c r="G20" s="47"/>
      <c r="H20" s="132">
        <f>(C$6*9.81*C20)/C$6</f>
        <v>8.8290000000000006</v>
      </c>
    </row>
    <row r="21" spans="2:11" x14ac:dyDescent="0.2">
      <c r="B21" s="43" t="s">
        <v>31</v>
      </c>
      <c r="C21" s="43">
        <v>0.6</v>
      </c>
      <c r="D21" s="45">
        <v>0.02</v>
      </c>
      <c r="E21" s="130">
        <f t="shared" ref="E21:E24" si="7">(C$6*0.6*9.81)*C21</f>
        <v>1550.3723999999997</v>
      </c>
      <c r="F21" s="132">
        <f t="shared" ref="F21:F23" si="8">E21/C$6</f>
        <v>3.5315999999999996</v>
      </c>
      <c r="G21" s="47"/>
      <c r="H21" s="132">
        <f t="shared" ref="H21:H24" si="9">(C$6*9.81*C21)/C$6</f>
        <v>5.8860000000000001</v>
      </c>
    </row>
    <row r="22" spans="2:11" x14ac:dyDescent="0.2">
      <c r="B22" s="43"/>
      <c r="C22" s="43"/>
      <c r="D22" s="45"/>
      <c r="E22" s="48">
        <f t="shared" si="7"/>
        <v>0</v>
      </c>
      <c r="F22" s="45">
        <f t="shared" si="8"/>
        <v>0</v>
      </c>
      <c r="G22" s="47"/>
      <c r="H22" s="45">
        <f t="shared" si="9"/>
        <v>0</v>
      </c>
    </row>
    <row r="23" spans="2:11" x14ac:dyDescent="0.2">
      <c r="B23" s="43" t="s">
        <v>32</v>
      </c>
      <c r="C23" s="43">
        <v>0.68</v>
      </c>
      <c r="D23" s="45">
        <v>0.05</v>
      </c>
      <c r="E23" s="130">
        <f t="shared" si="7"/>
        <v>1757.08872</v>
      </c>
      <c r="F23" s="132">
        <f t="shared" si="8"/>
        <v>4.0024800000000003</v>
      </c>
      <c r="G23" s="47"/>
      <c r="H23" s="132">
        <f t="shared" si="9"/>
        <v>6.6708000000000007</v>
      </c>
    </row>
    <row r="24" spans="2:11" ht="16" thickBot="1" x14ac:dyDescent="0.25">
      <c r="B24" s="49" t="s">
        <v>33</v>
      </c>
      <c r="C24" s="49">
        <v>0.55000000000000004</v>
      </c>
      <c r="D24" s="50" t="s">
        <v>34</v>
      </c>
      <c r="E24" s="131">
        <f t="shared" si="7"/>
        <v>1421.1747</v>
      </c>
      <c r="F24" s="50"/>
      <c r="G24" s="51"/>
      <c r="H24" s="133">
        <f t="shared" si="9"/>
        <v>5.3955000000000011</v>
      </c>
    </row>
    <row r="29" spans="2:11" x14ac:dyDescent="0.2">
      <c r="B29" s="28" t="s">
        <v>95</v>
      </c>
      <c r="D29" s="28" t="s">
        <v>97</v>
      </c>
      <c r="F29" s="28" t="s">
        <v>98</v>
      </c>
    </row>
    <row r="30" spans="2:11" x14ac:dyDescent="0.2">
      <c r="B30" s="28" t="s">
        <v>96</v>
      </c>
      <c r="C30">
        <v>0.4</v>
      </c>
      <c r="D30">
        <v>1.5</v>
      </c>
      <c r="F30">
        <v>1.2250000000000001</v>
      </c>
    </row>
    <row r="31" spans="2:11" x14ac:dyDescent="0.2">
      <c r="C31">
        <f>C30*D30*F30*0.5</f>
        <v>0.3675000000000001</v>
      </c>
    </row>
    <row r="33" spans="2:5" x14ac:dyDescent="0.2">
      <c r="B33" s="28" t="s">
        <v>124</v>
      </c>
    </row>
    <row r="34" spans="2:5" x14ac:dyDescent="0.2">
      <c r="B34" s="28" t="s">
        <v>119</v>
      </c>
      <c r="C34" s="28" t="s">
        <v>121</v>
      </c>
      <c r="D34" s="28" t="s">
        <v>122</v>
      </c>
      <c r="E34" s="28" t="s">
        <v>123</v>
      </c>
    </row>
    <row r="35" spans="2:5" x14ac:dyDescent="0.2">
      <c r="B35" s="28" t="s">
        <v>126</v>
      </c>
      <c r="C35">
        <v>0.86</v>
      </c>
      <c r="D35" s="28" t="s">
        <v>125</v>
      </c>
      <c r="E35">
        <v>0.25700000000000001</v>
      </c>
    </row>
    <row r="36" spans="2:5" x14ac:dyDescent="0.2">
      <c r="B36" s="28" t="s">
        <v>127</v>
      </c>
      <c r="C36">
        <v>1.0900000000000001</v>
      </c>
      <c r="E36">
        <v>0.23</v>
      </c>
    </row>
    <row r="37" spans="2:5" x14ac:dyDescent="0.2">
      <c r="B37" s="28" t="s">
        <v>120</v>
      </c>
      <c r="C37">
        <v>0.17</v>
      </c>
    </row>
    <row r="38" spans="2:5" x14ac:dyDescent="0.2">
      <c r="B38" s="28" t="s">
        <v>128</v>
      </c>
      <c r="C38">
        <v>15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CF63B-67E2-6D40-9BDF-15DAF10A7322}">
  <dimension ref="A1"/>
  <sheetViews>
    <sheetView topLeftCell="B1" zoomScale="140" workbookViewId="0">
      <selection activeCell="J7" sqref="J7"/>
    </sheetView>
  </sheetViews>
  <sheetFormatPr baseColWidth="10" defaultColWidth="11.5" defaultRowHeight="15" x14ac:dyDescent="0.2"/>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C9BDB-EB41-084C-8253-19E81FAFE9D1}">
  <dimension ref="A1:AD85"/>
  <sheetViews>
    <sheetView topLeftCell="A21" workbookViewId="0">
      <selection activeCell="P82" sqref="P82"/>
    </sheetView>
  </sheetViews>
  <sheetFormatPr baseColWidth="10" defaultColWidth="11.5" defaultRowHeight="15" x14ac:dyDescent="0.2"/>
  <cols>
    <col min="4" max="4" width="12.5" customWidth="1"/>
  </cols>
  <sheetData>
    <row r="1" spans="1:30" x14ac:dyDescent="0.2">
      <c r="I1" s="28" t="s">
        <v>12</v>
      </c>
    </row>
    <row r="2" spans="1:30" ht="16" thickBot="1" x14ac:dyDescent="0.25">
      <c r="C2" t="s">
        <v>99</v>
      </c>
      <c r="F2" t="s">
        <v>100</v>
      </c>
      <c r="H2" s="28" t="s">
        <v>110</v>
      </c>
      <c r="I2" t="s">
        <v>101</v>
      </c>
      <c r="J2" s="28"/>
      <c r="L2" t="s">
        <v>102</v>
      </c>
      <c r="O2" t="s">
        <v>103</v>
      </c>
      <c r="R2" t="s">
        <v>104</v>
      </c>
      <c r="U2" t="s">
        <v>105</v>
      </c>
      <c r="X2" t="s">
        <v>106</v>
      </c>
      <c r="AA2" t="s">
        <v>107</v>
      </c>
      <c r="AD2" t="s">
        <v>108</v>
      </c>
    </row>
    <row r="3" spans="1:30" ht="16" thickBot="1" x14ac:dyDescent="0.25">
      <c r="A3" s="7"/>
      <c r="B3" s="5" t="s">
        <v>109</v>
      </c>
      <c r="C3" s="16" t="s">
        <v>109</v>
      </c>
      <c r="D3" s="7"/>
      <c r="E3" s="5" t="s">
        <v>109</v>
      </c>
      <c r="F3" s="6" t="s">
        <v>109</v>
      </c>
      <c r="G3" s="7"/>
      <c r="H3" s="5" t="s">
        <v>109</v>
      </c>
      <c r="I3" s="16" t="s">
        <v>109</v>
      </c>
      <c r="J3" s="7"/>
      <c r="K3" s="5" t="s">
        <v>109</v>
      </c>
      <c r="L3" s="6" t="s">
        <v>109</v>
      </c>
      <c r="M3" s="7"/>
      <c r="N3" s="5" t="s">
        <v>109</v>
      </c>
      <c r="O3" s="16" t="s">
        <v>109</v>
      </c>
      <c r="P3" s="7"/>
      <c r="Q3" s="5" t="s">
        <v>109</v>
      </c>
      <c r="R3" s="6" t="s">
        <v>109</v>
      </c>
      <c r="S3" s="7"/>
      <c r="T3" s="5" t="s">
        <v>109</v>
      </c>
      <c r="U3" s="6" t="s">
        <v>109</v>
      </c>
      <c r="W3" s="5" t="s">
        <v>109</v>
      </c>
      <c r="X3" s="6" t="s">
        <v>109</v>
      </c>
      <c r="Z3" s="5" t="s">
        <v>109</v>
      </c>
      <c r="AA3" s="6" t="s">
        <v>109</v>
      </c>
      <c r="AC3" s="5" t="s">
        <v>109</v>
      </c>
      <c r="AD3" s="6" t="s">
        <v>109</v>
      </c>
    </row>
    <row r="4" spans="1:30" x14ac:dyDescent="0.2">
      <c r="A4" s="9">
        <f>C4*B$29</f>
        <v>9.4836163240988842</v>
      </c>
      <c r="B4" s="15">
        <v>2631.8940167432102</v>
      </c>
      <c r="C4" s="15">
        <v>2.3130771522192402</v>
      </c>
      <c r="D4" s="9">
        <f>B$29*F4</f>
        <v>10.198093535895127</v>
      </c>
      <c r="E4" s="15">
        <v>2601.0290038374301</v>
      </c>
      <c r="F4" s="10">
        <v>2.48733988680369</v>
      </c>
      <c r="G4" s="9">
        <f>B$29*I4</f>
        <v>6.1738159070598675</v>
      </c>
      <c r="H4" s="15">
        <v>3142.3538455694902</v>
      </c>
      <c r="I4" s="15">
        <v>1.5058087578194801</v>
      </c>
      <c r="J4" s="9">
        <f>B$29*L4</f>
        <v>6.1432826928805486</v>
      </c>
      <c r="K4" s="15">
        <v>3466.4364810801299</v>
      </c>
      <c r="L4" s="10">
        <v>1.4983616324098901</v>
      </c>
      <c r="M4" s="9">
        <f>B$29*O4</f>
        <v>6.1738159070598675</v>
      </c>
      <c r="N4" s="15">
        <v>4125.2857950303296</v>
      </c>
      <c r="O4" s="15">
        <v>1.5058087578194801</v>
      </c>
      <c r="P4" s="9">
        <f>B$29*R4</f>
        <v>13.532320524277631</v>
      </c>
      <c r="Q4" s="15">
        <v>2596.2805403134698</v>
      </c>
      <c r="R4" s="10">
        <v>3.3005659815311299</v>
      </c>
      <c r="S4" s="9">
        <f>B$29*U4</f>
        <v>17.721477509681272</v>
      </c>
      <c r="T4" s="15">
        <v>3883.1141553080902</v>
      </c>
      <c r="U4" s="10">
        <v>4.3223115877271399</v>
      </c>
      <c r="V4">
        <f>B$29*X4</f>
        <v>21.269436997319051</v>
      </c>
      <c r="W4">
        <v>5628.1745003653796</v>
      </c>
      <c r="X4">
        <v>5.1876675603217199</v>
      </c>
      <c r="Y4">
        <f>B$29*AA4</f>
        <v>21.428209711051515</v>
      </c>
      <c r="Z4">
        <v>6013.9871616875598</v>
      </c>
      <c r="AA4">
        <v>5.2263926124515896</v>
      </c>
      <c r="AB4">
        <f>B$29*AD4</f>
        <v>12.848376526660704</v>
      </c>
      <c r="AC4">
        <v>6225.2937885040201</v>
      </c>
      <c r="AD4">
        <v>3.1337503723562699</v>
      </c>
    </row>
    <row r="5" spans="1:30" x14ac:dyDescent="0.2">
      <c r="A5" s="9">
        <f t="shared" ref="A5:A22" si="0">C5*B$29</f>
        <v>9.6912421805183264</v>
      </c>
      <c r="B5" s="15">
        <v>2673.4430725779098</v>
      </c>
      <c r="C5" s="15">
        <v>2.3637176050044699</v>
      </c>
      <c r="D5" s="9">
        <f t="shared" ref="D5:D33" si="1">B$29*F5</f>
        <v>10.356866249627636</v>
      </c>
      <c r="E5" s="15">
        <v>2684.1271155068298</v>
      </c>
      <c r="F5" s="10">
        <v>2.5260649389335699</v>
      </c>
      <c r="G5" s="9">
        <f t="shared" ref="G5:G28" si="2">B$29*I5</f>
        <v>6.9921060470658132</v>
      </c>
      <c r="H5" s="15">
        <v>3229.0133048818602</v>
      </c>
      <c r="I5" s="15">
        <v>1.7053917187965399</v>
      </c>
      <c r="J5" s="9">
        <f t="shared" ref="J5:J30" si="3">B$29*L5</f>
        <v>7.285224903187383</v>
      </c>
      <c r="K5" s="15">
        <v>3594.6449962271899</v>
      </c>
      <c r="L5" s="10">
        <v>1.7768841227286301</v>
      </c>
      <c r="M5" s="9">
        <f t="shared" ref="M5:M30" si="4">B$29*O5</f>
        <v>8.2622877569258364</v>
      </c>
      <c r="N5" s="15">
        <v>4171.5833143889904</v>
      </c>
      <c r="O5" s="15">
        <v>2.0151921358355702</v>
      </c>
      <c r="P5" s="9">
        <f t="shared" ref="P5:P61" si="5">B$29*R5</f>
        <v>13.666666666666652</v>
      </c>
      <c r="Q5" s="15">
        <v>2792.1546606770398</v>
      </c>
      <c r="R5" s="10">
        <v>3.3333333333333299</v>
      </c>
      <c r="S5" s="9">
        <f t="shared" ref="S5:S47" si="6">B$29*U5</f>
        <v>18.167262436699435</v>
      </c>
      <c r="T5" s="15">
        <v>4058.8073056948101</v>
      </c>
      <c r="U5" s="10">
        <v>4.4310396187071799</v>
      </c>
      <c r="V5">
        <f t="shared" ref="V5:V62" si="7">B$29*X5</f>
        <v>20.738159070598758</v>
      </c>
      <c r="W5">
        <v>5674.4720197240404</v>
      </c>
      <c r="X5">
        <v>5.0580875781948196</v>
      </c>
      <c r="Y5">
        <f t="shared" ref="Y5:Y62" si="8">B$29*AA5</f>
        <v>20.793118856121527</v>
      </c>
      <c r="Z5">
        <v>6050.7877539983001</v>
      </c>
      <c r="AA5">
        <v>5.0714924039320799</v>
      </c>
      <c r="AB5">
        <f t="shared" ref="AB5:AB19" si="9">B$29*AD5</f>
        <v>13.404081024724443</v>
      </c>
      <c r="AC5">
        <v>6282.2753507916104</v>
      </c>
      <c r="AD5">
        <v>3.2692880548108398</v>
      </c>
    </row>
    <row r="6" spans="1:30" x14ac:dyDescent="0.2">
      <c r="A6" s="9">
        <f t="shared" si="0"/>
        <v>9.8255883229073451</v>
      </c>
      <c r="B6" s="15">
        <v>2730.4246348654901</v>
      </c>
      <c r="C6" s="15">
        <v>2.39648495680667</v>
      </c>
      <c r="D6" s="9">
        <f t="shared" si="1"/>
        <v>10.649985105749165</v>
      </c>
      <c r="E6" s="15">
        <v>2817.0840941778602</v>
      </c>
      <c r="F6" s="10">
        <v>2.5975573428656502</v>
      </c>
      <c r="G6" s="9">
        <f t="shared" si="2"/>
        <v>8.2622877569258364</v>
      </c>
      <c r="H6" s="15">
        <v>3367.9058629578499</v>
      </c>
      <c r="I6" s="15">
        <v>2.0151921358355702</v>
      </c>
      <c r="J6" s="9">
        <f t="shared" si="3"/>
        <v>7.7065832588620582</v>
      </c>
      <c r="K6" s="15">
        <v>3693.1756143494799</v>
      </c>
      <c r="L6" s="10">
        <v>1.87965445338099</v>
      </c>
      <c r="M6" s="9">
        <f t="shared" si="4"/>
        <v>10.039320822162662</v>
      </c>
      <c r="N6" s="15">
        <v>4217.8808337476503</v>
      </c>
      <c r="O6" s="15">
        <v>2.4486148346738199</v>
      </c>
      <c r="P6" s="9">
        <f t="shared" si="5"/>
        <v>14.039171879654434</v>
      </c>
      <c r="Q6" s="15">
        <v>3003.4612874935001</v>
      </c>
      <c r="R6" s="10">
        <v>3.42418826333035</v>
      </c>
      <c r="S6" s="9">
        <f t="shared" si="6"/>
        <v>18.674113792076241</v>
      </c>
      <c r="T6" s="15">
        <v>4264.1783531063102</v>
      </c>
      <c r="U6" s="10">
        <v>4.5546619005064004</v>
      </c>
      <c r="V6">
        <f t="shared" si="7"/>
        <v>20.237414358057791</v>
      </c>
      <c r="W6">
        <v>5788.4351442992102</v>
      </c>
      <c r="X6">
        <v>4.9359547214775104</v>
      </c>
      <c r="Y6">
        <f t="shared" si="8"/>
        <v>20.103068215668728</v>
      </c>
      <c r="Z6">
        <v>6112.5177798098503</v>
      </c>
      <c r="AA6">
        <v>4.9031873696753001</v>
      </c>
      <c r="AB6">
        <f t="shared" si="9"/>
        <v>13.770479594876393</v>
      </c>
      <c r="AC6">
        <v>6400.98693889074</v>
      </c>
      <c r="AD6">
        <v>3.3586535597259499</v>
      </c>
    </row>
    <row r="7" spans="1:30" x14ac:dyDescent="0.2">
      <c r="A7" s="9">
        <f t="shared" si="0"/>
        <v>9.8500148942507924</v>
      </c>
      <c r="B7" s="15">
        <v>2792.1546606770398</v>
      </c>
      <c r="C7" s="15">
        <v>2.40244265713434</v>
      </c>
      <c r="D7" s="9">
        <f t="shared" si="1"/>
        <v>10.778224605302352</v>
      </c>
      <c r="E7" s="15">
        <v>2915.6147123001401</v>
      </c>
      <c r="F7" s="10">
        <v>2.6288352695859398</v>
      </c>
      <c r="G7" s="9">
        <f t="shared" si="2"/>
        <v>9.2943103961870559</v>
      </c>
      <c r="H7" s="15">
        <v>3507.9855369148299</v>
      </c>
      <c r="I7" s="15">
        <v>2.26690497467977</v>
      </c>
      <c r="J7" s="9">
        <f t="shared" si="3"/>
        <v>9.0866845397676546</v>
      </c>
      <c r="K7" s="15">
        <v>3790.51911659077</v>
      </c>
      <c r="L7" s="10">
        <v>2.21626452189455</v>
      </c>
      <c r="M7" s="9">
        <f t="shared" si="4"/>
        <v>11.761394101876679</v>
      </c>
      <c r="N7" s="15">
        <v>4392.3868682533803</v>
      </c>
      <c r="O7" s="15">
        <v>2.8686327077748</v>
      </c>
      <c r="P7" s="9">
        <f t="shared" si="5"/>
        <v>14.405570449806385</v>
      </c>
      <c r="Q7" s="15">
        <v>3151.8507726174198</v>
      </c>
      <c r="R7" s="10">
        <v>3.5135537682454601</v>
      </c>
      <c r="S7" s="9">
        <f t="shared" si="6"/>
        <v>19.150431933273762</v>
      </c>
      <c r="T7" s="15">
        <v>4454.1168940649304</v>
      </c>
      <c r="U7" s="10">
        <v>4.6708370568960396</v>
      </c>
      <c r="V7">
        <f t="shared" si="7"/>
        <v>19.761096216860306</v>
      </c>
      <c r="W7">
        <v>5942.7602088280801</v>
      </c>
      <c r="X7">
        <v>4.8197795650878801</v>
      </c>
      <c r="Y7">
        <f t="shared" si="8"/>
        <v>19.681709859994051</v>
      </c>
      <c r="Z7">
        <v>6209.8612820511398</v>
      </c>
      <c r="AA7">
        <v>4.8004170390229399</v>
      </c>
      <c r="AB7">
        <f t="shared" si="9"/>
        <v>13.666666666666652</v>
      </c>
      <c r="AC7">
        <v>6549.3764240146602</v>
      </c>
      <c r="AD7">
        <v>3.3333333333333299</v>
      </c>
    </row>
    <row r="8" spans="1:30" x14ac:dyDescent="0.2">
      <c r="A8" s="9">
        <f t="shared" si="0"/>
        <v>10.118707179028874</v>
      </c>
      <c r="B8" s="15">
        <v>2843.20064355967</v>
      </c>
      <c r="C8" s="15">
        <v>2.4679773607387498</v>
      </c>
      <c r="D8" s="9">
        <f t="shared" si="1"/>
        <v>10.936997319034862</v>
      </c>
      <c r="E8" s="15">
        <v>2988.0287810406098</v>
      </c>
      <c r="F8" s="10">
        <v>2.6675603217158201</v>
      </c>
      <c r="G8" s="9">
        <f t="shared" si="2"/>
        <v>9.7217753946976462</v>
      </c>
      <c r="H8" s="15">
        <v>3605.32903915612</v>
      </c>
      <c r="I8" s="15">
        <v>2.3711647304140602</v>
      </c>
      <c r="J8" s="9">
        <f t="shared" si="3"/>
        <v>9.9049746797736002</v>
      </c>
      <c r="K8" s="15">
        <v>3929.4116746667501</v>
      </c>
      <c r="L8" s="10">
        <v>2.4158474828716101</v>
      </c>
      <c r="M8" s="9">
        <f t="shared" si="4"/>
        <v>12.555257670539177</v>
      </c>
      <c r="N8" s="15">
        <v>4609.6290744748003</v>
      </c>
      <c r="O8" s="15">
        <v>3.06225796842419</v>
      </c>
      <c r="P8" s="9">
        <f t="shared" si="5"/>
        <v>15.205540661304715</v>
      </c>
      <c r="Q8" s="15">
        <v>3367.9058629578499</v>
      </c>
      <c r="R8" s="10">
        <v>3.70866845397676</v>
      </c>
      <c r="S8" s="9">
        <f t="shared" si="6"/>
        <v>19.522937146261544</v>
      </c>
      <c r="T8" s="15">
        <v>4614.3775379987601</v>
      </c>
      <c r="U8" s="10">
        <v>4.7616919868930596</v>
      </c>
      <c r="V8">
        <f t="shared" si="7"/>
        <v>19.443550789395292</v>
      </c>
      <c r="W8">
        <v>6055.5362175222599</v>
      </c>
      <c r="X8">
        <v>4.7423294608281203</v>
      </c>
      <c r="Y8">
        <f t="shared" si="8"/>
        <v>19.571790288948481</v>
      </c>
      <c r="Z8">
        <v>6359.4378830560499</v>
      </c>
      <c r="AA8">
        <v>4.7736073875484104</v>
      </c>
      <c r="AB8">
        <f t="shared" si="9"/>
        <v>13.69109323801014</v>
      </c>
      <c r="AC8">
        <v>6714.3855314724597</v>
      </c>
      <c r="AD8">
        <v>3.3392910336610102</v>
      </c>
    </row>
    <row r="9" spans="1:30" x14ac:dyDescent="0.2">
      <c r="A9" s="9">
        <f t="shared" si="0"/>
        <v>10.411826035150442</v>
      </c>
      <c r="B9" s="15">
        <v>2910.8662487761799</v>
      </c>
      <c r="C9" s="15">
        <v>2.53946976467084</v>
      </c>
      <c r="D9" s="9">
        <f t="shared" si="1"/>
        <v>11.36446231754541</v>
      </c>
      <c r="E9" s="15">
        <v>3059.2557339001</v>
      </c>
      <c r="F9" s="10">
        <v>2.7718200774501001</v>
      </c>
      <c r="G9" s="9">
        <f t="shared" si="2"/>
        <v>10.491212392016697</v>
      </c>
      <c r="H9" s="15">
        <v>3728.7890907792198</v>
      </c>
      <c r="I9" s="15">
        <v>2.5588322907357801</v>
      </c>
      <c r="J9" s="9">
        <f t="shared" si="3"/>
        <v>10.118707179028874</v>
      </c>
      <c r="K9" s="15">
        <v>4006.57420693119</v>
      </c>
      <c r="L9" s="10">
        <v>2.4679773607387498</v>
      </c>
      <c r="M9" s="9">
        <f t="shared" si="4"/>
        <v>13.507893952934143</v>
      </c>
      <c r="N9" s="15">
        <v>4691.5400702631996</v>
      </c>
      <c r="O9" s="15">
        <v>3.2946082812034501</v>
      </c>
      <c r="P9" s="9">
        <f t="shared" si="5"/>
        <v>15.626899016979431</v>
      </c>
      <c r="Q9" s="15">
        <v>3579.2124897743101</v>
      </c>
      <c r="R9" s="10">
        <v>3.81143878462913</v>
      </c>
      <c r="S9" s="9">
        <f t="shared" si="6"/>
        <v>19.46797736073874</v>
      </c>
      <c r="T9" s="15">
        <v>4733.0891260978997</v>
      </c>
      <c r="U9" s="10">
        <v>4.7482871611557904</v>
      </c>
      <c r="V9">
        <f t="shared" si="7"/>
        <v>19.095472147750957</v>
      </c>
      <c r="W9">
        <v>6169.4993420974297</v>
      </c>
      <c r="X9">
        <v>4.6574322311587704</v>
      </c>
      <c r="Y9">
        <f t="shared" si="8"/>
        <v>19.388591003872484</v>
      </c>
      <c r="Z9">
        <v>6509.0144840609601</v>
      </c>
      <c r="AA9">
        <v>4.7289246350908503</v>
      </c>
      <c r="AB9">
        <f t="shared" si="9"/>
        <v>13.373547810545125</v>
      </c>
      <c r="AC9">
        <v>6817.6646131187099</v>
      </c>
      <c r="AD9">
        <v>3.26184092940125</v>
      </c>
    </row>
    <row r="10" spans="1:30" x14ac:dyDescent="0.2">
      <c r="A10" s="9">
        <f t="shared" si="0"/>
        <v>10.381292820971083</v>
      </c>
      <c r="B10" s="15">
        <v>2997.5257080885399</v>
      </c>
      <c r="C10" s="15">
        <v>2.5320226392612399</v>
      </c>
      <c r="D10" s="9">
        <f t="shared" si="1"/>
        <v>11.57208817396485</v>
      </c>
      <c r="E10" s="15">
        <v>3111.4888326637101</v>
      </c>
      <c r="F10" s="10">
        <v>2.8224605302353298</v>
      </c>
      <c r="G10" s="9">
        <f t="shared" si="2"/>
        <v>10.991957104557628</v>
      </c>
      <c r="H10" s="15">
        <v>3810.70008656762</v>
      </c>
      <c r="I10" s="15">
        <v>2.68096514745308</v>
      </c>
      <c r="J10" s="9">
        <f t="shared" si="3"/>
        <v>10.936997319034862</v>
      </c>
      <c r="K10" s="15">
        <v>4089.6723186005902</v>
      </c>
      <c r="L10" s="10">
        <v>2.6675603217158201</v>
      </c>
      <c r="M10" s="9">
        <f t="shared" si="4"/>
        <v>13.904825737265414</v>
      </c>
      <c r="N10" s="15">
        <v>4810.2516583623401</v>
      </c>
      <c r="O10" s="15">
        <v>3.39142091152815</v>
      </c>
      <c r="P10" s="9">
        <f t="shared" si="5"/>
        <v>16.579535299374438</v>
      </c>
      <c r="Q10" s="15">
        <v>3790.51911659077</v>
      </c>
      <c r="R10" s="10">
        <v>4.0437890974083999</v>
      </c>
      <c r="S10" s="9">
        <f t="shared" si="6"/>
        <v>19.761096216860306</v>
      </c>
      <c r="T10" s="15">
        <v>4845.8651347920804</v>
      </c>
      <c r="U10" s="10">
        <v>4.8197795650878801</v>
      </c>
      <c r="V10">
        <f t="shared" si="7"/>
        <v>18.802353291629426</v>
      </c>
      <c r="W10">
        <v>6277.5268872676397</v>
      </c>
      <c r="X10">
        <v>4.5859398272266896</v>
      </c>
      <c r="Y10">
        <f t="shared" si="8"/>
        <v>19.278671432826911</v>
      </c>
      <c r="Z10">
        <v>6590.9254798493603</v>
      </c>
      <c r="AA10">
        <v>4.7021149836163199</v>
      </c>
      <c r="AB10">
        <f t="shared" si="9"/>
        <v>13.086535597259468</v>
      </c>
      <c r="AC10">
        <v>6905.5111883120699</v>
      </c>
      <c r="AD10">
        <v>3.1918379505510899</v>
      </c>
    </row>
    <row r="11" spans="1:30" x14ac:dyDescent="0.2">
      <c r="A11" s="9">
        <f t="shared" si="0"/>
        <v>9.7706285373845798</v>
      </c>
      <c r="B11" s="15">
        <v>2982.0932016356601</v>
      </c>
      <c r="C11" s="15">
        <v>2.3830801310694101</v>
      </c>
      <c r="D11" s="9">
        <f t="shared" si="1"/>
        <v>11.730860887697361</v>
      </c>
      <c r="E11" s="15">
        <v>3173.2188584752598</v>
      </c>
      <c r="F11" s="10">
        <v>2.8611855823652101</v>
      </c>
      <c r="G11" s="9">
        <f t="shared" si="2"/>
        <v>11.36446231754541</v>
      </c>
      <c r="H11" s="15">
        <v>3909.2307046899</v>
      </c>
      <c r="I11" s="15">
        <v>2.7718200774501001</v>
      </c>
      <c r="J11" s="9">
        <f t="shared" si="3"/>
        <v>11.388888888888896</v>
      </c>
      <c r="K11" s="15">
        <v>4207.1967908187298</v>
      </c>
      <c r="L11" s="10">
        <v>2.7777777777777799</v>
      </c>
      <c r="M11" s="9">
        <f t="shared" si="4"/>
        <v>15.175007447125395</v>
      </c>
      <c r="N11" s="15">
        <v>4949.1442164383197</v>
      </c>
      <c r="O11" s="15">
        <v>3.7012213285671698</v>
      </c>
      <c r="P11" s="9">
        <f t="shared" si="5"/>
        <v>16.713881441763458</v>
      </c>
      <c r="Q11" s="15">
        <v>3887.86261883206</v>
      </c>
      <c r="R11" s="10">
        <v>4.0765564492106003</v>
      </c>
      <c r="S11" s="9">
        <f t="shared" si="6"/>
        <v>19.864909145070008</v>
      </c>
      <c r="T11" s="15">
        <v>4923.0276670565099</v>
      </c>
      <c r="U11" s="10">
        <v>4.8450997914804903</v>
      </c>
      <c r="V11">
        <f t="shared" si="7"/>
        <v>18.24664879356569</v>
      </c>
      <c r="W11">
        <v>6302.4563207684596</v>
      </c>
      <c r="X11">
        <v>4.45040214477212</v>
      </c>
      <c r="Y11">
        <f t="shared" si="8"/>
        <v>19.229818290140017</v>
      </c>
      <c r="Z11">
        <v>6899.5756089071101</v>
      </c>
      <c r="AA11">
        <v>4.6901995829609797</v>
      </c>
      <c r="AB11">
        <f t="shared" si="9"/>
        <v>12.341525171283863</v>
      </c>
      <c r="AC11">
        <v>6976.7381411715496</v>
      </c>
      <c r="AD11">
        <v>3.01012809055704</v>
      </c>
    </row>
    <row r="12" spans="1:30" x14ac:dyDescent="0.2">
      <c r="A12" s="9">
        <f t="shared" si="0"/>
        <v>9.2943103961870559</v>
      </c>
      <c r="B12" s="15">
        <v>2957.1637681348402</v>
      </c>
      <c r="C12" s="15">
        <v>2.26690497467977</v>
      </c>
      <c r="D12" s="9">
        <f t="shared" si="1"/>
        <v>11.999553172475441</v>
      </c>
      <c r="E12" s="15">
        <v>3244.44581133475</v>
      </c>
      <c r="F12" s="10">
        <v>2.92672028596962</v>
      </c>
      <c r="G12" s="9">
        <f t="shared" si="2"/>
        <v>12.158325886207908</v>
      </c>
      <c r="H12" s="15">
        <v>3986.39323695434</v>
      </c>
      <c r="I12" s="15">
        <v>2.9654453380994901</v>
      </c>
      <c r="J12" s="9">
        <f t="shared" si="3"/>
        <v>12.237712243074162</v>
      </c>
      <c r="K12" s="15">
        <v>4295.0433660120898</v>
      </c>
      <c r="L12" s="10">
        <v>2.9848078641644298</v>
      </c>
      <c r="M12" s="9">
        <f t="shared" si="4"/>
        <v>15.920017873100958</v>
      </c>
      <c r="N12" s="15">
        <v>5010.8742422498699</v>
      </c>
      <c r="O12" s="15">
        <v>3.8829311885612099</v>
      </c>
      <c r="P12" s="9">
        <f t="shared" si="5"/>
        <v>17.294012511170681</v>
      </c>
      <c r="Q12" s="15">
        <v>4027.94229278904</v>
      </c>
      <c r="R12" s="10">
        <v>4.2180518319928497</v>
      </c>
      <c r="S12" s="9">
        <f t="shared" si="6"/>
        <v>19.840482573726518</v>
      </c>
      <c r="T12" s="15">
        <v>5118.9017874200899</v>
      </c>
      <c r="U12" s="10">
        <v>4.8391420911528096</v>
      </c>
      <c r="V12">
        <f t="shared" si="7"/>
        <v>17.562704795948765</v>
      </c>
      <c r="W12">
        <v>6271.59130786269</v>
      </c>
      <c r="X12">
        <v>4.2835865355972604</v>
      </c>
      <c r="Y12">
        <f t="shared" si="8"/>
        <v>18.961126005361933</v>
      </c>
      <c r="Z12">
        <v>6992.1706476244399</v>
      </c>
      <c r="AA12">
        <v>4.6246648793565699</v>
      </c>
      <c r="AB12">
        <f t="shared" si="9"/>
        <v>11.920166815609186</v>
      </c>
      <c r="AC12">
        <v>7002.8546905533603</v>
      </c>
      <c r="AD12">
        <v>2.9073577599046798</v>
      </c>
    </row>
    <row r="13" spans="1:30" x14ac:dyDescent="0.2">
      <c r="A13" s="9">
        <f t="shared" si="0"/>
        <v>8.8729520405123399</v>
      </c>
      <c r="B13" s="15">
        <v>2926.2987552290601</v>
      </c>
      <c r="C13" s="15">
        <v>2.1641346440274001</v>
      </c>
      <c r="D13" s="9">
        <f t="shared" si="1"/>
        <v>12.237712243074162</v>
      </c>
      <c r="E13" s="15">
        <v>3296.6789100983701</v>
      </c>
      <c r="F13" s="10">
        <v>2.9848078641644298</v>
      </c>
      <c r="G13" s="9">
        <f t="shared" si="2"/>
        <v>12.555257670539177</v>
      </c>
      <c r="H13" s="15">
        <v>4105.1048250534704</v>
      </c>
      <c r="I13" s="15">
        <v>3.06225796842419</v>
      </c>
      <c r="J13" s="9">
        <f t="shared" si="3"/>
        <v>12.65907059874888</v>
      </c>
      <c r="K13" s="15">
        <v>4418.5034176351901</v>
      </c>
      <c r="L13" s="10">
        <v>3.0875781948168002</v>
      </c>
      <c r="M13" s="9">
        <f t="shared" si="4"/>
        <v>16.316949657432229</v>
      </c>
      <c r="N13" s="15">
        <v>4933.7117099854404</v>
      </c>
      <c r="O13" s="15">
        <v>3.9797438188859098</v>
      </c>
      <c r="P13" s="9">
        <f t="shared" si="5"/>
        <v>17.348972296693489</v>
      </c>
      <c r="Q13" s="15">
        <v>4114.6017521014001</v>
      </c>
      <c r="R13" s="10">
        <v>4.2314566577301198</v>
      </c>
      <c r="S13" s="9">
        <f t="shared" si="6"/>
        <v>19.706136431337498</v>
      </c>
      <c r="T13" s="15">
        <v>5196.0643196845203</v>
      </c>
      <c r="U13" s="10">
        <v>4.80637473935061</v>
      </c>
      <c r="V13">
        <f t="shared" si="7"/>
        <v>16.79326779862971</v>
      </c>
      <c r="W13">
        <v>6240.7262949569104</v>
      </c>
      <c r="X13">
        <v>4.0959189752755396</v>
      </c>
      <c r="Y13">
        <f t="shared" si="8"/>
        <v>17.880250223413743</v>
      </c>
      <c r="Z13">
        <v>7007.6031540773201</v>
      </c>
      <c r="AA13">
        <v>4.3610366398570104</v>
      </c>
      <c r="AB13">
        <f t="shared" si="9"/>
        <v>11.468275245755152</v>
      </c>
      <c r="AC13">
        <v>6910.2596518360297</v>
      </c>
      <c r="AD13">
        <v>2.7971403038427201</v>
      </c>
    </row>
    <row r="14" spans="1:30" x14ac:dyDescent="0.2">
      <c r="A14" s="9">
        <f t="shared" si="0"/>
        <v>8.396633899314855</v>
      </c>
      <c r="B14" s="15">
        <v>2895.4337423232901</v>
      </c>
      <c r="C14" s="15">
        <v>2.0479594876377698</v>
      </c>
      <c r="D14" s="9">
        <f t="shared" si="1"/>
        <v>12.237712243074162</v>
      </c>
      <c r="E14" s="15">
        <v>3389.2739488156899</v>
      </c>
      <c r="F14" s="10">
        <v>2.9848078641644298</v>
      </c>
      <c r="G14" s="9">
        <f t="shared" si="2"/>
        <v>13.324694667858189</v>
      </c>
      <c r="H14" s="15">
        <v>4156.1508079361001</v>
      </c>
      <c r="I14" s="15">
        <v>3.2499255287459001</v>
      </c>
      <c r="J14" s="9">
        <f t="shared" si="3"/>
        <v>13.611706881143887</v>
      </c>
      <c r="K14" s="15">
        <v>4517.0340357574696</v>
      </c>
      <c r="L14" s="10">
        <v>3.3199285075960701</v>
      </c>
      <c r="M14" s="9">
        <f t="shared" si="4"/>
        <v>16.316949657432229</v>
      </c>
      <c r="N14" s="15">
        <v>4660.67505735743</v>
      </c>
      <c r="O14" s="15">
        <v>3.9797438188859098</v>
      </c>
      <c r="P14" s="9">
        <f t="shared" si="5"/>
        <v>17.666517724158464</v>
      </c>
      <c r="Q14" s="15">
        <v>4187.0158208418798</v>
      </c>
      <c r="R14" s="10">
        <v>4.3089067619898698</v>
      </c>
      <c r="S14" s="9">
        <f t="shared" si="6"/>
        <v>19.626750074471243</v>
      </c>
      <c r="T14" s="15">
        <v>5391.9384400481003</v>
      </c>
      <c r="U14" s="10">
        <v>4.7870122132856698</v>
      </c>
      <c r="V14">
        <f t="shared" si="7"/>
        <v>16.261989871909424</v>
      </c>
      <c r="W14">
        <v>6194.4287755982496</v>
      </c>
      <c r="X14">
        <v>3.9663389931486401</v>
      </c>
      <c r="Y14">
        <f t="shared" si="8"/>
        <v>17.348972296693489</v>
      </c>
      <c r="Z14">
        <v>6920.9436947649501</v>
      </c>
      <c r="AA14">
        <v>4.2314566577301198</v>
      </c>
      <c r="AB14">
        <f t="shared" si="9"/>
        <v>11.205689603812942</v>
      </c>
      <c r="AC14">
        <v>6782.0511366889696</v>
      </c>
      <c r="AD14">
        <v>2.73309502532023</v>
      </c>
    </row>
    <row r="15" spans="1:30" x14ac:dyDescent="0.2">
      <c r="A15" s="9">
        <f t="shared" si="0"/>
        <v>7.889782543938054</v>
      </c>
      <c r="B15" s="15">
        <v>2853.88468648859</v>
      </c>
      <c r="C15" s="15">
        <v>1.9243372058385499</v>
      </c>
      <c r="D15" s="9">
        <f t="shared" si="1"/>
        <v>12.475871313672924</v>
      </c>
      <c r="E15" s="15">
        <v>3492.5530304619401</v>
      </c>
      <c r="F15" s="10">
        <v>3.0428954423592498</v>
      </c>
      <c r="G15" s="9">
        <f t="shared" si="2"/>
        <v>13.929252308608861</v>
      </c>
      <c r="H15" s="15">
        <v>4202.44832729476</v>
      </c>
      <c r="I15" s="15">
        <v>3.39737861185582</v>
      </c>
      <c r="J15" s="9">
        <f t="shared" si="3"/>
        <v>14.35671730711945</v>
      </c>
      <c r="K15" s="15">
        <v>4614.3775379987601</v>
      </c>
      <c r="L15" s="10">
        <v>3.5016383675901102</v>
      </c>
      <c r="M15" s="9">
        <f t="shared" si="4"/>
        <v>16.316949657432229</v>
      </c>
      <c r="N15" s="15">
        <v>4376.95436180049</v>
      </c>
      <c r="O15" s="15">
        <v>3.9797438188859098</v>
      </c>
      <c r="P15" s="9">
        <f t="shared" si="5"/>
        <v>18.674113792076241</v>
      </c>
      <c r="Q15" s="15">
        <v>4609.6290744748003</v>
      </c>
      <c r="R15" s="10">
        <v>4.5546619005064004</v>
      </c>
      <c r="S15" s="9">
        <f t="shared" si="6"/>
        <v>19.443550789395292</v>
      </c>
      <c r="T15" s="15">
        <v>5520.1469551951604</v>
      </c>
      <c r="U15" s="10">
        <v>4.7423294608281203</v>
      </c>
      <c r="V15">
        <f t="shared" si="7"/>
        <v>15.681858802502239</v>
      </c>
      <c r="W15">
        <v>6143.3827927156199</v>
      </c>
      <c r="X15">
        <v>3.8248436103664001</v>
      </c>
      <c r="Y15">
        <f t="shared" si="8"/>
        <v>16.872654155495965</v>
      </c>
      <c r="Z15">
        <v>6837.84558309556</v>
      </c>
      <c r="AA15">
        <v>4.1152815013404798</v>
      </c>
      <c r="AB15">
        <f t="shared" si="9"/>
        <v>11.205689603812942</v>
      </c>
      <c r="AC15">
        <v>6698.9530250195703</v>
      </c>
      <c r="AD15">
        <v>2.73309502532023</v>
      </c>
    </row>
    <row r="16" spans="1:30" x14ac:dyDescent="0.2">
      <c r="A16" s="9">
        <f t="shared" si="0"/>
        <v>7.4684241882633371</v>
      </c>
      <c r="B16" s="15">
        <v>2827.7681371067802</v>
      </c>
      <c r="C16" s="15">
        <v>1.82156687518618</v>
      </c>
      <c r="D16" s="9">
        <f t="shared" si="1"/>
        <v>12.738456955615133</v>
      </c>
      <c r="E16" s="15">
        <v>3559.0315197974501</v>
      </c>
      <c r="F16" s="10">
        <v>3.1069407208817399</v>
      </c>
      <c r="G16" s="9">
        <f t="shared" si="2"/>
        <v>14.277330950253196</v>
      </c>
      <c r="H16" s="15">
        <v>4120.5373315063598</v>
      </c>
      <c r="I16" s="15">
        <v>3.48227584152517</v>
      </c>
      <c r="J16" s="9">
        <f t="shared" si="3"/>
        <v>14.857462019660421</v>
      </c>
      <c r="K16" s="15">
        <v>4444.6199670169999</v>
      </c>
      <c r="L16" s="10">
        <v>3.6237712243074198</v>
      </c>
      <c r="M16" s="9">
        <f t="shared" si="4"/>
        <v>16.341376228775676</v>
      </c>
      <c r="N16" s="15">
        <v>4305.7274089410103</v>
      </c>
      <c r="O16" s="15">
        <v>3.9857015192135798</v>
      </c>
      <c r="P16" s="9">
        <f t="shared" si="5"/>
        <v>19.358057789693163</v>
      </c>
      <c r="Q16" s="15">
        <v>4974.0736499391396</v>
      </c>
      <c r="R16" s="10">
        <v>4.72147750968126</v>
      </c>
      <c r="S16" s="9">
        <f t="shared" si="6"/>
        <v>19.040512362228188</v>
      </c>
      <c r="T16" s="15">
        <v>5592.5610239356301</v>
      </c>
      <c r="U16" s="10">
        <v>4.64402740542151</v>
      </c>
      <c r="V16">
        <f t="shared" si="7"/>
        <v>15.205540661304715</v>
      </c>
      <c r="W16">
        <v>6029.4196681404501</v>
      </c>
      <c r="X16">
        <v>3.70866845397676</v>
      </c>
      <c r="Y16">
        <f t="shared" si="8"/>
        <v>16.365802800119166</v>
      </c>
      <c r="Z16">
        <v>6714.3855314724597</v>
      </c>
      <c r="AA16">
        <v>3.9916592195412601</v>
      </c>
      <c r="AB16">
        <f t="shared" si="9"/>
        <v>11.443848674411663</v>
      </c>
      <c r="AC16">
        <v>6626.5389562790997</v>
      </c>
      <c r="AD16">
        <v>2.7911826035150402</v>
      </c>
    </row>
    <row r="17" spans="1:30" x14ac:dyDescent="0.2">
      <c r="A17" s="9">
        <f t="shared" si="0"/>
        <v>7.0959189752755547</v>
      </c>
      <c r="B17" s="15">
        <v>2781.4706177481198</v>
      </c>
      <c r="C17" s="15">
        <v>1.7307119451891599</v>
      </c>
      <c r="D17" s="9">
        <f t="shared" si="1"/>
        <v>12.7934167411379</v>
      </c>
      <c r="E17" s="15">
        <v>3620.7615456090002</v>
      </c>
      <c r="F17" s="10">
        <v>3.1203455466190002</v>
      </c>
      <c r="G17" s="9">
        <f t="shared" si="2"/>
        <v>14.142984807864176</v>
      </c>
      <c r="H17" s="15">
        <v>4022.0067133840798</v>
      </c>
      <c r="I17" s="15">
        <v>3.44950848972297</v>
      </c>
      <c r="J17" s="9">
        <f t="shared" si="3"/>
        <v>14.936848376526674</v>
      </c>
      <c r="K17" s="15">
        <v>4305.7274089410103</v>
      </c>
      <c r="L17" s="10">
        <v>3.64313375037236</v>
      </c>
      <c r="M17" s="9">
        <f t="shared" si="4"/>
        <v>16.078790586833467</v>
      </c>
      <c r="N17" s="15">
        <v>4202.44832729476</v>
      </c>
      <c r="O17" s="15">
        <v>3.9216562406910902</v>
      </c>
      <c r="P17" s="9">
        <f t="shared" si="5"/>
        <v>19.413017575215971</v>
      </c>
      <c r="Q17" s="15">
        <v>5139.08275739694</v>
      </c>
      <c r="R17" s="10">
        <v>4.7348823354185301</v>
      </c>
      <c r="S17" s="9">
        <f t="shared" si="6"/>
        <v>18.38099493595471</v>
      </c>
      <c r="T17" s="15">
        <v>5726.70511848766</v>
      </c>
      <c r="U17" s="10">
        <v>4.4831694965743196</v>
      </c>
      <c r="V17">
        <f t="shared" si="7"/>
        <v>14.753649091450677</v>
      </c>
      <c r="W17">
        <v>5916.6436594462702</v>
      </c>
      <c r="X17">
        <v>3.5984509979147998</v>
      </c>
      <c r="Y17">
        <f t="shared" si="8"/>
        <v>15.547512660113178</v>
      </c>
      <c r="Z17">
        <v>6611.1064498262103</v>
      </c>
      <c r="AA17">
        <v>3.7920762585641898</v>
      </c>
      <c r="AB17">
        <f t="shared" si="9"/>
        <v>11.492701817098599</v>
      </c>
      <c r="AC17">
        <v>6482.8979346791502</v>
      </c>
      <c r="AD17">
        <v>2.8030980041703901</v>
      </c>
    </row>
    <row r="18" spans="1:30" x14ac:dyDescent="0.2">
      <c r="A18" s="9">
        <f t="shared" si="0"/>
        <v>6.8089067619898582</v>
      </c>
      <c r="B18" s="15">
        <v>2730.4246348654901</v>
      </c>
      <c r="C18" s="15">
        <v>1.66070896633899</v>
      </c>
      <c r="D18" s="9">
        <f t="shared" si="1"/>
        <v>12.714030384271686</v>
      </c>
      <c r="E18" s="15">
        <v>3687.2400349445202</v>
      </c>
      <c r="F18" s="10">
        <v>3.1009830205540698</v>
      </c>
      <c r="G18" s="9">
        <f t="shared" si="2"/>
        <v>13.746053023532907</v>
      </c>
      <c r="H18" s="15">
        <v>3950.7797605246001</v>
      </c>
      <c r="I18" s="15">
        <v>3.3526958593982701</v>
      </c>
      <c r="J18" s="9">
        <f t="shared" si="3"/>
        <v>14.674262734584465</v>
      </c>
      <c r="K18" s="15">
        <v>4228.5648766765698</v>
      </c>
      <c r="L18" s="10">
        <v>3.5790884718498699</v>
      </c>
      <c r="M18" s="9">
        <f t="shared" si="4"/>
        <v>16.078790586833467</v>
      </c>
      <c r="N18" s="15">
        <v>3986.39323695434</v>
      </c>
      <c r="O18" s="15">
        <v>3.9216562406910902</v>
      </c>
      <c r="P18" s="9">
        <f t="shared" si="5"/>
        <v>19.174858504617209</v>
      </c>
      <c r="Q18" s="15">
        <v>5222.1808690663302</v>
      </c>
      <c r="R18" s="10">
        <v>4.6767947572237096</v>
      </c>
      <c r="S18" s="9">
        <f t="shared" si="6"/>
        <v>17.880250223413743</v>
      </c>
      <c r="T18" s="15">
        <v>5803.8676507520904</v>
      </c>
      <c r="U18" s="10">
        <v>4.3610366398570104</v>
      </c>
      <c r="V18">
        <f t="shared" si="7"/>
        <v>14.142984807864176</v>
      </c>
      <c r="W18">
        <v>5850.1651701107603</v>
      </c>
      <c r="X18">
        <v>3.44950848972297</v>
      </c>
      <c r="Y18">
        <f t="shared" si="8"/>
        <v>14.912421805183188</v>
      </c>
      <c r="Z18">
        <v>6456.7813852973404</v>
      </c>
      <c r="AA18">
        <v>3.6371760500446801</v>
      </c>
      <c r="AB18">
        <f t="shared" si="9"/>
        <v>11.761394101876679</v>
      </c>
      <c r="AC18">
        <v>6390.3028959618196</v>
      </c>
      <c r="AD18">
        <v>2.8686327077748</v>
      </c>
    </row>
    <row r="19" spans="1:30" x14ac:dyDescent="0.2">
      <c r="A19" s="9">
        <f t="shared" si="0"/>
        <v>6.3814417634793106</v>
      </c>
      <c r="B19" s="15">
        <v>2684.1271155068298</v>
      </c>
      <c r="C19" s="15">
        <v>1.5564492106047101</v>
      </c>
      <c r="D19" s="9">
        <f t="shared" si="1"/>
        <v>12.158325886207908</v>
      </c>
      <c r="E19" s="15">
        <v>3677.7431078965901</v>
      </c>
      <c r="F19" s="10">
        <v>2.9654453380994901</v>
      </c>
      <c r="G19" s="9">
        <f t="shared" si="2"/>
        <v>13.404081024724443</v>
      </c>
      <c r="H19" s="15">
        <v>3785.7706530668002</v>
      </c>
      <c r="I19" s="15">
        <v>3.2692880548108398</v>
      </c>
      <c r="J19" s="9">
        <f t="shared" si="3"/>
        <v>14.643729520405104</v>
      </c>
      <c r="K19" s="15">
        <v>4099.1692456485198</v>
      </c>
      <c r="L19" s="10">
        <v>3.5716413464402699</v>
      </c>
      <c r="M19" s="9">
        <f t="shared" si="4"/>
        <v>15.865058087578193</v>
      </c>
      <c r="N19" s="15">
        <v>3913.9791682138698</v>
      </c>
      <c r="O19" s="15">
        <v>3.86952636282395</v>
      </c>
      <c r="P19" s="9">
        <f t="shared" si="5"/>
        <v>18.881739648495682</v>
      </c>
      <c r="Q19" s="15">
        <v>5304.0918648547404</v>
      </c>
      <c r="R19" s="10">
        <v>4.6053023532916297</v>
      </c>
      <c r="S19" s="9">
        <f t="shared" si="6"/>
        <v>17.110813226094731</v>
      </c>
      <c r="T19" s="15">
        <v>5742.1376249405403</v>
      </c>
      <c r="U19" s="10">
        <v>4.1733690795353002</v>
      </c>
      <c r="V19">
        <f t="shared" si="7"/>
        <v>13.373547810545125</v>
      </c>
      <c r="W19">
        <v>5777.7511013702897</v>
      </c>
      <c r="X19">
        <v>3.26184092940125</v>
      </c>
      <c r="Y19">
        <f t="shared" si="8"/>
        <v>14.301757521596643</v>
      </c>
      <c r="Z19">
        <v>6313.1403636973801</v>
      </c>
      <c r="AA19">
        <v>3.4882335418528401</v>
      </c>
      <c r="AB19">
        <f t="shared" si="9"/>
        <v>12.207179028894842</v>
      </c>
      <c r="AC19">
        <v>6282.2753507916104</v>
      </c>
      <c r="AD19">
        <v>2.97736073875484</v>
      </c>
    </row>
    <row r="20" spans="1:30" x14ac:dyDescent="0.2">
      <c r="A20" s="9">
        <f t="shared" si="0"/>
        <v>6.1432826928805486</v>
      </c>
      <c r="B20" s="15">
        <v>2642.5780596721302</v>
      </c>
      <c r="C20" s="15">
        <v>1.4983616324098901</v>
      </c>
      <c r="D20" s="9">
        <f t="shared" si="1"/>
        <v>11.547661602621364</v>
      </c>
      <c r="E20" s="15">
        <v>3646.87809499081</v>
      </c>
      <c r="F20" s="10">
        <v>2.81650282990765</v>
      </c>
      <c r="G20" s="9">
        <f t="shared" si="2"/>
        <v>13.056002383080108</v>
      </c>
      <c r="H20" s="15">
        <v>3625.51000913297</v>
      </c>
      <c r="I20" s="15">
        <v>3.1843908251414899</v>
      </c>
      <c r="J20" s="9">
        <f t="shared" si="3"/>
        <v>14.48495680667264</v>
      </c>
      <c r="K20" s="15">
        <v>3986.39323695434</v>
      </c>
      <c r="L20" s="10">
        <v>3.5329162943104002</v>
      </c>
      <c r="M20" s="9">
        <f t="shared" si="4"/>
        <v>15.810098302055387</v>
      </c>
      <c r="N20" s="15">
        <v>3795.2675801147302</v>
      </c>
      <c r="O20" s="15">
        <v>3.8561215370866799</v>
      </c>
      <c r="P20" s="9">
        <f t="shared" si="5"/>
        <v>18.38099493595471</v>
      </c>
      <c r="Q20" s="15">
        <v>5345.6409206894295</v>
      </c>
      <c r="R20" s="10">
        <v>4.4831694965743196</v>
      </c>
      <c r="S20" s="9">
        <f t="shared" si="6"/>
        <v>16.286416443252911</v>
      </c>
      <c r="T20" s="15">
        <v>5685.1560626529599</v>
      </c>
      <c r="U20" s="10">
        <v>3.97229669347632</v>
      </c>
      <c r="V20">
        <f t="shared" si="7"/>
        <v>12.768990169794453</v>
      </c>
      <c r="W20">
        <v>5720.7695390827002</v>
      </c>
      <c r="X20">
        <v>3.1143878462913301</v>
      </c>
      <c r="Y20">
        <f t="shared" si="8"/>
        <v>13.904825737265414</v>
      </c>
      <c r="Z20">
        <v>6215.7968614560896</v>
      </c>
      <c r="AA20">
        <v>3.39142091152815</v>
      </c>
    </row>
    <row r="21" spans="1:30" x14ac:dyDescent="0.2">
      <c r="A21" s="9">
        <f t="shared" si="0"/>
        <v>6.1432826928805486</v>
      </c>
      <c r="B21" s="15">
        <v>2642.5780596721302</v>
      </c>
      <c r="C21" s="15">
        <v>1.4983616324098901</v>
      </c>
      <c r="D21" s="9">
        <f t="shared" si="1"/>
        <v>11.071343461423881</v>
      </c>
      <c r="E21" s="15">
        <v>3605.32903915612</v>
      </c>
      <c r="F21" s="10">
        <v>2.7003276735180202</v>
      </c>
      <c r="G21" s="9">
        <f t="shared" si="2"/>
        <v>13.03157581173666</v>
      </c>
      <c r="H21" s="15">
        <v>3517.48246396276</v>
      </c>
      <c r="I21" s="15">
        <v>3.1784331248138198</v>
      </c>
      <c r="J21" s="9">
        <f t="shared" si="3"/>
        <v>14.142984807864176</v>
      </c>
      <c r="K21" s="15">
        <v>3940.0957175956801</v>
      </c>
      <c r="L21" s="10">
        <v>3.44950848972297</v>
      </c>
      <c r="M21" s="9">
        <f t="shared" si="4"/>
        <v>15.626899016979431</v>
      </c>
      <c r="N21" s="15">
        <v>3728.7890907792198</v>
      </c>
      <c r="O21" s="15">
        <v>3.81143878462913</v>
      </c>
      <c r="P21" s="9">
        <f t="shared" si="5"/>
        <v>17.666517724158464</v>
      </c>
      <c r="Q21" s="15">
        <v>5381.2543971191699</v>
      </c>
      <c r="R21" s="10">
        <v>4.3089067619898698</v>
      </c>
      <c r="S21" s="9">
        <f t="shared" si="6"/>
        <v>15.468126303246924</v>
      </c>
      <c r="T21" s="15">
        <v>5628.1745003653796</v>
      </c>
      <c r="U21" s="10">
        <v>3.7727137324992501</v>
      </c>
      <c r="V21">
        <f t="shared" si="7"/>
        <v>11.889633601429827</v>
      </c>
      <c r="W21">
        <v>5757.5701313934296</v>
      </c>
      <c r="X21">
        <v>2.8999106344950798</v>
      </c>
      <c r="Y21">
        <f t="shared" si="8"/>
        <v>13.056002383080108</v>
      </c>
      <c r="Z21">
        <v>6112.5177798098503</v>
      </c>
      <c r="AA21">
        <v>3.1843908251414899</v>
      </c>
    </row>
    <row r="22" spans="1:30" ht="16" thickBot="1" x14ac:dyDescent="0.25">
      <c r="A22" s="11">
        <f t="shared" si="0"/>
        <v>0</v>
      </c>
      <c r="B22" s="14">
        <v>2616.4615102903199</v>
      </c>
      <c r="C22" s="14"/>
      <c r="D22" s="9">
        <f t="shared" si="1"/>
        <v>10.649985105749165</v>
      </c>
      <c r="E22" s="15">
        <v>3523.4180433677102</v>
      </c>
      <c r="F22" s="10">
        <v>2.5975573428656502</v>
      </c>
      <c r="G22" s="9">
        <f t="shared" si="2"/>
        <v>12.768990169794453</v>
      </c>
      <c r="H22" s="15">
        <v>3373.8414423628001</v>
      </c>
      <c r="I22" s="15">
        <v>3.1143878462913301</v>
      </c>
      <c r="J22" s="9">
        <f t="shared" si="3"/>
        <v>13.825439380399159</v>
      </c>
      <c r="K22" s="15">
        <v>3785.7706530668002</v>
      </c>
      <c r="L22" s="10">
        <v>3.3720583854632098</v>
      </c>
      <c r="M22" s="9">
        <f t="shared" si="4"/>
        <v>15.229967232648201</v>
      </c>
      <c r="N22" s="15">
        <v>3620.7615456090002</v>
      </c>
      <c r="O22" s="15">
        <v>3.7146261543044399</v>
      </c>
      <c r="P22" s="9">
        <f t="shared" si="5"/>
        <v>17.135239797438178</v>
      </c>
      <c r="Q22" s="15">
        <v>5401.4353670960299</v>
      </c>
      <c r="R22" s="10">
        <v>4.1793267798629703</v>
      </c>
      <c r="S22" s="9">
        <f t="shared" si="6"/>
        <v>14.594876377718213</v>
      </c>
      <c r="T22" s="15">
        <v>5561.6960110298596</v>
      </c>
      <c r="U22" s="10">
        <v>3.5597259457849302</v>
      </c>
      <c r="V22">
        <f t="shared" si="7"/>
        <v>11.205689603812942</v>
      </c>
      <c r="W22">
        <v>5844.2295907057996</v>
      </c>
      <c r="X22">
        <v>2.73309502532023</v>
      </c>
      <c r="Y22">
        <f t="shared" si="8"/>
        <v>12.048406315162335</v>
      </c>
      <c r="Z22">
        <v>6169.4993420974297</v>
      </c>
      <c r="AA22">
        <v>2.9386356866249601</v>
      </c>
    </row>
    <row r="23" spans="1:30" x14ac:dyDescent="0.2">
      <c r="D23" s="9">
        <f t="shared" si="1"/>
        <v>9.8011617515638978</v>
      </c>
      <c r="E23" s="15">
        <v>3409.45491879254</v>
      </c>
      <c r="F23" s="10">
        <v>2.3905272564789999</v>
      </c>
      <c r="G23" s="9">
        <f t="shared" si="2"/>
        <v>12.445338099493604</v>
      </c>
      <c r="H23" s="15">
        <v>3229.0133048818602</v>
      </c>
      <c r="I23" s="15">
        <v>3.03544831694966</v>
      </c>
      <c r="J23" s="9">
        <f t="shared" si="3"/>
        <v>13.507893952934143</v>
      </c>
      <c r="K23" s="15">
        <v>3636.19405206189</v>
      </c>
      <c r="L23" s="10">
        <v>3.2946082812034501</v>
      </c>
      <c r="M23" s="9">
        <f t="shared" si="4"/>
        <v>14.991808162049439</v>
      </c>
      <c r="N23" s="15">
        <v>3543.5990133445698</v>
      </c>
      <c r="O23" s="15">
        <v>3.6565385761096199</v>
      </c>
      <c r="P23" s="9">
        <f t="shared" si="5"/>
        <v>16.261989871909424</v>
      </c>
      <c r="Q23" s="15">
        <v>5365.8218906662896</v>
      </c>
      <c r="R23" s="10">
        <v>3.9663389931486401</v>
      </c>
      <c r="S23" s="9">
        <f t="shared" si="6"/>
        <v>13.666666666666652</v>
      </c>
      <c r="T23" s="15">
        <v>5489.2819422893899</v>
      </c>
      <c r="U23" s="10">
        <v>3.3333333333333299</v>
      </c>
      <c r="V23">
        <f t="shared" si="7"/>
        <v>10.460679177837337</v>
      </c>
      <c r="W23">
        <v>5942.7602088280801</v>
      </c>
      <c r="X23">
        <v>2.5513851653261801</v>
      </c>
      <c r="Y23">
        <f t="shared" si="8"/>
        <v>11.413315460232344</v>
      </c>
      <c r="Z23">
        <v>6215.7968614560896</v>
      </c>
      <c r="AA23">
        <v>2.78373547810545</v>
      </c>
    </row>
    <row r="24" spans="1:30" x14ac:dyDescent="0.2">
      <c r="D24" s="9">
        <f t="shared" si="1"/>
        <v>10.167560321715809</v>
      </c>
      <c r="E24" s="15">
        <v>3461.68801755616</v>
      </c>
      <c r="F24" s="10">
        <v>2.4798927613941002</v>
      </c>
      <c r="G24" s="9">
        <f t="shared" si="2"/>
        <v>12.182752457551395</v>
      </c>
      <c r="H24" s="15">
        <v>3100.8047897347901</v>
      </c>
      <c r="I24" s="15">
        <v>2.9714030384271699</v>
      </c>
      <c r="J24" s="9">
        <f t="shared" si="3"/>
        <v>13.483467381590696</v>
      </c>
      <c r="K24" s="15">
        <v>3486.6174510569799</v>
      </c>
      <c r="L24" s="10">
        <v>3.28865058087578</v>
      </c>
      <c r="M24" s="9">
        <f t="shared" si="4"/>
        <v>14.967381590705992</v>
      </c>
      <c r="N24" s="15">
        <v>3415.3904981975002</v>
      </c>
      <c r="O24" s="15">
        <v>3.6505808757819498</v>
      </c>
      <c r="P24" s="9">
        <f t="shared" si="5"/>
        <v>15.388739946380712</v>
      </c>
      <c r="Q24" s="15">
        <v>5308.8403283787002</v>
      </c>
      <c r="R24" s="10">
        <v>3.7533512064343202</v>
      </c>
      <c r="S24" s="9">
        <f t="shared" si="6"/>
        <v>12.714030384271686</v>
      </c>
      <c r="T24" s="15">
        <v>5438.2359594067602</v>
      </c>
      <c r="U24" s="10">
        <v>3.1009830205540698</v>
      </c>
      <c r="V24">
        <f t="shared" si="7"/>
        <v>9.8255883229073451</v>
      </c>
      <c r="W24">
        <v>6060.2846810462297</v>
      </c>
      <c r="X24">
        <v>2.39648495680667</v>
      </c>
      <c r="Y24">
        <f t="shared" si="8"/>
        <v>10.912570747691372</v>
      </c>
      <c r="Z24">
        <v>6359.4378830560499</v>
      </c>
      <c r="AA24">
        <v>2.6616026213881399</v>
      </c>
    </row>
    <row r="25" spans="1:30" x14ac:dyDescent="0.2">
      <c r="D25" s="9">
        <f t="shared" si="1"/>
        <v>9.3736967530533111</v>
      </c>
      <c r="E25" s="15">
        <v>3316.8598800752202</v>
      </c>
      <c r="F25" s="10">
        <v>2.2862675007447102</v>
      </c>
      <c r="G25" s="9">
        <f t="shared" si="2"/>
        <v>11.57208817396485</v>
      </c>
      <c r="H25" s="15">
        <v>2951.22818872988</v>
      </c>
      <c r="I25" s="15">
        <v>2.8224605302353298</v>
      </c>
      <c r="J25" s="9">
        <f t="shared" si="3"/>
        <v>13.03157581173666</v>
      </c>
      <c r="K25" s="15">
        <v>3290.7433306934099</v>
      </c>
      <c r="L25" s="10">
        <v>3.1784331248138198</v>
      </c>
      <c r="M25" s="9">
        <f t="shared" si="4"/>
        <v>14.778075662794167</v>
      </c>
      <c r="N25" s="15">
        <v>3373.8414423628001</v>
      </c>
      <c r="O25" s="15">
        <v>3.6044086982424801</v>
      </c>
      <c r="P25" s="9">
        <f t="shared" si="5"/>
        <v>14.539916592195405</v>
      </c>
      <c r="Q25" s="15">
        <v>5273.2268519489598</v>
      </c>
      <c r="R25" s="10">
        <v>3.5463211200476601</v>
      </c>
      <c r="S25" s="9">
        <f t="shared" si="6"/>
        <v>12.182752457551395</v>
      </c>
      <c r="T25" s="15">
        <v>5407.3709465009797</v>
      </c>
      <c r="U25" s="10">
        <v>2.9714030384271699</v>
      </c>
      <c r="V25">
        <f t="shared" si="7"/>
        <v>9.3492701817098638</v>
      </c>
      <c r="W25">
        <v>6143.3827927156199</v>
      </c>
      <c r="X25">
        <v>2.2803098004170401</v>
      </c>
      <c r="Y25">
        <f t="shared" si="8"/>
        <v>10.57059874888291</v>
      </c>
      <c r="Z25">
        <v>6513.7629475849199</v>
      </c>
      <c r="AA25">
        <v>2.5781948168007101</v>
      </c>
    </row>
    <row r="26" spans="1:30" x14ac:dyDescent="0.2">
      <c r="D26" s="9">
        <f t="shared" si="1"/>
        <v>9.0317247542448467</v>
      </c>
      <c r="E26" s="15">
        <v>3224.26484135789</v>
      </c>
      <c r="F26" s="10">
        <v>2.2028596961572799</v>
      </c>
      <c r="G26" s="9">
        <f t="shared" si="2"/>
        <v>11.095770032767327</v>
      </c>
      <c r="H26" s="15">
        <v>2833.7037165117399</v>
      </c>
      <c r="I26" s="15">
        <v>2.7062853738456898</v>
      </c>
      <c r="J26" s="9">
        <f t="shared" si="3"/>
        <v>12.738456955615133</v>
      </c>
      <c r="K26" s="15">
        <v>3126.9213391165999</v>
      </c>
      <c r="L26" s="10">
        <v>3.1069407208817399</v>
      </c>
      <c r="M26" s="9">
        <f t="shared" si="4"/>
        <v>14.72311587727136</v>
      </c>
      <c r="N26" s="15">
        <v>3321.60834359918</v>
      </c>
      <c r="O26" s="15">
        <v>3.59100387250521</v>
      </c>
      <c r="P26" s="9">
        <f t="shared" si="5"/>
        <v>13.532320524277631</v>
      </c>
      <c r="Q26" s="15">
        <v>5211.4968261374097</v>
      </c>
      <c r="R26" s="10">
        <v>3.3005659815311299</v>
      </c>
      <c r="S26" s="9">
        <f t="shared" si="6"/>
        <v>11.388888888888896</v>
      </c>
      <c r="T26" s="15">
        <v>5453.6684658596496</v>
      </c>
      <c r="U26" s="10">
        <v>2.7777777777777799</v>
      </c>
      <c r="V26">
        <f t="shared" si="7"/>
        <v>9.0317247542448467</v>
      </c>
      <c r="W26">
        <v>6282.2753507916104</v>
      </c>
      <c r="X26">
        <v>2.2028596961572799</v>
      </c>
      <c r="Y26">
        <f t="shared" si="8"/>
        <v>10.436252606493889</v>
      </c>
      <c r="Z26">
        <v>6601.6095227782798</v>
      </c>
      <c r="AA26">
        <v>2.54542746499851</v>
      </c>
    </row>
    <row r="27" spans="1:30" x14ac:dyDescent="0.2">
      <c r="D27" s="9">
        <f t="shared" si="1"/>
        <v>8.4760202561811102</v>
      </c>
      <c r="E27" s="15">
        <v>3151.8507726174198</v>
      </c>
      <c r="F27" s="10">
        <v>2.06732201370271</v>
      </c>
      <c r="G27" s="9">
        <f t="shared" si="2"/>
        <v>10.649985105749165</v>
      </c>
      <c r="H27" s="15">
        <v>2631.8940167432102</v>
      </c>
      <c r="I27" s="15">
        <v>2.5975573428656502</v>
      </c>
      <c r="J27" s="9">
        <f t="shared" si="3"/>
        <v>12.65907059874888</v>
      </c>
      <c r="K27" s="15">
        <v>3012.9582145414302</v>
      </c>
      <c r="L27" s="10">
        <v>3.0875781948168002</v>
      </c>
      <c r="M27" s="9">
        <f t="shared" si="4"/>
        <v>13.929252308608861</v>
      </c>
      <c r="N27" s="15">
        <v>3126.9213391165999</v>
      </c>
      <c r="O27" s="15">
        <v>3.39737861185582</v>
      </c>
      <c r="P27" s="9">
        <f t="shared" si="5"/>
        <v>12.897229669347642</v>
      </c>
      <c r="Q27" s="15">
        <v>5139.08275739694</v>
      </c>
      <c r="R27" s="10">
        <v>3.1456657730116202</v>
      </c>
      <c r="S27" s="9">
        <f t="shared" si="6"/>
        <v>10.595025320226398</v>
      </c>
      <c r="T27" s="15">
        <v>5504.7144487422702</v>
      </c>
      <c r="U27" s="10">
        <v>2.5841525171283899</v>
      </c>
      <c r="V27">
        <f t="shared" si="7"/>
        <v>8.9523383973785915</v>
      </c>
      <c r="W27">
        <v>6425.9163723915599</v>
      </c>
      <c r="X27">
        <v>2.1834971700923398</v>
      </c>
      <c r="Y27">
        <f t="shared" si="8"/>
        <v>10.356866249627636</v>
      </c>
      <c r="Z27">
        <v>6797.4836431418498</v>
      </c>
      <c r="AA27">
        <v>2.5260649389335699</v>
      </c>
    </row>
    <row r="28" spans="1:30" ht="16" thickBot="1" x14ac:dyDescent="0.25">
      <c r="D28" s="9">
        <f t="shared" si="1"/>
        <v>8.1035150431933278</v>
      </c>
      <c r="E28" s="15">
        <v>3116.2372961876799</v>
      </c>
      <c r="F28" s="10">
        <v>1.9764670837056899</v>
      </c>
      <c r="G28" s="11">
        <f t="shared" si="2"/>
        <v>10.649985105749165</v>
      </c>
      <c r="H28" s="14">
        <v>2631.8940167432102</v>
      </c>
      <c r="I28" s="14">
        <v>2.5975573428656502</v>
      </c>
      <c r="J28" s="9">
        <f t="shared" si="3"/>
        <v>12.317098599940415</v>
      </c>
      <c r="K28" s="15">
        <v>2849.1362229646302</v>
      </c>
      <c r="L28" s="10">
        <v>3.0041703902293699</v>
      </c>
      <c r="M28" s="9">
        <f t="shared" si="4"/>
        <v>13.801012809055713</v>
      </c>
      <c r="N28" s="15">
        <v>3023.6422574703502</v>
      </c>
      <c r="O28" s="15">
        <v>3.3661006851355402</v>
      </c>
      <c r="P28" s="9">
        <f t="shared" si="5"/>
        <v>12.182752457551395</v>
      </c>
      <c r="Q28" s="15">
        <v>5067.8558045374602</v>
      </c>
      <c r="R28" s="10">
        <v>2.9714030384271699</v>
      </c>
      <c r="S28" s="9">
        <f t="shared" si="6"/>
        <v>10.063747393506109</v>
      </c>
      <c r="T28" s="15">
        <v>5509.46291226624</v>
      </c>
      <c r="U28" s="10">
        <v>2.45457253500149</v>
      </c>
      <c r="V28">
        <f t="shared" si="7"/>
        <v>8.7386058981233194</v>
      </c>
      <c r="W28">
        <v>6498.3304411320296</v>
      </c>
      <c r="X28">
        <v>2.1313672922252</v>
      </c>
      <c r="Y28">
        <f t="shared" si="8"/>
        <v>10.595025320226398</v>
      </c>
      <c r="Z28">
        <v>6915.0081153600004</v>
      </c>
      <c r="AA28">
        <v>2.5841525171283899</v>
      </c>
    </row>
    <row r="29" spans="1:30" x14ac:dyDescent="0.2">
      <c r="B29">
        <v>4.0999999999999996</v>
      </c>
      <c r="D29" s="9">
        <f t="shared" si="1"/>
        <v>7.7615430443848661</v>
      </c>
      <c r="E29" s="15">
        <v>3003.4612874935001</v>
      </c>
      <c r="F29" s="10">
        <v>1.8930592791182601</v>
      </c>
      <c r="J29" s="9">
        <f t="shared" si="3"/>
        <v>11.999553172475441</v>
      </c>
      <c r="K29" s="15">
        <v>2719.7405919365701</v>
      </c>
      <c r="L29" s="10">
        <v>2.92672028596962</v>
      </c>
      <c r="M29" s="9">
        <f t="shared" si="4"/>
        <v>13.190348525469169</v>
      </c>
      <c r="N29" s="15">
        <v>2833.7037165117399</v>
      </c>
      <c r="O29" s="15">
        <v>3.2171581769437001</v>
      </c>
      <c r="P29" s="9">
        <f t="shared" si="5"/>
        <v>11.547661602621364</v>
      </c>
      <c r="Q29" s="15">
        <v>5020.3711692978004</v>
      </c>
      <c r="R29" s="10">
        <v>2.81650282990765</v>
      </c>
      <c r="S29" s="9">
        <f t="shared" si="6"/>
        <v>9.5874292523086257</v>
      </c>
      <c r="T29" s="15">
        <v>5643.6070068182598</v>
      </c>
      <c r="U29" s="10">
        <v>2.3383973786118601</v>
      </c>
      <c r="V29">
        <f t="shared" si="7"/>
        <v>8.8179922549895746</v>
      </c>
      <c r="W29">
        <v>6595.6739433733301</v>
      </c>
      <c r="X29">
        <v>2.1507298182901402</v>
      </c>
      <c r="Y29">
        <f t="shared" si="8"/>
        <v>10.808757819481672</v>
      </c>
      <c r="Z29">
        <v>6998.1062270293896</v>
      </c>
      <c r="AA29">
        <v>2.6362823949955301</v>
      </c>
    </row>
    <row r="30" spans="1:30" ht="16" thickBot="1" x14ac:dyDescent="0.25">
      <c r="D30" s="9">
        <f t="shared" si="1"/>
        <v>7.2058385463211279</v>
      </c>
      <c r="E30" s="15">
        <v>2966.6606951827698</v>
      </c>
      <c r="F30" s="10">
        <v>1.7575215966636899</v>
      </c>
      <c r="J30" s="9">
        <f t="shared" si="3"/>
        <v>11.840780458742934</v>
      </c>
      <c r="K30" s="14">
        <v>2611.7130467663601</v>
      </c>
      <c r="L30" s="12">
        <v>2.8879952338397401</v>
      </c>
      <c r="M30" s="11">
        <f t="shared" si="4"/>
        <v>12.317098599940415</v>
      </c>
      <c r="N30" s="14">
        <v>2627.1455532192399</v>
      </c>
      <c r="O30" s="14">
        <v>3.0041703902293699</v>
      </c>
      <c r="P30" s="9">
        <f t="shared" si="5"/>
        <v>10.991957104557628</v>
      </c>
      <c r="Q30" s="15">
        <v>5020.3711692978004</v>
      </c>
      <c r="R30" s="10">
        <v>2.68096514745308</v>
      </c>
      <c r="S30" s="9">
        <f t="shared" si="6"/>
        <v>8.9523383973785915</v>
      </c>
      <c r="T30" s="15">
        <v>5788.4351442992102</v>
      </c>
      <c r="U30" s="10">
        <v>2.1834971700923398</v>
      </c>
      <c r="V30">
        <f t="shared" si="7"/>
        <v>8.7386058981233194</v>
      </c>
      <c r="W30">
        <v>6735.7536173302997</v>
      </c>
      <c r="X30">
        <v>2.1313672922252</v>
      </c>
      <c r="Y30">
        <f t="shared" si="8"/>
        <v>11.285075960679155</v>
      </c>
      <c r="Z30">
        <v>7090.7012657467203</v>
      </c>
      <c r="AA30">
        <v>2.7524575513851599</v>
      </c>
    </row>
    <row r="31" spans="1:30" x14ac:dyDescent="0.2">
      <c r="D31" s="9">
        <f t="shared" si="1"/>
        <v>6.5951742627345844</v>
      </c>
      <c r="E31" s="15">
        <v>2910.8662487761799</v>
      </c>
      <c r="F31" s="10">
        <v>1.60857908847185</v>
      </c>
      <c r="J31" s="9"/>
      <c r="P31" s="9">
        <f t="shared" si="5"/>
        <v>10.143133750372362</v>
      </c>
      <c r="Q31" s="15">
        <v>5067.8558045374602</v>
      </c>
      <c r="R31" s="10">
        <v>2.4739350610664301</v>
      </c>
      <c r="S31" s="9">
        <f t="shared" si="6"/>
        <v>8.5798331843908127</v>
      </c>
      <c r="T31" s="15">
        <v>5962.9411788049401</v>
      </c>
      <c r="U31" s="10">
        <v>2.0926422400953202</v>
      </c>
      <c r="V31">
        <f t="shared" si="7"/>
        <v>8.7386058981233194</v>
      </c>
      <c r="W31">
        <v>6879.39463893026</v>
      </c>
      <c r="X31">
        <v>2.1313672922252</v>
      </c>
      <c r="Y31">
        <f t="shared" si="8"/>
        <v>12.023979743818888</v>
      </c>
      <c r="Z31">
        <v>7126.3147421764597</v>
      </c>
      <c r="AA31">
        <v>2.93267798629729</v>
      </c>
    </row>
    <row r="32" spans="1:30" x14ac:dyDescent="0.2">
      <c r="D32" s="9">
        <f t="shared" si="1"/>
        <v>6.222669049746802</v>
      </c>
      <c r="E32" s="15">
        <v>2880.0012358703998</v>
      </c>
      <c r="F32" s="10">
        <v>1.51772415847483</v>
      </c>
      <c r="J32" s="9"/>
      <c r="P32" s="9">
        <f t="shared" si="5"/>
        <v>9.4530831099195645</v>
      </c>
      <c r="Q32" s="15">
        <v>5103.4692809671997</v>
      </c>
      <c r="R32" s="10">
        <v>2.3056300268096499</v>
      </c>
      <c r="S32" s="9">
        <f t="shared" si="6"/>
        <v>8.1340482573726476</v>
      </c>
      <c r="T32" s="15">
        <v>6194.4287755982496</v>
      </c>
      <c r="U32" s="10">
        <v>1.9839142091152799</v>
      </c>
      <c r="V32">
        <f t="shared" si="7"/>
        <v>8.9523383973785915</v>
      </c>
      <c r="W32">
        <v>6982.6737205765003</v>
      </c>
      <c r="X32">
        <v>2.1834971700923398</v>
      </c>
      <c r="Y32">
        <f t="shared" si="8"/>
        <v>13.03157581173666</v>
      </c>
      <c r="Z32">
        <v>7161.9282186062001</v>
      </c>
      <c r="AA32">
        <v>3.1784331248138198</v>
      </c>
    </row>
    <row r="33" spans="4:27" ht="16" thickBot="1" x14ac:dyDescent="0.25">
      <c r="D33" s="11">
        <f t="shared" si="1"/>
        <v>6.222669049746802</v>
      </c>
      <c r="E33" s="14">
        <v>2880.0012358703998</v>
      </c>
      <c r="F33" s="12">
        <v>1.51772415847483</v>
      </c>
      <c r="J33" s="9"/>
      <c r="P33" s="9">
        <f t="shared" si="5"/>
        <v>8.8973786118558262</v>
      </c>
      <c r="Q33" s="15">
        <v>5160.45084325478</v>
      </c>
      <c r="R33" s="10">
        <v>2.1700923443550799</v>
      </c>
      <c r="S33" s="9">
        <f t="shared" si="6"/>
        <v>8.0790884718498823</v>
      </c>
      <c r="T33" s="15">
        <v>6317.8888272213499</v>
      </c>
      <c r="U33" s="10">
        <v>1.9705093833780201</v>
      </c>
      <c r="V33">
        <f t="shared" si="7"/>
        <v>8.9279118260351478</v>
      </c>
      <c r="W33">
        <v>7188.0447679880099</v>
      </c>
      <c r="X33">
        <v>2.1775394697646702</v>
      </c>
      <c r="Y33">
        <f t="shared" si="8"/>
        <v>14.063598450997921</v>
      </c>
      <c r="Z33">
        <v>7198.7288109169303</v>
      </c>
      <c r="AA33">
        <v>3.4301459636580298</v>
      </c>
    </row>
    <row r="34" spans="4:27" x14ac:dyDescent="0.2">
      <c r="P34" s="9">
        <f t="shared" si="5"/>
        <v>8.2928209711051561</v>
      </c>
      <c r="Q34" s="15">
        <v>5231.6777961142598</v>
      </c>
      <c r="R34" s="10">
        <v>2.02263926124516</v>
      </c>
      <c r="S34" s="9">
        <f t="shared" si="6"/>
        <v>7.9203157581173729</v>
      </c>
      <c r="T34" s="15">
        <v>6405.7354024147098</v>
      </c>
      <c r="U34" s="10">
        <v>1.93178433124814</v>
      </c>
      <c r="V34">
        <f t="shared" si="7"/>
        <v>9.1111111111111018</v>
      </c>
      <c r="W34">
        <v>7286.5753861102903</v>
      </c>
      <c r="X34">
        <v>2.2222222222222201</v>
      </c>
      <c r="Y34">
        <f t="shared" si="8"/>
        <v>15.016234733392887</v>
      </c>
      <c r="Z34">
        <v>7245.0263302755902</v>
      </c>
      <c r="AA34">
        <v>3.6624962764372899</v>
      </c>
    </row>
    <row r="35" spans="4:27" x14ac:dyDescent="0.2">
      <c r="P35" s="9">
        <f t="shared" si="5"/>
        <v>7.7859696157283125</v>
      </c>
      <c r="Q35" s="15">
        <v>5304.0918648547404</v>
      </c>
      <c r="R35" s="10">
        <v>1.89901697944593</v>
      </c>
      <c r="S35" s="9">
        <f t="shared" si="6"/>
        <v>7.8409294012511195</v>
      </c>
      <c r="T35" s="15">
        <v>6575.49297339647</v>
      </c>
      <c r="U35" s="10">
        <v>1.9124218051832</v>
      </c>
      <c r="V35">
        <f t="shared" si="7"/>
        <v>9.3248436103663739</v>
      </c>
      <c r="W35">
        <v>7394.6029312805003</v>
      </c>
      <c r="X35">
        <v>2.2743521000893598</v>
      </c>
      <c r="Y35">
        <f t="shared" si="8"/>
        <v>15.920017873100958</v>
      </c>
      <c r="Z35">
        <v>7296.0723131582199</v>
      </c>
      <c r="AA35">
        <v>3.8829311885612099</v>
      </c>
    </row>
    <row r="36" spans="4:27" x14ac:dyDescent="0.2">
      <c r="P36" s="9">
        <f t="shared" si="5"/>
        <v>7.3096514745308285</v>
      </c>
      <c r="Q36" s="15">
        <v>5407.3709465009797</v>
      </c>
      <c r="R36" s="10">
        <v>1.7828418230562999</v>
      </c>
      <c r="S36" s="9">
        <f t="shared" si="6"/>
        <v>8.1035150431933278</v>
      </c>
      <c r="T36" s="15">
        <v>6694.2045614956096</v>
      </c>
      <c r="U36" s="10">
        <v>1.9764670837056899</v>
      </c>
      <c r="V36">
        <f t="shared" si="7"/>
        <v>10.063747393506109</v>
      </c>
      <c r="W36">
        <v>7502.6304764507204</v>
      </c>
      <c r="X36">
        <v>2.45457253500149</v>
      </c>
      <c r="Y36">
        <f t="shared" si="8"/>
        <v>17.031426869228476</v>
      </c>
      <c r="Z36">
        <v>7399.3513948044701</v>
      </c>
      <c r="AA36">
        <v>4.1540065534703601</v>
      </c>
    </row>
    <row r="37" spans="4:27" x14ac:dyDescent="0.2">
      <c r="P37" s="9">
        <f t="shared" si="5"/>
        <v>7.0470658325886202</v>
      </c>
      <c r="Q37" s="15">
        <v>5520.1469551951604</v>
      </c>
      <c r="R37" s="10">
        <v>1.71879654453381</v>
      </c>
      <c r="S37" s="9">
        <f t="shared" si="6"/>
        <v>8.1035150431933278</v>
      </c>
      <c r="T37" s="15">
        <v>6910.2596518360297</v>
      </c>
      <c r="U37" s="10">
        <v>1.9764670837056899</v>
      </c>
      <c r="V37">
        <f t="shared" si="7"/>
        <v>10.991957104557628</v>
      </c>
      <c r="W37">
        <v>7507.3789399746802</v>
      </c>
      <c r="X37">
        <v>2.68096514745308</v>
      </c>
      <c r="Y37">
        <f t="shared" si="8"/>
        <v>0</v>
      </c>
    </row>
    <row r="38" spans="4:27" x14ac:dyDescent="0.2">
      <c r="P38" s="9">
        <f t="shared" si="5"/>
        <v>6.8577599046767928</v>
      </c>
      <c r="Q38" s="15">
        <v>5581.8769810067097</v>
      </c>
      <c r="R38" s="10">
        <v>1.6726243669943399</v>
      </c>
      <c r="S38" s="9">
        <f t="shared" si="6"/>
        <v>8.3416741137920898</v>
      </c>
      <c r="T38" s="15">
        <v>6982.6737205765003</v>
      </c>
      <c r="U38" s="10">
        <v>2.0345546619005099</v>
      </c>
      <c r="V38">
        <f t="shared" si="7"/>
        <v>12.207179028894842</v>
      </c>
      <c r="W38">
        <v>7542.9924164044196</v>
      </c>
      <c r="X38">
        <v>2.97736073875484</v>
      </c>
      <c r="Y38">
        <f t="shared" si="8"/>
        <v>0</v>
      </c>
    </row>
    <row r="39" spans="4:27" x14ac:dyDescent="0.2">
      <c r="P39" s="9">
        <f t="shared" si="5"/>
        <v>6.8577599046767928</v>
      </c>
      <c r="Q39" s="15">
        <v>5695.8401055818804</v>
      </c>
      <c r="R39" s="10">
        <v>1.6726243669943399</v>
      </c>
      <c r="S39" s="9">
        <f t="shared" si="6"/>
        <v>8.3416741137920898</v>
      </c>
      <c r="T39" s="15">
        <v>7106.1337721996097</v>
      </c>
      <c r="U39" s="10">
        <v>2.0345546619005099</v>
      </c>
      <c r="V39">
        <f t="shared" si="7"/>
        <v>13.165921954125722</v>
      </c>
      <c r="W39">
        <v>7558.4249228573099</v>
      </c>
      <c r="X39">
        <v>3.21120047661603</v>
      </c>
      <c r="Y39">
        <f t="shared" si="8"/>
        <v>0</v>
      </c>
    </row>
    <row r="40" spans="4:27" x14ac:dyDescent="0.2">
      <c r="P40" s="9">
        <f t="shared" si="5"/>
        <v>6.6501340482573505</v>
      </c>
      <c r="Q40" s="15">
        <v>5819.3001572049798</v>
      </c>
      <c r="R40" s="10">
        <v>1.6219839142091099</v>
      </c>
      <c r="S40" s="9">
        <f t="shared" si="6"/>
        <v>8.5554066130473654</v>
      </c>
      <c r="T40" s="15">
        <v>7188.0447679880099</v>
      </c>
      <c r="U40" s="10">
        <v>2.0866845397676501</v>
      </c>
      <c r="V40">
        <f t="shared" si="7"/>
        <v>14.46053023532915</v>
      </c>
      <c r="W40">
        <v>7589.2899357630804</v>
      </c>
      <c r="X40">
        <v>3.5269585939827199</v>
      </c>
      <c r="Y40">
        <f t="shared" si="8"/>
        <v>0</v>
      </c>
    </row>
    <row r="41" spans="4:27" x14ac:dyDescent="0.2">
      <c r="P41" s="9">
        <f t="shared" si="5"/>
        <v>6.6745606196008387</v>
      </c>
      <c r="Q41" s="15">
        <v>5921.3921229702401</v>
      </c>
      <c r="R41" s="10">
        <v>1.62794161453679</v>
      </c>
      <c r="S41" s="9">
        <f t="shared" si="6"/>
        <v>8.6103663985701306</v>
      </c>
      <c r="T41" s="15">
        <v>7332.8729054689502</v>
      </c>
      <c r="U41" s="10">
        <v>2.10008936550491</v>
      </c>
      <c r="V41">
        <f t="shared" si="7"/>
        <v>15.730711945189174</v>
      </c>
      <c r="W41">
        <v>7604.7224422159697</v>
      </c>
      <c r="X41">
        <v>3.83675901102175</v>
      </c>
      <c r="Y41">
        <f t="shared" si="8"/>
        <v>0</v>
      </c>
    </row>
    <row r="42" spans="4:27" x14ac:dyDescent="0.2">
      <c r="P42" s="9">
        <f t="shared" si="5"/>
        <v>6.4913613345248837</v>
      </c>
      <c r="Q42" s="15">
        <v>6013.9871616875598</v>
      </c>
      <c r="R42" s="10">
        <v>1.58325886207924</v>
      </c>
      <c r="S42" s="9">
        <f t="shared" si="6"/>
        <v>8.9767649687220814</v>
      </c>
      <c r="T42" s="15">
        <v>7496.6948970457597</v>
      </c>
      <c r="U42" s="10">
        <v>2.1894548704200201</v>
      </c>
      <c r="V42">
        <f t="shared" si="7"/>
        <v>0</v>
      </c>
      <c r="Y42">
        <f t="shared" si="8"/>
        <v>0</v>
      </c>
    </row>
    <row r="43" spans="4:27" x14ac:dyDescent="0.2">
      <c r="P43" s="9">
        <f t="shared" si="5"/>
        <v>6.5157879058683301</v>
      </c>
      <c r="Q43" s="15">
        <v>6122.0147068577799</v>
      </c>
      <c r="R43" s="10">
        <v>1.5892165624069099</v>
      </c>
      <c r="S43" s="9">
        <f t="shared" si="6"/>
        <v>10.039320822162662</v>
      </c>
      <c r="T43" s="15">
        <v>7573.8574293102001</v>
      </c>
      <c r="U43" s="10">
        <v>2.4486148346738199</v>
      </c>
      <c r="V43">
        <f t="shared" si="7"/>
        <v>0</v>
      </c>
      <c r="Y43">
        <f t="shared" si="8"/>
        <v>0</v>
      </c>
    </row>
    <row r="44" spans="4:27" x14ac:dyDescent="0.2">
      <c r="P44" s="9">
        <f t="shared" si="5"/>
        <v>6.3325886207923752</v>
      </c>
      <c r="Q44" s="15">
        <v>6184.93184855032</v>
      </c>
      <c r="R44" s="10">
        <v>1.54453380994936</v>
      </c>
      <c r="S44" s="9">
        <f t="shared" si="6"/>
        <v>11.175156389633582</v>
      </c>
      <c r="T44" s="15">
        <v>7615.4064851448902</v>
      </c>
      <c r="U44" s="10">
        <v>2.7256478999106299</v>
      </c>
      <c r="V44">
        <f t="shared" si="7"/>
        <v>0</v>
      </c>
      <c r="Y44">
        <f t="shared" si="8"/>
        <v>0</v>
      </c>
    </row>
    <row r="45" spans="4:27" x14ac:dyDescent="0.2">
      <c r="D45" s="28" t="s">
        <v>136</v>
      </c>
      <c r="P45" s="9">
        <f t="shared" si="5"/>
        <v>6.3325886207923752</v>
      </c>
      <c r="Q45" s="15">
        <v>6354.6894195320801</v>
      </c>
      <c r="R45" s="10">
        <v>1.54453380994936</v>
      </c>
      <c r="S45" s="9">
        <f t="shared" si="6"/>
        <v>12.317098599940415</v>
      </c>
      <c r="T45" s="15">
        <v>7635.5874551217503</v>
      </c>
      <c r="U45" s="10">
        <v>3.0041703902293699</v>
      </c>
      <c r="V45">
        <f t="shared" si="7"/>
        <v>0</v>
      </c>
      <c r="Y45">
        <f t="shared" si="8"/>
        <v>0</v>
      </c>
    </row>
    <row r="46" spans="4:27" ht="16" thickBot="1" x14ac:dyDescent="0.25">
      <c r="P46" s="9">
        <f t="shared" si="5"/>
        <v>6.3020554066130563</v>
      </c>
      <c r="Q46" s="15">
        <v>6509.0144840609601</v>
      </c>
      <c r="R46" s="10">
        <v>1.5370866845397699</v>
      </c>
      <c r="S46" s="9">
        <f t="shared" si="6"/>
        <v>13.666666666666652</v>
      </c>
      <c r="T46" s="15">
        <v>7661.7040045035601</v>
      </c>
      <c r="U46" s="10">
        <v>3.3333333333333299</v>
      </c>
      <c r="V46">
        <f t="shared" si="7"/>
        <v>0</v>
      </c>
      <c r="Y46">
        <f t="shared" si="8"/>
        <v>0</v>
      </c>
    </row>
    <row r="47" spans="4:27" ht="16" thickBot="1" x14ac:dyDescent="0.25">
      <c r="D47" s="7"/>
      <c r="E47" s="30" t="s">
        <v>132</v>
      </c>
      <c r="F47" s="8">
        <v>4</v>
      </c>
      <c r="P47" s="9">
        <f t="shared" si="5"/>
        <v>6.5157879058683301</v>
      </c>
      <c r="Q47" s="15">
        <v>6580.2414369204398</v>
      </c>
      <c r="R47" s="10">
        <v>1.5892165624069099</v>
      </c>
      <c r="S47" s="9">
        <f t="shared" si="6"/>
        <v>14.912421805183188</v>
      </c>
      <c r="T47" s="14">
        <v>7697.3174809333004</v>
      </c>
      <c r="U47" s="12">
        <v>3.6371760500446801</v>
      </c>
      <c r="V47">
        <f t="shared" si="7"/>
        <v>0</v>
      </c>
      <c r="Y47">
        <f t="shared" si="8"/>
        <v>0</v>
      </c>
    </row>
    <row r="48" spans="4:27" x14ac:dyDescent="0.2">
      <c r="D48" s="70" t="s">
        <v>129</v>
      </c>
      <c r="E48" s="108" t="s">
        <v>131</v>
      </c>
      <c r="F48" s="10">
        <v>5.48</v>
      </c>
      <c r="P48" s="9">
        <f t="shared" si="5"/>
        <v>6.5157879058683301</v>
      </c>
      <c r="Q48" s="15">
        <v>6822.4130766426697</v>
      </c>
      <c r="R48" s="10">
        <v>1.5892165624069099</v>
      </c>
      <c r="S48" s="9"/>
      <c r="V48">
        <f t="shared" si="7"/>
        <v>0</v>
      </c>
      <c r="Y48">
        <f t="shared" si="8"/>
        <v>0</v>
      </c>
    </row>
    <row r="49" spans="1:25" x14ac:dyDescent="0.2">
      <c r="D49" s="9"/>
      <c r="E49" s="108" t="s">
        <v>130</v>
      </c>
      <c r="F49" s="10">
        <v>4</v>
      </c>
      <c r="P49" s="9">
        <f t="shared" si="5"/>
        <v>6.698987190944286</v>
      </c>
      <c r="Q49" s="15">
        <v>6905.5111883120699</v>
      </c>
      <c r="R49" s="10">
        <v>1.6338993148644601</v>
      </c>
      <c r="S49" s="9"/>
      <c r="V49">
        <f t="shared" si="7"/>
        <v>0</v>
      </c>
      <c r="Y49">
        <f t="shared" si="8"/>
        <v>0</v>
      </c>
    </row>
    <row r="50" spans="1:25" x14ac:dyDescent="0.2">
      <c r="D50" s="9"/>
      <c r="E50" s="15"/>
      <c r="F50" s="10"/>
      <c r="P50" s="9">
        <f t="shared" si="5"/>
        <v>6.7295204051236048</v>
      </c>
      <c r="Q50" s="15">
        <v>7053.90067343599</v>
      </c>
      <c r="R50" s="10">
        <v>1.6413464402740501</v>
      </c>
      <c r="S50" s="9"/>
      <c r="V50">
        <f t="shared" si="7"/>
        <v>0</v>
      </c>
      <c r="Y50">
        <f t="shared" si="8"/>
        <v>0</v>
      </c>
    </row>
    <row r="51" spans="1:25" x14ac:dyDescent="0.2">
      <c r="D51" s="70" t="s">
        <v>135</v>
      </c>
      <c r="E51" s="15"/>
      <c r="F51" s="10">
        <v>475</v>
      </c>
      <c r="P51" s="9">
        <f t="shared" si="5"/>
        <v>6.8882931188561125</v>
      </c>
      <c r="Q51" s="15">
        <v>7084.7656863417596</v>
      </c>
      <c r="R51" s="10">
        <v>1.6800714924039299</v>
      </c>
      <c r="S51" s="9"/>
      <c r="V51">
        <f t="shared" si="7"/>
        <v>0</v>
      </c>
      <c r="Y51">
        <f t="shared" si="8"/>
        <v>0</v>
      </c>
    </row>
    <row r="52" spans="1:25" x14ac:dyDescent="0.2">
      <c r="D52" s="70" t="s">
        <v>134</v>
      </c>
      <c r="E52" s="15"/>
      <c r="F52" s="10">
        <v>550</v>
      </c>
      <c r="P52" s="9">
        <f t="shared" si="5"/>
        <v>6.8882931188561125</v>
      </c>
      <c r="Q52" s="15">
        <v>7239.0907508706396</v>
      </c>
      <c r="R52" s="10">
        <v>1.6800714924039299</v>
      </c>
      <c r="S52" s="9"/>
      <c r="V52">
        <f t="shared" si="7"/>
        <v>0</v>
      </c>
      <c r="Y52">
        <f t="shared" si="8"/>
        <v>0</v>
      </c>
    </row>
    <row r="53" spans="1:25" ht="16" thickBot="1" x14ac:dyDescent="0.25">
      <c r="D53" s="71" t="s">
        <v>133</v>
      </c>
      <c r="E53" s="14"/>
      <c r="F53" s="12">
        <f>F52+((F47-F49)/(F48-F49))*(F51-F52)</f>
        <v>550</v>
      </c>
      <c r="P53" s="9">
        <f t="shared" si="5"/>
        <v>7.1264521894548745</v>
      </c>
      <c r="Q53" s="15">
        <v>7353.0538754458103</v>
      </c>
      <c r="R53" s="10">
        <v>1.73815907059875</v>
      </c>
      <c r="S53" s="9"/>
      <c r="V53">
        <f t="shared" si="7"/>
        <v>0</v>
      </c>
      <c r="Y53">
        <f t="shared" si="8"/>
        <v>0</v>
      </c>
    </row>
    <row r="54" spans="1:25" x14ac:dyDescent="0.2">
      <c r="P54" s="9">
        <f t="shared" si="5"/>
        <v>7.5478105451295914</v>
      </c>
      <c r="Q54" s="15">
        <v>7456.3329570920496</v>
      </c>
      <c r="R54" s="10">
        <v>1.8409294012511199</v>
      </c>
      <c r="S54" s="9"/>
      <c r="V54">
        <f t="shared" si="7"/>
        <v>0</v>
      </c>
      <c r="Y54">
        <f t="shared" si="8"/>
        <v>0</v>
      </c>
    </row>
    <row r="55" spans="1:25" x14ac:dyDescent="0.2">
      <c r="P55" s="9">
        <f t="shared" si="5"/>
        <v>8.0790884718498823</v>
      </c>
      <c r="Q55" s="15">
        <v>7553.6764593333401</v>
      </c>
      <c r="R55" s="10">
        <v>1.9705093833780201</v>
      </c>
      <c r="S55" s="9"/>
      <c r="V55">
        <f t="shared" si="7"/>
        <v>0</v>
      </c>
      <c r="Y55">
        <f t="shared" si="8"/>
        <v>0</v>
      </c>
    </row>
    <row r="56" spans="1:25" x14ac:dyDescent="0.2">
      <c r="P56" s="9">
        <f t="shared" si="5"/>
        <v>8.5798331843908127</v>
      </c>
      <c r="Q56" s="15">
        <v>7610.6580216209304</v>
      </c>
      <c r="R56" s="10">
        <v>2.0926422400953202</v>
      </c>
      <c r="S56" s="9"/>
      <c r="V56">
        <f t="shared" si="7"/>
        <v>0</v>
      </c>
      <c r="Y56">
        <f t="shared" si="8"/>
        <v>0</v>
      </c>
    </row>
    <row r="57" spans="1:25" x14ac:dyDescent="0.2">
      <c r="P57" s="9">
        <f t="shared" si="5"/>
        <v>9.9294012511170475</v>
      </c>
      <c r="Q57" s="15">
        <v>7651.0199615746396</v>
      </c>
      <c r="R57" s="10">
        <v>2.4218051831992802</v>
      </c>
      <c r="S57" s="9"/>
      <c r="V57">
        <f t="shared" si="7"/>
        <v>0</v>
      </c>
      <c r="Y57">
        <f t="shared" si="8"/>
        <v>0</v>
      </c>
    </row>
    <row r="58" spans="1:25" ht="8" customHeight="1" x14ac:dyDescent="0.2">
      <c r="P58" s="9">
        <f t="shared" si="5"/>
        <v>11.651474530831106</v>
      </c>
      <c r="Q58" s="15">
        <v>7692.5690174093297</v>
      </c>
      <c r="R58" s="10">
        <v>2.84182305630027</v>
      </c>
      <c r="S58" s="9"/>
      <c r="V58">
        <f t="shared" si="7"/>
        <v>0</v>
      </c>
      <c r="Y58">
        <f t="shared" si="8"/>
        <v>0</v>
      </c>
    </row>
    <row r="59" spans="1:25" x14ac:dyDescent="0.2">
      <c r="P59" s="9">
        <f t="shared" si="5"/>
        <v>12.848376526660704</v>
      </c>
      <c r="Q59" s="15">
        <v>7728.18249383907</v>
      </c>
      <c r="R59" s="10">
        <v>3.1337503723562699</v>
      </c>
      <c r="S59" s="9"/>
      <c r="V59">
        <f t="shared" si="7"/>
        <v>0</v>
      </c>
      <c r="Y59">
        <f t="shared" si="8"/>
        <v>0</v>
      </c>
    </row>
    <row r="60" spans="1:25" x14ac:dyDescent="0.2">
      <c r="P60" s="9">
        <f t="shared" si="5"/>
        <v>13.959785522788179</v>
      </c>
      <c r="Q60" s="15">
        <v>7789.9125196506202</v>
      </c>
      <c r="R60" s="10">
        <v>3.4048257372654098</v>
      </c>
      <c r="S60" s="9"/>
      <c r="V60">
        <f t="shared" si="7"/>
        <v>0</v>
      </c>
      <c r="Y60">
        <f t="shared" si="8"/>
        <v>0</v>
      </c>
    </row>
    <row r="61" spans="1:25" ht="16" thickBot="1" x14ac:dyDescent="0.25">
      <c r="P61" s="9">
        <f t="shared" si="5"/>
        <v>14.197944593386941</v>
      </c>
      <c r="Q61" s="15">
        <v>7811.2806055084702</v>
      </c>
      <c r="R61" s="12">
        <v>3.4629133154602298</v>
      </c>
      <c r="S61" s="9"/>
      <c r="V61">
        <f t="shared" si="7"/>
        <v>0</v>
      </c>
      <c r="Y61">
        <f t="shared" si="8"/>
        <v>0</v>
      </c>
    </row>
    <row r="62" spans="1:25" x14ac:dyDescent="0.2">
      <c r="A62" s="113" t="s">
        <v>114</v>
      </c>
      <c r="B62" s="114" t="s">
        <v>110</v>
      </c>
      <c r="C62" s="53"/>
      <c r="D62" s="53"/>
      <c r="E62" s="53"/>
      <c r="F62" s="53"/>
      <c r="G62" s="53"/>
      <c r="H62" s="53"/>
      <c r="I62" s="53"/>
      <c r="J62" s="53"/>
      <c r="K62" s="53"/>
      <c r="L62" s="53"/>
      <c r="M62" s="53"/>
      <c r="N62" s="53"/>
      <c r="O62" s="53"/>
      <c r="P62" s="53"/>
      <c r="Q62" s="54"/>
      <c r="S62" s="9"/>
      <c r="V62">
        <f t="shared" si="7"/>
        <v>0</v>
      </c>
      <c r="Y62">
        <f t="shared" si="8"/>
        <v>0</v>
      </c>
    </row>
    <row r="63" spans="1:25" ht="16" thickBot="1" x14ac:dyDescent="0.25">
      <c r="A63" s="115" t="s">
        <v>115</v>
      </c>
      <c r="B63" s="116"/>
      <c r="C63" s="116">
        <v>500</v>
      </c>
      <c r="D63" s="116">
        <v>1000</v>
      </c>
      <c r="E63" s="116">
        <v>1500</v>
      </c>
      <c r="F63" s="116">
        <v>2000</v>
      </c>
      <c r="G63" s="116">
        <v>2500</v>
      </c>
      <c r="H63" s="116">
        <v>3000</v>
      </c>
      <c r="I63" s="116">
        <v>3500</v>
      </c>
      <c r="J63" s="116">
        <v>4000</v>
      </c>
      <c r="K63" s="116">
        <v>4500</v>
      </c>
      <c r="L63" s="116">
        <v>5000</v>
      </c>
      <c r="M63" s="116">
        <v>5500</v>
      </c>
      <c r="N63" s="116">
        <v>6000</v>
      </c>
      <c r="O63" s="116">
        <v>6500</v>
      </c>
      <c r="P63" s="116">
        <v>7000</v>
      </c>
      <c r="Q63" s="117">
        <v>7500</v>
      </c>
    </row>
    <row r="64" spans="1:25" x14ac:dyDescent="0.2">
      <c r="A64" s="56">
        <v>22</v>
      </c>
      <c r="B64" s="109">
        <v>0</v>
      </c>
      <c r="C64" s="109">
        <v>0</v>
      </c>
      <c r="D64" s="109">
        <v>0</v>
      </c>
      <c r="E64" s="109">
        <v>0</v>
      </c>
      <c r="F64" s="109">
        <v>0</v>
      </c>
      <c r="G64" s="109">
        <v>0</v>
      </c>
      <c r="H64" s="109">
        <v>0</v>
      </c>
      <c r="I64" s="109">
        <v>0</v>
      </c>
      <c r="J64" s="109">
        <v>0</v>
      </c>
      <c r="K64" s="109">
        <v>0</v>
      </c>
      <c r="L64" s="109">
        <v>0</v>
      </c>
      <c r="M64" s="109">
        <v>0</v>
      </c>
      <c r="N64" s="109">
        <v>550</v>
      </c>
      <c r="O64" s="109">
        <v>475</v>
      </c>
      <c r="P64" s="109">
        <v>450</v>
      </c>
      <c r="Q64" s="110">
        <v>0</v>
      </c>
    </row>
    <row r="65" spans="1:17" x14ac:dyDescent="0.2">
      <c r="A65" s="56">
        <v>21</v>
      </c>
      <c r="B65" s="109"/>
      <c r="C65" s="109"/>
      <c r="D65" s="109"/>
      <c r="E65" s="109"/>
      <c r="F65" s="109"/>
      <c r="G65" s="109">
        <v>0</v>
      </c>
      <c r="H65" s="109">
        <v>0</v>
      </c>
      <c r="I65" s="109">
        <v>0</v>
      </c>
      <c r="J65" s="109">
        <v>0</v>
      </c>
      <c r="K65" s="109">
        <v>0</v>
      </c>
      <c r="L65" s="109">
        <v>0</v>
      </c>
      <c r="M65" s="109">
        <v>550</v>
      </c>
      <c r="N65" s="109">
        <v>563.9</v>
      </c>
      <c r="O65" s="109">
        <v>484.8</v>
      </c>
      <c r="P65" s="109">
        <v>475</v>
      </c>
      <c r="Q65" s="110">
        <v>0</v>
      </c>
    </row>
    <row r="66" spans="1:17" x14ac:dyDescent="0.2">
      <c r="A66" s="56">
        <v>20</v>
      </c>
      <c r="B66" s="109">
        <v>0</v>
      </c>
      <c r="C66" s="109">
        <v>0</v>
      </c>
      <c r="D66" s="109">
        <v>0</v>
      </c>
      <c r="E66" s="109">
        <v>0</v>
      </c>
      <c r="F66" s="109">
        <v>0</v>
      </c>
      <c r="G66" s="109">
        <v>0</v>
      </c>
      <c r="H66" s="109">
        <v>0</v>
      </c>
      <c r="I66" s="109">
        <v>0</v>
      </c>
      <c r="J66" s="109">
        <v>0</v>
      </c>
      <c r="K66" s="109">
        <v>0</v>
      </c>
      <c r="L66" s="109">
        <v>550</v>
      </c>
      <c r="M66" s="109">
        <v>578</v>
      </c>
      <c r="N66" s="109">
        <v>577.79999999999995</v>
      </c>
      <c r="O66" s="109">
        <v>494.7</v>
      </c>
      <c r="P66" s="109">
        <v>480.6</v>
      </c>
      <c r="Q66" s="110">
        <v>0</v>
      </c>
    </row>
    <row r="67" spans="1:17" x14ac:dyDescent="0.2">
      <c r="A67" s="56">
        <v>19</v>
      </c>
      <c r="B67" s="109"/>
      <c r="C67" s="109"/>
      <c r="D67" s="109"/>
      <c r="E67" s="109"/>
      <c r="F67" s="109"/>
      <c r="G67" s="109">
        <v>0</v>
      </c>
      <c r="H67" s="109">
        <v>0</v>
      </c>
      <c r="I67" s="109">
        <v>0</v>
      </c>
      <c r="J67" s="109">
        <v>0</v>
      </c>
      <c r="K67" s="109">
        <v>0</v>
      </c>
      <c r="L67" s="109">
        <v>582.70000000000005</v>
      </c>
      <c r="M67" s="109">
        <v>607.79999999999995</v>
      </c>
      <c r="N67" s="109">
        <v>591.70000000000005</v>
      </c>
      <c r="O67" s="109">
        <v>520.70000000000005</v>
      </c>
      <c r="P67" s="109">
        <v>491.7</v>
      </c>
      <c r="Q67" s="110">
        <v>0</v>
      </c>
    </row>
    <row r="68" spans="1:17" x14ac:dyDescent="0.2">
      <c r="A68" s="56">
        <v>18</v>
      </c>
      <c r="B68" s="109">
        <v>0</v>
      </c>
      <c r="C68" s="109">
        <v>0</v>
      </c>
      <c r="D68" s="109">
        <v>0</v>
      </c>
      <c r="E68" s="109">
        <v>0</v>
      </c>
      <c r="F68" s="109">
        <v>0</v>
      </c>
      <c r="G68" s="109">
        <v>0</v>
      </c>
      <c r="H68" s="109">
        <v>0</v>
      </c>
      <c r="I68" s="109">
        <v>0</v>
      </c>
      <c r="J68" s="109">
        <v>0</v>
      </c>
      <c r="K68" s="109">
        <v>600</v>
      </c>
      <c r="L68" s="109">
        <v>614</v>
      </c>
      <c r="M68" s="109">
        <v>636.5</v>
      </c>
      <c r="N68" s="109">
        <v>605</v>
      </c>
      <c r="O68" s="109">
        <v>502.9</v>
      </c>
      <c r="P68" s="109">
        <v>502.9</v>
      </c>
      <c r="Q68" s="110">
        <v>0</v>
      </c>
    </row>
    <row r="69" spans="1:17" x14ac:dyDescent="0.2">
      <c r="A69" s="56">
        <v>17</v>
      </c>
      <c r="B69" s="109"/>
      <c r="C69" s="109"/>
      <c r="D69" s="109"/>
      <c r="E69" s="109"/>
      <c r="F69" s="109"/>
      <c r="G69" s="109">
        <v>0</v>
      </c>
      <c r="H69" s="109">
        <v>0</v>
      </c>
      <c r="I69" s="109">
        <v>0</v>
      </c>
      <c r="J69" s="109">
        <v>0</v>
      </c>
      <c r="K69" s="109">
        <v>650</v>
      </c>
      <c r="L69" s="109">
        <v>644.79999999999995</v>
      </c>
      <c r="M69" s="109">
        <v>629.4</v>
      </c>
      <c r="N69" s="109">
        <v>588.70000000000005</v>
      </c>
      <c r="O69" s="109">
        <v>511.2</v>
      </c>
      <c r="P69" s="109">
        <v>500</v>
      </c>
      <c r="Q69" s="110">
        <v>0</v>
      </c>
    </row>
    <row r="70" spans="1:17" x14ac:dyDescent="0.2">
      <c r="A70" s="56">
        <v>16</v>
      </c>
      <c r="B70" s="109">
        <v>0</v>
      </c>
      <c r="C70" s="109">
        <v>0</v>
      </c>
      <c r="D70" s="109">
        <v>0</v>
      </c>
      <c r="E70" s="109">
        <v>0</v>
      </c>
      <c r="F70" s="109">
        <v>0</v>
      </c>
      <c r="G70" s="109">
        <v>0</v>
      </c>
      <c r="H70" s="109">
        <v>0</v>
      </c>
      <c r="I70" s="109">
        <v>0</v>
      </c>
      <c r="J70" s="109">
        <v>550</v>
      </c>
      <c r="K70" s="109">
        <v>666.7</v>
      </c>
      <c r="L70" s="109">
        <v>675.3</v>
      </c>
      <c r="M70" s="109">
        <v>632.5</v>
      </c>
      <c r="N70" s="109">
        <v>580.6</v>
      </c>
      <c r="O70" s="109">
        <v>519.6</v>
      </c>
      <c r="P70" s="109">
        <v>500</v>
      </c>
      <c r="Q70" s="110">
        <v>0</v>
      </c>
    </row>
    <row r="71" spans="1:17" x14ac:dyDescent="0.2">
      <c r="A71" s="56">
        <v>15</v>
      </c>
      <c r="B71" s="109"/>
      <c r="C71" s="109"/>
      <c r="D71" s="109"/>
      <c r="E71" s="109"/>
      <c r="F71" s="109"/>
      <c r="G71" s="109">
        <v>0</v>
      </c>
      <c r="H71" s="109">
        <v>0</v>
      </c>
      <c r="I71" s="109">
        <v>550</v>
      </c>
      <c r="J71" s="109">
        <v>600</v>
      </c>
      <c r="K71" s="109">
        <v>685.2</v>
      </c>
      <c r="L71" s="109">
        <v>705.8</v>
      </c>
      <c r="M71" s="109">
        <v>635.6</v>
      </c>
      <c r="N71" s="109">
        <v>572.6</v>
      </c>
      <c r="O71" s="109">
        <v>527</v>
      </c>
      <c r="P71" s="109">
        <v>493.6</v>
      </c>
      <c r="Q71" s="110">
        <v>0</v>
      </c>
    </row>
    <row r="72" spans="1:17" x14ac:dyDescent="0.2">
      <c r="A72" s="56">
        <v>14</v>
      </c>
      <c r="B72" s="109">
        <v>0</v>
      </c>
      <c r="C72" s="109">
        <v>0</v>
      </c>
      <c r="D72" s="109">
        <v>0</v>
      </c>
      <c r="E72" s="109">
        <v>0</v>
      </c>
      <c r="F72" s="109">
        <v>0</v>
      </c>
      <c r="G72" s="109">
        <v>0</v>
      </c>
      <c r="H72" s="109">
        <v>0</v>
      </c>
      <c r="I72" s="109">
        <v>573.6</v>
      </c>
      <c r="J72" s="109">
        <v>610</v>
      </c>
      <c r="K72" s="109">
        <v>703.7</v>
      </c>
      <c r="L72" s="109">
        <v>736.3</v>
      </c>
      <c r="M72" s="109">
        <v>638.75</v>
      </c>
      <c r="N72" s="109">
        <v>564.5</v>
      </c>
      <c r="O72" s="109">
        <v>537</v>
      </c>
      <c r="P72" s="109">
        <v>487.2</v>
      </c>
      <c r="Q72" s="110">
        <v>0</v>
      </c>
    </row>
    <row r="73" spans="1:17" x14ac:dyDescent="0.2">
      <c r="A73" s="56">
        <v>13</v>
      </c>
      <c r="B73" s="109"/>
      <c r="C73" s="109"/>
      <c r="D73" s="109"/>
      <c r="E73" s="109"/>
      <c r="F73" s="109"/>
      <c r="G73" s="109">
        <v>0</v>
      </c>
      <c r="H73" s="109">
        <v>0</v>
      </c>
      <c r="I73" s="109">
        <v>600</v>
      </c>
      <c r="J73" s="109">
        <v>666.7</v>
      </c>
      <c r="K73" s="109">
        <v>752.2</v>
      </c>
      <c r="L73" s="109">
        <v>742</v>
      </c>
      <c r="M73" s="109">
        <v>641.9</v>
      </c>
      <c r="N73" s="109">
        <v>556</v>
      </c>
      <c r="O73" s="109">
        <v>521</v>
      </c>
      <c r="P73" s="109">
        <v>480.9</v>
      </c>
      <c r="Q73" s="110">
        <v>550</v>
      </c>
    </row>
    <row r="74" spans="1:17" x14ac:dyDescent="0.2">
      <c r="A74" s="56">
        <v>12</v>
      </c>
      <c r="B74" s="109">
        <v>0</v>
      </c>
      <c r="C74" s="109">
        <v>0</v>
      </c>
      <c r="D74" s="109">
        <v>0</v>
      </c>
      <c r="E74" s="109">
        <v>0</v>
      </c>
      <c r="F74" s="109">
        <v>0</v>
      </c>
      <c r="G74" s="109">
        <v>0</v>
      </c>
      <c r="H74" s="109">
        <v>0</v>
      </c>
      <c r="I74" s="109">
        <v>715</v>
      </c>
      <c r="J74" s="109">
        <v>740</v>
      </c>
      <c r="K74" s="109">
        <v>795.7</v>
      </c>
      <c r="L74" s="109">
        <v>727</v>
      </c>
      <c r="M74" s="109">
        <v>645</v>
      </c>
      <c r="N74" s="109">
        <v>548</v>
      </c>
      <c r="O74" s="109">
        <v>495.4</v>
      </c>
      <c r="P74" s="109">
        <v>474.5</v>
      </c>
      <c r="Q74" s="110">
        <v>542</v>
      </c>
    </row>
    <row r="75" spans="1:17" x14ac:dyDescent="0.2">
      <c r="A75" s="56">
        <v>11</v>
      </c>
      <c r="B75" s="109"/>
      <c r="C75" s="109"/>
      <c r="D75" s="109"/>
      <c r="E75" s="109"/>
      <c r="F75" s="109"/>
      <c r="G75" s="109">
        <v>0</v>
      </c>
      <c r="H75" s="109">
        <v>650</v>
      </c>
      <c r="I75" s="109">
        <v>765</v>
      </c>
      <c r="J75" s="109">
        <v>800</v>
      </c>
      <c r="K75" s="109">
        <v>755.8</v>
      </c>
      <c r="L75" s="109">
        <v>712</v>
      </c>
      <c r="M75" s="109">
        <v>648.1</v>
      </c>
      <c r="N75" s="109">
        <v>531.29999999999995</v>
      </c>
      <c r="O75" s="109">
        <v>481.8</v>
      </c>
      <c r="P75" s="109">
        <v>468</v>
      </c>
      <c r="Q75" s="110">
        <v>545</v>
      </c>
    </row>
    <row r="76" spans="1:17" x14ac:dyDescent="0.2">
      <c r="A76" s="56">
        <v>10</v>
      </c>
      <c r="B76" s="109">
        <v>0</v>
      </c>
      <c r="C76" s="109">
        <v>0</v>
      </c>
      <c r="D76" s="109">
        <v>0</v>
      </c>
      <c r="E76" s="109">
        <v>0</v>
      </c>
      <c r="F76" s="109">
        <v>0</v>
      </c>
      <c r="G76" s="109">
        <v>650</v>
      </c>
      <c r="H76" s="109">
        <v>732.5</v>
      </c>
      <c r="I76" s="109">
        <v>815</v>
      </c>
      <c r="J76" s="109">
        <v>800</v>
      </c>
      <c r="K76" s="109">
        <v>773</v>
      </c>
      <c r="L76" s="109">
        <v>698</v>
      </c>
      <c r="M76" s="109">
        <v>651.29999999999995</v>
      </c>
      <c r="N76" s="109">
        <v>515.6</v>
      </c>
      <c r="O76" s="109">
        <v>475</v>
      </c>
      <c r="P76" s="109">
        <v>461.7</v>
      </c>
      <c r="Q76" s="110">
        <v>546</v>
      </c>
    </row>
    <row r="77" spans="1:17" x14ac:dyDescent="0.2">
      <c r="A77" s="56">
        <v>9</v>
      </c>
      <c r="B77" s="109"/>
      <c r="C77" s="109"/>
      <c r="D77" s="109"/>
      <c r="E77" s="109"/>
      <c r="F77" s="109"/>
      <c r="G77" s="109">
        <v>686</v>
      </c>
      <c r="H77" s="109">
        <v>800</v>
      </c>
      <c r="I77" s="109">
        <v>879</v>
      </c>
      <c r="J77" s="109">
        <v>800</v>
      </c>
      <c r="K77" s="109">
        <v>790.8</v>
      </c>
      <c r="L77" s="109">
        <v>683</v>
      </c>
      <c r="M77" s="109">
        <v>654.4</v>
      </c>
      <c r="N77" s="109">
        <v>500</v>
      </c>
      <c r="O77" s="109">
        <v>475</v>
      </c>
      <c r="P77" s="109">
        <v>455.4</v>
      </c>
      <c r="Q77" s="110">
        <v>548</v>
      </c>
    </row>
    <row r="78" spans="1:17" x14ac:dyDescent="0.2">
      <c r="A78" s="56">
        <v>8</v>
      </c>
      <c r="B78" s="109">
        <v>0</v>
      </c>
      <c r="C78" s="109">
        <v>0</v>
      </c>
      <c r="D78" s="109">
        <v>0</v>
      </c>
      <c r="E78" s="109">
        <v>0</v>
      </c>
      <c r="F78" s="109">
        <v>0</v>
      </c>
      <c r="G78" s="109">
        <v>800</v>
      </c>
      <c r="H78" s="109">
        <v>882.5</v>
      </c>
      <c r="I78" s="109">
        <v>855</v>
      </c>
      <c r="J78" s="109">
        <v>800</v>
      </c>
      <c r="K78" s="109">
        <v>750</v>
      </c>
      <c r="L78" s="109">
        <v>669</v>
      </c>
      <c r="M78" s="109">
        <v>657.5</v>
      </c>
      <c r="N78" s="109">
        <v>513.9</v>
      </c>
      <c r="O78" s="109">
        <v>481.8</v>
      </c>
      <c r="P78" s="109">
        <v>452.4</v>
      </c>
      <c r="Q78" s="110">
        <v>550</v>
      </c>
    </row>
    <row r="79" spans="1:17" x14ac:dyDescent="0.2">
      <c r="A79" s="56">
        <v>7</v>
      </c>
      <c r="B79" s="109"/>
      <c r="C79" s="109"/>
      <c r="D79" s="109"/>
      <c r="E79" s="109"/>
      <c r="F79" s="109"/>
      <c r="G79" s="109">
        <v>975</v>
      </c>
      <c r="H79" s="109">
        <v>885</v>
      </c>
      <c r="I79" s="109">
        <v>867</v>
      </c>
      <c r="J79" s="109">
        <v>750</v>
      </c>
      <c r="K79" s="109">
        <v>700</v>
      </c>
      <c r="L79" s="109">
        <v>654.4</v>
      </c>
      <c r="M79" s="109">
        <v>660</v>
      </c>
      <c r="N79" s="109">
        <v>527.79999999999995</v>
      </c>
      <c r="O79" s="109">
        <v>526</v>
      </c>
      <c r="P79" s="109">
        <v>467.26</v>
      </c>
      <c r="Q79" s="110">
        <v>578</v>
      </c>
    </row>
    <row r="80" spans="1:17" x14ac:dyDescent="0.2">
      <c r="A80" s="56">
        <v>6</v>
      </c>
      <c r="B80" s="109">
        <v>0</v>
      </c>
      <c r="C80" s="109">
        <v>0</v>
      </c>
      <c r="D80" s="109">
        <v>0</v>
      </c>
      <c r="E80" s="109">
        <v>0</v>
      </c>
      <c r="F80" s="109">
        <v>0</v>
      </c>
      <c r="G80" s="109">
        <v>975</v>
      </c>
      <c r="H80" s="109">
        <v>943.75</v>
      </c>
      <c r="I80" s="109">
        <v>879</v>
      </c>
      <c r="J80" s="109">
        <v>750</v>
      </c>
      <c r="K80" s="109">
        <v>700</v>
      </c>
      <c r="L80" s="109">
        <v>665</v>
      </c>
      <c r="M80" s="109">
        <v>664</v>
      </c>
      <c r="N80" s="109">
        <v>587</v>
      </c>
      <c r="O80" s="109">
        <v>550</v>
      </c>
      <c r="P80" s="109">
        <v>499.3</v>
      </c>
      <c r="Q80" s="110">
        <v>600</v>
      </c>
    </row>
    <row r="81" spans="1:17" x14ac:dyDescent="0.2">
      <c r="A81" s="56">
        <v>5</v>
      </c>
      <c r="B81" s="109"/>
      <c r="C81" s="109"/>
      <c r="D81" s="109"/>
      <c r="E81" s="109"/>
      <c r="F81" s="109"/>
      <c r="G81" s="109">
        <v>975</v>
      </c>
      <c r="H81" s="109">
        <v>975</v>
      </c>
      <c r="I81" s="109">
        <v>891</v>
      </c>
      <c r="J81" s="109">
        <v>750</v>
      </c>
      <c r="K81" s="109">
        <v>700</v>
      </c>
      <c r="L81" s="109">
        <v>690</v>
      </c>
      <c r="M81" s="109">
        <v>666.9</v>
      </c>
      <c r="N81" s="109">
        <v>600</v>
      </c>
      <c r="O81" s="109">
        <v>600</v>
      </c>
      <c r="P81" s="109">
        <v>550</v>
      </c>
      <c r="Q81" s="110">
        <v>600</v>
      </c>
    </row>
    <row r="82" spans="1:17" ht="16" thickBot="1" x14ac:dyDescent="0.25">
      <c r="A82" s="57">
        <v>4</v>
      </c>
      <c r="B82" s="111">
        <v>0</v>
      </c>
      <c r="C82" s="111">
        <v>0</v>
      </c>
      <c r="D82" s="111">
        <v>0</v>
      </c>
      <c r="E82" s="111">
        <v>0</v>
      </c>
      <c r="F82" s="111">
        <v>0</v>
      </c>
      <c r="G82" s="111">
        <v>975</v>
      </c>
      <c r="H82" s="111">
        <v>975</v>
      </c>
      <c r="I82" s="111">
        <v>903</v>
      </c>
      <c r="J82" s="111">
        <v>750</v>
      </c>
      <c r="K82" s="111">
        <v>700</v>
      </c>
      <c r="L82" s="111">
        <v>700</v>
      </c>
      <c r="M82" s="111">
        <v>670</v>
      </c>
      <c r="N82" s="111">
        <v>650</v>
      </c>
      <c r="O82" s="111">
        <v>650</v>
      </c>
      <c r="P82" s="111">
        <v>650</v>
      </c>
      <c r="Q82" s="112">
        <v>650</v>
      </c>
    </row>
    <row r="83" spans="1:17" ht="16" thickBot="1" x14ac:dyDescent="0.25">
      <c r="A83" s="19">
        <v>0</v>
      </c>
      <c r="B83" s="111">
        <v>0</v>
      </c>
      <c r="C83" s="111">
        <v>0</v>
      </c>
      <c r="D83" s="111">
        <v>0</v>
      </c>
      <c r="E83" s="111">
        <v>0</v>
      </c>
      <c r="F83" s="111">
        <v>0</v>
      </c>
      <c r="G83" s="111">
        <v>975</v>
      </c>
      <c r="H83" s="111">
        <v>950</v>
      </c>
      <c r="I83" s="111">
        <v>800</v>
      </c>
      <c r="J83" s="111">
        <v>750</v>
      </c>
      <c r="K83" s="111">
        <v>700</v>
      </c>
      <c r="L83" s="111">
        <v>675</v>
      </c>
      <c r="M83" s="111">
        <v>650</v>
      </c>
      <c r="N83" s="111">
        <v>650</v>
      </c>
      <c r="O83" s="111">
        <v>675</v>
      </c>
      <c r="P83" s="111">
        <v>700</v>
      </c>
      <c r="Q83" s="112">
        <v>800</v>
      </c>
    </row>
    <row r="84" spans="1:17" x14ac:dyDescent="0.2">
      <c r="A84" s="18"/>
    </row>
    <row r="85" spans="1:17" x14ac:dyDescent="0.2">
      <c r="A85" s="18"/>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1AED0-8EBF-D644-9594-0D7E916813E2}">
  <dimension ref="A1"/>
  <sheetViews>
    <sheetView topLeftCell="D1" workbookViewId="0">
      <selection activeCell="Z37" sqref="Z37"/>
    </sheetView>
  </sheetViews>
  <sheetFormatPr baseColWidth="10" defaultColWidth="11.5" defaultRowHeight="15" x14ac:dyDescent="0.2"/>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FC77CB91DBE3047884ABBD40BFC76FC" ma:contentTypeVersion="7" ma:contentTypeDescription="Create a new document." ma:contentTypeScope="" ma:versionID="cd55b05c154831ccd045519fca06e40a">
  <xsd:schema xmlns:xsd="http://www.w3.org/2001/XMLSchema" xmlns:xs="http://www.w3.org/2001/XMLSchema" xmlns:p="http://schemas.microsoft.com/office/2006/metadata/properties" xmlns:ns3="58f7e881-cc1d-4294-8008-c54da3573a5f" xmlns:ns4="ed25a739-d205-4a8f-b117-2566f909cb60" targetNamespace="http://schemas.microsoft.com/office/2006/metadata/properties" ma:root="true" ma:fieldsID="a2e160c0e8e42144d335bfa7a960f051" ns3:_="" ns4:_="">
    <xsd:import namespace="58f7e881-cc1d-4294-8008-c54da3573a5f"/>
    <xsd:import namespace="ed25a739-d205-4a8f-b117-2566f909cb60"/>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f7e881-cc1d-4294-8008-c54da3573a5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25a739-d205-4a8f-b117-2566f909cb60"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1D1A1A-A055-4FC6-A3CE-7BCCB5F130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f7e881-cc1d-4294-8008-c54da3573a5f"/>
    <ds:schemaRef ds:uri="ed25a739-d205-4a8f-b117-2566f909cb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C2F2944-D40E-4F8F-983E-86E1F296C669}">
  <ds:schemaRefs>
    <ds:schemaRef ds:uri="ed25a739-d205-4a8f-b117-2566f909cb60"/>
    <ds:schemaRef ds:uri="http://www.w3.org/XML/1998/namespace"/>
    <ds:schemaRef ds:uri="http://purl.org/dc/terms/"/>
    <ds:schemaRef ds:uri="http://purl.org/dc/elements/1.1/"/>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58f7e881-cc1d-4294-8008-c54da3573a5f"/>
    <ds:schemaRef ds:uri="http://purl.org/dc/dcmitype/"/>
  </ds:schemaRefs>
</ds:datastoreItem>
</file>

<file path=customXml/itemProps3.xml><?xml version="1.0" encoding="utf-8"?>
<ds:datastoreItem xmlns:ds="http://schemas.openxmlformats.org/officeDocument/2006/customXml" ds:itemID="{39E6DBC5-6406-4D44-BA15-1ADEA4422E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14</vt:i4>
      </vt:variant>
    </vt:vector>
  </HeadingPairs>
  <TitlesOfParts>
    <vt:vector size="14" baseType="lpstr">
      <vt:lpstr>Data</vt:lpstr>
      <vt:lpstr>Notes</vt:lpstr>
      <vt:lpstr>Electrical System Specification</vt:lpstr>
      <vt:lpstr>Hybrid System</vt:lpstr>
      <vt:lpstr>Regen Braking</vt:lpstr>
      <vt:lpstr>Fuel Use</vt:lpstr>
      <vt:lpstr>Power</vt:lpstr>
      <vt:lpstr>Sheet3</vt:lpstr>
      <vt:lpstr>Acceleration</vt:lpstr>
      <vt:lpstr>Resistive Forces</vt:lpstr>
      <vt:lpstr>Vehicle Data</vt:lpstr>
      <vt:lpstr>Gradient</vt:lpstr>
      <vt:lpstr>BSFC</vt:lpstr>
      <vt:lpstr>Drive Cycle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 Elliss</dc:creator>
  <cp:lastModifiedBy>Jeffrey Elliss (STU-301131)</cp:lastModifiedBy>
  <dcterms:created xsi:type="dcterms:W3CDTF">2021-11-24T12:07:15Z</dcterms:created>
  <dcterms:modified xsi:type="dcterms:W3CDTF">2022-03-26T11:28:51Z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0x010100AFC77CB91DBE3047884ABBD40BFC76FC</vt:lpwstr>
  </property>
</Properties>
</file>