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jf\Documents\University\2015-2016\M3X8761 Project Planning monitoring and control\4 Cost analysis\"/>
    </mc:Choice>
  </mc:AlternateContent>
  <bookViews>
    <workbookView xWindow="240" yWindow="75" windowWidth="10515" windowHeight="7740" firstSheet="1" activeTab="2"/>
  </bookViews>
  <sheets>
    <sheet name="Programming" sheetId="1" r:id="rId1"/>
    <sheet name="Monthly valuation" sheetId="5" r:id="rId2"/>
    <sheet name="Cash in - out" sheetId="2" r:id="rId3"/>
    <sheet name="Hoja3" sheetId="3" r:id="rId4"/>
  </sheets>
  <calcPr calcId="152511"/>
</workbook>
</file>

<file path=xl/calcChain.xml><?xml version="1.0" encoding="utf-8"?>
<calcChain xmlns="http://schemas.openxmlformats.org/spreadsheetml/2006/main">
  <c r="I5" i="2" l="1"/>
  <c r="H4" i="2"/>
  <c r="H5" i="2"/>
  <c r="H6" i="2"/>
  <c r="H7" i="2" s="1"/>
  <c r="F18" i="2"/>
  <c r="F17" i="2"/>
  <c r="G16" i="2"/>
  <c r="F16" i="2"/>
  <c r="F8" i="2"/>
  <c r="G8" i="2"/>
  <c r="F9" i="2" s="1"/>
  <c r="G9" i="2" s="1"/>
  <c r="F10" i="2" s="1"/>
  <c r="G10" i="2" s="1"/>
  <c r="F11" i="2" s="1"/>
  <c r="G11" i="2" s="1"/>
  <c r="F12" i="2" s="1"/>
  <c r="G12" i="2" s="1"/>
  <c r="F13" i="2" s="1"/>
  <c r="G13" i="2" s="1"/>
  <c r="F14" i="2" s="1"/>
  <c r="G14" i="2" s="1"/>
  <c r="F15" i="2" s="1"/>
  <c r="G15" i="2" s="1"/>
  <c r="G7" i="2"/>
  <c r="F7" i="2"/>
  <c r="G6" i="2"/>
  <c r="F6" i="2"/>
  <c r="E13" i="2"/>
  <c r="E14" i="2" s="1"/>
  <c r="D13" i="2"/>
  <c r="B20" i="2"/>
  <c r="Q24" i="5"/>
  <c r="P20" i="5"/>
  <c r="P22" i="5" s="1"/>
  <c r="N20" i="5"/>
  <c r="N22" i="5" s="1"/>
  <c r="L20" i="5"/>
  <c r="L22" i="5" s="1"/>
  <c r="J20" i="5"/>
  <c r="J22" i="5" s="1"/>
  <c r="H20" i="5"/>
  <c r="H22" i="5" s="1"/>
  <c r="F20" i="5"/>
  <c r="F22" i="5" s="1"/>
  <c r="P18" i="5"/>
  <c r="O18" i="5"/>
  <c r="O20" i="5" s="1"/>
  <c r="N18" i="5"/>
  <c r="M18" i="5"/>
  <c r="M20" i="5" s="1"/>
  <c r="L18" i="5"/>
  <c r="K18" i="5"/>
  <c r="K20" i="5" s="1"/>
  <c r="J18" i="5"/>
  <c r="I18" i="5"/>
  <c r="I20" i="5" s="1"/>
  <c r="H18" i="5"/>
  <c r="G18" i="5"/>
  <c r="G20" i="5" s="1"/>
  <c r="F18" i="5"/>
  <c r="E24" i="5"/>
  <c r="E22" i="5"/>
  <c r="E20" i="5"/>
  <c r="E18" i="5"/>
  <c r="E15" i="2" l="1"/>
  <c r="D15" i="2"/>
  <c r="D14" i="2"/>
  <c r="I22" i="5"/>
  <c r="I24" i="5"/>
  <c r="M22" i="5"/>
  <c r="M24" i="5"/>
  <c r="G22" i="5"/>
  <c r="G24" i="5" s="1"/>
  <c r="K22" i="5"/>
  <c r="K24" i="5" s="1"/>
  <c r="O22" i="5"/>
  <c r="O24" i="5" s="1"/>
  <c r="H24" i="5"/>
  <c r="L24" i="5"/>
  <c r="P24" i="5"/>
  <c r="F24" i="5"/>
  <c r="J24" i="5"/>
  <c r="N24" i="5"/>
  <c r="E16" i="2" l="1"/>
  <c r="D16" i="2"/>
  <c r="E4" i="5"/>
  <c r="P7" i="5"/>
  <c r="O6" i="5"/>
  <c r="N6" i="5"/>
  <c r="M6" i="5"/>
  <c r="L6" i="5"/>
  <c r="K6" i="5"/>
  <c r="J6" i="5"/>
  <c r="I5" i="5"/>
  <c r="H4" i="5"/>
  <c r="G4" i="5"/>
  <c r="F4" i="5"/>
  <c r="E17" i="2" l="1"/>
  <c r="D17" i="2"/>
  <c r="AH22" i="5"/>
  <c r="E5" i="2"/>
  <c r="D5" i="2"/>
  <c r="D27" i="2" l="1"/>
  <c r="E27" i="2" s="1"/>
  <c r="D6" i="2"/>
  <c r="E6" i="2" l="1"/>
  <c r="E7" i="2" l="1"/>
  <c r="D28" i="2"/>
  <c r="D7" i="2"/>
  <c r="E28" i="2" l="1"/>
  <c r="E8" i="2"/>
  <c r="D29" i="2"/>
  <c r="D8" i="2"/>
  <c r="E29" i="2" l="1"/>
  <c r="D9" i="2"/>
  <c r="D30" i="2"/>
  <c r="E9" i="2"/>
  <c r="E30" i="2" l="1"/>
  <c r="E10" i="2"/>
  <c r="D10" i="2"/>
  <c r="D31" i="2"/>
  <c r="E11" i="2" l="1"/>
  <c r="D32" i="2"/>
  <c r="D11" i="2"/>
  <c r="E31" i="2"/>
  <c r="E32" i="2" l="1"/>
  <c r="E12" i="2"/>
  <c r="D33" i="2"/>
  <c r="D12" i="2"/>
  <c r="E33" i="2" l="1"/>
  <c r="E34" i="2" s="1"/>
  <c r="D35" i="2"/>
</calcChain>
</file>

<file path=xl/sharedStrings.xml><?xml version="1.0" encoding="utf-8"?>
<sst xmlns="http://schemas.openxmlformats.org/spreadsheetml/2006/main" count="59" uniqueCount="29">
  <si>
    <t>Num</t>
  </si>
  <si>
    <t>Activity</t>
  </si>
  <si>
    <t>Duration</t>
  </si>
  <si>
    <t>General conditions</t>
  </si>
  <si>
    <t>4w</t>
  </si>
  <si>
    <t>Site layout</t>
  </si>
  <si>
    <t>1w</t>
  </si>
  <si>
    <t>Foundations</t>
  </si>
  <si>
    <t>6w</t>
  </si>
  <si>
    <t>Framing</t>
  </si>
  <si>
    <t>Exterior finishes</t>
  </si>
  <si>
    <t>2w</t>
  </si>
  <si>
    <t>Interior finishes</t>
  </si>
  <si>
    <t>5w</t>
  </si>
  <si>
    <t>Landscaping</t>
  </si>
  <si>
    <t>Final acceptance</t>
  </si>
  <si>
    <t>TOTAL</t>
  </si>
  <si>
    <t>Budget</t>
  </si>
  <si>
    <t>Services</t>
  </si>
  <si>
    <t>Building envelope</t>
  </si>
  <si>
    <t>Cash in</t>
  </si>
  <si>
    <t>Cash out</t>
  </si>
  <si>
    <t>Cash flow</t>
  </si>
  <si>
    <t>Month</t>
  </si>
  <si>
    <t>5% retention</t>
  </si>
  <si>
    <t xml:space="preserve">Cumulative </t>
  </si>
  <si>
    <t>Interest 7%</t>
  </si>
  <si>
    <t>8% profit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</si>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</sst>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3" fillId="3" borderId="1" xfId="0" applyFont="1" applyFill="1" applyBorder="1"/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2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Cash flow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'Cash in - out'!$E$5:$E$17</c:f>
              <c:numCache>
                <c:formatCode>0.00</c:formatCode>
                <c:ptCount val="13"/>
                <c:pt idx="0">
                  <c:v>-20000</c:v>
                </c:pt>
                <c:pt idx="1">
                  <c:v>-49480</c:v>
                </c:pt>
                <c:pt idx="2">
                  <c:v>-98180</c:v>
                </c:pt>
                <c:pt idx="3">
                  <c:v>-125580</c:v>
                </c:pt>
                <c:pt idx="4">
                  <c:v>-142200</c:v>
                </c:pt>
                <c:pt idx="5">
                  <c:v>-168300</c:v>
                </c:pt>
                <c:pt idx="6">
                  <c:v>-123620</c:v>
                </c:pt>
                <c:pt idx="7">
                  <c:v>-109980</c:v>
                </c:pt>
                <c:pt idx="8">
                  <c:v>-96600</c:v>
                </c:pt>
                <c:pt idx="9">
                  <c:v>-73480</c:v>
                </c:pt>
                <c:pt idx="10">
                  <c:v>-20880</c:v>
                </c:pt>
                <c:pt idx="11">
                  <c:v>420</c:v>
                </c:pt>
                <c:pt idx="12">
                  <c:v>96000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329216"/>
        <c:axId val="152328824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v>Cash flow 7% interest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'Cash in - out'!$E$27:$E$34</c15:sqref>
                        </c15:formulaRef>
                      </c:ext>
                    </c:extLst>
                    <c:numCache>
                      <c:formatCode>0.00</c:formatCode>
                      <c:ptCount val="8"/>
                      <c:pt idx="0">
                        <c:v>-20116.666666666668</c:v>
                      </c:pt>
                      <c:pt idx="1">
                        <c:v>-49885.3</c:v>
                      </c:pt>
                      <c:pt idx="2">
                        <c:v>-99158.016666666663</c:v>
                      </c:pt>
                      <c:pt idx="3">
                        <c:v>-127290.56666666667</c:v>
                      </c:pt>
                      <c:pt idx="4">
                        <c:v>-144740.06666666665</c:v>
                      </c:pt>
                      <c:pt idx="5">
                        <c:v>-171821.81666666665</c:v>
                      </c:pt>
                      <c:pt idx="6">
                        <c:v>-127862.93333333332</c:v>
                      </c:pt>
                      <c:pt idx="7">
                        <c:v>-114222.93333333332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1523292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328824"/>
        <c:crosses val="autoZero"/>
        <c:auto val="1"/>
        <c:lblAlgn val="ctr"/>
        <c:lblOffset val="100"/>
        <c:noMultiLvlLbl val="0"/>
      </c:catAx>
      <c:valAx>
        <c:axId val="152328824"/>
        <c:scaling>
          <c:orientation val="minMax"/>
          <c:min val="-17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32921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17</xdr:row>
      <xdr:rowOff>42862</xdr:rowOff>
    </xdr:from>
    <xdr:to>
      <xdr:col>13</xdr:col>
      <xdr:colOff>161925</xdr:colOff>
      <xdr:row>35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3"/>
  <sheetViews>
    <sheetView topLeftCell="A4" workbookViewId="0">
      <selection activeCell="B9" sqref="B9"/>
    </sheetView>
  </sheetViews>
  <sheetFormatPr defaultColWidth="11.42578125" defaultRowHeight="15" x14ac:dyDescent="0.25"/>
  <cols>
    <col min="1" max="1" width="5.42578125" customWidth="1"/>
    <col min="2" max="2" width="23" customWidth="1"/>
    <col min="4" max="40" width="2.7109375" customWidth="1"/>
  </cols>
  <sheetData>
    <row r="3" spans="1:30" x14ac:dyDescent="0.25">
      <c r="A3" s="1" t="s">
        <v>0</v>
      </c>
      <c r="B3" s="1" t="s">
        <v>1</v>
      </c>
      <c r="C3" s="1" t="s">
        <v>2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0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2">
        <v>6</v>
      </c>
      <c r="T3" s="2">
        <v>7</v>
      </c>
      <c r="U3" s="2">
        <v>8</v>
      </c>
      <c r="V3" s="2">
        <v>9</v>
      </c>
      <c r="W3" s="2">
        <v>0</v>
      </c>
      <c r="X3" s="2">
        <v>1</v>
      </c>
      <c r="Y3" s="2">
        <v>2</v>
      </c>
      <c r="Z3" s="2">
        <v>3</v>
      </c>
      <c r="AA3" s="2">
        <v>4</v>
      </c>
      <c r="AB3" s="2">
        <v>5</v>
      </c>
      <c r="AC3" s="2">
        <v>6</v>
      </c>
      <c r="AD3" s="2">
        <v>7</v>
      </c>
    </row>
    <row r="4" spans="1:30" x14ac:dyDescent="0.25">
      <c r="A4" s="2">
        <v>1</v>
      </c>
      <c r="B4" s="2" t="s">
        <v>3</v>
      </c>
      <c r="C4" s="2" t="s">
        <v>4</v>
      </c>
      <c r="D4" s="3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>
        <v>2</v>
      </c>
      <c r="B5" s="2" t="s">
        <v>5</v>
      </c>
      <c r="C5" s="2" t="s">
        <v>6</v>
      </c>
      <c r="D5" s="2"/>
      <c r="E5" s="2"/>
      <c r="F5" s="2"/>
      <c r="G5" s="2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5">
      <c r="A6" s="2">
        <v>3</v>
      </c>
      <c r="B6" s="2" t="s">
        <v>7</v>
      </c>
      <c r="C6" s="2" t="s">
        <v>8</v>
      </c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x14ac:dyDescent="0.25">
      <c r="A7" s="2">
        <v>4</v>
      </c>
      <c r="B7" s="2" t="s">
        <v>9</v>
      </c>
      <c r="C7" s="2" t="s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2">
        <v>5</v>
      </c>
      <c r="B8" s="2" t="s">
        <v>19</v>
      </c>
      <c r="C8" s="2" t="s">
        <v>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"/>
      <c r="T8" s="4"/>
      <c r="U8" s="4"/>
      <c r="V8" s="4"/>
      <c r="W8" s="2"/>
      <c r="X8" s="2"/>
      <c r="Y8" s="2"/>
      <c r="Z8" s="2"/>
      <c r="AA8" s="2"/>
      <c r="AB8" s="2"/>
      <c r="AC8" s="2"/>
      <c r="AD8" s="2"/>
    </row>
    <row r="9" spans="1:30" x14ac:dyDescent="0.25">
      <c r="A9" s="2">
        <v>6</v>
      </c>
      <c r="B9" s="2" t="s">
        <v>10</v>
      </c>
      <c r="C9" s="2" t="s">
        <v>11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4"/>
      <c r="X9" s="4"/>
      <c r="Y9" s="2"/>
      <c r="Z9" s="2"/>
      <c r="AA9" s="2"/>
      <c r="AB9" s="2"/>
      <c r="AC9" s="2"/>
      <c r="AD9" s="2"/>
    </row>
    <row r="10" spans="1:30" x14ac:dyDescent="0.25">
      <c r="A10" s="2">
        <v>7</v>
      </c>
      <c r="B10" s="2" t="s">
        <v>18</v>
      </c>
      <c r="C10" s="2" t="s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4"/>
      <c r="X10" s="4"/>
      <c r="Y10" s="4"/>
      <c r="Z10" s="4"/>
      <c r="AA10" s="2"/>
      <c r="AB10" s="2"/>
      <c r="AC10" s="2"/>
      <c r="AD10" s="2"/>
    </row>
    <row r="11" spans="1:30" x14ac:dyDescent="0.25">
      <c r="A11" s="2">
        <v>8</v>
      </c>
      <c r="B11" s="2" t="s">
        <v>12</v>
      </c>
      <c r="C11" s="2" t="s">
        <v>13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  <c r="AA11" s="4"/>
      <c r="AB11" s="4"/>
      <c r="AC11" s="2"/>
      <c r="AD11" s="2"/>
    </row>
    <row r="12" spans="1:30" x14ac:dyDescent="0.25">
      <c r="A12" s="2">
        <v>9</v>
      </c>
      <c r="B12" s="2" t="s">
        <v>14</v>
      </c>
      <c r="C12" s="2" t="s">
        <v>11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4"/>
      <c r="AC12" s="4"/>
      <c r="AD12" s="2"/>
    </row>
    <row r="13" spans="1:30" x14ac:dyDescent="0.25">
      <c r="A13" s="2">
        <v>10</v>
      </c>
      <c r="B13" s="2" t="s">
        <v>15</v>
      </c>
      <c r="C13" s="2" t="s">
        <v>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4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24"/>
  <sheetViews>
    <sheetView topLeftCell="B11" workbookViewId="0">
      <selection activeCell="Q25" sqref="Q25"/>
    </sheetView>
  </sheetViews>
  <sheetFormatPr defaultColWidth="11.42578125" defaultRowHeight="15" x14ac:dyDescent="0.25"/>
  <cols>
    <col min="1" max="1" width="5.42578125" customWidth="1"/>
    <col min="2" max="2" width="23" customWidth="1"/>
    <col min="4" max="4" width="10.28515625" customWidth="1"/>
    <col min="5" max="35" width="7.7109375" customWidth="1"/>
    <col min="36" max="41" width="2.7109375" customWidth="1"/>
  </cols>
  <sheetData>
    <row r="3" spans="1:31" x14ac:dyDescent="0.25">
      <c r="A3" s="1" t="s">
        <v>0</v>
      </c>
      <c r="B3" s="1" t="s">
        <v>1</v>
      </c>
      <c r="C3" s="1" t="s">
        <v>2</v>
      </c>
      <c r="D3" s="7" t="s">
        <v>17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0</v>
      </c>
      <c r="O3" s="2">
        <v>1</v>
      </c>
      <c r="P3" s="2">
        <v>2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">
        <v>1</v>
      </c>
      <c r="B4" s="2" t="s">
        <v>3</v>
      </c>
      <c r="C4" s="2" t="s">
        <v>4</v>
      </c>
      <c r="D4" s="6">
        <v>5170.26</v>
      </c>
      <c r="E4" s="5">
        <f t="shared" ref="E4:H4" si="0">$D4/4</f>
        <v>1292.5650000000001</v>
      </c>
      <c r="F4" s="5">
        <f t="shared" si="0"/>
        <v>1292.5650000000001</v>
      </c>
      <c r="G4" s="5">
        <f t="shared" si="0"/>
        <v>1292.5650000000001</v>
      </c>
      <c r="H4" s="5">
        <f t="shared" si="0"/>
        <v>1292.5650000000001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">
        <v>2</v>
      </c>
      <c r="B5" s="2" t="s">
        <v>5</v>
      </c>
      <c r="C5" s="2" t="s">
        <v>6</v>
      </c>
      <c r="D5" s="6">
        <v>3446.85</v>
      </c>
      <c r="E5" s="2"/>
      <c r="F5" s="2"/>
      <c r="G5" s="2"/>
      <c r="H5" s="2"/>
      <c r="I5" s="5">
        <f>D5</f>
        <v>3446.85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">
        <v>3</v>
      </c>
      <c r="B6" s="2" t="s">
        <v>7</v>
      </c>
      <c r="C6" s="2" t="s">
        <v>8</v>
      </c>
      <c r="D6" s="6">
        <v>12236.28</v>
      </c>
      <c r="E6" s="2"/>
      <c r="F6" s="2"/>
      <c r="G6" s="2"/>
      <c r="H6" s="2"/>
      <c r="I6" s="2"/>
      <c r="J6" s="5">
        <f>$D6/6</f>
        <v>2039.38</v>
      </c>
      <c r="K6" s="5">
        <f t="shared" ref="K6:O6" si="1">$D6/6</f>
        <v>2039.38</v>
      </c>
      <c r="L6" s="5">
        <f t="shared" si="1"/>
        <v>2039.38</v>
      </c>
      <c r="M6" s="5">
        <f t="shared" si="1"/>
        <v>2039.38</v>
      </c>
      <c r="N6" s="5">
        <f t="shared" si="1"/>
        <v>2039.38</v>
      </c>
      <c r="O6" s="5">
        <f t="shared" si="1"/>
        <v>2039.38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">
        <v>4</v>
      </c>
      <c r="B7" s="2" t="s">
        <v>9</v>
      </c>
      <c r="C7" s="2" t="s">
        <v>4</v>
      </c>
      <c r="D7" s="6">
        <v>27919.4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>
        <f>$D7/4</f>
        <v>6979.85</v>
      </c>
      <c r="Q7" s="5"/>
      <c r="R7" s="5"/>
      <c r="S7" s="5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">
        <v>5</v>
      </c>
      <c r="B8" s="2" t="s">
        <v>19</v>
      </c>
      <c r="C8" s="2" t="s">
        <v>4</v>
      </c>
      <c r="D8" s="6">
        <v>23093.83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5"/>
      <c r="U8" s="5"/>
      <c r="V8" s="5"/>
      <c r="W8" s="5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">
        <v>6</v>
      </c>
      <c r="B9" s="2" t="s">
        <v>10</v>
      </c>
      <c r="C9" s="2" t="s">
        <v>11</v>
      </c>
      <c r="D9" s="6">
        <v>9478.81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"/>
      <c r="Y9" s="5"/>
      <c r="Z9" s="2"/>
      <c r="AA9" s="2"/>
      <c r="AB9" s="2"/>
      <c r="AC9" s="2"/>
      <c r="AD9" s="2"/>
      <c r="AE9" s="2"/>
    </row>
    <row r="10" spans="1:31" x14ac:dyDescent="0.25">
      <c r="A10" s="2">
        <v>7</v>
      </c>
      <c r="B10" s="2" t="s">
        <v>18</v>
      </c>
      <c r="C10" s="2" t="s">
        <v>4</v>
      </c>
      <c r="D10" s="6">
        <v>24989.59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5"/>
      <c r="Y10" s="5"/>
      <c r="Z10" s="5"/>
      <c r="AA10" s="5"/>
      <c r="AB10" s="2"/>
      <c r="AC10" s="2"/>
      <c r="AD10" s="2"/>
      <c r="AE10" s="2"/>
    </row>
    <row r="11" spans="1:31" x14ac:dyDescent="0.25">
      <c r="A11" s="2">
        <v>8</v>
      </c>
      <c r="B11" s="2" t="s">
        <v>12</v>
      </c>
      <c r="C11" s="2" t="s">
        <v>13</v>
      </c>
      <c r="D11" s="6">
        <v>46532.34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5"/>
      <c r="Z11" s="5"/>
      <c r="AA11" s="5"/>
      <c r="AB11" s="5"/>
      <c r="AC11" s="5"/>
      <c r="AD11" s="2"/>
      <c r="AE11" s="2"/>
    </row>
    <row r="12" spans="1:31" x14ac:dyDescent="0.25">
      <c r="A12" s="2">
        <v>9</v>
      </c>
      <c r="B12" s="2" t="s">
        <v>14</v>
      </c>
      <c r="C12" s="2" t="s">
        <v>11</v>
      </c>
      <c r="D12" s="6">
        <v>8617.1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5"/>
      <c r="AD12" s="5"/>
      <c r="AE12" s="2"/>
    </row>
    <row r="13" spans="1:31" x14ac:dyDescent="0.25">
      <c r="A13" s="2">
        <v>10</v>
      </c>
      <c r="B13" s="2" t="s">
        <v>15</v>
      </c>
      <c r="C13" s="2" t="s">
        <v>6</v>
      </c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5"/>
    </row>
    <row r="14" spans="1:31" x14ac:dyDescent="0.25">
      <c r="A14" s="2"/>
      <c r="B14" s="2"/>
      <c r="C14" s="2" t="s">
        <v>16</v>
      </c>
      <c r="D14" s="8">
        <v>1200000</v>
      </c>
      <c r="E14" s="8">
        <v>20000</v>
      </c>
      <c r="F14" s="8">
        <v>50000</v>
      </c>
      <c r="G14" s="8">
        <v>100000</v>
      </c>
      <c r="H14" s="8">
        <v>130000</v>
      </c>
      <c r="I14" s="8">
        <v>150000</v>
      </c>
      <c r="J14" s="8">
        <v>180000</v>
      </c>
      <c r="K14" s="8">
        <v>140000</v>
      </c>
      <c r="L14" s="8">
        <v>130000</v>
      </c>
      <c r="M14" s="8">
        <v>120000</v>
      </c>
      <c r="N14" s="8">
        <v>100000</v>
      </c>
      <c r="O14" s="8">
        <v>50000</v>
      </c>
      <c r="P14" s="8">
        <v>30000</v>
      </c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</row>
    <row r="18" spans="3:34" x14ac:dyDescent="0.25">
      <c r="C18" t="s">
        <v>27</v>
      </c>
      <c r="E18">
        <f>E14*0.08</f>
        <v>1600</v>
      </c>
      <c r="F18">
        <f t="shared" ref="F18:P18" si="2">F14*0.08</f>
        <v>4000</v>
      </c>
      <c r="G18">
        <f t="shared" si="2"/>
        <v>8000</v>
      </c>
      <c r="H18">
        <f t="shared" si="2"/>
        <v>10400</v>
      </c>
      <c r="I18">
        <f t="shared" si="2"/>
        <v>12000</v>
      </c>
      <c r="J18">
        <f t="shared" si="2"/>
        <v>14400</v>
      </c>
      <c r="K18">
        <f t="shared" si="2"/>
        <v>11200</v>
      </c>
      <c r="L18">
        <f t="shared" si="2"/>
        <v>10400</v>
      </c>
      <c r="M18">
        <f t="shared" si="2"/>
        <v>9600</v>
      </c>
      <c r="N18">
        <f t="shared" si="2"/>
        <v>8000</v>
      </c>
      <c r="O18">
        <f t="shared" si="2"/>
        <v>4000</v>
      </c>
      <c r="P18">
        <f t="shared" si="2"/>
        <v>2400</v>
      </c>
    </row>
    <row r="20" spans="3:34" s="9" customFormat="1" x14ac:dyDescent="0.25">
      <c r="C20" s="9" t="s">
        <v>16</v>
      </c>
      <c r="E20" s="9">
        <f>E14+E18</f>
        <v>21600</v>
      </c>
      <c r="F20" s="9">
        <f t="shared" ref="F20:P20" si="3">F14+F18</f>
        <v>54000</v>
      </c>
      <c r="G20" s="9">
        <f t="shared" si="3"/>
        <v>108000</v>
      </c>
      <c r="H20" s="9">
        <f t="shared" si="3"/>
        <v>140400</v>
      </c>
      <c r="I20" s="9">
        <f t="shared" si="3"/>
        <v>162000</v>
      </c>
      <c r="J20" s="9">
        <f t="shared" si="3"/>
        <v>194400</v>
      </c>
      <c r="K20" s="9">
        <f t="shared" si="3"/>
        <v>151200</v>
      </c>
      <c r="L20" s="9">
        <f t="shared" si="3"/>
        <v>140400</v>
      </c>
      <c r="M20" s="9">
        <f t="shared" si="3"/>
        <v>129600</v>
      </c>
      <c r="N20" s="9">
        <f t="shared" si="3"/>
        <v>108000</v>
      </c>
      <c r="O20" s="9">
        <f t="shared" si="3"/>
        <v>54000</v>
      </c>
      <c r="P20" s="9">
        <f t="shared" si="3"/>
        <v>32400</v>
      </c>
    </row>
    <row r="22" spans="3:34" x14ac:dyDescent="0.25">
      <c r="C22" t="s">
        <v>24</v>
      </c>
      <c r="E22">
        <f>E20*0.05</f>
        <v>1080</v>
      </c>
      <c r="F22">
        <f t="shared" ref="F22:P22" si="4">F20*0.05</f>
        <v>2700</v>
      </c>
      <c r="G22">
        <f t="shared" si="4"/>
        <v>5400</v>
      </c>
      <c r="H22">
        <f t="shared" si="4"/>
        <v>7020</v>
      </c>
      <c r="I22">
        <f t="shared" si="4"/>
        <v>8100</v>
      </c>
      <c r="J22">
        <f t="shared" si="4"/>
        <v>9720</v>
      </c>
      <c r="K22">
        <f t="shared" si="4"/>
        <v>7560</v>
      </c>
      <c r="L22">
        <f t="shared" si="4"/>
        <v>7020</v>
      </c>
      <c r="M22">
        <f t="shared" si="4"/>
        <v>6480</v>
      </c>
      <c r="N22">
        <f t="shared" si="4"/>
        <v>5400</v>
      </c>
      <c r="O22">
        <f t="shared" si="4"/>
        <v>2700</v>
      </c>
      <c r="P22">
        <f t="shared" si="4"/>
        <v>1620</v>
      </c>
      <c r="AH22">
        <f>SUM(H22:AG22)</f>
        <v>55620</v>
      </c>
    </row>
    <row r="24" spans="3:34" s="9" customFormat="1" x14ac:dyDescent="0.25">
      <c r="C24" s="9" t="s">
        <v>16</v>
      </c>
      <c r="E24" s="9">
        <f>E20-E22</f>
        <v>20520</v>
      </c>
      <c r="F24" s="9">
        <f t="shared" ref="F24:P24" si="5">F20-F22</f>
        <v>51300</v>
      </c>
      <c r="G24" s="9">
        <f t="shared" si="5"/>
        <v>102600</v>
      </c>
      <c r="H24" s="9">
        <f t="shared" si="5"/>
        <v>133380</v>
      </c>
      <c r="I24" s="9">
        <f t="shared" si="5"/>
        <v>153900</v>
      </c>
      <c r="J24" s="9">
        <f t="shared" si="5"/>
        <v>184680</v>
      </c>
      <c r="K24" s="9">
        <f t="shared" si="5"/>
        <v>143640</v>
      </c>
      <c r="L24" s="9">
        <f t="shared" si="5"/>
        <v>133380</v>
      </c>
      <c r="M24" s="9">
        <f t="shared" si="5"/>
        <v>123120</v>
      </c>
      <c r="N24" s="9">
        <f t="shared" si="5"/>
        <v>102600</v>
      </c>
      <c r="O24" s="9">
        <f t="shared" si="5"/>
        <v>51300</v>
      </c>
      <c r="P24" s="9">
        <f t="shared" si="5"/>
        <v>30780</v>
      </c>
      <c r="Q24" s="9">
        <f>SUM(E22:P22)</f>
        <v>64800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5"/>
  <sheetViews>
    <sheetView tabSelected="1" topLeftCell="B1" workbookViewId="0">
      <selection activeCell="I5" sqref="I5"/>
    </sheetView>
  </sheetViews>
  <sheetFormatPr defaultColWidth="11.42578125" defaultRowHeight="15" x14ac:dyDescent="0.25"/>
  <sheetData>
    <row r="4" spans="1:9" x14ac:dyDescent="0.25">
      <c r="A4" s="9" t="s">
        <v>23</v>
      </c>
      <c r="B4" s="9" t="s">
        <v>20</v>
      </c>
      <c r="C4" s="9" t="s">
        <v>21</v>
      </c>
      <c r="D4" s="9" t="s">
        <v>25</v>
      </c>
      <c r="E4" s="9" t="s">
        <v>22</v>
      </c>
      <c r="H4" s="10">
        <f>SUM(E5:E15)/11</f>
        <v>-93481.818181818177</v>
      </c>
    </row>
    <row r="5" spans="1:9" x14ac:dyDescent="0.25">
      <c r="A5" s="9">
        <v>1</v>
      </c>
      <c r="B5" s="12"/>
      <c r="C5" s="12">
        <v>20000</v>
      </c>
      <c r="D5" s="12">
        <f>C5</f>
        <v>20000</v>
      </c>
      <c r="E5" s="11">
        <f>B5-C5</f>
        <v>-20000</v>
      </c>
      <c r="H5">
        <f>(1+(0.07/12))^11</f>
        <v>1.0660713314229355</v>
      </c>
      <c r="I5">
        <f>H4*11*0.07/12</f>
        <v>-5998.416666666667</v>
      </c>
    </row>
    <row r="6" spans="1:9" x14ac:dyDescent="0.25">
      <c r="A6" s="9">
        <v>2</v>
      </c>
      <c r="B6" s="12">
        <v>20520</v>
      </c>
      <c r="C6" s="12">
        <v>50000</v>
      </c>
      <c r="D6" s="12">
        <f>C6-E5</f>
        <v>70000</v>
      </c>
      <c r="E6" s="11">
        <f t="shared" ref="E6:E17" si="0">E5+B6-C6</f>
        <v>-49480</v>
      </c>
      <c r="F6">
        <f>E5*0.07</f>
        <v>-1400.0000000000002</v>
      </c>
      <c r="G6" s="10">
        <f>SUM(E6:F6)</f>
        <v>-50880</v>
      </c>
      <c r="H6">
        <f>H5*H4</f>
        <v>-99658.286372927687</v>
      </c>
    </row>
    <row r="7" spans="1:9" x14ac:dyDescent="0.25">
      <c r="A7" s="9">
        <v>3</v>
      </c>
      <c r="B7" s="12">
        <v>51300</v>
      </c>
      <c r="C7" s="12">
        <v>100000</v>
      </c>
      <c r="D7" s="12">
        <f t="shared" ref="D7:D17" si="1">C7-E6</f>
        <v>149480</v>
      </c>
      <c r="E7" s="11">
        <f t="shared" si="0"/>
        <v>-98180</v>
      </c>
      <c r="F7">
        <f>G6*0.07</f>
        <v>-3561.6000000000004</v>
      </c>
      <c r="G7" s="10">
        <f>SUM(E7:F7)</f>
        <v>-101741.6</v>
      </c>
      <c r="H7" s="10">
        <f>H6-H4</f>
        <v>-6176.4681911095104</v>
      </c>
    </row>
    <row r="8" spans="1:9" x14ac:dyDescent="0.25">
      <c r="A8" s="9">
        <v>4</v>
      </c>
      <c r="B8" s="12">
        <v>102600</v>
      </c>
      <c r="C8" s="12">
        <v>130000</v>
      </c>
      <c r="D8" s="12">
        <f t="shared" si="1"/>
        <v>228180</v>
      </c>
      <c r="E8" s="11">
        <f t="shared" si="0"/>
        <v>-125580</v>
      </c>
      <c r="F8">
        <f t="shared" ref="F8:F18" si="2">G7*0.07</f>
        <v>-7121.9120000000012</v>
      </c>
      <c r="G8" s="10">
        <f t="shared" ref="G8:G18" si="3">SUM(E8:F8)</f>
        <v>-132701.91200000001</v>
      </c>
    </row>
    <row r="9" spans="1:9" x14ac:dyDescent="0.25">
      <c r="A9" s="9">
        <v>5</v>
      </c>
      <c r="B9" s="12">
        <v>133380</v>
      </c>
      <c r="C9" s="12">
        <v>150000</v>
      </c>
      <c r="D9" s="12">
        <f t="shared" si="1"/>
        <v>275580</v>
      </c>
      <c r="E9" s="11">
        <f t="shared" si="0"/>
        <v>-142200</v>
      </c>
      <c r="F9">
        <f t="shared" si="2"/>
        <v>-9289.1338400000022</v>
      </c>
      <c r="G9" s="10">
        <f t="shared" si="3"/>
        <v>-151489.13383999999</v>
      </c>
    </row>
    <row r="10" spans="1:9" x14ac:dyDescent="0.25">
      <c r="A10" s="9">
        <v>6</v>
      </c>
      <c r="B10" s="12">
        <v>153900</v>
      </c>
      <c r="C10" s="12">
        <v>180000</v>
      </c>
      <c r="D10" s="12">
        <f t="shared" si="1"/>
        <v>322200</v>
      </c>
      <c r="E10" s="11">
        <f t="shared" si="0"/>
        <v>-168300</v>
      </c>
      <c r="F10">
        <f t="shared" si="2"/>
        <v>-10604.239368800001</v>
      </c>
      <c r="G10" s="10">
        <f t="shared" si="3"/>
        <v>-178904.23936880002</v>
      </c>
    </row>
    <row r="11" spans="1:9" x14ac:dyDescent="0.25">
      <c r="A11" s="9">
        <v>7</v>
      </c>
      <c r="B11" s="12">
        <v>184680</v>
      </c>
      <c r="C11" s="12">
        <v>140000</v>
      </c>
      <c r="D11" s="12">
        <f t="shared" si="1"/>
        <v>308300</v>
      </c>
      <c r="E11" s="11">
        <f t="shared" si="0"/>
        <v>-123620</v>
      </c>
      <c r="F11">
        <f t="shared" si="2"/>
        <v>-12523.296755816002</v>
      </c>
      <c r="G11" s="10">
        <f t="shared" si="3"/>
        <v>-136143.296755816</v>
      </c>
    </row>
    <row r="12" spans="1:9" x14ac:dyDescent="0.25">
      <c r="A12" s="9">
        <v>8</v>
      </c>
      <c r="B12" s="12">
        <v>143640</v>
      </c>
      <c r="C12" s="12">
        <v>130000</v>
      </c>
      <c r="D12" s="12">
        <f t="shared" si="1"/>
        <v>253620</v>
      </c>
      <c r="E12" s="11">
        <f t="shared" si="0"/>
        <v>-109980</v>
      </c>
      <c r="F12">
        <f t="shared" si="2"/>
        <v>-9530.030772907121</v>
      </c>
      <c r="G12" s="10">
        <f t="shared" si="3"/>
        <v>-119510.03077290712</v>
      </c>
    </row>
    <row r="13" spans="1:9" x14ac:dyDescent="0.25">
      <c r="A13" s="9">
        <v>9</v>
      </c>
      <c r="B13" s="10">
        <v>133380</v>
      </c>
      <c r="C13" s="10">
        <v>120000</v>
      </c>
      <c r="D13" s="12">
        <f t="shared" si="1"/>
        <v>229980</v>
      </c>
      <c r="E13" s="11">
        <f t="shared" si="0"/>
        <v>-96600</v>
      </c>
      <c r="F13">
        <f t="shared" si="2"/>
        <v>-8365.7021541034992</v>
      </c>
      <c r="G13" s="10">
        <f t="shared" si="3"/>
        <v>-104965.70215410349</v>
      </c>
    </row>
    <row r="14" spans="1:9" x14ac:dyDescent="0.25">
      <c r="A14" s="9">
        <v>10</v>
      </c>
      <c r="B14" s="12">
        <v>123120</v>
      </c>
      <c r="C14" s="12">
        <v>100000</v>
      </c>
      <c r="D14" s="12">
        <f t="shared" si="1"/>
        <v>196600</v>
      </c>
      <c r="E14" s="11">
        <f t="shared" si="0"/>
        <v>-73480</v>
      </c>
      <c r="F14">
        <f t="shared" si="2"/>
        <v>-7347.599150787245</v>
      </c>
      <c r="G14" s="10">
        <f t="shared" si="3"/>
        <v>-80827.599150787239</v>
      </c>
    </row>
    <row r="15" spans="1:9" x14ac:dyDescent="0.25">
      <c r="A15" s="9">
        <v>11</v>
      </c>
      <c r="B15" s="10">
        <v>102600</v>
      </c>
      <c r="C15" s="12">
        <v>50000</v>
      </c>
      <c r="D15" s="12">
        <f t="shared" si="1"/>
        <v>123480</v>
      </c>
      <c r="E15" s="11">
        <f t="shared" si="0"/>
        <v>-20880</v>
      </c>
      <c r="F15">
        <f t="shared" si="2"/>
        <v>-5657.9319405551068</v>
      </c>
      <c r="G15" s="10">
        <f t="shared" si="3"/>
        <v>-26537.931940555107</v>
      </c>
    </row>
    <row r="16" spans="1:9" x14ac:dyDescent="0.25">
      <c r="A16" s="9">
        <v>12</v>
      </c>
      <c r="B16" s="10">
        <v>51300</v>
      </c>
      <c r="C16" s="12">
        <v>30000</v>
      </c>
      <c r="D16" s="12">
        <f t="shared" si="1"/>
        <v>50880</v>
      </c>
      <c r="E16" s="11">
        <f t="shared" si="0"/>
        <v>420</v>
      </c>
      <c r="F16">
        <f t="shared" si="2"/>
        <v>-1857.6552358388576</v>
      </c>
      <c r="G16" s="10">
        <f t="shared" si="3"/>
        <v>-1437.6552358388576</v>
      </c>
    </row>
    <row r="17" spans="1:7" x14ac:dyDescent="0.25">
      <c r="B17" s="10">
        <v>95580</v>
      </c>
      <c r="D17" s="12">
        <f t="shared" si="1"/>
        <v>-420</v>
      </c>
      <c r="E17" s="11">
        <f t="shared" si="0"/>
        <v>96000</v>
      </c>
      <c r="F17">
        <f t="shared" si="2"/>
        <v>-100.63586650872004</v>
      </c>
      <c r="G17" s="10"/>
    </row>
    <row r="18" spans="1:7" x14ac:dyDescent="0.25">
      <c r="B18" s="10"/>
      <c r="F18">
        <f>SUM(F6:F17)/12</f>
        <v>-6446.6447571097124</v>
      </c>
      <c r="G18" s="10"/>
    </row>
    <row r="20" spans="1:7" x14ac:dyDescent="0.25">
      <c r="A20" t="s">
        <v>28</v>
      </c>
      <c r="B20" s="10">
        <f>SUM(B5:B19)</f>
        <v>1296000</v>
      </c>
    </row>
    <row r="26" spans="1:7" x14ac:dyDescent="0.25">
      <c r="D26" t="s">
        <v>26</v>
      </c>
    </row>
    <row r="27" spans="1:7" x14ac:dyDescent="0.25">
      <c r="D27" s="10">
        <f>-0.07*E5/12</f>
        <v>116.66666666666669</v>
      </c>
      <c r="E27" s="10">
        <f>E5-D27</f>
        <v>-20116.666666666668</v>
      </c>
    </row>
    <row r="28" spans="1:7" x14ac:dyDescent="0.25">
      <c r="D28" s="10">
        <f t="shared" ref="D28:D33" si="4">-0.07*E6/12</f>
        <v>288.63333333333338</v>
      </c>
      <c r="E28" s="10">
        <f>E27+B6-C6-D28</f>
        <v>-49885.3</v>
      </c>
    </row>
    <row r="29" spans="1:7" x14ac:dyDescent="0.25">
      <c r="D29" s="10">
        <f t="shared" si="4"/>
        <v>572.7166666666667</v>
      </c>
      <c r="E29" s="10">
        <f t="shared" ref="E29:E33" si="5">E28+B7-C7-D29</f>
        <v>-99158.016666666663</v>
      </c>
    </row>
    <row r="30" spans="1:7" x14ac:dyDescent="0.25">
      <c r="D30" s="10">
        <f t="shared" si="4"/>
        <v>732.55000000000007</v>
      </c>
      <c r="E30" s="10">
        <f t="shared" si="5"/>
        <v>-127290.56666666667</v>
      </c>
    </row>
    <row r="31" spans="1:7" x14ac:dyDescent="0.25">
      <c r="D31" s="10">
        <f t="shared" si="4"/>
        <v>829.50000000000011</v>
      </c>
      <c r="E31" s="10">
        <f t="shared" si="5"/>
        <v>-144740.06666666665</v>
      </c>
    </row>
    <row r="32" spans="1:7" x14ac:dyDescent="0.25">
      <c r="D32" s="10">
        <f t="shared" si="4"/>
        <v>981.75000000000011</v>
      </c>
      <c r="E32" s="10">
        <f t="shared" si="5"/>
        <v>-171821.81666666665</v>
      </c>
    </row>
    <row r="33" spans="4:5" x14ac:dyDescent="0.25">
      <c r="D33" s="10">
        <f t="shared" si="4"/>
        <v>721.11666666666679</v>
      </c>
      <c r="E33" s="10">
        <f t="shared" si="5"/>
        <v>-127862.93333333332</v>
      </c>
    </row>
    <row r="34" spans="4:5" x14ac:dyDescent="0.25">
      <c r="D34" s="10"/>
      <c r="E34" s="10">
        <f>E33+B12-C12-D34</f>
        <v>-114222.93333333332</v>
      </c>
    </row>
    <row r="35" spans="4:5" x14ac:dyDescent="0.25">
      <c r="D35" s="10">
        <f>SUM(D27:D34)</f>
        <v>4242.9333333333343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Programming</vt:lpstr>
      <vt:lpstr>Monthly valuation</vt:lpstr>
      <vt:lpstr>Cash in - out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Juanan</dc:creator>
  <cp:lastModifiedBy>Ferriz-Papi, Juan</cp:lastModifiedBy>
  <dcterms:created xsi:type="dcterms:W3CDTF">2015-10-18T09:38:55Z</dcterms:created>
  <dcterms:modified xsi:type="dcterms:W3CDTF">2015-11-20T15:20:37Z</dcterms:modified>
</cp:coreProperties>
</file>