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tmp" ContentType="image/p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12"/>
  <workbookPr defaultThemeVersion="166925"/>
  <xr:revisionPtr revIDLastSave="0" documentId="8_{7B90A59D-B0FA-4B33-9EAD-4309B682D85F}" xr6:coauthVersionLast="47" xr6:coauthVersionMax="47" xr10:uidLastSave="{00000000-0000-0000-0000-000000000000}"/>
  <bookViews>
    <workbookView xWindow="240" yWindow="105" windowWidth="14805" windowHeight="8010" firstSheet="2" activeTab="3" xr2:uid="{00000000-000D-0000-FFFF-FFFF00000000}"/>
  </bookViews>
  <sheets>
    <sheet name="BMW S1000rr " sheetId="1" r:id="rId1"/>
    <sheet name="BMW Road speed &amp; Driving Force" sheetId="2" r:id="rId2"/>
    <sheet name="KTM 350 EXC-F" sheetId="3" r:id="rId3"/>
    <sheet name="KTM Road speed &amp; Driving Force" sheetId="4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R31" i="3" l="1"/>
  <c r="R28" i="3"/>
  <c r="R31" i="1"/>
  <c r="W18" i="1"/>
  <c r="W19" i="1"/>
  <c r="W11" i="1"/>
  <c r="H16" i="1"/>
  <c r="F15" i="1"/>
  <c r="W11" i="3"/>
  <c r="W8" i="3"/>
  <c r="M13" i="3"/>
  <c r="O13" i="3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D3" i="4"/>
  <c r="C3" i="4"/>
  <c r="F33" i="3"/>
  <c r="G33" i="3" s="1"/>
  <c r="F32" i="3"/>
  <c r="G25" i="3"/>
  <c r="F25" i="3"/>
  <c r="G23" i="3"/>
  <c r="F23" i="3"/>
  <c r="M22" i="3"/>
  <c r="G21" i="3"/>
  <c r="F21" i="3"/>
  <c r="W19" i="3"/>
  <c r="G19" i="3"/>
  <c r="F19" i="3"/>
  <c r="M18" i="3"/>
  <c r="G17" i="3"/>
  <c r="F17" i="3"/>
  <c r="W15" i="3"/>
  <c r="W20" i="3" s="1"/>
  <c r="G15" i="3"/>
  <c r="F15" i="3"/>
  <c r="W18" i="3"/>
  <c r="W22" i="3" s="1"/>
  <c r="W24" i="3" s="1"/>
  <c r="O10" i="3"/>
  <c r="M10" i="3"/>
  <c r="Q17" i="3" s="1"/>
  <c r="Q28" i="3" s="1"/>
  <c r="N29" i="1"/>
  <c r="M29" i="1"/>
  <c r="N28" i="1"/>
  <c r="M28" i="1"/>
  <c r="W15" i="1"/>
  <c r="W20" i="1" s="1"/>
  <c r="W22" i="1" s="1"/>
  <c r="W24" i="1" s="1"/>
  <c r="D14" i="2"/>
  <c r="C14" i="2"/>
  <c r="D13" i="2"/>
  <c r="D12" i="2"/>
  <c r="D11" i="2"/>
  <c r="D10" i="2"/>
  <c r="D9" i="2"/>
  <c r="D8" i="2"/>
  <c r="D7" i="2"/>
  <c r="D6" i="2"/>
  <c r="D5" i="2"/>
  <c r="C5" i="2"/>
  <c r="D4" i="2"/>
  <c r="C4" i="2"/>
  <c r="D3" i="2"/>
  <c r="C3" i="2"/>
  <c r="M22" i="1"/>
  <c r="O13" i="1"/>
  <c r="M13" i="1"/>
  <c r="F33" i="1"/>
  <c r="G33" i="1" s="1"/>
  <c r="M18" i="1" s="1"/>
  <c r="F32" i="1"/>
  <c r="O14" i="1"/>
  <c r="M14" i="1"/>
  <c r="O10" i="1"/>
  <c r="M10" i="1"/>
  <c r="Q17" i="1" s="1"/>
  <c r="Q28" i="1" s="1"/>
  <c r="G25" i="1"/>
  <c r="G23" i="1"/>
  <c r="G21" i="1"/>
  <c r="G19" i="1"/>
  <c r="G17" i="1"/>
  <c r="G15" i="1"/>
  <c r="H24" i="1"/>
  <c r="G24" i="1"/>
  <c r="H22" i="1"/>
  <c r="G22" i="1"/>
  <c r="H20" i="1"/>
  <c r="G20" i="1"/>
  <c r="H18" i="1"/>
  <c r="G18" i="1"/>
  <c r="G16" i="1"/>
  <c r="G32" i="3" l="1"/>
  <c r="M17" i="3" s="1"/>
  <c r="M19" i="3" s="1"/>
  <c r="L4" i="4"/>
  <c r="T4" i="4" s="1"/>
  <c r="L5" i="4"/>
  <c r="T5" i="4" s="1"/>
  <c r="L6" i="4"/>
  <c r="T6" i="4" s="1"/>
  <c r="L7" i="4"/>
  <c r="T7" i="4" s="1"/>
  <c r="L8" i="4"/>
  <c r="T8" i="4" s="1"/>
  <c r="L9" i="4"/>
  <c r="T9" i="4" s="1"/>
  <c r="L10" i="4"/>
  <c r="T10" i="4" s="1"/>
  <c r="L11" i="4"/>
  <c r="T11" i="4" s="1"/>
  <c r="L12" i="4"/>
  <c r="T12" i="4" s="1"/>
  <c r="L13" i="4"/>
  <c r="T13" i="4" s="1"/>
  <c r="L14" i="4"/>
  <c r="T14" i="4" s="1"/>
  <c r="K4" i="4"/>
  <c r="S4" i="4" s="1"/>
  <c r="K5" i="4"/>
  <c r="S5" i="4" s="1"/>
  <c r="K6" i="4"/>
  <c r="S6" i="4" s="1"/>
  <c r="K7" i="4"/>
  <c r="S7" i="4" s="1"/>
  <c r="K8" i="4"/>
  <c r="S8" i="4" s="1"/>
  <c r="K9" i="4"/>
  <c r="S9" i="4" s="1"/>
  <c r="K10" i="4"/>
  <c r="S10" i="4" s="1"/>
  <c r="K11" i="4"/>
  <c r="S11" i="4" s="1"/>
  <c r="K12" i="4"/>
  <c r="S12" i="4" s="1"/>
  <c r="K13" i="4"/>
  <c r="S13" i="4" s="1"/>
  <c r="K14" i="4"/>
  <c r="S14" i="4" s="1"/>
  <c r="J4" i="4"/>
  <c r="R4" i="4" s="1"/>
  <c r="J5" i="4"/>
  <c r="R5" i="4" s="1"/>
  <c r="J6" i="4"/>
  <c r="R6" i="4" s="1"/>
  <c r="J7" i="4"/>
  <c r="R7" i="4" s="1"/>
  <c r="J8" i="4"/>
  <c r="R8" i="4" s="1"/>
  <c r="J9" i="4"/>
  <c r="R9" i="4" s="1"/>
  <c r="J10" i="4"/>
  <c r="R10" i="4" s="1"/>
  <c r="J11" i="4"/>
  <c r="R11" i="4" s="1"/>
  <c r="J12" i="4"/>
  <c r="R12" i="4" s="1"/>
  <c r="J13" i="4"/>
  <c r="R13" i="4" s="1"/>
  <c r="J14" i="4"/>
  <c r="R14" i="4" s="1"/>
  <c r="I4" i="4"/>
  <c r="Q4" i="4" s="1"/>
  <c r="I5" i="4"/>
  <c r="Q5" i="4" s="1"/>
  <c r="I6" i="4"/>
  <c r="Q6" i="4" s="1"/>
  <c r="I7" i="4"/>
  <c r="Q7" i="4" s="1"/>
  <c r="I8" i="4"/>
  <c r="Q8" i="4" s="1"/>
  <c r="I9" i="4"/>
  <c r="Q9" i="4" s="1"/>
  <c r="I10" i="4"/>
  <c r="Q10" i="4" s="1"/>
  <c r="I11" i="4"/>
  <c r="Q11" i="4" s="1"/>
  <c r="I12" i="4"/>
  <c r="Q12" i="4" s="1"/>
  <c r="I13" i="4"/>
  <c r="Q13" i="4" s="1"/>
  <c r="I14" i="4"/>
  <c r="Q14" i="4" s="1"/>
  <c r="H4" i="4"/>
  <c r="P4" i="4" s="1"/>
  <c r="H5" i="4"/>
  <c r="P5" i="4" s="1"/>
  <c r="H6" i="4"/>
  <c r="P6" i="4" s="1"/>
  <c r="H7" i="4"/>
  <c r="P7" i="4" s="1"/>
  <c r="H8" i="4"/>
  <c r="P8" i="4" s="1"/>
  <c r="H9" i="4"/>
  <c r="P9" i="4" s="1"/>
  <c r="H10" i="4"/>
  <c r="P10" i="4" s="1"/>
  <c r="H11" i="4"/>
  <c r="P11" i="4" s="1"/>
  <c r="H12" i="4"/>
  <c r="P12" i="4" s="1"/>
  <c r="H13" i="4"/>
  <c r="P13" i="4" s="1"/>
  <c r="H14" i="4"/>
  <c r="P14" i="4" s="1"/>
  <c r="G4" i="4"/>
  <c r="O4" i="4" s="1"/>
  <c r="G5" i="4"/>
  <c r="O5" i="4" s="1"/>
  <c r="G6" i="4"/>
  <c r="O6" i="4" s="1"/>
  <c r="G7" i="4"/>
  <c r="O7" i="4" s="1"/>
  <c r="G8" i="4"/>
  <c r="O8" i="4" s="1"/>
  <c r="G9" i="4"/>
  <c r="O9" i="4" s="1"/>
  <c r="G10" i="4"/>
  <c r="O10" i="4" s="1"/>
  <c r="G11" i="4"/>
  <c r="O11" i="4" s="1"/>
  <c r="G12" i="4"/>
  <c r="O12" i="4" s="1"/>
  <c r="G13" i="4"/>
  <c r="O13" i="4" s="1"/>
  <c r="G14" i="4"/>
  <c r="O14" i="4" s="1"/>
  <c r="L3" i="4"/>
  <c r="K3" i="4"/>
  <c r="J3" i="4"/>
  <c r="I3" i="4"/>
  <c r="H3" i="4"/>
  <c r="G3" i="4"/>
  <c r="O3" i="4" s="1"/>
  <c r="T3" i="4"/>
  <c r="S3" i="4"/>
  <c r="R3" i="4"/>
  <c r="Q3" i="4"/>
  <c r="P3" i="4"/>
  <c r="N28" i="3"/>
  <c r="M28" i="3"/>
  <c r="Q16" i="3"/>
  <c r="Q18" i="3" s="1"/>
  <c r="W26" i="3"/>
  <c r="W25" i="3"/>
  <c r="Q31" i="3"/>
  <c r="M14" i="3"/>
  <c r="O14" i="3"/>
  <c r="H16" i="3"/>
  <c r="G16" i="3"/>
  <c r="H18" i="3"/>
  <c r="G18" i="3"/>
  <c r="H20" i="3"/>
  <c r="G20" i="3"/>
  <c r="H22" i="3"/>
  <c r="G22" i="3"/>
  <c r="H24" i="3"/>
  <c r="G24" i="3"/>
  <c r="W25" i="1"/>
  <c r="W26" i="1"/>
  <c r="Q16" i="1"/>
  <c r="Q18" i="1" s="1"/>
  <c r="L4" i="2"/>
  <c r="L5" i="2"/>
  <c r="L6" i="2"/>
  <c r="L7" i="2"/>
  <c r="L8" i="2"/>
  <c r="L9" i="2"/>
  <c r="L10" i="2"/>
  <c r="L11" i="2"/>
  <c r="L12" i="2"/>
  <c r="L13" i="2"/>
  <c r="L14" i="2"/>
  <c r="L3" i="2"/>
  <c r="K4" i="2"/>
  <c r="K5" i="2"/>
  <c r="K6" i="2"/>
  <c r="K7" i="2"/>
  <c r="K8" i="2"/>
  <c r="K9" i="2"/>
  <c r="K10" i="2"/>
  <c r="K11" i="2"/>
  <c r="K12" i="2"/>
  <c r="K13" i="2"/>
  <c r="K14" i="2"/>
  <c r="K3" i="2"/>
  <c r="J4" i="2"/>
  <c r="J5" i="2"/>
  <c r="J6" i="2"/>
  <c r="J7" i="2"/>
  <c r="J8" i="2"/>
  <c r="J9" i="2"/>
  <c r="J10" i="2"/>
  <c r="J11" i="2"/>
  <c r="J12" i="2"/>
  <c r="J13" i="2"/>
  <c r="J14" i="2"/>
  <c r="J3" i="2"/>
  <c r="I3" i="2"/>
  <c r="I4" i="2"/>
  <c r="I5" i="2"/>
  <c r="I6" i="2"/>
  <c r="I7" i="2"/>
  <c r="I8" i="2"/>
  <c r="I9" i="2"/>
  <c r="I10" i="2"/>
  <c r="I11" i="2"/>
  <c r="I12" i="2"/>
  <c r="I13" i="2"/>
  <c r="I14" i="2"/>
  <c r="H4" i="2"/>
  <c r="H5" i="2"/>
  <c r="H6" i="2"/>
  <c r="H7" i="2"/>
  <c r="H8" i="2"/>
  <c r="H9" i="2"/>
  <c r="H10" i="2"/>
  <c r="H11" i="2"/>
  <c r="H12" i="2"/>
  <c r="H13" i="2"/>
  <c r="H14" i="2"/>
  <c r="H3" i="2"/>
  <c r="G4" i="2"/>
  <c r="G5" i="2"/>
  <c r="G6" i="2"/>
  <c r="G7" i="2"/>
  <c r="G8" i="2"/>
  <c r="G9" i="2"/>
  <c r="G10" i="2"/>
  <c r="G11" i="2"/>
  <c r="G12" i="2"/>
  <c r="G13" i="2"/>
  <c r="G14" i="2"/>
  <c r="G3" i="2"/>
  <c r="G32" i="1"/>
  <c r="M17" i="1" s="1"/>
  <c r="M19" i="1" s="1"/>
  <c r="Q31" i="1"/>
  <c r="T3" i="2"/>
  <c r="S3" i="2"/>
  <c r="R3" i="2"/>
  <c r="Q3" i="2"/>
  <c r="P3" i="2"/>
  <c r="O3" i="2"/>
  <c r="T4" i="2"/>
  <c r="S4" i="2"/>
  <c r="R4" i="2"/>
  <c r="Q4" i="2"/>
  <c r="P4" i="2"/>
  <c r="O4" i="2"/>
  <c r="T5" i="2"/>
  <c r="S5" i="2"/>
  <c r="R5" i="2"/>
  <c r="Q5" i="2"/>
  <c r="P5" i="2"/>
  <c r="O5" i="2"/>
  <c r="T14" i="2"/>
  <c r="S14" i="2"/>
  <c r="R14" i="2"/>
  <c r="Q14" i="2"/>
  <c r="P14" i="2"/>
  <c r="O14" i="2"/>
  <c r="C6" i="2"/>
  <c r="F25" i="1"/>
  <c r="F23" i="1"/>
  <c r="F21" i="1"/>
  <c r="F19" i="1"/>
  <c r="F17" i="1"/>
  <c r="N29" i="3" l="1"/>
  <c r="M29" i="3"/>
  <c r="R28" i="1"/>
  <c r="T6" i="2"/>
  <c r="S6" i="2"/>
  <c r="R6" i="2"/>
  <c r="Q6" i="2"/>
  <c r="P6" i="2"/>
  <c r="O6" i="2"/>
  <c r="C7" i="2"/>
  <c r="T7" i="2" l="1"/>
  <c r="S7" i="2"/>
  <c r="R7" i="2"/>
  <c r="Q7" i="2"/>
  <c r="P7" i="2"/>
  <c r="O7" i="2"/>
  <c r="C8" i="2"/>
  <c r="T8" i="2" l="1"/>
  <c r="S8" i="2"/>
  <c r="R8" i="2"/>
  <c r="Q8" i="2"/>
  <c r="P8" i="2"/>
  <c r="O8" i="2"/>
  <c r="C9" i="2"/>
  <c r="T9" i="2" l="1"/>
  <c r="S9" i="2"/>
  <c r="R9" i="2"/>
  <c r="Q9" i="2"/>
  <c r="P9" i="2"/>
  <c r="O9" i="2"/>
  <c r="C10" i="2"/>
  <c r="T10" i="2" l="1"/>
  <c r="S10" i="2"/>
  <c r="R10" i="2"/>
  <c r="Q10" i="2"/>
  <c r="P10" i="2"/>
  <c r="O10" i="2"/>
  <c r="C11" i="2"/>
  <c r="T11" i="2" l="1"/>
  <c r="S11" i="2"/>
  <c r="R11" i="2"/>
  <c r="Q11" i="2"/>
  <c r="P11" i="2"/>
  <c r="O11" i="2"/>
  <c r="C12" i="2"/>
  <c r="T12" i="2" l="1"/>
  <c r="S12" i="2"/>
  <c r="R12" i="2"/>
  <c r="Q12" i="2"/>
  <c r="P12" i="2"/>
  <c r="O12" i="2"/>
  <c r="C13" i="2"/>
  <c r="T13" i="2" l="1"/>
  <c r="S13" i="2"/>
  <c r="R13" i="2"/>
  <c r="Q13" i="2"/>
  <c r="P13" i="2"/>
  <c r="O13" i="2"/>
</calcChain>
</file>

<file path=xl/sharedStrings.xml><?xml version="1.0" encoding="utf-8"?>
<sst xmlns="http://schemas.openxmlformats.org/spreadsheetml/2006/main" count="256" uniqueCount="107">
  <si>
    <t>BMW S1000rr 2018 - Roadbike</t>
  </si>
  <si>
    <t>Gearbox Calculator</t>
  </si>
  <si>
    <t xml:space="preserve">Centre of gravity calculator </t>
  </si>
  <si>
    <t>Resistance to motion calculator</t>
  </si>
  <si>
    <t>Primary</t>
  </si>
  <si>
    <t>Level</t>
  </si>
  <si>
    <t>Level with rider</t>
  </si>
  <si>
    <t>Data</t>
  </si>
  <si>
    <t>Unit</t>
  </si>
  <si>
    <t>Symbol</t>
  </si>
  <si>
    <t>Final</t>
  </si>
  <si>
    <t>Front wieght</t>
  </si>
  <si>
    <t>Mass</t>
  </si>
  <si>
    <t>kg</t>
  </si>
  <si>
    <t>M</t>
  </si>
  <si>
    <t>Rear wieght</t>
  </si>
  <si>
    <t>Area</t>
  </si>
  <si>
    <t>m^2</t>
  </si>
  <si>
    <t>A</t>
  </si>
  <si>
    <t xml:space="preserve">tyre Dim </t>
  </si>
  <si>
    <t>200/55/17</t>
  </si>
  <si>
    <t>m</t>
  </si>
  <si>
    <t>Total</t>
  </si>
  <si>
    <t xml:space="preserve">Drag coeficent </t>
  </si>
  <si>
    <t>Cd</t>
  </si>
  <si>
    <t>Rpm</t>
  </si>
  <si>
    <t>Rised level</t>
  </si>
  <si>
    <t>Rised with rider</t>
  </si>
  <si>
    <t xml:space="preserve">Velocity </t>
  </si>
  <si>
    <t>M/S</t>
  </si>
  <si>
    <t>V</t>
  </si>
  <si>
    <t>Density</t>
  </si>
  <si>
    <t>KG/M^3</t>
  </si>
  <si>
    <t>w</t>
  </si>
  <si>
    <t>Gear ratios</t>
  </si>
  <si>
    <t>Speed</t>
  </si>
  <si>
    <t>Rev</t>
  </si>
  <si>
    <t>Falls</t>
  </si>
  <si>
    <t>gravity</t>
  </si>
  <si>
    <t>M/S^2</t>
  </si>
  <si>
    <t>g</t>
  </si>
  <si>
    <t>angle of road plane</t>
  </si>
  <si>
    <t>1st</t>
  </si>
  <si>
    <t>Radians</t>
  </si>
  <si>
    <t>`</t>
  </si>
  <si>
    <t>Wheelbase</t>
  </si>
  <si>
    <t>rider wieght</t>
  </si>
  <si>
    <t>2nd</t>
  </si>
  <si>
    <t>Rw rad</t>
  </si>
  <si>
    <t>bike wieght</t>
  </si>
  <si>
    <t>Fw rad</t>
  </si>
  <si>
    <t>Total wieght</t>
  </si>
  <si>
    <t>Areo Drag Force</t>
  </si>
  <si>
    <t>Nm</t>
  </si>
  <si>
    <t>Fd</t>
  </si>
  <si>
    <t>3rd</t>
  </si>
  <si>
    <t>rav</t>
  </si>
  <si>
    <t>Rolling resistence</t>
  </si>
  <si>
    <t>Fw</t>
  </si>
  <si>
    <t>stool hieght</t>
  </si>
  <si>
    <t>road plane</t>
  </si>
  <si>
    <t>Fp</t>
  </si>
  <si>
    <t>4th</t>
  </si>
  <si>
    <t>stool wieght</t>
  </si>
  <si>
    <t>lifed angle</t>
  </si>
  <si>
    <t>Total Force</t>
  </si>
  <si>
    <t>F</t>
  </si>
  <si>
    <t>5th</t>
  </si>
  <si>
    <t xml:space="preserve">Centre of gravity results </t>
  </si>
  <si>
    <t xml:space="preserve">Power </t>
  </si>
  <si>
    <t>Watts</t>
  </si>
  <si>
    <t>P</t>
  </si>
  <si>
    <t>6th</t>
  </si>
  <si>
    <t>KW</t>
  </si>
  <si>
    <t>https://www.manua.ls/bmw/s-1000-rr-2018/manual?p=215</t>
  </si>
  <si>
    <t>Horsepower</t>
  </si>
  <si>
    <t>Front %</t>
  </si>
  <si>
    <t>Rear %</t>
  </si>
  <si>
    <t>Bike</t>
  </si>
  <si>
    <t>W/rider</t>
  </si>
  <si>
    <t xml:space="preserve">Tyre dimentions </t>
  </si>
  <si>
    <t>W/outrider</t>
  </si>
  <si>
    <t>Xcog</t>
  </si>
  <si>
    <t>Tyre size</t>
  </si>
  <si>
    <t>Tyre width</t>
  </si>
  <si>
    <t>Ratio</t>
  </si>
  <si>
    <t>Rim size</t>
  </si>
  <si>
    <t>DIM</t>
  </si>
  <si>
    <t>Radius</t>
  </si>
  <si>
    <t>Ycog</t>
  </si>
  <si>
    <t>120/70/17</t>
  </si>
  <si>
    <t>BMW S1000rr 2018</t>
  </si>
  <si>
    <t>Road speed (kph)</t>
  </si>
  <si>
    <t>Driving Force (N)</t>
  </si>
  <si>
    <t>RPM</t>
  </si>
  <si>
    <t>Power(hp)</t>
  </si>
  <si>
    <t>Torque (Nm)</t>
  </si>
  <si>
    <t>Power(kw)</t>
  </si>
  <si>
    <t>3nd</t>
  </si>
  <si>
    <t> </t>
  </si>
  <si>
    <t xml:space="preserve">KTM 350 EXC-F 2022 </t>
  </si>
  <si>
    <t>140/80/18</t>
  </si>
  <si>
    <t>Power required</t>
  </si>
  <si>
    <t>https://ownersmanuals2.com/ktm/350-exc-f-2022-owners-manual-83199/page-14</t>
  </si>
  <si>
    <t>80/10/21</t>
  </si>
  <si>
    <t>KTM 350 EXC-F</t>
  </si>
  <si>
    <t>https://cloudfront-us-east-1.images.arcpublishing.com/octane/7LUNSV4GOFGSXDQCBI5R6C3NT4.jpg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</si>
</sst>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8"/>
      <color rgb="FF000000"/>
      <name val="Arial Black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charset val="1"/>
    </font>
    <font>
      <b/>
      <sz val="24"/>
      <color rgb="FF000000"/>
      <name val="Calibri"/>
    </font>
    <font>
      <b/>
      <sz val="36"/>
      <color rgb="FF000000"/>
      <name val="Calibri"/>
    </font>
    <font>
      <b/>
      <sz val="28"/>
      <color rgb="FF000000"/>
      <name val="Calibri"/>
    </font>
    <font>
      <sz val="11"/>
      <color rgb="FF444444"/>
      <name val="Calibri"/>
      <family val="2"/>
      <charset val="1"/>
    </font>
    <font>
      <b/>
      <sz val="22"/>
      <color rgb="FF000000"/>
      <name val="Calibri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name val="Calibri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6">
    <xf numFmtId="0" fontId="0" fillId="0" borderId="0" xfId="0"/>
    <xf numFmtId="0" fontId="1" fillId="0" borderId="0" xfId="1"/>
    <xf numFmtId="0" fontId="0" fillId="0" borderId="4" xfId="0" applyBorder="1"/>
    <xf numFmtId="0" fontId="0" fillId="0" borderId="5" xfId="0" applyBorder="1"/>
    <xf numFmtId="0" fontId="3" fillId="0" borderId="0" xfId="0" applyFont="1"/>
    <xf numFmtId="0" fontId="3" fillId="0" borderId="5" xfId="0" applyFont="1" applyBorder="1"/>
    <xf numFmtId="0" fontId="4" fillId="0" borderId="0" xfId="0" applyFont="1"/>
    <xf numFmtId="0" fontId="5" fillId="0" borderId="5" xfId="0" applyFont="1" applyBorder="1"/>
    <xf numFmtId="0" fontId="6" fillId="0" borderId="0" xfId="0" quotePrefix="1" applyFont="1"/>
    <xf numFmtId="0" fontId="0" fillId="0" borderId="6" xfId="0" applyBorder="1"/>
    <xf numFmtId="0" fontId="0" fillId="0" borderId="7" xfId="0" applyBorder="1"/>
    <xf numFmtId="0" fontId="3" fillId="0" borderId="7" xfId="0" applyFont="1" applyBorder="1"/>
    <xf numFmtId="0" fontId="3" fillId="0" borderId="8" xfId="0" applyFont="1" applyBorder="1"/>
    <xf numFmtId="0" fontId="0" fillId="0" borderId="8" xfId="0" applyBorder="1"/>
    <xf numFmtId="0" fontId="3" fillId="0" borderId="4" xfId="0" applyFont="1" applyBorder="1"/>
    <xf numFmtId="0" fontId="3" fillId="0" borderId="6" xfId="0" applyFont="1" applyBorder="1"/>
    <xf numFmtId="0" fontId="0" fillId="0" borderId="0" xfId="0" applyAlignment="1">
      <alignment horizontal="center"/>
    </xf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10" fillId="0" borderId="4" xfId="0" quotePrefix="1" applyFont="1" applyBorder="1"/>
    <xf numFmtId="0" fontId="10" fillId="0" borderId="0" xfId="0" quotePrefix="1" applyFont="1"/>
    <xf numFmtId="0" fontId="10" fillId="0" borderId="5" xfId="0" quotePrefix="1" applyFont="1" applyBorder="1"/>
    <xf numFmtId="0" fontId="10" fillId="0" borderId="6" xfId="0" quotePrefix="1" applyFont="1" applyBorder="1"/>
    <xf numFmtId="0" fontId="10" fillId="0" borderId="7" xfId="0" quotePrefix="1" applyFont="1" applyBorder="1"/>
    <xf numFmtId="0" fontId="10" fillId="0" borderId="8" xfId="0" quotePrefix="1" applyFont="1" applyBorder="1"/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0" fillId="0" borderId="0" xfId="0" applyFont="1"/>
    <xf numFmtId="0" fontId="3" fillId="3" borderId="4" xfId="0" applyFont="1" applyFill="1" applyBorder="1"/>
    <xf numFmtId="0" fontId="3" fillId="3" borderId="0" xfId="0" applyFont="1" applyFill="1"/>
    <xf numFmtId="0" fontId="3" fillId="3" borderId="5" xfId="0" applyFont="1" applyFill="1" applyBorder="1"/>
    <xf numFmtId="0" fontId="14" fillId="0" borderId="0" xfId="0" applyFont="1" applyAlignment="1">
      <alignment wrapText="1"/>
    </xf>
    <xf numFmtId="0" fontId="15" fillId="0" borderId="0" xfId="0" applyFont="1"/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2" borderId="4" xfId="0" applyFont="1" applyFill="1" applyBorder="1" applyAlignment="1">
      <alignment horizontal="center"/>
    </xf>
    <xf numFmtId="0" fontId="12" fillId="2" borderId="0" xfId="0" applyFont="1" applyFill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0" xfId="0" applyFont="1" applyFill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rgbClr val="00B0F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'BMW Road speed &amp; Driving Force'!$A$3:$A$14</c:f>
              <c:numCache>
                <c:formatCode>General</c:formatCode>
                <c:ptCount val="12"/>
                <c:pt idx="0">
                  <c:v>4000</c:v>
                </c:pt>
                <c:pt idx="1">
                  <c:v>5000</c:v>
                </c:pt>
                <c:pt idx="2">
                  <c:v>6000</c:v>
                </c:pt>
                <c:pt idx="3">
                  <c:v>7000</c:v>
                </c:pt>
                <c:pt idx="4">
                  <c:v>8000</c:v>
                </c:pt>
                <c:pt idx="5">
                  <c:v>9000</c:v>
                </c:pt>
                <c:pt idx="6">
                  <c:v>10000</c:v>
                </c:pt>
                <c:pt idx="7">
                  <c:v>11000</c:v>
                </c:pt>
                <c:pt idx="8">
                  <c:v>12000</c:v>
                </c:pt>
                <c:pt idx="9">
                  <c:v>13000</c:v>
                </c:pt>
                <c:pt idx="10">
                  <c:v>14000</c:v>
                </c:pt>
                <c:pt idx="11">
                  <c:v>14200</c:v>
                </c:pt>
              </c:numCache>
            </c:numRef>
          </c:xVal>
          <c:yVal>
            <c:numRef>
              <c:f>'BMW Road speed &amp; Driving Force'!$C$3:$C$14</c:f>
              <c:numCache>
                <c:formatCode>General</c:formatCode>
                <c:ptCount val="12"/>
                <c:pt idx="0">
                  <c:v>44.503368360960003</c:v>
                </c:pt>
                <c:pt idx="1">
                  <c:v>89.006736721920007</c:v>
                </c:pt>
                <c:pt idx="2">
                  <c:v>97.907410394111992</c:v>
                </c:pt>
                <c:pt idx="3">
                  <c:v>104.26503444567771</c:v>
                </c:pt>
                <c:pt idx="4">
                  <c:v>108.58821880074238</c:v>
                </c:pt>
                <c:pt idx="5">
                  <c:v>116.3021359833088</c:v>
                </c:pt>
                <c:pt idx="6">
                  <c:v>119.26902720737279</c:v>
                </c:pt>
                <c:pt idx="7">
                  <c:v>116.51790989051344</c:v>
                </c:pt>
                <c:pt idx="8">
                  <c:v>112.14848826961919</c:v>
                </c:pt>
                <c:pt idx="9">
                  <c:v>105.71261653741882</c:v>
                </c:pt>
                <c:pt idx="10">
                  <c:v>97.653105432049372</c:v>
                </c:pt>
                <c:pt idx="11">
                  <c:v>95.776263176826603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E0C-47DF-AC3B-9DDD395B84BD}"/>
            </c:ext>
          </c:extLst>
        </c:ser>
        <c:ser>
          <c:idx val="1"/>
          <c:order val="1"/>
          <c:tx>
            <c:v>Horsepower</c:v>
          </c:tx>
          <c:spPr>
            <a:ln w="1905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'BMW Road speed &amp; Driving Force'!$A$3:$A$14</c:f>
              <c:numCache>
                <c:formatCode>General</c:formatCode>
                <c:ptCount val="12"/>
                <c:pt idx="0">
                  <c:v>4000</c:v>
                </c:pt>
                <c:pt idx="1">
                  <c:v>5000</c:v>
                </c:pt>
                <c:pt idx="2">
                  <c:v>6000</c:v>
                </c:pt>
                <c:pt idx="3">
                  <c:v>7000</c:v>
                </c:pt>
                <c:pt idx="4">
                  <c:v>8000</c:v>
                </c:pt>
                <c:pt idx="5">
                  <c:v>9000</c:v>
                </c:pt>
                <c:pt idx="6">
                  <c:v>10000</c:v>
                </c:pt>
                <c:pt idx="7">
                  <c:v>11000</c:v>
                </c:pt>
                <c:pt idx="8">
                  <c:v>12000</c:v>
                </c:pt>
                <c:pt idx="9">
                  <c:v>13000</c:v>
                </c:pt>
                <c:pt idx="10">
                  <c:v>14000</c:v>
                </c:pt>
                <c:pt idx="11">
                  <c:v>14200</c:v>
                </c:pt>
              </c:numCache>
            </c:numRef>
          </c:xVal>
          <c:yVal>
            <c:numRef>
              <c:f>'BMW Road speed &amp; Driving Force'!$B$3:$B$14</c:f>
              <c:numCache>
                <c:formatCode>General</c:formatCode>
                <c:ptCount val="12"/>
                <c:pt idx="0">
                  <c:v>25</c:v>
                </c:pt>
                <c:pt idx="1">
                  <c:v>62.5</c:v>
                </c:pt>
                <c:pt idx="2">
                  <c:v>82.5</c:v>
                </c:pt>
                <c:pt idx="3">
                  <c:v>102.5</c:v>
                </c:pt>
                <c:pt idx="4">
                  <c:v>122</c:v>
                </c:pt>
                <c:pt idx="5">
                  <c:v>147</c:v>
                </c:pt>
                <c:pt idx="6">
                  <c:v>167.5</c:v>
                </c:pt>
                <c:pt idx="7">
                  <c:v>180</c:v>
                </c:pt>
                <c:pt idx="8">
                  <c:v>189</c:v>
                </c:pt>
                <c:pt idx="9">
                  <c:v>193</c:v>
                </c:pt>
                <c:pt idx="10">
                  <c:v>192</c:v>
                </c:pt>
                <c:pt idx="11">
                  <c:v>191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E0C-47DF-AC3B-9DDD395B84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2125016"/>
        <c:axId val="391743656"/>
      </c:scatterChart>
      <c:valAx>
        <c:axId val="1572125016"/>
        <c:scaling>
          <c:orientation val="minMax"/>
          <c:max val="150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43656"/>
        <c:crosses val="autoZero"/>
        <c:crossBetween val="midCat"/>
      </c:valAx>
      <c:valAx>
        <c:axId val="39174365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&amp; horsepower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125016"/>
        <c:crosses val="autoZero"/>
        <c:crossBetween val="midCat"/>
        <c:majorUnit val="25"/>
        <c:minorUnit val="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'BMW Road speed &amp; Driving Force'!$O$1:$O$2</c:f>
              <c:strCache>
                <c:ptCount val="2"/>
                <c:pt idx="0">
                  <c:v>Driving Force (N)</c:v>
                </c:pt>
                <c:pt idx="1">
                  <c:v>1st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Force'!$O$3:$O$14</c:f>
              <c:numCache>
                <c:formatCode>General</c:formatCode>
                <c:ptCount val="12"/>
                <c:pt idx="0">
                  <c:v>3844.5302520240175</c:v>
                </c:pt>
                <c:pt idx="1">
                  <c:v>6151.2484032384273</c:v>
                </c:pt>
                <c:pt idx="2">
                  <c:v>5638.6443696352244</c:v>
                </c:pt>
                <c:pt idx="3">
                  <c:v>5146.9629496484813</c:v>
                </c:pt>
                <c:pt idx="4">
                  <c:v>4690.3269074692998</c:v>
                </c:pt>
                <c:pt idx="5">
                  <c:v>4465.3506927212311</c:v>
                </c:pt>
                <c:pt idx="6">
                  <c:v>4121.3364301697457</c:v>
                </c:pt>
                <c:pt idx="7">
                  <c:v>3660.2469837451795</c:v>
                </c:pt>
                <c:pt idx="8">
                  <c:v>3229.4054117001738</c:v>
                </c:pt>
                <c:pt idx="9">
                  <c:v>2809.9193889349499</c:v>
                </c:pt>
                <c:pt idx="10">
                  <c:v>2410.285088615874</c:v>
                </c:pt>
                <c:pt idx="11">
                  <c:v>2330.665433482523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D9-45D1-8B03-D574059075B2}"/>
            </c:ext>
          </c:extLst>
        </c:ser>
        <c:ser>
          <c:idx val="1"/>
          <c:order val="1"/>
          <c:tx>
            <c:strRef>
              <c:f>'BMW Road speed &amp; Driving Force'!$P$1:$P$2</c:f>
              <c:strCache>
                <c:ptCount val="2"/>
                <c:pt idx="0">
                  <c:v>Driving Force (N)</c:v>
                </c:pt>
                <c:pt idx="1">
                  <c:v>2nd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Force'!$P$3:$P$14</c:f>
              <c:numCache>
                <c:formatCode>General</c:formatCode>
                <c:ptCount val="12"/>
                <c:pt idx="0">
                  <c:v>3036.7905627098799</c:v>
                </c:pt>
                <c:pt idx="1">
                  <c:v>4858.8649003358087</c:v>
                </c:pt>
                <c:pt idx="2">
                  <c:v>4453.9594919744904</c:v>
                </c:pt>
                <c:pt idx="3">
                  <c:v>4065.58083497486</c:v>
                </c:pt>
                <c:pt idx="4">
                  <c:v>3704.8844865060528</c:v>
                </c:pt>
                <c:pt idx="5">
                  <c:v>3527.1760017252536</c:v>
                </c:pt>
                <c:pt idx="6">
                  <c:v>3255.4394832249909</c:v>
                </c:pt>
                <c:pt idx="7">
                  <c:v>2891.2253952411411</c:v>
                </c:pt>
                <c:pt idx="8">
                  <c:v>2550.9040726762992</c:v>
                </c:pt>
                <c:pt idx="9">
                  <c:v>2219.552487017304</c:v>
                </c:pt>
                <c:pt idx="10">
                  <c:v>1903.881756866276</c:v>
                </c:pt>
                <c:pt idx="11">
                  <c:v>1840.9902717003358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B-A5D9-45D1-8B03-D574059075B2}"/>
            </c:ext>
          </c:extLst>
        </c:ser>
        <c:ser>
          <c:idx val="2"/>
          <c:order val="2"/>
          <c:tx>
            <c:strRef>
              <c:f>'BMW Road speed &amp; Driving Force'!$Q$1:$Q$2</c:f>
              <c:strCache>
                <c:ptCount val="2"/>
                <c:pt idx="0">
                  <c:v>Driving Force (N)</c:v>
                </c:pt>
                <c:pt idx="1">
                  <c:v>3nd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Force'!$Q$3:$Q$14</c:f>
              <c:numCache>
                <c:formatCode>General</c:formatCode>
                <c:ptCount val="12"/>
                <c:pt idx="0">
                  <c:v>2508.6530735429451</c:v>
                </c:pt>
                <c:pt idx="1">
                  <c:v>4013.8449176687109</c:v>
                </c:pt>
                <c:pt idx="2">
                  <c:v>3679.3578411963185</c:v>
                </c:pt>
                <c:pt idx="3">
                  <c:v>3358.5232984574941</c:v>
                </c:pt>
                <c:pt idx="4">
                  <c:v>3060.5567497223919</c:v>
                </c:pt>
                <c:pt idx="5">
                  <c:v>2913.754088381731</c:v>
                </c:pt>
                <c:pt idx="6">
                  <c:v>2689.2760948380355</c:v>
                </c:pt>
                <c:pt idx="7">
                  <c:v>2388.4035873731173</c:v>
                </c:pt>
                <c:pt idx="8">
                  <c:v>2107.268581776073</c:v>
                </c:pt>
                <c:pt idx="9">
                  <c:v>1833.5433588403816</c:v>
                </c:pt>
                <c:pt idx="10">
                  <c:v>1572.7718861069241</c:v>
                </c:pt>
                <c:pt idx="11">
                  <c:v>1520.8180505350601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C-A5D9-45D1-8B03-D574059075B2}"/>
            </c:ext>
          </c:extLst>
        </c:ser>
        <c:ser>
          <c:idx val="3"/>
          <c:order val="3"/>
          <c:tx>
            <c:strRef>
              <c:f>'BMW Road speed &amp; Driving Force'!$R$1:$R$2</c:f>
              <c:strCache>
                <c:ptCount val="2"/>
                <c:pt idx="0">
                  <c:v>Driving Force (N)</c:v>
                </c:pt>
                <c:pt idx="1">
                  <c:v>4th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Force'!$R$3:$R$14</c:f>
              <c:numCache>
                <c:formatCode>General</c:formatCode>
                <c:ptCount val="12"/>
                <c:pt idx="0">
                  <c:v>2178.5671428136097</c:v>
                </c:pt>
                <c:pt idx="1">
                  <c:v>3485.7074285017757</c:v>
                </c:pt>
                <c:pt idx="2">
                  <c:v>3195.2318094599609</c:v>
                </c:pt>
                <c:pt idx="3">
                  <c:v>2916.6123381341399</c:v>
                </c:pt>
                <c:pt idx="4">
                  <c:v>2657.8519142326031</c:v>
                </c:pt>
                <c:pt idx="5">
                  <c:v>2530.3653925420299</c:v>
                </c:pt>
                <c:pt idx="6">
                  <c:v>2335.423977096189</c:v>
                </c:pt>
                <c:pt idx="7">
                  <c:v>2074.1399574556017</c:v>
                </c:pt>
                <c:pt idx="8">
                  <c:v>1829.9963999634322</c:v>
                </c:pt>
                <c:pt idx="9">
                  <c:v>1592.2876537298052</c:v>
                </c:pt>
                <c:pt idx="10">
                  <c:v>1365.8282168823291</c:v>
                </c:pt>
                <c:pt idx="11">
                  <c:v>1320.7104123067631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D-A5D9-45D1-8B03-D574059075B2}"/>
            </c:ext>
          </c:extLst>
        </c:ser>
        <c:ser>
          <c:idx val="4"/>
          <c:order val="4"/>
          <c:tx>
            <c:strRef>
              <c:f>'BMW Road speed &amp; Driving Force'!$S$1:$S$2</c:f>
              <c:strCache>
                <c:ptCount val="2"/>
                <c:pt idx="0">
                  <c:v>Driving Force (N)</c:v>
                </c:pt>
                <c:pt idx="1">
                  <c:v>5th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Force'!$S$3:$S$14</c:f>
              <c:numCache>
                <c:formatCode>General</c:formatCode>
                <c:ptCount val="12"/>
                <c:pt idx="0">
                  <c:v>1975.2342094843391</c:v>
                </c:pt>
                <c:pt idx="1">
                  <c:v>3160.3747351749435</c:v>
                </c:pt>
                <c:pt idx="2">
                  <c:v>2897.0101739103643</c:v>
                </c:pt>
                <c:pt idx="3">
                  <c:v>2644.3951865749527</c:v>
                </c:pt>
                <c:pt idx="4">
                  <c:v>2409.7857355708929</c:v>
                </c:pt>
                <c:pt idx="5">
                  <c:v>2294.1979559047741</c:v>
                </c:pt>
                <c:pt idx="6">
                  <c:v>2117.4510725672117</c:v>
                </c:pt>
                <c:pt idx="7">
                  <c:v>1880.5535614264124</c:v>
                </c:pt>
                <c:pt idx="8">
                  <c:v>1659.1967359668449</c:v>
                </c:pt>
                <c:pt idx="9">
                  <c:v>1443.6741393816899</c:v>
                </c:pt>
                <c:pt idx="10">
                  <c:v>1238.3509166399779</c:v>
                </c:pt>
                <c:pt idx="11">
                  <c:v>1197.4441071581321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E-A5D9-45D1-8B03-D574059075B2}"/>
            </c:ext>
          </c:extLst>
        </c:ser>
        <c:ser>
          <c:idx val="5"/>
          <c:order val="5"/>
          <c:tx>
            <c:strRef>
              <c:f>'BMW Road speed &amp; Driving Force'!$T$1:$T$2</c:f>
              <c:strCache>
                <c:ptCount val="2"/>
                <c:pt idx="0">
                  <c:v>Driving Force (N)</c:v>
                </c:pt>
                <c:pt idx="1">
                  <c:v>6th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multiLvlStrRef>
              <c:f>'BMW Road speed &amp; Driving Force'!$G$3:$L$14</c:f>
              <c:multiLvlStrCache>
                <c:ptCount val="12"/>
                <c:lvl>
                  <c:pt idx="0">
                    <c:v>87.48740434</c:v>
                  </c:pt>
                  <c:pt idx="1">
                    <c:v>109.3592554</c:v>
                  </c:pt>
                  <c:pt idx="2">
                    <c:v>131.2311065</c:v>
                  </c:pt>
                  <c:pt idx="3">
                    <c:v>153.1029576</c:v>
                  </c:pt>
                  <c:pt idx="4">
                    <c:v>174.9748087</c:v>
                  </c:pt>
                  <c:pt idx="5">
                    <c:v>196.8466598</c:v>
                  </c:pt>
                  <c:pt idx="6">
                    <c:v>218.7185108</c:v>
                  </c:pt>
                  <c:pt idx="7">
                    <c:v>240.5903619</c:v>
                  </c:pt>
                  <c:pt idx="8">
                    <c:v>262.462213</c:v>
                  </c:pt>
                  <c:pt idx="9">
                    <c:v>284.3340641</c:v>
                  </c:pt>
                  <c:pt idx="10">
                    <c:v>306.2059152</c:v>
                  </c:pt>
                  <c:pt idx="11">
                    <c:v>310.5802854</c:v>
                  </c:pt>
                </c:lvl>
                <c:lvl>
                  <c:pt idx="0">
                    <c:v>81.1104452</c:v>
                  </c:pt>
                  <c:pt idx="1">
                    <c:v>101.3880565</c:v>
                  </c:pt>
                  <c:pt idx="2">
                    <c:v>121.6656678</c:v>
                  </c:pt>
                  <c:pt idx="3">
                    <c:v>141.9432791</c:v>
                  </c:pt>
                  <c:pt idx="4">
                    <c:v>162.2208904</c:v>
                  </c:pt>
                  <c:pt idx="5">
                    <c:v>182.4985017</c:v>
                  </c:pt>
                  <c:pt idx="6">
                    <c:v>202.776113</c:v>
                  </c:pt>
                  <c:pt idx="7">
                    <c:v>223.0537243</c:v>
                  </c:pt>
                  <c:pt idx="8">
                    <c:v>243.3313356</c:v>
                  </c:pt>
                  <c:pt idx="9">
                    <c:v>263.6089469</c:v>
                  </c:pt>
                  <c:pt idx="10">
                    <c:v>283.8865582</c:v>
                  </c:pt>
                  <c:pt idx="11">
                    <c:v>287.9420804</c:v>
                  </c:pt>
                </c:lvl>
                <c:lvl>
                  <c:pt idx="0">
                    <c:v>73.54013698</c:v>
                  </c:pt>
                  <c:pt idx="1">
                    <c:v>91.92517122</c:v>
                  </c:pt>
                  <c:pt idx="2">
                    <c:v>110.3102055</c:v>
                  </c:pt>
                  <c:pt idx="3">
                    <c:v>128.6952397</c:v>
                  </c:pt>
                  <c:pt idx="4">
                    <c:v>147.080274</c:v>
                  </c:pt>
                  <c:pt idx="5">
                    <c:v>165.4653082</c:v>
                  </c:pt>
                  <c:pt idx="6">
                    <c:v>183.8503424</c:v>
                  </c:pt>
                  <c:pt idx="7">
                    <c:v>202.2353767</c:v>
                  </c:pt>
                  <c:pt idx="8">
                    <c:v>220.6204109</c:v>
                  </c:pt>
                  <c:pt idx="9">
                    <c:v>239.0054452</c:v>
                  </c:pt>
                  <c:pt idx="10">
                    <c:v>257.3904794</c:v>
                  </c:pt>
                  <c:pt idx="11">
                    <c:v>261.0674863</c:v>
                  </c:pt>
                </c:lvl>
                <c:lvl>
                  <c:pt idx="0">
                    <c:v>63.86380317</c:v>
                  </c:pt>
                  <c:pt idx="1">
                    <c:v>79.82975396</c:v>
                  </c:pt>
                  <c:pt idx="2">
                    <c:v>95.79570475</c:v>
                  </c:pt>
                  <c:pt idx="3">
                    <c:v>111.7616555</c:v>
                  </c:pt>
                  <c:pt idx="4">
                    <c:v>127.7276063</c:v>
                  </c:pt>
                  <c:pt idx="5">
                    <c:v>143.6935571</c:v>
                  </c:pt>
                  <c:pt idx="6">
                    <c:v>159.6595079</c:v>
                  </c:pt>
                  <c:pt idx="7">
                    <c:v>175.6254587</c:v>
                  </c:pt>
                  <c:pt idx="8">
                    <c:v>191.5914095</c:v>
                  </c:pt>
                  <c:pt idx="9">
                    <c:v>207.5573603</c:v>
                  </c:pt>
                  <c:pt idx="10">
                    <c:v>223.5233111</c:v>
                  </c:pt>
                  <c:pt idx="11">
                    <c:v>226.7165012</c:v>
                  </c:pt>
                </c:lvl>
                <c:lvl>
                  <c:pt idx="0">
                    <c:v>52.75705479</c:v>
                  </c:pt>
                  <c:pt idx="1">
                    <c:v>65.94631849</c:v>
                  </c:pt>
                  <c:pt idx="2">
                    <c:v>79.13558218</c:v>
                  </c:pt>
                  <c:pt idx="3">
                    <c:v>92.32484588</c:v>
                  </c:pt>
                  <c:pt idx="4">
                    <c:v>105.5141096</c:v>
                  </c:pt>
                  <c:pt idx="5">
                    <c:v>118.7033733</c:v>
                  </c:pt>
                  <c:pt idx="6">
                    <c:v>131.892637</c:v>
                  </c:pt>
                  <c:pt idx="7">
                    <c:v>145.0819007</c:v>
                  </c:pt>
                  <c:pt idx="8">
                    <c:v>158.2711644</c:v>
                  </c:pt>
                  <c:pt idx="9">
                    <c:v>171.4604281</c:v>
                  </c:pt>
                  <c:pt idx="10">
                    <c:v>184.6496918</c:v>
                  </c:pt>
                  <c:pt idx="11">
                    <c:v>187.2875445</c:v>
                  </c:pt>
                </c:lvl>
                <c:lvl>
                  <c:pt idx="0">
                    <c:v>41.67274429</c:v>
                  </c:pt>
                  <c:pt idx="1">
                    <c:v>52.09093036</c:v>
                  </c:pt>
                  <c:pt idx="2">
                    <c:v>62.50911643</c:v>
                  </c:pt>
                  <c:pt idx="3">
                    <c:v>72.9273025</c:v>
                  </c:pt>
                  <c:pt idx="4">
                    <c:v>83.34548858</c:v>
                  </c:pt>
                  <c:pt idx="5">
                    <c:v>93.76367465</c:v>
                  </c:pt>
                  <c:pt idx="6">
                    <c:v>104.1818607</c:v>
                  </c:pt>
                  <c:pt idx="7">
                    <c:v>114.6000468</c:v>
                  </c:pt>
                  <c:pt idx="8">
                    <c:v>125.0182329</c:v>
                  </c:pt>
                  <c:pt idx="9">
                    <c:v>135.4364189</c:v>
                  </c:pt>
                  <c:pt idx="10">
                    <c:v>145.854605</c:v>
                  </c:pt>
                  <c:pt idx="11">
                    <c:v>147.9382422</c:v>
                  </c:pt>
                </c:lvl>
              </c:multiLvlStrCache>
            </c:multiLvlStrRef>
          </c:xVal>
          <c:yVal>
            <c:numRef>
              <c:f>'BMW Road speed &amp; Driving Force'!$T$3:$T$14</c:f>
              <c:numCache>
                <c:formatCode>General</c:formatCode>
                <c:ptCount val="12"/>
                <c:pt idx="0">
                  <c:v>1831.2593374375276</c:v>
                </c:pt>
                <c:pt idx="1">
                  <c:v>2930.0149399000438</c:v>
                </c:pt>
                <c:pt idx="2">
                  <c:v>2685.8470282417065</c:v>
                </c:pt>
                <c:pt idx="3">
                  <c:v>2451.6451537939138</c:v>
                </c:pt>
                <c:pt idx="4">
                  <c:v>2234.1363916737832</c:v>
                </c:pt>
                <c:pt idx="5">
                  <c:v>2126.9738082237345</c:v>
                </c:pt>
                <c:pt idx="6">
                  <c:v>1963.1100097330288</c:v>
                </c:pt>
                <c:pt idx="7">
                  <c:v>1743.4799642380419</c:v>
                </c:pt>
                <c:pt idx="8">
                  <c:v>1538.2578434475226</c:v>
                </c:pt>
                <c:pt idx="9">
                  <c:v>1338.4446944395465</c:v>
                </c:pt>
                <c:pt idx="10">
                  <c:v>1148.087486654711</c:v>
                </c:pt>
                <c:pt idx="11">
                  <c:v>1110.1623755622068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13-A5D9-45D1-8B03-D574059075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70838711"/>
        <c:axId val="224400807"/>
      </c:scatterChart>
      <c:valAx>
        <c:axId val="1970838711"/>
        <c:scaling>
          <c:orientation val="minMax"/>
          <c:max val="31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4400807"/>
        <c:crosses val="autoZero"/>
        <c:crossBetween val="midCat"/>
      </c:valAx>
      <c:valAx>
        <c:axId val="2244008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08387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rgbClr val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Dyno graph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rgbClr val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rgbClr val="00B0F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'KTM Road speed &amp; Driving Force'!$A$3:$A$14</c:f>
              <c:numCache>
                <c:formatCode>General</c:formatCode>
                <c:ptCount val="12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</c:numCache>
            </c:numRef>
          </c:xVal>
          <c:yVal>
            <c:numRef>
              <c:f>'KTM Road speed &amp; Driving Force'!$C$3:$C$14</c:f>
              <c:numCache>
                <c:formatCode>General</c:formatCode>
                <c:ptCount val="12"/>
                <c:pt idx="0">
                  <c:v>8.9006736721919992</c:v>
                </c:pt>
                <c:pt idx="1">
                  <c:v>14.2410778755072</c:v>
                </c:pt>
                <c:pt idx="2">
                  <c:v>17.801347344383998</c:v>
                </c:pt>
                <c:pt idx="3">
                  <c:v>28.482155751014396</c:v>
                </c:pt>
                <c:pt idx="4">
                  <c:v>29.668912240640005</c:v>
                </c:pt>
                <c:pt idx="5">
                  <c:v>32.55103514401646</c:v>
                </c:pt>
                <c:pt idx="6">
                  <c:v>32.932492587110396</c:v>
                </c:pt>
                <c:pt idx="7">
                  <c:v>35.602694688767997</c:v>
                </c:pt>
                <c:pt idx="8">
                  <c:v>33.466533007441917</c:v>
                </c:pt>
                <c:pt idx="9">
                  <c:v>31.718764359084219</c:v>
                </c:pt>
                <c:pt idx="10">
                  <c:v>29.668912240640005</c:v>
                </c:pt>
                <c:pt idx="11">
                  <c:v>27.386688222129234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16-40A2-86CD-ACF8B309382C}"/>
            </c:ext>
          </c:extLst>
        </c:ser>
        <c:ser>
          <c:idx val="1"/>
          <c:order val="1"/>
          <c:tx>
            <c:v>Horsepower</c:v>
          </c:tx>
          <c:spPr>
            <a:ln w="19050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'KTM Road speed &amp; Driving Force'!$A$3:$A$14</c:f>
              <c:numCache>
                <c:formatCode>General</c:formatCode>
                <c:ptCount val="12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</c:numCache>
            </c:numRef>
          </c:xVal>
          <c:yVal>
            <c:numRef>
              <c:f>'KTM Road speed &amp; Driving Force'!$B$3:$B$14</c:f>
              <c:numCache>
                <c:formatCode>General</c:formatCode>
                <c:ptCount val="12"/>
                <c:pt idx="0">
                  <c:v>2.5</c:v>
                </c:pt>
                <c:pt idx="1">
                  <c:v>6</c:v>
                </c:pt>
                <c:pt idx="2">
                  <c:v>10</c:v>
                </c:pt>
                <c:pt idx="3">
                  <c:v>20</c:v>
                </c:pt>
                <c:pt idx="4">
                  <c:v>25</c:v>
                </c:pt>
                <c:pt idx="5">
                  <c:v>32</c:v>
                </c:pt>
                <c:pt idx="6">
                  <c:v>37</c:v>
                </c:pt>
                <c:pt idx="7">
                  <c:v>45</c:v>
                </c:pt>
                <c:pt idx="8">
                  <c:v>47</c:v>
                </c:pt>
                <c:pt idx="9">
                  <c:v>49</c:v>
                </c:pt>
                <c:pt idx="10">
                  <c:v>50</c:v>
                </c:pt>
                <c:pt idx="11">
                  <c:v>50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616-40A2-86CD-ACF8B30938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2125016"/>
        <c:axId val="391743656"/>
      </c:scatterChart>
      <c:valAx>
        <c:axId val="1572125016"/>
        <c:scaling>
          <c:orientation val="minMax"/>
          <c:max val="15000"/>
          <c:min val="2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1743656"/>
        <c:crosses val="autoZero"/>
        <c:crossBetween val="midCat"/>
      </c:valAx>
      <c:valAx>
        <c:axId val="391743656"/>
        <c:scaling>
          <c:orientation val="minMax"/>
          <c:max val="2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1" i="0" u="none" strike="noStrike" kern="1200" baseline="0">
                    <a:solidFill>
                      <a:srgbClr val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&amp; horsepower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1" i="0" u="none" strike="noStrike" kern="1200" baseline="0">
                  <a:solidFill>
                    <a:srgbClr val="000000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2125016"/>
        <c:crosses val="autoZero"/>
        <c:crossBetween val="midCat"/>
        <c:majorUnit val="25"/>
        <c:minorUnit val="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tmp"/><Relationship Id="rId1" Type="http://schemas.openxmlformats.org/officeDocument/2006/relationships/image" Target="../media/image2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104775</xdr:colOff>
      <xdr:row>0</xdr:row>
      <xdr:rowOff>552450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8082243-A364-57D0-C1E2-2C7F0D507D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14375" cy="552450"/>
        </a:xfrm>
        <a:prstGeom prst="rect">
          <a:avLst/>
        </a:prstGeom>
      </xdr:spPr>
    </xdr:pic>
    <xdr:clientData/>
  </xdr:twoCellAnchor>
  <xdr:twoCellAnchor editAs="oneCell">
    <xdr:from>
      <xdr:col>23</xdr:col>
      <xdr:colOff>542925</xdr:colOff>
      <xdr:row>12</xdr:row>
      <xdr:rowOff>133350</xdr:rowOff>
    </xdr:from>
    <xdr:to>
      <xdr:col>24</xdr:col>
      <xdr:colOff>219075</xdr:colOff>
      <xdr:row>14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D56CF43-1582-A18E-96E6-F7DF2F829753}"/>
            </a:ext>
            <a:ext uri="{147F2762-F138-4A5C-976F-8EAC2B608ADB}">
              <a16:predDERef xmlns:a16="http://schemas.microsoft.com/office/drawing/2014/main" pred="{713A6D93-0D67-4B26-6D63-BF90BA607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3650" y="2800350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571500</xdr:colOff>
      <xdr:row>12</xdr:row>
      <xdr:rowOff>180975</xdr:rowOff>
    </xdr:from>
    <xdr:to>
      <xdr:col>23</xdr:col>
      <xdr:colOff>209550</xdr:colOff>
      <xdr:row>14</xdr:row>
      <xdr:rowOff>66675</xdr:rowOff>
    </xdr:to>
    <xdr:pic>
      <xdr:nvPicPr>
        <xdr:cNvPr id="12" name="Picture 1">
          <a:extLst>
            <a:ext uri="{FF2B5EF4-FFF2-40B4-BE49-F238E27FC236}">
              <a16:creationId xmlns:a16="http://schemas.microsoft.com/office/drawing/2014/main" id="{08BA64A7-D544-445B-BB18-467B19727191}"/>
            </a:ext>
            <a:ext uri="{147F2762-F138-4A5C-976F-8EAC2B608ADB}">
              <a16:predDERef xmlns:a16="http://schemas.microsoft.com/office/drawing/2014/main" pred="{3061ABED-CD7A-A8C7-1297-74D458551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382625" y="2657475"/>
          <a:ext cx="257175" cy="266700"/>
        </a:xfrm>
        <a:prstGeom prst="rect">
          <a:avLst/>
        </a:prstGeom>
      </xdr:spPr>
    </xdr:pic>
    <xdr:clientData/>
  </xdr:twoCellAnchor>
  <xdr:twoCellAnchor editAs="oneCell">
    <xdr:from>
      <xdr:col>23</xdr:col>
      <xdr:colOff>542925</xdr:colOff>
      <xdr:row>13</xdr:row>
      <xdr:rowOff>133350</xdr:rowOff>
    </xdr:from>
    <xdr:to>
      <xdr:col>24</xdr:col>
      <xdr:colOff>219075</xdr:colOff>
      <xdr:row>15</xdr:row>
      <xdr:rowOff>38100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251681C5-FD48-4A8C-878B-52BCEED79054}"/>
            </a:ext>
            <a:ext uri="{147F2762-F138-4A5C-976F-8EAC2B608ADB}">
              <a16:predDERef xmlns:a16="http://schemas.microsoft.com/office/drawing/2014/main" pred="{08BA64A7-D544-445B-BB18-467B19727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3650" y="2800350"/>
          <a:ext cx="285750" cy="285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16</xdr:row>
      <xdr:rowOff>0</xdr:rowOff>
    </xdr:from>
    <xdr:to>
      <xdr:col>8</xdr:col>
      <xdr:colOff>0</xdr:colOff>
      <xdr:row>32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8337BAA-5021-D9BD-C78B-C6A20D8B25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142875</xdr:colOff>
      <xdr:row>16</xdr:row>
      <xdr:rowOff>114300</xdr:rowOff>
    </xdr:from>
    <xdr:to>
      <xdr:col>16</xdr:col>
      <xdr:colOff>447675</xdr:colOff>
      <xdr:row>31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81161ED-C55D-2AF1-B5B6-ECEEC4E5D9B8}"/>
            </a:ext>
            <a:ext uri="{147F2762-F138-4A5C-976F-8EAC2B608ADB}">
              <a16:predDERef xmlns:a16="http://schemas.microsoft.com/office/drawing/2014/main" pred="{E8337BAA-5021-D9BD-C78B-C6A20D8B257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542925</xdr:colOff>
      <xdr:row>12</xdr:row>
      <xdr:rowOff>133350</xdr:rowOff>
    </xdr:from>
    <xdr:to>
      <xdr:col>24</xdr:col>
      <xdr:colOff>219075</xdr:colOff>
      <xdr:row>14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059CBF1-8CDC-4E53-B3D7-E812AB66C029}"/>
            </a:ext>
            <a:ext uri="{147F2762-F138-4A5C-976F-8EAC2B608ADB}">
              <a16:predDERef xmlns:a16="http://schemas.microsoft.com/office/drawing/2014/main" pred="{2BA9C872-4EE4-440C-9A8E-697CBC3218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3250" y="2800350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22</xdr:col>
      <xdr:colOff>571500</xdr:colOff>
      <xdr:row>12</xdr:row>
      <xdr:rowOff>180975</xdr:rowOff>
    </xdr:from>
    <xdr:to>
      <xdr:col>23</xdr:col>
      <xdr:colOff>209550</xdr:colOff>
      <xdr:row>14</xdr:row>
      <xdr:rowOff>66675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D84D32B8-B0F4-4D31-8C97-A961B840BF77}"/>
            </a:ext>
            <a:ext uri="{147F2762-F138-4A5C-976F-8EAC2B608ADB}">
              <a16:predDERef xmlns:a16="http://schemas.microsoft.com/office/drawing/2014/main" pred="{5059CBF1-8CDC-4E53-B3D7-E812AB66C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92225" y="2847975"/>
          <a:ext cx="257175" cy="266700"/>
        </a:xfrm>
        <a:prstGeom prst="rect">
          <a:avLst/>
        </a:prstGeom>
      </xdr:spPr>
    </xdr:pic>
    <xdr:clientData/>
  </xdr:twoCellAnchor>
  <xdr:twoCellAnchor editAs="oneCell">
    <xdr:from>
      <xdr:col>23</xdr:col>
      <xdr:colOff>542925</xdr:colOff>
      <xdr:row>13</xdr:row>
      <xdr:rowOff>133350</xdr:rowOff>
    </xdr:from>
    <xdr:to>
      <xdr:col>24</xdr:col>
      <xdr:colOff>219075</xdr:colOff>
      <xdr:row>15</xdr:row>
      <xdr:rowOff>38100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5CE48136-3D13-4B6A-9430-1C26E1FEC194}"/>
            </a:ext>
            <a:ext uri="{147F2762-F138-4A5C-976F-8EAC2B608ADB}">
              <a16:predDERef xmlns:a16="http://schemas.microsoft.com/office/drawing/2014/main" pred="{D84D32B8-B0F4-4D31-8C97-A961B840B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573250" y="2990850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</xdr:colOff>
      <xdr:row>0</xdr:row>
      <xdr:rowOff>9525</xdr:rowOff>
    </xdr:from>
    <xdr:to>
      <xdr:col>2</xdr:col>
      <xdr:colOff>180975</xdr:colOff>
      <xdr:row>0</xdr:row>
      <xdr:rowOff>542925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F1C358F-4B0D-BAD5-807A-33BCA83694F0}"/>
            </a:ext>
            <a:ext uri="{147F2762-F138-4A5C-976F-8EAC2B608ADB}">
              <a16:predDERef xmlns:a16="http://schemas.microsoft.com/office/drawing/2014/main" pred="{5CE48136-3D13-4B6A-9430-1C26E1FEC1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5" y="9525"/>
          <a:ext cx="1390650" cy="533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16</xdr:row>
      <xdr:rowOff>0</xdr:rowOff>
    </xdr:from>
    <xdr:to>
      <xdr:col>8</xdr:col>
      <xdr:colOff>0</xdr:colOff>
      <xdr:row>32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63F159-3CAE-40D5-9435-671CE60BC5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www.manua.ls/bmw/s-1000-rr-2018/manual?p=21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ownersmanuals2.com/ktm/350-exc-f-2022-owners-manual-83199/page-14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cloudfront-us-east-1.images.arcpublishing.com/octane/7LUNSV4GOFGSXDQCBI5R6C3NT4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9"/>
  <sheetViews>
    <sheetView topLeftCell="T1" workbookViewId="0">
      <selection activeCell="AA12" sqref="AA12"/>
    </sheetView>
  </sheetViews>
  <sheetFormatPr defaultRowHeight="15"/>
  <cols>
    <col min="4" max="4" width="9.28515625" bestFit="1" customWidth="1"/>
    <col min="23" max="23" width="9.28515625" bestFit="1" customWidth="1"/>
  </cols>
  <sheetData>
    <row r="1" spans="1:27" ht="45" customHeigh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</row>
    <row r="4" spans="1:27">
      <c r="B4" s="45" t="s">
        <v>1</v>
      </c>
      <c r="C4" s="46"/>
      <c r="D4" s="46"/>
      <c r="E4" s="46"/>
      <c r="F4" s="46"/>
      <c r="G4" s="46"/>
      <c r="H4" s="47"/>
      <c r="K4" s="45" t="s">
        <v>2</v>
      </c>
      <c r="L4" s="53"/>
      <c r="M4" s="53"/>
      <c r="N4" s="53"/>
      <c r="O4" s="53"/>
      <c r="P4" s="53"/>
      <c r="Q4" s="53"/>
      <c r="R4" s="54"/>
      <c r="S4" s="16"/>
      <c r="U4" s="37" t="s">
        <v>3</v>
      </c>
      <c r="V4" s="38"/>
      <c r="W4" s="38"/>
      <c r="X4" s="38"/>
      <c r="Y4" s="38"/>
      <c r="Z4" s="39"/>
    </row>
    <row r="5" spans="1:27">
      <c r="B5" s="48"/>
      <c r="C5" s="49"/>
      <c r="D5" s="49"/>
      <c r="E5" s="49"/>
      <c r="F5" s="49"/>
      <c r="G5" s="49"/>
      <c r="H5" s="50"/>
      <c r="K5" s="55"/>
      <c r="L5" s="44"/>
      <c r="M5" s="44"/>
      <c r="N5" s="44"/>
      <c r="O5" s="44"/>
      <c r="P5" s="44"/>
      <c r="Q5" s="44"/>
      <c r="R5" s="56"/>
      <c r="S5" s="16"/>
      <c r="U5" s="40"/>
      <c r="V5" s="41"/>
      <c r="W5" s="41"/>
      <c r="X5" s="41"/>
      <c r="Y5" s="41"/>
      <c r="Z5" s="42"/>
    </row>
    <row r="6" spans="1:27">
      <c r="B6" s="2"/>
      <c r="H6" s="3"/>
      <c r="K6" s="2"/>
      <c r="O6" s="36"/>
      <c r="P6" s="36"/>
      <c r="R6" s="3"/>
      <c r="U6" s="2"/>
      <c r="W6" s="4"/>
      <c r="X6" s="4"/>
      <c r="Y6" s="4"/>
      <c r="Z6" s="3"/>
    </row>
    <row r="7" spans="1:27">
      <c r="B7" s="14" t="s">
        <v>4</v>
      </c>
      <c r="C7">
        <v>46</v>
      </c>
      <c r="D7">
        <v>76</v>
      </c>
      <c r="H7" s="3"/>
      <c r="K7" s="2"/>
      <c r="M7" s="35" t="s">
        <v>5</v>
      </c>
      <c r="N7" s="35"/>
      <c r="O7" s="35" t="s">
        <v>6</v>
      </c>
      <c r="P7" s="35"/>
      <c r="R7" s="3"/>
      <c r="U7" s="2"/>
      <c r="W7" s="4" t="s">
        <v>7</v>
      </c>
      <c r="X7" s="4" t="s">
        <v>8</v>
      </c>
      <c r="Y7" s="4" t="s">
        <v>9</v>
      </c>
      <c r="Z7" s="3"/>
    </row>
    <row r="8" spans="1:27">
      <c r="B8" s="14" t="s">
        <v>10</v>
      </c>
      <c r="C8">
        <v>17</v>
      </c>
      <c r="D8">
        <v>45</v>
      </c>
      <c r="H8" s="3"/>
      <c r="K8" s="51" t="s">
        <v>11</v>
      </c>
      <c r="L8" s="52"/>
      <c r="M8" s="36">
        <v>106</v>
      </c>
      <c r="N8" s="36"/>
      <c r="O8" s="36">
        <v>134</v>
      </c>
      <c r="P8" s="36"/>
      <c r="R8" s="3"/>
      <c r="U8" s="34" t="s">
        <v>12</v>
      </c>
      <c r="V8" s="35"/>
      <c r="W8">
        <v>272</v>
      </c>
      <c r="X8" t="s">
        <v>13</v>
      </c>
      <c r="Y8" t="s">
        <v>14</v>
      </c>
      <c r="Z8" s="3"/>
    </row>
    <row r="9" spans="1:27">
      <c r="B9" s="14"/>
      <c r="H9" s="3"/>
      <c r="K9" s="26" t="s">
        <v>15</v>
      </c>
      <c r="L9" s="27"/>
      <c r="M9" s="36">
        <v>99</v>
      </c>
      <c r="N9" s="36"/>
      <c r="O9" s="36">
        <v>138.94999999999999</v>
      </c>
      <c r="P9" s="36"/>
      <c r="R9" s="3"/>
      <c r="U9" s="34" t="s">
        <v>16</v>
      </c>
      <c r="V9" s="35"/>
      <c r="W9" s="33">
        <v>0.43819232000000002</v>
      </c>
      <c r="X9" t="s">
        <v>17</v>
      </c>
      <c r="Y9" t="s">
        <v>18</v>
      </c>
      <c r="Z9" s="3"/>
    </row>
    <row r="10" spans="1:27">
      <c r="B10" s="14" t="s">
        <v>19</v>
      </c>
      <c r="C10" t="s">
        <v>20</v>
      </c>
      <c r="D10">
        <v>0.63984375000000004</v>
      </c>
      <c r="E10" t="s">
        <v>21</v>
      </c>
      <c r="H10" s="3"/>
      <c r="K10" s="34" t="s">
        <v>22</v>
      </c>
      <c r="L10" s="35"/>
      <c r="M10" s="36">
        <f>M8+M9</f>
        <v>205</v>
      </c>
      <c r="N10" s="36"/>
      <c r="O10" s="36">
        <f>O8+O9</f>
        <v>272.95</v>
      </c>
      <c r="P10" s="36"/>
      <c r="R10" s="3"/>
      <c r="U10" s="34" t="s">
        <v>23</v>
      </c>
      <c r="V10" s="35"/>
      <c r="W10">
        <v>0.75</v>
      </c>
      <c r="Y10" t="s">
        <v>24</v>
      </c>
      <c r="Z10" s="3"/>
    </row>
    <row r="11" spans="1:27">
      <c r="B11" s="14" t="s">
        <v>25</v>
      </c>
      <c r="C11">
        <v>14200</v>
      </c>
      <c r="H11" s="3"/>
      <c r="K11" s="51"/>
      <c r="L11" s="52"/>
      <c r="M11" s="36" t="s">
        <v>26</v>
      </c>
      <c r="N11" s="36"/>
      <c r="O11" s="36" t="s">
        <v>27</v>
      </c>
      <c r="P11" s="36"/>
      <c r="R11" s="3"/>
      <c r="U11" s="34" t="s">
        <v>28</v>
      </c>
      <c r="V11" s="35"/>
      <c r="W11">
        <f>F25/3.6</f>
        <v>86.272301498529657</v>
      </c>
      <c r="X11" t="s">
        <v>29</v>
      </c>
      <c r="Y11" t="s">
        <v>30</v>
      </c>
      <c r="Z11" s="3"/>
    </row>
    <row r="12" spans="1:27">
      <c r="B12" s="2"/>
      <c r="H12" s="3"/>
      <c r="K12" s="51" t="s">
        <v>11</v>
      </c>
      <c r="L12" s="52"/>
      <c r="M12" s="36">
        <v>113.8</v>
      </c>
      <c r="N12" s="36"/>
      <c r="O12" s="36">
        <v>149.69999999999999</v>
      </c>
      <c r="P12" s="36"/>
      <c r="R12" s="3"/>
      <c r="U12" s="34" t="s">
        <v>31</v>
      </c>
      <c r="V12" s="35"/>
      <c r="W12" s="28">
        <v>1.167</v>
      </c>
      <c r="X12" t="s">
        <v>32</v>
      </c>
      <c r="Y12" t="s">
        <v>33</v>
      </c>
      <c r="Z12" s="3"/>
    </row>
    <row r="13" spans="1:27">
      <c r="B13" s="34" t="s">
        <v>34</v>
      </c>
      <c r="C13" s="35"/>
      <c r="F13" s="4" t="s">
        <v>35</v>
      </c>
      <c r="G13" s="4" t="s">
        <v>36</v>
      </c>
      <c r="H13" s="5" t="s">
        <v>37</v>
      </c>
      <c r="K13" s="51" t="s">
        <v>15</v>
      </c>
      <c r="L13" s="52"/>
      <c r="M13" s="36">
        <f>117.1-M21</f>
        <v>91.199999999999989</v>
      </c>
      <c r="N13" s="36"/>
      <c r="O13" s="36">
        <f>151-M21</f>
        <v>125.1</v>
      </c>
      <c r="P13" s="36"/>
      <c r="R13" s="3"/>
      <c r="U13" s="34" t="s">
        <v>38</v>
      </c>
      <c r="V13" s="35"/>
      <c r="W13">
        <v>9.81</v>
      </c>
      <c r="X13" t="s">
        <v>39</v>
      </c>
      <c r="Y13" t="s">
        <v>40</v>
      </c>
      <c r="Z13" s="3"/>
    </row>
    <row r="14" spans="1:27">
      <c r="B14" s="2"/>
      <c r="H14" s="3"/>
      <c r="K14" s="34" t="s">
        <v>22</v>
      </c>
      <c r="L14" s="35"/>
      <c r="M14" s="36">
        <f>M12+M13</f>
        <v>205</v>
      </c>
      <c r="N14" s="36"/>
      <c r="O14" s="36">
        <f>O12+O13</f>
        <v>274.79999999999995</v>
      </c>
      <c r="P14" s="36"/>
      <c r="R14" s="3"/>
      <c r="U14" s="34" t="s">
        <v>41</v>
      </c>
      <c r="V14" s="35"/>
      <c r="W14">
        <v>0</v>
      </c>
      <c r="Z14" s="3"/>
    </row>
    <row r="15" spans="1:27">
      <c r="B15" s="14" t="s">
        <v>42</v>
      </c>
      <c r="C15">
        <v>17</v>
      </c>
      <c r="D15">
        <v>45</v>
      </c>
      <c r="F15" s="4">
        <f>(C11*60*(C15/D15)*D10*PI()*( C7/D7)/1000)*(C8/D8)</f>
        <v>147.9382422218265</v>
      </c>
      <c r="G15" s="4">
        <f>C11</f>
        <v>14200</v>
      </c>
      <c r="H15" s="5"/>
      <c r="K15" s="2"/>
      <c r="R15" s="3"/>
      <c r="U15" s="34" t="s">
        <v>41</v>
      </c>
      <c r="V15" s="35"/>
      <c r="W15">
        <f>RADIANS(W14)</f>
        <v>0</v>
      </c>
      <c r="X15" t="s">
        <v>43</v>
      </c>
      <c r="Z15" s="3"/>
    </row>
    <row r="16" spans="1:27">
      <c r="B16" s="14"/>
      <c r="F16" s="4"/>
      <c r="G16" s="6">
        <f>G15*(C15/D15)*(D17/C17)</f>
        <v>11216.565656565655</v>
      </c>
      <c r="H16" s="7">
        <f>G15-(G15*(C15/D15)*(D17/C17))</f>
        <v>2983.4343434343446</v>
      </c>
      <c r="I16" t="s">
        <v>44</v>
      </c>
      <c r="K16" s="51" t="s">
        <v>45</v>
      </c>
      <c r="L16" s="52"/>
      <c r="M16">
        <v>1.4339999999999999</v>
      </c>
      <c r="N16" t="s">
        <v>21</v>
      </c>
      <c r="O16" s="52" t="s">
        <v>46</v>
      </c>
      <c r="P16" s="52"/>
      <c r="Q16">
        <f>O10-Q17</f>
        <v>67.949999999999989</v>
      </c>
      <c r="R16" s="3" t="s">
        <v>13</v>
      </c>
      <c r="U16" s="2"/>
      <c r="Z16" s="3"/>
    </row>
    <row r="17" spans="2:26">
      <c r="B17" s="14" t="s">
        <v>47</v>
      </c>
      <c r="C17">
        <v>22</v>
      </c>
      <c r="D17">
        <v>46</v>
      </c>
      <c r="F17" s="8">
        <f>(C11*60*(C17/D17)*D10*PI()*( C7/D7)/1000)*(C8/D8)</f>
        <v>187.28754450077781</v>
      </c>
      <c r="G17" s="4">
        <f>C11</f>
        <v>14200</v>
      </c>
      <c r="H17" s="5"/>
      <c r="K17" s="51" t="s">
        <v>48</v>
      </c>
      <c r="L17" s="52"/>
      <c r="M17">
        <f>G32</f>
        <v>0.31992187500000002</v>
      </c>
      <c r="N17" t="s">
        <v>21</v>
      </c>
      <c r="O17" s="52" t="s">
        <v>49</v>
      </c>
      <c r="P17" s="52"/>
      <c r="Q17">
        <f>M10</f>
        <v>205</v>
      </c>
      <c r="R17" s="3"/>
      <c r="U17" s="2"/>
      <c r="Z17" s="3"/>
    </row>
    <row r="18" spans="2:26">
      <c r="B18" s="14"/>
      <c r="F18" s="4"/>
      <c r="G18" s="6">
        <f>G17*(C17/D17)*(D19/C19)</f>
        <v>11730.434782608696</v>
      </c>
      <c r="H18" s="7">
        <f>G17-(G17*(C17/D17)*(D19/C19))</f>
        <v>2469.565217391304</v>
      </c>
      <c r="K18" s="51" t="s">
        <v>50</v>
      </c>
      <c r="L18" s="52"/>
      <c r="M18">
        <f>G33</f>
        <v>0.29453125000000002</v>
      </c>
      <c r="O18" s="52" t="s">
        <v>51</v>
      </c>
      <c r="P18" s="52"/>
      <c r="Q18">
        <f>Q16+Q17</f>
        <v>272.95</v>
      </c>
      <c r="R18" s="3"/>
      <c r="U18" s="34" t="s">
        <v>52</v>
      </c>
      <c r="V18" s="35"/>
      <c r="W18">
        <f>SUM(0.5*W12*W10*W9*(W11*W11))</f>
        <v>1427.2815545698897</v>
      </c>
      <c r="X18" t="s">
        <v>53</v>
      </c>
      <c r="Y18" t="s">
        <v>54</v>
      </c>
      <c r="Z18" s="3"/>
    </row>
    <row r="19" spans="2:26">
      <c r="B19" s="14" t="s">
        <v>55</v>
      </c>
      <c r="C19">
        <v>22</v>
      </c>
      <c r="D19">
        <v>38</v>
      </c>
      <c r="F19" s="4">
        <f>(C11*60*(C19/D19)*D10*PI()*( C7/D7)/1000)*(C8/D8)</f>
        <v>226.71650123778366</v>
      </c>
      <c r="G19" s="4">
        <f>C11</f>
        <v>14200</v>
      </c>
      <c r="H19" s="5"/>
      <c r="K19" s="51" t="s">
        <v>56</v>
      </c>
      <c r="L19" s="52"/>
      <c r="M19">
        <f>(M17+M18)/2</f>
        <v>0.30722656250000002</v>
      </c>
      <c r="R19" s="3"/>
      <c r="U19" s="34" t="s">
        <v>57</v>
      </c>
      <c r="V19" s="35"/>
      <c r="W19">
        <f>SUM(0.02*W8*W13)</f>
        <v>53.366400000000006</v>
      </c>
      <c r="X19" t="s">
        <v>53</v>
      </c>
      <c r="Y19" t="s">
        <v>58</v>
      </c>
      <c r="Z19" s="3"/>
    </row>
    <row r="20" spans="2:26">
      <c r="B20" s="14"/>
      <c r="F20" s="4"/>
      <c r="G20" s="6">
        <f>G19*(C19/D19)*(D21/C21)</f>
        <v>12331.578947368424</v>
      </c>
      <c r="H20" s="7">
        <f>G19-(G19*(C19/D19)*(D21/C21))</f>
        <v>1868.4210526315765</v>
      </c>
      <c r="K20" s="51" t="s">
        <v>59</v>
      </c>
      <c r="L20" s="52"/>
      <c r="M20">
        <v>0.35099999999999998</v>
      </c>
      <c r="N20" t="s">
        <v>21</v>
      </c>
      <c r="R20" s="3"/>
      <c r="U20" s="34" t="s">
        <v>60</v>
      </c>
      <c r="V20" s="35"/>
      <c r="W20">
        <f>SUM(W8*W13*(SIN(W15)))</f>
        <v>0</v>
      </c>
      <c r="X20" t="s">
        <v>53</v>
      </c>
      <c r="Y20" t="s">
        <v>61</v>
      </c>
      <c r="Z20" s="3"/>
    </row>
    <row r="21" spans="2:26">
      <c r="B21" s="14" t="s">
        <v>62</v>
      </c>
      <c r="C21">
        <v>22</v>
      </c>
      <c r="D21">
        <v>33</v>
      </c>
      <c r="F21" s="4">
        <f>(C11*60*(C21/D21)*D10*PI()*( C7/D7)/1000)*(C8/D8)</f>
        <v>261.06748627381148</v>
      </c>
      <c r="G21" s="4">
        <f>C11</f>
        <v>14200</v>
      </c>
      <c r="H21" s="5"/>
      <c r="K21" s="14" t="s">
        <v>63</v>
      </c>
      <c r="L21" s="4"/>
      <c r="M21">
        <v>25.9</v>
      </c>
      <c r="N21" t="s">
        <v>13</v>
      </c>
      <c r="R21" s="3"/>
      <c r="U21" s="2"/>
      <c r="Z21" s="3"/>
    </row>
    <row r="22" spans="2:26">
      <c r="B22" s="14"/>
      <c r="F22" s="4"/>
      <c r="G22" s="6">
        <f>G21*(C21/D21)*(D23/C23)</f>
        <v>12874.666666666666</v>
      </c>
      <c r="H22" s="7">
        <f>G21-(G21*(C21/D21)*(D23/C23))</f>
        <v>1325.3333333333339</v>
      </c>
      <c r="K22" s="14" t="s">
        <v>64</v>
      </c>
      <c r="L22" s="4"/>
      <c r="M22">
        <f>DEGREES(ASIN(M20/M16))</f>
        <v>14.168234438115604</v>
      </c>
      <c r="R22" s="3"/>
      <c r="U22" s="34" t="s">
        <v>65</v>
      </c>
      <c r="V22" s="35"/>
      <c r="W22">
        <f>SUM(W18:W20)</f>
        <v>1480.6479545698899</v>
      </c>
      <c r="X22" t="s">
        <v>53</v>
      </c>
      <c r="Y22" t="s">
        <v>66</v>
      </c>
      <c r="Z22" s="3"/>
    </row>
    <row r="23" spans="2:26">
      <c r="B23" s="14" t="s">
        <v>67</v>
      </c>
      <c r="C23">
        <v>25</v>
      </c>
      <c r="D23">
        <v>34</v>
      </c>
      <c r="F23" s="4">
        <f>(C11*60*(C23/D23)*D10*PI()*( C7/D7)/1000)*(C8/D8)</f>
        <v>287.94208044905685</v>
      </c>
      <c r="G23" s="4">
        <f>C11</f>
        <v>14200</v>
      </c>
      <c r="H23" s="5"/>
      <c r="K23" s="2"/>
      <c r="R23" s="3"/>
      <c r="U23" s="2"/>
      <c r="Z23" s="3"/>
    </row>
    <row r="24" spans="2:26">
      <c r="B24" s="14"/>
      <c r="F24" s="4"/>
      <c r="G24" s="6">
        <f>G23*(C23/D23)*(D25/C25)</f>
        <v>13164.961636828646</v>
      </c>
      <c r="H24" s="7">
        <f>G23-(G23*(C23/D23)*(D25/C25))</f>
        <v>1035.0383631713539</v>
      </c>
      <c r="K24" s="57" t="s">
        <v>68</v>
      </c>
      <c r="L24" s="44"/>
      <c r="M24" s="44"/>
      <c r="N24" s="44"/>
      <c r="O24" s="44"/>
      <c r="P24" s="44"/>
      <c r="Q24" s="44"/>
      <c r="R24" s="56"/>
      <c r="S24" s="16"/>
      <c r="U24" s="34" t="s">
        <v>69</v>
      </c>
      <c r="V24" s="35"/>
      <c r="W24">
        <f>SUM(W22*W11)</f>
        <v>127738.90674983479</v>
      </c>
      <c r="X24" t="s">
        <v>70</v>
      </c>
      <c r="Y24" t="s">
        <v>71</v>
      </c>
      <c r="Z24" s="3"/>
    </row>
    <row r="25" spans="2:26">
      <c r="B25" s="15" t="s">
        <v>72</v>
      </c>
      <c r="C25" s="10">
        <v>23</v>
      </c>
      <c r="D25" s="10">
        <v>29</v>
      </c>
      <c r="E25" s="10"/>
      <c r="F25" s="11">
        <f>(C11*60*(C25/D25)*D10*PI()*( C7/D7)/1000)*(C8/D8)</f>
        <v>310.58028539470678</v>
      </c>
      <c r="G25" s="11">
        <f>C11</f>
        <v>14200</v>
      </c>
      <c r="H25" s="12"/>
      <c r="K25" s="55"/>
      <c r="L25" s="44"/>
      <c r="M25" s="44"/>
      <c r="N25" s="44"/>
      <c r="O25" s="44"/>
      <c r="P25" s="44"/>
      <c r="Q25" s="44"/>
      <c r="R25" s="56"/>
      <c r="S25" s="16"/>
      <c r="U25" s="2"/>
      <c r="W25">
        <f>W24/1000</f>
        <v>127.73890674983478</v>
      </c>
      <c r="X25" t="s">
        <v>73</v>
      </c>
      <c r="Y25" t="s">
        <v>71</v>
      </c>
      <c r="Z25" s="3"/>
    </row>
    <row r="26" spans="2:26">
      <c r="C26" s="1" t="s">
        <v>74</v>
      </c>
      <c r="K26" s="2"/>
      <c r="R26" s="3"/>
      <c r="U26" s="2"/>
      <c r="W26">
        <f>W24*0.00134</f>
        <v>171.17013504477862</v>
      </c>
      <c r="X26" s="36" t="s">
        <v>75</v>
      </c>
      <c r="Y26" s="36"/>
      <c r="Z26" s="3"/>
    </row>
    <row r="27" spans="2:26">
      <c r="K27" s="2"/>
      <c r="M27" t="s">
        <v>76</v>
      </c>
      <c r="N27" t="s">
        <v>77</v>
      </c>
      <c r="Q27" t="s">
        <v>78</v>
      </c>
      <c r="R27" s="3" t="s">
        <v>79</v>
      </c>
      <c r="U27" s="9"/>
      <c r="V27" s="10"/>
      <c r="W27" s="10"/>
      <c r="X27" s="10"/>
      <c r="Y27" s="10"/>
      <c r="Z27" s="13"/>
    </row>
    <row r="28" spans="2:26">
      <c r="B28" s="45" t="s">
        <v>80</v>
      </c>
      <c r="C28" s="53"/>
      <c r="D28" s="53"/>
      <c r="E28" s="53"/>
      <c r="F28" s="53"/>
      <c r="G28" s="53"/>
      <c r="H28" s="54"/>
      <c r="K28" s="58" t="s">
        <v>81</v>
      </c>
      <c r="L28" s="36"/>
      <c r="M28">
        <f>(M16-Q28)/M16*100</f>
        <v>51.707317073170721</v>
      </c>
      <c r="N28">
        <f>(Q28/M16)*100</f>
        <v>48.292682926829272</v>
      </c>
      <c r="P28" t="s">
        <v>82</v>
      </c>
      <c r="Q28">
        <f>(M9*M16)/Q17</f>
        <v>0.69251707317073175</v>
      </c>
      <c r="R28" s="3">
        <f>(O9*M16)/Q18</f>
        <v>0.73000293093973245</v>
      </c>
    </row>
    <row r="29" spans="2:26">
      <c r="B29" s="55"/>
      <c r="C29" s="44"/>
      <c r="D29" s="44"/>
      <c r="E29" s="44"/>
      <c r="F29" s="44"/>
      <c r="G29" s="44"/>
      <c r="H29" s="56"/>
      <c r="K29" s="58" t="s">
        <v>79</v>
      </c>
      <c r="L29" s="36"/>
      <c r="M29">
        <f>(M16-R28)/M16*100</f>
        <v>49.093240520241807</v>
      </c>
      <c r="N29">
        <f>(R28/M16)*100</f>
        <v>50.906759479758193</v>
      </c>
      <c r="R29" s="3"/>
    </row>
    <row r="30" spans="2:26">
      <c r="B30" s="14"/>
      <c r="H30" s="3"/>
      <c r="K30" s="2"/>
      <c r="Q30" t="s">
        <v>78</v>
      </c>
      <c r="R30" s="3" t="s">
        <v>79</v>
      </c>
    </row>
    <row r="31" spans="2:26">
      <c r="B31" s="14" t="s">
        <v>83</v>
      </c>
      <c r="C31" s="4" t="s">
        <v>84</v>
      </c>
      <c r="D31" s="4" t="s">
        <v>85</v>
      </c>
      <c r="E31" s="4" t="s">
        <v>86</v>
      </c>
      <c r="F31" s="4" t="s">
        <v>87</v>
      </c>
      <c r="G31" s="4" t="s">
        <v>88</v>
      </c>
      <c r="H31" s="3"/>
      <c r="K31" s="2"/>
      <c r="P31" t="s">
        <v>89</v>
      </c>
      <c r="Q31">
        <f>((M16*(M9-M13))/(Q17*(TAN(RADIANS(M22)))))+M19</f>
        <v>0.52335709080068626</v>
      </c>
      <c r="R31" s="3">
        <f>((M16*(O9-O13))/(Q18*(TAN(RADIANS(M22)))))+M19</f>
        <v>0.59545846487609144</v>
      </c>
    </row>
    <row r="32" spans="2:26">
      <c r="B32" s="14" t="s">
        <v>20</v>
      </c>
      <c r="C32">
        <v>200</v>
      </c>
      <c r="D32">
        <v>55</v>
      </c>
      <c r="E32">
        <v>17</v>
      </c>
      <c r="F32">
        <f>((((C32/25.6*D32/100+E32/2)*2*PI())*25)/PI())/1000</f>
        <v>0.63984375000000004</v>
      </c>
      <c r="G32">
        <f>F32/2</f>
        <v>0.31992187500000002</v>
      </c>
      <c r="H32" s="3"/>
      <c r="K32" s="2"/>
      <c r="R32" s="3"/>
    </row>
    <row r="33" spans="2:18">
      <c r="B33" s="15" t="s">
        <v>90</v>
      </c>
      <c r="C33" s="10">
        <v>120</v>
      </c>
      <c r="D33" s="10">
        <v>70</v>
      </c>
      <c r="E33" s="10">
        <v>17</v>
      </c>
      <c r="F33" s="10">
        <f>((((C33/25.6*D33/100+E33/2)*2*PI())*25)/PI())/1000</f>
        <v>0.58906250000000004</v>
      </c>
      <c r="G33" s="10">
        <f>F33/2</f>
        <v>0.29453125000000002</v>
      </c>
      <c r="H33" s="13"/>
      <c r="K33" s="9"/>
      <c r="L33" s="10"/>
      <c r="M33" s="10"/>
      <c r="N33" s="10"/>
      <c r="O33" s="10"/>
      <c r="P33" s="10"/>
      <c r="Q33" s="10"/>
      <c r="R33" s="13"/>
    </row>
    <row r="35" spans="2:18">
      <c r="B35" s="82"/>
      <c r="C35" s="82"/>
      <c r="D35" s="82"/>
      <c r="E35" s="82"/>
      <c r="F35" s="82"/>
      <c r="G35" s="82"/>
      <c r="H35" s="82"/>
      <c r="I35" s="81"/>
    </row>
    <row r="36" spans="2:18">
      <c r="B36" s="82"/>
      <c r="C36" s="82"/>
      <c r="D36" s="82"/>
      <c r="E36" s="82"/>
      <c r="F36" s="82"/>
      <c r="G36" s="82"/>
      <c r="H36" s="82"/>
      <c r="I36" s="81"/>
    </row>
    <row r="37" spans="2:18">
      <c r="B37" s="83"/>
      <c r="C37" s="83"/>
      <c r="D37" s="83"/>
      <c r="E37" s="83"/>
      <c r="F37" s="83"/>
      <c r="G37" s="83"/>
      <c r="H37" s="83"/>
      <c r="I37" s="81"/>
    </row>
    <row r="38" spans="2:18">
      <c r="B38" s="84"/>
      <c r="C38" s="84"/>
      <c r="D38" s="83"/>
      <c r="E38" s="83"/>
      <c r="F38" s="83"/>
      <c r="G38" s="83"/>
      <c r="H38" s="83"/>
      <c r="I38" s="81"/>
    </row>
    <row r="39" spans="2:18">
      <c r="B39" s="84"/>
      <c r="C39" s="84"/>
      <c r="D39" s="83"/>
      <c r="E39" s="83"/>
      <c r="F39" s="83"/>
      <c r="G39" s="83"/>
      <c r="H39" s="83"/>
      <c r="I39" s="81"/>
    </row>
    <row r="40" spans="2:18">
      <c r="B40" s="84"/>
      <c r="C40" s="84"/>
      <c r="D40" s="83"/>
      <c r="E40" s="83"/>
      <c r="F40" s="83"/>
      <c r="G40" s="83"/>
      <c r="H40" s="83"/>
      <c r="I40" s="81"/>
    </row>
    <row r="41" spans="2:18">
      <c r="B41" s="84"/>
      <c r="C41" s="84"/>
      <c r="D41" s="83"/>
      <c r="E41" s="83"/>
      <c r="F41" s="83"/>
      <c r="G41" s="83"/>
      <c r="H41" s="83"/>
      <c r="I41" s="81"/>
    </row>
    <row r="42" spans="2:18">
      <c r="B42" s="84"/>
      <c r="C42" s="84"/>
      <c r="D42" s="83"/>
      <c r="E42" s="83"/>
      <c r="F42" s="83"/>
      <c r="G42" s="83"/>
      <c r="H42" s="83"/>
      <c r="I42" s="81"/>
    </row>
    <row r="43" spans="2:18">
      <c r="B43" s="84"/>
      <c r="C43" s="84"/>
      <c r="D43" s="83"/>
      <c r="E43" s="83"/>
      <c r="F43" s="83"/>
      <c r="G43" s="83"/>
      <c r="H43" s="83"/>
      <c r="I43" s="81"/>
    </row>
    <row r="44" spans="2:18">
      <c r="B44" s="83"/>
      <c r="C44" s="83"/>
      <c r="D44" s="83"/>
      <c r="E44" s="83"/>
      <c r="F44" s="83"/>
      <c r="G44" s="83"/>
      <c r="H44" s="83"/>
      <c r="I44" s="81"/>
    </row>
    <row r="45" spans="2:18">
      <c r="B45" s="83"/>
      <c r="C45" s="83"/>
      <c r="D45" s="83"/>
      <c r="E45" s="83"/>
      <c r="F45" s="83"/>
      <c r="G45" s="83"/>
      <c r="H45" s="83"/>
      <c r="I45" s="81"/>
    </row>
    <row r="46" spans="2:18">
      <c r="B46" s="85"/>
      <c r="C46" s="85"/>
      <c r="D46" s="85"/>
      <c r="E46" s="85"/>
      <c r="F46" s="85"/>
      <c r="G46" s="85"/>
      <c r="H46" s="85"/>
    </row>
    <row r="49" spans="2:2">
      <c r="B49" s="1"/>
    </row>
  </sheetData>
  <mergeCells count="61">
    <mergeCell ref="B35:H36"/>
    <mergeCell ref="B43:C43"/>
    <mergeCell ref="B42:C42"/>
    <mergeCell ref="B41:C41"/>
    <mergeCell ref="B40:C40"/>
    <mergeCell ref="B39:C39"/>
    <mergeCell ref="B38:C38"/>
    <mergeCell ref="K19:L19"/>
    <mergeCell ref="O7:P7"/>
    <mergeCell ref="O16:P16"/>
    <mergeCell ref="O17:P17"/>
    <mergeCell ref="O18:P18"/>
    <mergeCell ref="K17:L17"/>
    <mergeCell ref="K18:L18"/>
    <mergeCell ref="O13:P13"/>
    <mergeCell ref="K12:L12"/>
    <mergeCell ref="B28:H29"/>
    <mergeCell ref="K4:R5"/>
    <mergeCell ref="K24:R25"/>
    <mergeCell ref="K29:L29"/>
    <mergeCell ref="K28:L28"/>
    <mergeCell ref="K14:L14"/>
    <mergeCell ref="K20:L20"/>
    <mergeCell ref="K16:L16"/>
    <mergeCell ref="M14:N14"/>
    <mergeCell ref="O14:P14"/>
    <mergeCell ref="O9:P9"/>
    <mergeCell ref="K10:L10"/>
    <mergeCell ref="K13:L13"/>
    <mergeCell ref="M10:N10"/>
    <mergeCell ref="O10:P10"/>
    <mergeCell ref="M13:N13"/>
    <mergeCell ref="A1:AA1"/>
    <mergeCell ref="B13:C13"/>
    <mergeCell ref="B4:H5"/>
    <mergeCell ref="K8:L8"/>
    <mergeCell ref="K11:L11"/>
    <mergeCell ref="O6:P6"/>
    <mergeCell ref="M7:N7"/>
    <mergeCell ref="M8:N8"/>
    <mergeCell ref="O8:P8"/>
    <mergeCell ref="M9:N9"/>
    <mergeCell ref="M11:N11"/>
    <mergeCell ref="M12:N12"/>
    <mergeCell ref="O12:P12"/>
    <mergeCell ref="O11:P11"/>
    <mergeCell ref="U15:V15"/>
    <mergeCell ref="U24:V24"/>
    <mergeCell ref="X26:Y26"/>
    <mergeCell ref="U4:Z5"/>
    <mergeCell ref="U18:V18"/>
    <mergeCell ref="U19:V19"/>
    <mergeCell ref="U20:V20"/>
    <mergeCell ref="U22:V22"/>
    <mergeCell ref="U12:V12"/>
    <mergeCell ref="U13:V13"/>
    <mergeCell ref="U14:V14"/>
    <mergeCell ref="U8:V8"/>
    <mergeCell ref="U9:V9"/>
    <mergeCell ref="U10:V10"/>
    <mergeCell ref="U11:V11"/>
  </mergeCells>
  <dataValidations count="3">
    <dataValidation type="list" allowBlank="1" showInputMessage="1" showErrorMessage="1" sqref="C8" xr:uid="{CD483D3F-37A8-4840-ABE0-90FCFF697590}">
      <formula1>"11,12,13,14,15,16,17"</formula1>
    </dataValidation>
    <dataValidation type="list" allowBlank="1" showInputMessage="1" showErrorMessage="1" sqref="D8" xr:uid="{1B0EC429-3A0F-4F2F-82AF-817A611333E2}">
      <formula1>"35,36,37,38,39,40,41,42,43,44,45,46,47,48,49,50"</formula1>
    </dataValidation>
    <dataValidation allowBlank="1" showInputMessage="1" showErrorMessage="1" sqref="C11" xr:uid="{FC305B2E-988C-4129-8527-58D9E1B88CDC}"/>
  </dataValidations>
  <hyperlinks>
    <hyperlink ref="C26" r:id="rId1" xr:uid="{024566F5-20F4-4980-805A-626D124E2DB3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5FFDE-84E6-417E-99F6-A54980129F7D}">
  <dimension ref="A1:T29"/>
  <sheetViews>
    <sheetView topLeftCell="E1" workbookViewId="0">
      <selection activeCell="I16" sqref="I16"/>
    </sheetView>
  </sheetViews>
  <sheetFormatPr defaultRowHeight="15"/>
  <cols>
    <col min="2" max="2" width="10.28515625" bestFit="1" customWidth="1"/>
    <col min="3" max="4" width="12.5703125" bestFit="1" customWidth="1"/>
    <col min="7" max="7" width="9" customWidth="1"/>
    <col min="20" max="20" width="9.28515625" bestFit="1" customWidth="1"/>
  </cols>
  <sheetData>
    <row r="1" spans="1:20" ht="45.75" customHeight="1">
      <c r="A1" s="60" t="s">
        <v>91</v>
      </c>
      <c r="B1" s="53"/>
      <c r="C1" s="53"/>
      <c r="D1" s="54"/>
      <c r="G1" s="59" t="s">
        <v>92</v>
      </c>
      <c r="H1" s="53"/>
      <c r="I1" s="53"/>
      <c r="J1" s="53"/>
      <c r="K1" s="53"/>
      <c r="L1" s="54"/>
      <c r="M1" s="16"/>
      <c r="O1" s="59" t="s">
        <v>93</v>
      </c>
      <c r="P1" s="53"/>
      <c r="Q1" s="53"/>
      <c r="R1" s="53"/>
      <c r="S1" s="53"/>
      <c r="T1" s="54"/>
    </row>
    <row r="2" spans="1:20">
      <c r="A2" s="17" t="s">
        <v>94</v>
      </c>
      <c r="B2" s="18" t="s">
        <v>95</v>
      </c>
      <c r="C2" s="18" t="s">
        <v>96</v>
      </c>
      <c r="D2" s="19" t="s">
        <v>97</v>
      </c>
      <c r="G2" s="17" t="s">
        <v>42</v>
      </c>
      <c r="H2" s="18" t="s">
        <v>47</v>
      </c>
      <c r="I2" s="18" t="s">
        <v>98</v>
      </c>
      <c r="J2" s="18" t="s">
        <v>62</v>
      </c>
      <c r="K2" s="18" t="s">
        <v>67</v>
      </c>
      <c r="L2" s="19" t="s">
        <v>72</v>
      </c>
      <c r="M2" s="4"/>
      <c r="O2" s="17" t="s">
        <v>42</v>
      </c>
      <c r="P2" s="18" t="s">
        <v>47</v>
      </c>
      <c r="Q2" s="18" t="s">
        <v>98</v>
      </c>
      <c r="R2" s="18" t="s">
        <v>62</v>
      </c>
      <c r="S2" s="18" t="s">
        <v>67</v>
      </c>
      <c r="T2" s="19" t="s">
        <v>72</v>
      </c>
    </row>
    <row r="3" spans="1:20">
      <c r="A3" s="2">
        <v>4000</v>
      </c>
      <c r="B3">
        <v>25</v>
      </c>
      <c r="C3">
        <f>9.5488*(D3*1000)/A3</f>
        <v>44.503368360960003</v>
      </c>
      <c r="D3" s="3">
        <f>0.745699872*B3</f>
        <v>18.6424968</v>
      </c>
      <c r="G3" s="2">
        <f>$A3*60*'BMW S1000rr '!$C$15/'BMW S1000rr '!$D$15*'BMW S1000rr '!$F$32*PI()*'BMW S1000rr '!$C$7/'BMW S1000rr '!$D$7/1000*'BMW S1000rr '!$C$8/'BMW S1000rr '!$D$8</f>
        <v>41.672744287838455</v>
      </c>
      <c r="H3">
        <f>$A3*60*'BMW S1000rr '!$C$17/'BMW S1000rr '!$D$17*'BMW S1000rr '!$F$32*PI()*'BMW S1000rr '!$C$7/'BMW S1000rr '!$D$7/1000*'BMW S1000rr '!$C$8/'BMW S1000rr '!$D$8</f>
        <v>52.757054788951507</v>
      </c>
      <c r="I3">
        <f>$A3*60*'BMW S1000rr '!$C$19/'BMW S1000rr '!$D$19*'BMW S1000rr '!$F$32*PI()*'BMW S1000rr '!$C$7/'BMW S1000rr '!$D$7/1000*'BMW S1000rr '!$C$8/'BMW S1000rr '!$D$8</f>
        <v>63.863803165572854</v>
      </c>
      <c r="J3">
        <f>$A3*60*'BMW S1000rr '!$C$21/'BMW S1000rr '!$D$21*'BMW S1000rr '!$F$32*PI()*'BMW S1000rr '!$C$7/'BMW S1000rr '!$D$7/1000*'BMW S1000rr '!$C$8/'BMW S1000rr '!$D$8</f>
        <v>73.540136978538456</v>
      </c>
      <c r="K3">
        <f>$A3*60*'BMW S1000rr '!$C$23/'BMW S1000rr '!$D$23*'BMW S1000rr '!$F$32*PI()*'BMW S1000rr '!$C$7/'BMW S1000rr '!$D$7/1000*'BMW S1000rr '!$C$8/'BMW S1000rr '!$D$8</f>
        <v>81.110445196917425</v>
      </c>
      <c r="L3" s="3">
        <f>$A3*60*'BMW S1000rr '!$C$25/'BMW S1000rr '!$D$25*'BMW S1000rr '!$F$32*PI()*'BMW S1000rr '!$C$7/'BMW S1000rr '!$D$7/1000*'BMW S1000rr '!$C$8/'BMW S1000rr '!$D$8</f>
        <v>87.487404336537097</v>
      </c>
      <c r="O3" s="20">
        <f>($C3*1000)/($G3*(1000/3600))</f>
        <v>3844.5302520240175</v>
      </c>
      <c r="P3" s="21">
        <f>($C3*1000)/($H3*(1000/3600))</f>
        <v>3036.7905627098799</v>
      </c>
      <c r="Q3" s="21">
        <f>($C3*1000)/($I3*(1000/3600))</f>
        <v>2508.6530735429451</v>
      </c>
      <c r="R3" s="21">
        <f>($C3*1000)/($J3*(1000/3600))</f>
        <v>2178.5671428136097</v>
      </c>
      <c r="S3" s="21">
        <f>($C3*1000)/($K3*(1000/3600))</f>
        <v>1975.2342094843391</v>
      </c>
      <c r="T3" s="22">
        <f>($C3*1000)/($L3*(1000/3600))</f>
        <v>1831.2593374375276</v>
      </c>
    </row>
    <row r="4" spans="1:20">
      <c r="A4" s="2">
        <v>5000</v>
      </c>
      <c r="B4">
        <v>62.5</v>
      </c>
      <c r="C4">
        <f t="shared" ref="C4:C27" si="0">9.5488*(D4*1000)/A4</f>
        <v>89.006736721920007</v>
      </c>
      <c r="D4" s="3">
        <f t="shared" ref="D4:E27" si="1">0.745699872*B4</f>
        <v>46.606242000000002</v>
      </c>
      <c r="G4" s="2">
        <f>$A4*60*'BMW S1000rr '!$C$15/'BMW S1000rr '!$D$15*'BMW S1000rr '!$F$32*PI()*'BMW S1000rr '!$C$7/'BMW S1000rr '!$D$7/1000*'BMW S1000rr '!$C$8/'BMW S1000rr '!$D$8</f>
        <v>52.090930359798072</v>
      </c>
      <c r="H4">
        <f>$A4*60*'BMW S1000rr '!$C$17/'BMW S1000rr '!$D$17*'BMW S1000rr '!$F$32*PI()*'BMW S1000rr '!$C$7/'BMW S1000rr '!$D$7/1000*'BMW S1000rr '!$C$8/'BMW S1000rr '!$D$8</f>
        <v>65.946318486189369</v>
      </c>
      <c r="I4">
        <f>$A4*60*'BMW S1000rr '!$C$19/'BMW S1000rr '!$D$19*'BMW S1000rr '!$F$32*PI()*'BMW S1000rr '!$C$7/'BMW S1000rr '!$D$7/1000*'BMW S1000rr '!$C$8/'BMW S1000rr '!$D$8</f>
        <v>79.829753956966087</v>
      </c>
      <c r="J4">
        <f>$A4*60*'BMW S1000rr '!$C$21/'BMW S1000rr '!$D$21*'BMW S1000rr '!$F$32*PI()*'BMW S1000rr '!$C$7/'BMW S1000rr '!$D$7/1000*'BMW S1000rr '!$C$8/'BMW S1000rr '!$D$8</f>
        <v>91.925171223173066</v>
      </c>
      <c r="K4">
        <f>$A4*60*'BMW S1000rr '!$C$23/'BMW S1000rr '!$D$23*'BMW S1000rr '!$F$32*PI()*'BMW S1000rr '!$C$7/'BMW S1000rr '!$D$7/1000*'BMW S1000rr '!$C$8/'BMW S1000rr '!$D$8</f>
        <v>101.38805649614676</v>
      </c>
      <c r="L4" s="3">
        <f>$A4*60*'BMW S1000rr '!$C$25/'BMW S1000rr '!$D$25*'BMW S1000rr '!$F$32*PI()*'BMW S1000rr '!$C$7/'BMW S1000rr '!$D$7/1000*'BMW S1000rr '!$C$8/'BMW S1000rr '!$D$8</f>
        <v>109.35925542067139</v>
      </c>
      <c r="O4" s="20">
        <f t="shared" ref="O4:O14" si="2">($C4*1000)/($G4*(1000/3600))</f>
        <v>6151.2484032384273</v>
      </c>
      <c r="P4" s="21">
        <f t="shared" ref="P4:P14" si="3">($C4*1000)/($H4*(1000/3600))</f>
        <v>4858.8649003358087</v>
      </c>
      <c r="Q4" s="21">
        <f t="shared" ref="Q4:Q14" si="4">($C4*1000)/($I4*(1000/3600))</f>
        <v>4013.8449176687109</v>
      </c>
      <c r="R4" s="21">
        <f t="shared" ref="R4:R14" si="5">($C4*1000)/($J4*(1000/3600))</f>
        <v>3485.7074285017757</v>
      </c>
      <c r="S4" s="21">
        <f t="shared" ref="S4:S14" si="6">($C4*1000)/($K4*(1000/3600))</f>
        <v>3160.3747351749435</v>
      </c>
      <c r="T4" s="22">
        <f t="shared" ref="T4:T14" si="7">($C4*1000)/($L4*(1000/3600))</f>
        <v>2930.0149399000438</v>
      </c>
    </row>
    <row r="5" spans="1:20">
      <c r="A5" s="2">
        <v>6000</v>
      </c>
      <c r="B5">
        <v>82.5</v>
      </c>
      <c r="C5">
        <f t="shared" si="0"/>
        <v>97.907410394111992</v>
      </c>
      <c r="D5" s="3">
        <f t="shared" si="1"/>
        <v>61.520239439999997</v>
      </c>
      <c r="G5" s="2">
        <f>$A5*60*'BMW S1000rr '!$C$15/'BMW S1000rr '!$D$15*'BMW S1000rr '!$F$32*PI()*'BMW S1000rr '!$C$7/'BMW S1000rr '!$D$7/1000*'BMW S1000rr '!$C$8/'BMW S1000rr '!$D$8</f>
        <v>62.509116431757683</v>
      </c>
      <c r="H5">
        <f>$A5*60*'BMW S1000rr '!$C$17/'BMW S1000rr '!$D$17*'BMW S1000rr '!$F$32*PI()*'BMW S1000rr '!$C$7/'BMW S1000rr '!$D$7/1000*'BMW S1000rr '!$C$8/'BMW S1000rr '!$D$8</f>
        <v>79.135582183427246</v>
      </c>
      <c r="I5">
        <f>$A5*60*'BMW S1000rr '!$C$19/'BMW S1000rr '!$D$19*'BMW S1000rr '!$F$32*PI()*'BMW S1000rr '!$C$7/'BMW S1000rr '!$D$7/1000*'BMW S1000rr '!$C$8/'BMW S1000rr '!$D$8</f>
        <v>95.795704748359299</v>
      </c>
      <c r="J5">
        <f>$A5*60*'BMW S1000rr '!$C$21/'BMW S1000rr '!$D$21*'BMW S1000rr '!$F$32*PI()*'BMW S1000rr '!$C$7/'BMW S1000rr '!$D$7/1000*'BMW S1000rr '!$C$8/'BMW S1000rr '!$D$8</f>
        <v>110.31020546780766</v>
      </c>
      <c r="K5">
        <f>$A5*60*'BMW S1000rr '!$C$23/'BMW S1000rr '!$D$23*'BMW S1000rr '!$F$32*PI()*'BMW S1000rr '!$C$7/'BMW S1000rr '!$D$7/1000*'BMW S1000rr '!$C$8/'BMW S1000rr '!$D$8</f>
        <v>121.66566779537611</v>
      </c>
      <c r="L5" s="3">
        <f>$A5*60*'BMW S1000rr '!$C$25/'BMW S1000rr '!$D$25*'BMW S1000rr '!$F$32*PI()*'BMW S1000rr '!$C$7/'BMW S1000rr '!$D$7/1000*'BMW S1000rr '!$C$8/'BMW S1000rr '!$D$8</f>
        <v>131.23110650480567</v>
      </c>
      <c r="O5" s="20">
        <f t="shared" si="2"/>
        <v>5638.6443696352244</v>
      </c>
      <c r="P5" s="21">
        <f t="shared" si="3"/>
        <v>4453.9594919744904</v>
      </c>
      <c r="Q5" s="21">
        <f t="shared" si="4"/>
        <v>3679.3578411963185</v>
      </c>
      <c r="R5" s="21">
        <f t="shared" si="5"/>
        <v>3195.2318094599609</v>
      </c>
      <c r="S5" s="21">
        <f t="shared" si="6"/>
        <v>2897.0101739103643</v>
      </c>
      <c r="T5" s="22">
        <f t="shared" si="7"/>
        <v>2685.8470282417065</v>
      </c>
    </row>
    <row r="6" spans="1:20">
      <c r="A6" s="2">
        <v>7000</v>
      </c>
      <c r="B6">
        <v>102.5</v>
      </c>
      <c r="C6">
        <f t="shared" si="0"/>
        <v>104.26503444567771</v>
      </c>
      <c r="D6" s="3">
        <f t="shared" si="1"/>
        <v>76.43423688</v>
      </c>
      <c r="G6" s="2">
        <f>$A6*60*'BMW S1000rr '!$C$15/'BMW S1000rr '!$D$15*'BMW S1000rr '!$F$32*PI()*'BMW S1000rr '!$C$7/'BMW S1000rr '!$D$7/1000*'BMW S1000rr '!$C$8/'BMW S1000rr '!$D$8</f>
        <v>72.927302503717286</v>
      </c>
      <c r="H6">
        <f>$A6*60*'BMW S1000rr '!$C$17/'BMW S1000rr '!$D$17*'BMW S1000rr '!$F$32*PI()*'BMW S1000rr '!$C$7/'BMW S1000rr '!$D$7/1000*'BMW S1000rr '!$C$8/'BMW S1000rr '!$D$8</f>
        <v>92.324845880665109</v>
      </c>
      <c r="I6">
        <f>$A6*60*'BMW S1000rr '!$C$19/'BMW S1000rr '!$D$19*'BMW S1000rr '!$F$32*PI()*'BMW S1000rr '!$C$7/'BMW S1000rr '!$D$7/1000*'BMW S1000rr '!$C$8/'BMW S1000rr '!$D$8</f>
        <v>111.76165553975248</v>
      </c>
      <c r="J6">
        <f>$A6*60*'BMW S1000rr '!$C$21/'BMW S1000rr '!$D$21*'BMW S1000rr '!$F$32*PI()*'BMW S1000rr '!$C$7/'BMW S1000rr '!$D$7/1000*'BMW S1000rr '!$C$8/'BMW S1000rr '!$D$8</f>
        <v>128.69523971244223</v>
      </c>
      <c r="K6">
        <f>$A6*60*'BMW S1000rr '!$C$23/'BMW S1000rr '!$D$23*'BMW S1000rr '!$F$32*PI()*'BMW S1000rr '!$C$7/'BMW S1000rr '!$D$7/1000*'BMW S1000rr '!$C$8/'BMW S1000rr '!$D$8</f>
        <v>141.94327909460543</v>
      </c>
      <c r="L6" s="3">
        <f>$A6*60*'BMW S1000rr '!$C$25/'BMW S1000rr '!$D$25*'BMW S1000rr '!$F$32*PI()*'BMW S1000rr '!$C$7/'BMW S1000rr '!$D$7/1000*'BMW S1000rr '!$C$8/'BMW S1000rr '!$D$8</f>
        <v>153.10295758893994</v>
      </c>
      <c r="O6" s="20">
        <f t="shared" si="2"/>
        <v>5146.9629496484813</v>
      </c>
      <c r="P6" s="21">
        <f t="shared" si="3"/>
        <v>4065.58083497486</v>
      </c>
      <c r="Q6" s="21">
        <f t="shared" si="4"/>
        <v>3358.5232984574941</v>
      </c>
      <c r="R6" s="21">
        <f t="shared" si="5"/>
        <v>2916.6123381341399</v>
      </c>
      <c r="S6" s="21">
        <f t="shared" si="6"/>
        <v>2644.3951865749527</v>
      </c>
      <c r="T6" s="22">
        <f t="shared" si="7"/>
        <v>2451.6451537939138</v>
      </c>
    </row>
    <row r="7" spans="1:20">
      <c r="A7" s="2">
        <v>8000</v>
      </c>
      <c r="B7">
        <v>122</v>
      </c>
      <c r="C7">
        <f t="shared" si="0"/>
        <v>108.58821880074238</v>
      </c>
      <c r="D7" s="3">
        <f t="shared" si="1"/>
        <v>90.975384383999994</v>
      </c>
      <c r="G7" s="2">
        <f>$A7*60*'BMW S1000rr '!$C$15/'BMW S1000rr '!$D$15*'BMW S1000rr '!$F$32*PI()*'BMW S1000rr '!$C$7/'BMW S1000rr '!$D$7/1000*'BMW S1000rr '!$C$8/'BMW S1000rr '!$D$8</f>
        <v>83.34548857567691</v>
      </c>
      <c r="H7">
        <f>$A7*60*'BMW S1000rr '!$C$17/'BMW S1000rr '!$D$17*'BMW S1000rr '!$F$32*PI()*'BMW S1000rr '!$C$7/'BMW S1000rr '!$D$7/1000*'BMW S1000rr '!$C$8/'BMW S1000rr '!$D$8</f>
        <v>105.51410957790301</v>
      </c>
      <c r="I7">
        <f>$A7*60*'BMW S1000rr '!$C$19/'BMW S1000rr '!$D$19*'BMW S1000rr '!$F$32*PI()*'BMW S1000rr '!$C$7/'BMW S1000rr '!$D$7/1000*'BMW S1000rr '!$C$8/'BMW S1000rr '!$D$8</f>
        <v>127.72760633114571</v>
      </c>
      <c r="J7">
        <f>$A7*60*'BMW S1000rr '!$C$21/'BMW S1000rr '!$D$21*'BMW S1000rr '!$F$32*PI()*'BMW S1000rr '!$C$7/'BMW S1000rr '!$D$7/1000*'BMW S1000rr '!$C$8/'BMW S1000rr '!$D$8</f>
        <v>147.08027395707691</v>
      </c>
      <c r="K7">
        <f>$A7*60*'BMW S1000rr '!$C$23/'BMW S1000rr '!$D$23*'BMW S1000rr '!$F$32*PI()*'BMW S1000rr '!$C$7/'BMW S1000rr '!$D$7/1000*'BMW S1000rr '!$C$8/'BMW S1000rr '!$D$8</f>
        <v>162.22089039383485</v>
      </c>
      <c r="L7" s="3">
        <f>$A7*60*'BMW S1000rr '!$C$25/'BMW S1000rr '!$D$25*'BMW S1000rr '!$F$32*PI()*'BMW S1000rr '!$C$7/'BMW S1000rr '!$D$7/1000*'BMW S1000rr '!$C$8/'BMW S1000rr '!$D$8</f>
        <v>174.97480867307419</v>
      </c>
      <c r="O7" s="20">
        <f t="shared" si="2"/>
        <v>4690.3269074692998</v>
      </c>
      <c r="P7" s="21">
        <f t="shared" si="3"/>
        <v>3704.8844865060528</v>
      </c>
      <c r="Q7" s="21">
        <f t="shared" si="4"/>
        <v>3060.5567497223919</v>
      </c>
      <c r="R7" s="21">
        <f t="shared" si="5"/>
        <v>2657.8519142326031</v>
      </c>
      <c r="S7" s="21">
        <f t="shared" si="6"/>
        <v>2409.7857355708929</v>
      </c>
      <c r="T7" s="22">
        <f t="shared" si="7"/>
        <v>2234.1363916737832</v>
      </c>
    </row>
    <row r="8" spans="1:20">
      <c r="A8" s="2">
        <v>9000</v>
      </c>
      <c r="B8">
        <v>147</v>
      </c>
      <c r="C8">
        <f t="shared" si="0"/>
        <v>116.3021359833088</v>
      </c>
      <c r="D8" s="3">
        <f t="shared" si="1"/>
        <v>109.617881184</v>
      </c>
      <c r="G8" s="2">
        <f>$A8*60*'BMW S1000rr '!$C$15/'BMW S1000rr '!$D$15*'BMW S1000rr '!$F$32*PI()*'BMW S1000rr '!$C$7/'BMW S1000rr '!$D$7/1000*'BMW S1000rr '!$C$8/'BMW S1000rr '!$D$8</f>
        <v>93.763674647636492</v>
      </c>
      <c r="H8">
        <f>$A8*60*'BMW S1000rr '!$C$17/'BMW S1000rr '!$D$17*'BMW S1000rr '!$F$32*PI()*'BMW S1000rr '!$C$7/'BMW S1000rr '!$D$7/1000*'BMW S1000rr '!$C$8/'BMW S1000rr '!$D$8</f>
        <v>118.70337327514086</v>
      </c>
      <c r="I8">
        <f>$A8*60*'BMW S1000rr '!$C$19/'BMW S1000rr '!$D$19*'BMW S1000rr '!$F$32*PI()*'BMW S1000rr '!$C$7/'BMW S1000rr '!$D$7/1000*'BMW S1000rr '!$C$8/'BMW S1000rr '!$D$8</f>
        <v>143.69355712253895</v>
      </c>
      <c r="J8">
        <f>$A8*60*'BMW S1000rr '!$C$21/'BMW S1000rr '!$D$21*'BMW S1000rr '!$F$32*PI()*'BMW S1000rr '!$C$7/'BMW S1000rr '!$D$7/1000*'BMW S1000rr '!$C$8/'BMW S1000rr '!$D$8</f>
        <v>165.46530820171151</v>
      </c>
      <c r="K8">
        <f>$A8*60*'BMW S1000rr '!$C$23/'BMW S1000rr '!$D$23*'BMW S1000rr '!$F$32*PI()*'BMW S1000rr '!$C$7/'BMW S1000rr '!$D$7/1000*'BMW S1000rr '!$C$8/'BMW S1000rr '!$D$8</f>
        <v>182.49850169306413</v>
      </c>
      <c r="L8" s="3">
        <f>$A8*60*'BMW S1000rr '!$C$25/'BMW S1000rr '!$D$25*'BMW S1000rr '!$F$32*PI()*'BMW S1000rr '!$C$7/'BMW S1000rr '!$D$7/1000*'BMW S1000rr '!$C$8/'BMW S1000rr '!$D$8</f>
        <v>196.84665975720856</v>
      </c>
      <c r="O8" s="20">
        <f t="shared" si="2"/>
        <v>4465.3506927212311</v>
      </c>
      <c r="P8" s="21">
        <f t="shared" si="3"/>
        <v>3527.1760017252536</v>
      </c>
      <c r="Q8" s="21">
        <f t="shared" si="4"/>
        <v>2913.754088381731</v>
      </c>
      <c r="R8" s="21">
        <f t="shared" si="5"/>
        <v>2530.3653925420299</v>
      </c>
      <c r="S8" s="21">
        <f t="shared" si="6"/>
        <v>2294.1979559047741</v>
      </c>
      <c r="T8" s="22">
        <f t="shared" si="7"/>
        <v>2126.9738082237345</v>
      </c>
    </row>
    <row r="9" spans="1:20">
      <c r="A9" s="2">
        <v>10000</v>
      </c>
      <c r="B9">
        <v>167.5</v>
      </c>
      <c r="C9">
        <f t="shared" si="0"/>
        <v>119.26902720737279</v>
      </c>
      <c r="D9" s="3">
        <f t="shared" si="1"/>
        <v>124.90472856</v>
      </c>
      <c r="G9" s="2">
        <f>$A9*60*'BMW S1000rr '!$C$15/'BMW S1000rr '!$D$15*'BMW S1000rr '!$F$32*PI()*'BMW S1000rr '!$C$7/'BMW S1000rr '!$D$7/1000*'BMW S1000rr '!$C$8/'BMW S1000rr '!$D$8</f>
        <v>104.18186071959614</v>
      </c>
      <c r="H9">
        <f>$A9*60*'BMW S1000rr '!$C$17/'BMW S1000rr '!$D$17*'BMW S1000rr '!$F$32*PI()*'BMW S1000rr '!$C$7/'BMW S1000rr '!$D$7/1000*'BMW S1000rr '!$C$8/'BMW S1000rr '!$D$8</f>
        <v>131.89263697237874</v>
      </c>
      <c r="I9">
        <f>$A9*60*'BMW S1000rr '!$C$19/'BMW S1000rr '!$D$19*'BMW S1000rr '!$F$32*PI()*'BMW S1000rr '!$C$7/'BMW S1000rr '!$D$7/1000*'BMW S1000rr '!$C$8/'BMW S1000rr '!$D$8</f>
        <v>159.65950791393217</v>
      </c>
      <c r="J9">
        <f>$A9*60*'BMW S1000rr '!$C$21/'BMW S1000rr '!$D$21*'BMW S1000rr '!$F$32*PI()*'BMW S1000rr '!$C$7/'BMW S1000rr '!$D$7/1000*'BMW S1000rr '!$C$8/'BMW S1000rr '!$D$8</f>
        <v>183.85034244634613</v>
      </c>
      <c r="K9">
        <f>$A9*60*'BMW S1000rr '!$C$23/'BMW S1000rr '!$D$23*'BMW S1000rr '!$F$32*PI()*'BMW S1000rr '!$C$7/'BMW S1000rr '!$D$7/1000*'BMW S1000rr '!$C$8/'BMW S1000rr '!$D$8</f>
        <v>202.77611299229352</v>
      </c>
      <c r="L9" s="3">
        <f>$A9*60*'BMW S1000rr '!$C$25/'BMW S1000rr '!$D$25*'BMW S1000rr '!$F$32*PI()*'BMW S1000rr '!$C$7/'BMW S1000rr '!$D$7/1000*'BMW S1000rr '!$C$8/'BMW S1000rr '!$D$8</f>
        <v>218.71851084134278</v>
      </c>
      <c r="O9" s="20">
        <f t="shared" si="2"/>
        <v>4121.3364301697457</v>
      </c>
      <c r="P9" s="21">
        <f t="shared" si="3"/>
        <v>3255.4394832249909</v>
      </c>
      <c r="Q9" s="21">
        <f t="shared" si="4"/>
        <v>2689.2760948380355</v>
      </c>
      <c r="R9" s="21">
        <f t="shared" si="5"/>
        <v>2335.423977096189</v>
      </c>
      <c r="S9" s="21">
        <f t="shared" si="6"/>
        <v>2117.4510725672117</v>
      </c>
      <c r="T9" s="22">
        <f t="shared" si="7"/>
        <v>1963.1100097330288</v>
      </c>
    </row>
    <row r="10" spans="1:20">
      <c r="A10" s="2">
        <v>11000</v>
      </c>
      <c r="B10">
        <v>180</v>
      </c>
      <c r="C10">
        <f t="shared" si="0"/>
        <v>116.51790989051344</v>
      </c>
      <c r="D10" s="3">
        <f t="shared" si="1"/>
        <v>134.22597696</v>
      </c>
      <c r="G10" s="2">
        <f>$A10*60*'BMW S1000rr '!$C$15/'BMW S1000rr '!$D$15*'BMW S1000rr '!$F$32*PI()*'BMW S1000rr '!$C$7/'BMW S1000rr '!$D$7/1000*'BMW S1000rr '!$C$8/'BMW S1000rr '!$D$8</f>
        <v>114.60004679155574</v>
      </c>
      <c r="H10">
        <f>$A10*60*'BMW S1000rr '!$C$17/'BMW S1000rr '!$D$17*'BMW S1000rr '!$F$32*PI()*'BMW S1000rr '!$C$7/'BMW S1000rr '!$D$7/1000*'BMW S1000rr '!$C$8/'BMW S1000rr '!$D$8</f>
        <v>145.08190066961663</v>
      </c>
      <c r="I10">
        <f>$A10*60*'BMW S1000rr '!$C$19/'BMW S1000rr '!$D$19*'BMW S1000rr '!$F$32*PI()*'BMW S1000rr '!$C$7/'BMW S1000rr '!$D$7/1000*'BMW S1000rr '!$C$8/'BMW S1000rr '!$D$8</f>
        <v>175.62545870532534</v>
      </c>
      <c r="J10">
        <f>$A10*60*'BMW S1000rr '!$C$21/'BMW S1000rr '!$D$21*'BMW S1000rr '!$F$32*PI()*'BMW S1000rr '!$C$7/'BMW S1000rr '!$D$7/1000*'BMW S1000rr '!$C$8/'BMW S1000rr '!$D$8</f>
        <v>202.23537669098073</v>
      </c>
      <c r="K10">
        <f>$A10*60*'BMW S1000rr '!$C$23/'BMW S1000rr '!$D$23*'BMW S1000rr '!$F$32*PI()*'BMW S1000rr '!$C$7/'BMW S1000rr '!$D$7/1000*'BMW S1000rr '!$C$8/'BMW S1000rr '!$D$8</f>
        <v>223.05372429152283</v>
      </c>
      <c r="L10" s="3">
        <f>$A10*60*'BMW S1000rr '!$C$25/'BMW S1000rr '!$D$25*'BMW S1000rr '!$F$32*PI()*'BMW S1000rr '!$C$7/'BMW S1000rr '!$D$7/1000*'BMW S1000rr '!$C$8/'BMW S1000rr '!$D$8</f>
        <v>240.59036192547708</v>
      </c>
      <c r="O10" s="20">
        <f t="shared" si="2"/>
        <v>3660.2469837451795</v>
      </c>
      <c r="P10" s="21">
        <f t="shared" si="3"/>
        <v>2891.2253952411411</v>
      </c>
      <c r="Q10" s="21">
        <f t="shared" si="4"/>
        <v>2388.4035873731173</v>
      </c>
      <c r="R10" s="21">
        <f t="shared" si="5"/>
        <v>2074.1399574556017</v>
      </c>
      <c r="S10" s="21">
        <f t="shared" si="6"/>
        <v>1880.5535614264124</v>
      </c>
      <c r="T10" s="22">
        <f t="shared" si="7"/>
        <v>1743.4799642380419</v>
      </c>
    </row>
    <row r="11" spans="1:20">
      <c r="A11" s="2">
        <v>12000</v>
      </c>
      <c r="B11">
        <v>189</v>
      </c>
      <c r="C11">
        <f t="shared" si="0"/>
        <v>112.14848826961919</v>
      </c>
      <c r="D11" s="3">
        <f t="shared" si="1"/>
        <v>140.93727580800001</v>
      </c>
      <c r="G11" s="2">
        <f>$A11*60*'BMW S1000rr '!$C$15/'BMW S1000rr '!$D$15*'BMW S1000rr '!$F$32*PI()*'BMW S1000rr '!$C$7/'BMW S1000rr '!$D$7/1000*'BMW S1000rr '!$C$8/'BMW S1000rr '!$D$8</f>
        <v>125.01823286351537</v>
      </c>
      <c r="H11">
        <f>$A11*60*'BMW S1000rr '!$C$17/'BMW S1000rr '!$D$17*'BMW S1000rr '!$F$32*PI()*'BMW S1000rr '!$C$7/'BMW S1000rr '!$D$7/1000*'BMW S1000rr '!$C$8/'BMW S1000rr '!$D$8</f>
        <v>158.27116436685449</v>
      </c>
      <c r="I11">
        <f>$A11*60*'BMW S1000rr '!$C$19/'BMW S1000rr '!$D$19*'BMW S1000rr '!$F$32*PI()*'BMW S1000rr '!$C$7/'BMW S1000rr '!$D$7/1000*'BMW S1000rr '!$C$8/'BMW S1000rr '!$D$8</f>
        <v>191.5914094967186</v>
      </c>
      <c r="J11">
        <f>$A11*60*'BMW S1000rr '!$C$21/'BMW S1000rr '!$D$21*'BMW S1000rr '!$F$32*PI()*'BMW S1000rr '!$C$7/'BMW S1000rr '!$D$7/1000*'BMW S1000rr '!$C$8/'BMW S1000rr '!$D$8</f>
        <v>220.62041093561533</v>
      </c>
      <c r="K11">
        <f>$A11*60*'BMW S1000rr '!$C$23/'BMW S1000rr '!$D$23*'BMW S1000rr '!$F$32*PI()*'BMW S1000rr '!$C$7/'BMW S1000rr '!$D$7/1000*'BMW S1000rr '!$C$8/'BMW S1000rr '!$D$8</f>
        <v>243.33133559075222</v>
      </c>
      <c r="L11" s="3">
        <f>$A11*60*'BMW S1000rr '!$C$25/'BMW S1000rr '!$D$25*'BMW S1000rr '!$F$32*PI()*'BMW S1000rr '!$C$7/'BMW S1000rr '!$D$7/1000*'BMW S1000rr '!$C$8/'BMW S1000rr '!$D$8</f>
        <v>262.46221300961133</v>
      </c>
      <c r="O11" s="20">
        <f t="shared" si="2"/>
        <v>3229.4054117001738</v>
      </c>
      <c r="P11" s="21">
        <f t="shared" si="3"/>
        <v>2550.9040726762992</v>
      </c>
      <c r="Q11" s="21">
        <f t="shared" si="4"/>
        <v>2107.268581776073</v>
      </c>
      <c r="R11" s="21">
        <f t="shared" si="5"/>
        <v>1829.9963999634322</v>
      </c>
      <c r="S11" s="21">
        <f t="shared" si="6"/>
        <v>1659.1967359668449</v>
      </c>
      <c r="T11" s="22">
        <f t="shared" si="7"/>
        <v>1538.2578434475226</v>
      </c>
    </row>
    <row r="12" spans="1:20">
      <c r="A12" s="2">
        <v>13000</v>
      </c>
      <c r="B12">
        <v>193</v>
      </c>
      <c r="C12">
        <f t="shared" si="0"/>
        <v>105.71261653741882</v>
      </c>
      <c r="D12" s="3">
        <f t="shared" si="1"/>
        <v>143.92007529599999</v>
      </c>
      <c r="G12" s="2">
        <f>$A12*60*'BMW S1000rr '!$C$15/'BMW S1000rr '!$D$15*'BMW S1000rr '!$F$32*PI()*'BMW S1000rr '!$C$7/'BMW S1000rr '!$D$7/1000*'BMW S1000rr '!$C$8/'BMW S1000rr '!$D$8</f>
        <v>135.43641893547499</v>
      </c>
      <c r="H12">
        <f>$A12*60*'BMW S1000rr '!$C$17/'BMW S1000rr '!$D$17*'BMW S1000rr '!$F$32*PI()*'BMW S1000rr '!$C$7/'BMW S1000rr '!$D$7/1000*'BMW S1000rr '!$C$8/'BMW S1000rr '!$D$8</f>
        <v>171.46042806409238</v>
      </c>
      <c r="I12">
        <f>$A12*60*'BMW S1000rr '!$C$19/'BMW S1000rr '!$D$19*'BMW S1000rr '!$F$32*PI()*'BMW S1000rr '!$C$7/'BMW S1000rr '!$D$7/1000*'BMW S1000rr '!$C$8/'BMW S1000rr '!$D$8</f>
        <v>207.55736028811179</v>
      </c>
      <c r="J12">
        <f>$A12*60*'BMW S1000rr '!$C$21/'BMW S1000rr '!$D$21*'BMW S1000rr '!$F$32*PI()*'BMW S1000rr '!$C$7/'BMW S1000rr '!$D$7/1000*'BMW S1000rr '!$C$8/'BMW S1000rr '!$D$8</f>
        <v>239.00544518024992</v>
      </c>
      <c r="K12">
        <f>$A12*60*'BMW S1000rr '!$C$23/'BMW S1000rr '!$D$23*'BMW S1000rr '!$F$32*PI()*'BMW S1000rr '!$C$7/'BMW S1000rr '!$D$7/1000*'BMW S1000rr '!$C$8/'BMW S1000rr '!$D$8</f>
        <v>263.60894688998161</v>
      </c>
      <c r="L12" s="3">
        <f>$A12*60*'BMW S1000rr '!$C$25/'BMW S1000rr '!$D$25*'BMW S1000rr '!$F$32*PI()*'BMW S1000rr '!$C$7/'BMW S1000rr '!$D$7/1000*'BMW S1000rr '!$C$8/'BMW S1000rr '!$D$8</f>
        <v>284.33406409374561</v>
      </c>
      <c r="O12" s="20">
        <f t="shared" si="2"/>
        <v>2809.9193889349499</v>
      </c>
      <c r="P12" s="21">
        <f t="shared" si="3"/>
        <v>2219.552487017304</v>
      </c>
      <c r="Q12" s="21">
        <f t="shared" si="4"/>
        <v>1833.5433588403816</v>
      </c>
      <c r="R12" s="21">
        <f t="shared" si="5"/>
        <v>1592.2876537298052</v>
      </c>
      <c r="S12" s="21">
        <f t="shared" si="6"/>
        <v>1443.6741393816899</v>
      </c>
      <c r="T12" s="22">
        <f t="shared" si="7"/>
        <v>1338.4446944395465</v>
      </c>
    </row>
    <row r="13" spans="1:20">
      <c r="A13" s="2">
        <v>14000</v>
      </c>
      <c r="B13">
        <v>192</v>
      </c>
      <c r="C13">
        <f t="shared" si="0"/>
        <v>97.653105432049372</v>
      </c>
      <c r="D13" s="3">
        <f t="shared" si="1"/>
        <v>143.174375424</v>
      </c>
      <c r="G13" s="2">
        <f>$A13*60*'BMW S1000rr '!$C$15/'BMW S1000rr '!$D$15*'BMW S1000rr '!$F$32*PI()*'BMW S1000rr '!$C$7/'BMW S1000rr '!$D$7/1000*'BMW S1000rr '!$C$8/'BMW S1000rr '!$D$8</f>
        <v>145.85460500743457</v>
      </c>
      <c r="H13">
        <f>$A13*60*'BMW S1000rr '!$C$17/'BMW S1000rr '!$D$17*'BMW S1000rr '!$F$32*PI()*'BMW S1000rr '!$C$7/'BMW S1000rr '!$D$7/1000*'BMW S1000rr '!$C$8/'BMW S1000rr '!$D$8</f>
        <v>184.64969176133022</v>
      </c>
      <c r="I13">
        <f>$A13*60*'BMW S1000rr '!$C$19/'BMW S1000rr '!$D$19*'BMW S1000rr '!$F$32*PI()*'BMW S1000rr '!$C$7/'BMW S1000rr '!$D$7/1000*'BMW S1000rr '!$C$8/'BMW S1000rr '!$D$8</f>
        <v>223.52331107950496</v>
      </c>
      <c r="J13">
        <f>$A13*60*'BMW S1000rr '!$C$21/'BMW S1000rr '!$D$21*'BMW S1000rr '!$F$32*PI()*'BMW S1000rr '!$C$7/'BMW S1000rr '!$D$7/1000*'BMW S1000rr '!$C$8/'BMW S1000rr '!$D$8</f>
        <v>257.39047942488446</v>
      </c>
      <c r="K13">
        <f>$A13*60*'BMW S1000rr '!$C$23/'BMW S1000rr '!$D$23*'BMW S1000rr '!$F$32*PI()*'BMW S1000rr '!$C$7/'BMW S1000rr '!$D$7/1000*'BMW S1000rr '!$C$8/'BMW S1000rr '!$D$8</f>
        <v>283.88655818921086</v>
      </c>
      <c r="L13" s="3">
        <f>$A13*60*'BMW S1000rr '!$C$25/'BMW S1000rr '!$D$25*'BMW S1000rr '!$F$32*PI()*'BMW S1000rr '!$C$7/'BMW S1000rr '!$D$7/1000*'BMW S1000rr '!$C$8/'BMW S1000rr '!$D$8</f>
        <v>306.20591517787989</v>
      </c>
      <c r="O13" s="20">
        <f t="shared" si="2"/>
        <v>2410.285088615874</v>
      </c>
      <c r="P13" s="21">
        <f t="shared" si="3"/>
        <v>1903.881756866276</v>
      </c>
      <c r="Q13" s="21">
        <f t="shared" si="4"/>
        <v>1572.7718861069241</v>
      </c>
      <c r="R13" s="21">
        <f t="shared" si="5"/>
        <v>1365.8282168823291</v>
      </c>
      <c r="S13" s="21">
        <f t="shared" si="6"/>
        <v>1238.3509166399779</v>
      </c>
      <c r="T13" s="22">
        <f t="shared" si="7"/>
        <v>1148.087486654711</v>
      </c>
    </row>
    <row r="14" spans="1:20">
      <c r="A14" s="9">
        <v>14200</v>
      </c>
      <c r="B14" s="10">
        <v>191</v>
      </c>
      <c r="C14" s="10">
        <f t="shared" si="0"/>
        <v>95.776263176826603</v>
      </c>
      <c r="D14" s="13">
        <f t="shared" si="1"/>
        <v>142.42867555199999</v>
      </c>
      <c r="G14" s="9">
        <f>$A14*60*'BMW S1000rr '!$C$15/'BMW S1000rr '!$D$15*'BMW S1000rr '!$F$32*PI()*'BMW S1000rr '!$C$7/'BMW S1000rr '!$D$7/1000*'BMW S1000rr '!$C$8/'BMW S1000rr '!$D$8</f>
        <v>147.9382422218265</v>
      </c>
      <c r="H14" s="10">
        <f>$A14*60*'BMW S1000rr '!$C$17/'BMW S1000rr '!$D$17*'BMW S1000rr '!$F$32*PI()*'BMW S1000rr '!$C$7/'BMW S1000rr '!$D$7/1000*'BMW S1000rr '!$C$8/'BMW S1000rr '!$D$8</f>
        <v>187.28754450077784</v>
      </c>
      <c r="I14" s="10">
        <f>$A14*60*'BMW S1000rr '!$C$19/'BMW S1000rr '!$D$19*'BMW S1000rr '!$F$32*PI()*'BMW S1000rr '!$C$7/'BMW S1000rr '!$D$7/1000*'BMW S1000rr '!$C$8/'BMW S1000rr '!$D$8</f>
        <v>226.71650123778369</v>
      </c>
      <c r="J14" s="10">
        <f>$A14*60*'BMW S1000rr '!$C$21/'BMW S1000rr '!$D$21*'BMW S1000rr '!$F$32*PI()*'BMW S1000rr '!$C$7/'BMW S1000rr '!$D$7/1000*'BMW S1000rr '!$C$8/'BMW S1000rr '!$D$8</f>
        <v>261.06748627381148</v>
      </c>
      <c r="K14" s="10">
        <f>$A14*60*'BMW S1000rr '!$C$23/'BMW S1000rr '!$D$23*'BMW S1000rr '!$F$32*PI()*'BMW S1000rr '!$C$7/'BMW S1000rr '!$D$7/1000*'BMW S1000rr '!$C$8/'BMW S1000rr '!$D$8</f>
        <v>287.94208044905673</v>
      </c>
      <c r="L14" s="13">
        <f>$A14*60*'BMW S1000rr '!$C$25/'BMW S1000rr '!$D$25*'BMW S1000rr '!$F$32*PI()*'BMW S1000rr '!$C$7/'BMW S1000rr '!$D$7/1000*'BMW S1000rr '!$C$8/'BMW S1000rr '!$D$8</f>
        <v>310.58028539470672</v>
      </c>
      <c r="O14" s="23">
        <f t="shared" si="2"/>
        <v>2330.665433482523</v>
      </c>
      <c r="P14" s="24">
        <f t="shared" si="3"/>
        <v>1840.9902717003358</v>
      </c>
      <c r="Q14" s="24">
        <f t="shared" si="4"/>
        <v>1520.8180505350601</v>
      </c>
      <c r="R14" s="24">
        <f t="shared" si="5"/>
        <v>1320.7104123067631</v>
      </c>
      <c r="S14" s="24">
        <f t="shared" si="6"/>
        <v>1197.4441071581321</v>
      </c>
      <c r="T14" s="25">
        <f t="shared" si="7"/>
        <v>1110.1623755622068</v>
      </c>
    </row>
    <row r="28" spans="18:18">
      <c r="R28" s="32"/>
    </row>
    <row r="29" spans="18:18">
      <c r="R29" s="32" t="s">
        <v>99</v>
      </c>
    </row>
  </sheetData>
  <mergeCells count="3">
    <mergeCell ref="G1:L1"/>
    <mergeCell ref="A1:D1"/>
    <mergeCell ref="O1:T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9A27-ABAF-4F49-A9BB-332101843F1B}">
  <dimension ref="A1:AA48"/>
  <sheetViews>
    <sheetView topLeftCell="P1" workbookViewId="0">
      <selection activeCell="W10" sqref="W10"/>
    </sheetView>
  </sheetViews>
  <sheetFormatPr defaultRowHeight="15"/>
  <cols>
    <col min="4" max="4" width="9.28515625" bestFit="1" customWidth="1"/>
    <col min="23" max="23" width="9.28515625" bestFit="1" customWidth="1"/>
  </cols>
  <sheetData>
    <row r="1" spans="1:27" ht="45" customHeight="1">
      <c r="A1" s="61" t="s">
        <v>100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</row>
    <row r="4" spans="1:27">
      <c r="B4" s="63" t="s">
        <v>1</v>
      </c>
      <c r="C4" s="64"/>
      <c r="D4" s="64"/>
      <c r="E4" s="64"/>
      <c r="F4" s="64"/>
      <c r="G4" s="64"/>
      <c r="H4" s="65"/>
      <c r="K4" s="63" t="s">
        <v>2</v>
      </c>
      <c r="L4" s="69"/>
      <c r="M4" s="69"/>
      <c r="N4" s="69"/>
      <c r="O4" s="69"/>
      <c r="P4" s="69"/>
      <c r="Q4" s="69"/>
      <c r="R4" s="70"/>
      <c r="S4" s="16"/>
      <c r="U4" s="73" t="s">
        <v>3</v>
      </c>
      <c r="V4" s="74"/>
      <c r="W4" s="74"/>
      <c r="X4" s="74"/>
      <c r="Y4" s="74"/>
      <c r="Z4" s="75"/>
    </row>
    <row r="5" spans="1:27">
      <c r="B5" s="66"/>
      <c r="C5" s="67"/>
      <c r="D5" s="67"/>
      <c r="E5" s="67"/>
      <c r="F5" s="67"/>
      <c r="G5" s="67"/>
      <c r="H5" s="68"/>
      <c r="K5" s="71"/>
      <c r="L5" s="62"/>
      <c r="M5" s="62"/>
      <c r="N5" s="62"/>
      <c r="O5" s="62"/>
      <c r="P5" s="62"/>
      <c r="Q5" s="62"/>
      <c r="R5" s="72"/>
      <c r="S5" s="16"/>
      <c r="U5" s="76"/>
      <c r="V5" s="77"/>
      <c r="W5" s="77"/>
      <c r="X5" s="77"/>
      <c r="Y5" s="77"/>
      <c r="Z5" s="78"/>
    </row>
    <row r="6" spans="1:27">
      <c r="B6" s="2"/>
      <c r="H6" s="3"/>
      <c r="K6" s="2"/>
      <c r="O6" s="36"/>
      <c r="P6" s="36"/>
      <c r="R6" s="3"/>
      <c r="U6" s="2"/>
      <c r="W6" s="4"/>
      <c r="X6" s="4"/>
      <c r="Y6" s="4"/>
      <c r="Z6" s="3"/>
    </row>
    <row r="7" spans="1:27">
      <c r="B7" s="14" t="s">
        <v>4</v>
      </c>
      <c r="C7">
        <v>24</v>
      </c>
      <c r="D7">
        <v>73</v>
      </c>
      <c r="H7" s="3"/>
      <c r="K7" s="2"/>
      <c r="M7" s="35" t="s">
        <v>5</v>
      </c>
      <c r="N7" s="35"/>
      <c r="O7" s="35" t="s">
        <v>6</v>
      </c>
      <c r="P7" s="35"/>
      <c r="R7" s="3"/>
      <c r="U7" s="2"/>
      <c r="W7" s="4" t="s">
        <v>7</v>
      </c>
      <c r="X7" s="4" t="s">
        <v>8</v>
      </c>
      <c r="Y7" s="4" t="s">
        <v>9</v>
      </c>
      <c r="Z7" s="3"/>
    </row>
    <row r="8" spans="1:27">
      <c r="B8" s="14" t="s">
        <v>10</v>
      </c>
      <c r="C8">
        <v>14</v>
      </c>
      <c r="D8">
        <v>50</v>
      </c>
      <c r="H8" s="3"/>
      <c r="K8" s="51" t="s">
        <v>11</v>
      </c>
      <c r="L8" s="52"/>
      <c r="M8" s="36">
        <v>55.7</v>
      </c>
      <c r="N8" s="36"/>
      <c r="O8" s="36">
        <v>86.2</v>
      </c>
      <c r="P8" s="36"/>
      <c r="R8" s="3"/>
      <c r="U8" s="34" t="s">
        <v>12</v>
      </c>
      <c r="V8" s="35"/>
      <c r="W8">
        <f>Q18</f>
        <v>201.65</v>
      </c>
      <c r="X8" t="s">
        <v>13</v>
      </c>
      <c r="Y8" t="s">
        <v>14</v>
      </c>
      <c r="Z8" s="3"/>
    </row>
    <row r="9" spans="1:27">
      <c r="B9" s="2"/>
      <c r="H9" s="3"/>
      <c r="K9" s="26" t="s">
        <v>15</v>
      </c>
      <c r="L9" s="27"/>
      <c r="M9" s="36">
        <v>57.75</v>
      </c>
      <c r="N9" s="36"/>
      <c r="O9" s="36">
        <v>115.45</v>
      </c>
      <c r="P9" s="36"/>
      <c r="R9" s="3"/>
      <c r="U9" s="34" t="s">
        <v>16</v>
      </c>
      <c r="V9" s="35"/>
      <c r="W9">
        <v>0.36628390999999999</v>
      </c>
      <c r="X9" t="s">
        <v>17</v>
      </c>
      <c r="Y9" t="s">
        <v>18</v>
      </c>
      <c r="Z9" s="3"/>
    </row>
    <row r="10" spans="1:27">
      <c r="B10" s="14" t="s">
        <v>19</v>
      </c>
      <c r="C10" t="s">
        <v>101</v>
      </c>
      <c r="D10">
        <v>0.63984375000000004</v>
      </c>
      <c r="E10" t="s">
        <v>21</v>
      </c>
      <c r="H10" s="3"/>
      <c r="K10" s="34" t="s">
        <v>22</v>
      </c>
      <c r="L10" s="35"/>
      <c r="M10" s="36">
        <f>M8+M9</f>
        <v>113.45</v>
      </c>
      <c r="N10" s="36"/>
      <c r="O10" s="36">
        <f>O8+O9</f>
        <v>201.65</v>
      </c>
      <c r="P10" s="36"/>
      <c r="R10" s="3"/>
      <c r="U10" s="34" t="s">
        <v>23</v>
      </c>
      <c r="V10" s="35"/>
      <c r="W10">
        <v>0.75</v>
      </c>
      <c r="Y10" t="s">
        <v>24</v>
      </c>
      <c r="Z10" s="3"/>
    </row>
    <row r="11" spans="1:27">
      <c r="B11" s="14" t="s">
        <v>25</v>
      </c>
      <c r="C11">
        <v>14200</v>
      </c>
      <c r="H11" s="3"/>
      <c r="K11" s="51"/>
      <c r="L11" s="52"/>
      <c r="M11" s="35" t="s">
        <v>26</v>
      </c>
      <c r="N11" s="35"/>
      <c r="O11" s="35" t="s">
        <v>27</v>
      </c>
      <c r="P11" s="35"/>
      <c r="R11" s="3"/>
      <c r="U11" s="34" t="s">
        <v>28</v>
      </c>
      <c r="V11" s="35"/>
      <c r="W11">
        <f>F25/3.6</f>
        <v>56.931242741222441</v>
      </c>
      <c r="X11" t="s">
        <v>29</v>
      </c>
      <c r="Y11" t="s">
        <v>30</v>
      </c>
      <c r="Z11" s="3"/>
    </row>
    <row r="12" spans="1:27">
      <c r="B12" s="2"/>
      <c r="H12" s="3"/>
      <c r="K12" s="51" t="s">
        <v>11</v>
      </c>
      <c r="L12" s="52"/>
      <c r="M12" s="36">
        <v>60.85</v>
      </c>
      <c r="N12" s="36"/>
      <c r="O12" s="36">
        <v>107.85</v>
      </c>
      <c r="P12" s="36"/>
      <c r="R12" s="3"/>
      <c r="U12" s="34" t="s">
        <v>31</v>
      </c>
      <c r="V12" s="35"/>
      <c r="W12" s="28">
        <v>1.167</v>
      </c>
      <c r="X12" t="s">
        <v>32</v>
      </c>
      <c r="Y12" t="s">
        <v>33</v>
      </c>
      <c r="Z12" s="3"/>
    </row>
    <row r="13" spans="1:27">
      <c r="B13" s="34" t="s">
        <v>34</v>
      </c>
      <c r="C13" s="35"/>
      <c r="F13" s="4" t="s">
        <v>35</v>
      </c>
      <c r="G13" s="4" t="s">
        <v>36</v>
      </c>
      <c r="H13" s="5" t="s">
        <v>37</v>
      </c>
      <c r="K13" s="51" t="s">
        <v>15</v>
      </c>
      <c r="L13" s="52"/>
      <c r="M13" s="36">
        <f>58.8-M21</f>
        <v>52.3</v>
      </c>
      <c r="N13" s="36"/>
      <c r="O13" s="36">
        <f>99.6-M21</f>
        <v>93.1</v>
      </c>
      <c r="P13" s="36"/>
      <c r="R13" s="3"/>
      <c r="U13" s="34" t="s">
        <v>38</v>
      </c>
      <c r="V13" s="35"/>
      <c r="W13">
        <v>9.81</v>
      </c>
      <c r="X13" t="s">
        <v>39</v>
      </c>
      <c r="Y13" t="s">
        <v>40</v>
      </c>
      <c r="Z13" s="3"/>
    </row>
    <row r="14" spans="1:27">
      <c r="B14" s="2"/>
      <c r="H14" s="3"/>
      <c r="K14" s="34" t="s">
        <v>22</v>
      </c>
      <c r="L14" s="35"/>
      <c r="M14" s="36">
        <f>M12+M13</f>
        <v>113.15</v>
      </c>
      <c r="N14" s="36"/>
      <c r="O14" s="36">
        <f>O12+O13</f>
        <v>200.95</v>
      </c>
      <c r="P14" s="36"/>
      <c r="R14" s="3"/>
      <c r="U14" s="34" t="s">
        <v>41</v>
      </c>
      <c r="V14" s="35"/>
      <c r="W14">
        <v>0</v>
      </c>
      <c r="Z14" s="3"/>
    </row>
    <row r="15" spans="1:27">
      <c r="B15" s="14" t="s">
        <v>42</v>
      </c>
      <c r="C15">
        <v>14</v>
      </c>
      <c r="D15">
        <v>32</v>
      </c>
      <c r="F15" s="4">
        <f>(C11*60*(C15/D15)*D10*PI()*( C7/D7)/1000)*(C8/D8)</f>
        <v>68.97439024417335</v>
      </c>
      <c r="G15" s="4">
        <f>C11</f>
        <v>14200</v>
      </c>
      <c r="H15" s="5"/>
      <c r="K15" s="2"/>
      <c r="R15" s="3"/>
      <c r="U15" s="34" t="s">
        <v>41</v>
      </c>
      <c r="V15" s="35"/>
      <c r="W15">
        <f>RADIANS(W14)</f>
        <v>0</v>
      </c>
      <c r="X15" t="s">
        <v>43</v>
      </c>
      <c r="Z15" s="3"/>
    </row>
    <row r="16" spans="1:27">
      <c r="B16" s="14"/>
      <c r="F16" s="4"/>
      <c r="G16" s="6">
        <f>G15*(C15/D15)*(D17/C17)</f>
        <v>10095.3125</v>
      </c>
      <c r="H16" s="7">
        <f>G15-(G15*(C15/D15)*(D17/C17))</f>
        <v>4104.6875</v>
      </c>
      <c r="I16" t="s">
        <v>44</v>
      </c>
      <c r="K16" s="51" t="s">
        <v>45</v>
      </c>
      <c r="L16" s="52"/>
      <c r="M16">
        <v>1.482</v>
      </c>
      <c r="N16" t="s">
        <v>21</v>
      </c>
      <c r="O16" s="52" t="s">
        <v>46</v>
      </c>
      <c r="P16" s="52"/>
      <c r="Q16">
        <f>O10-Q17</f>
        <v>88.2</v>
      </c>
      <c r="R16" s="3" t="s">
        <v>13</v>
      </c>
      <c r="U16" s="2"/>
      <c r="Z16" s="3"/>
    </row>
    <row r="17" spans="2:26">
      <c r="B17" s="14" t="s">
        <v>47</v>
      </c>
      <c r="C17">
        <v>16</v>
      </c>
      <c r="D17">
        <v>26</v>
      </c>
      <c r="F17" s="8">
        <f>(C11*60*(C17/D17)*D10*PI()*( C7/D7)/1000)*(C8/D8)</f>
        <v>97.018922541254838</v>
      </c>
      <c r="G17" s="4">
        <f>C11</f>
        <v>14200</v>
      </c>
      <c r="H17" s="5"/>
      <c r="K17" s="51" t="s">
        <v>48</v>
      </c>
      <c r="L17" s="52"/>
      <c r="M17">
        <f>G32</f>
        <v>0.33437499999999998</v>
      </c>
      <c r="N17" t="s">
        <v>21</v>
      </c>
      <c r="O17" s="52" t="s">
        <v>49</v>
      </c>
      <c r="P17" s="52"/>
      <c r="Q17">
        <f>M10</f>
        <v>113.45</v>
      </c>
      <c r="R17" s="3"/>
      <c r="U17" s="2"/>
      <c r="Z17" s="3"/>
    </row>
    <row r="18" spans="2:26">
      <c r="B18" s="14"/>
      <c r="F18" s="4"/>
      <c r="G18" s="6">
        <f>G17*(C17/D17)*(D19/C19)</f>
        <v>10923.076923076924</v>
      </c>
      <c r="H18" s="7">
        <f>G17-(G17*(C17/D17)*(D19/C19))</f>
        <v>3276.9230769230762</v>
      </c>
      <c r="K18" s="51" t="s">
        <v>50</v>
      </c>
      <c r="L18" s="52"/>
      <c r="M18">
        <f>G33</f>
        <v>0.34062500000000001</v>
      </c>
      <c r="O18" s="52" t="s">
        <v>51</v>
      </c>
      <c r="P18" s="52"/>
      <c r="Q18">
        <f>Q16+Q17</f>
        <v>201.65</v>
      </c>
      <c r="R18" s="3"/>
      <c r="U18" s="34" t="s">
        <v>52</v>
      </c>
      <c r="V18" s="35"/>
      <c r="W18">
        <f>SUM(0.5*W12*W10*W9*(W11*W11))</f>
        <v>519.54275550163368</v>
      </c>
      <c r="X18" t="s">
        <v>53</v>
      </c>
      <c r="Y18" t="s">
        <v>54</v>
      </c>
      <c r="Z18" s="3"/>
    </row>
    <row r="19" spans="2:26">
      <c r="B19" s="14" t="s">
        <v>55</v>
      </c>
      <c r="C19">
        <v>20</v>
      </c>
      <c r="D19">
        <v>25</v>
      </c>
      <c r="F19" s="4">
        <f>(C11*60*(C19/D19)*D10*PI()*( C7/D7)/1000)*(C8/D8)</f>
        <v>126.12459930363127</v>
      </c>
      <c r="G19" s="4">
        <f>C11</f>
        <v>14200</v>
      </c>
      <c r="H19" s="5"/>
      <c r="K19" s="51" t="s">
        <v>56</v>
      </c>
      <c r="L19" s="52"/>
      <c r="M19">
        <f>(M17+M18)/2</f>
        <v>0.33750000000000002</v>
      </c>
      <c r="R19" s="3"/>
      <c r="U19" s="34" t="s">
        <v>57</v>
      </c>
      <c r="V19" s="35"/>
      <c r="W19">
        <f>SUM(0.02*W8*W13)</f>
        <v>39.563730000000007</v>
      </c>
      <c r="X19" t="s">
        <v>53</v>
      </c>
      <c r="Y19" t="s">
        <v>58</v>
      </c>
      <c r="Z19" s="3"/>
    </row>
    <row r="20" spans="2:26">
      <c r="B20" s="14"/>
      <c r="F20" s="4"/>
      <c r="G20" s="6">
        <f>G19*(C19/D19)*(D21/C21)</f>
        <v>11876.363636363636</v>
      </c>
      <c r="H20" s="7">
        <f>G19-(G19*(C19/D19)*(D21/C21))</f>
        <v>2323.636363636364</v>
      </c>
      <c r="K20" s="51" t="s">
        <v>59</v>
      </c>
      <c r="L20" s="52"/>
      <c r="M20">
        <v>0.39400000000000002</v>
      </c>
      <c r="N20" t="s">
        <v>21</v>
      </c>
      <c r="R20" s="3"/>
      <c r="U20" s="34" t="s">
        <v>60</v>
      </c>
      <c r="V20" s="35"/>
      <c r="W20">
        <f>SUM(W8*W13*(SIN(W15)))</f>
        <v>0</v>
      </c>
      <c r="X20" t="s">
        <v>53</v>
      </c>
      <c r="Y20" t="s">
        <v>61</v>
      </c>
      <c r="Z20" s="3"/>
    </row>
    <row r="21" spans="2:26">
      <c r="B21" s="14" t="s">
        <v>62</v>
      </c>
      <c r="C21">
        <v>22</v>
      </c>
      <c r="D21">
        <v>23</v>
      </c>
      <c r="F21" s="4">
        <f>(C11*60*(C21/D21)*D10*PI()*( C7/D7)/1000)*(C8/D8)</f>
        <v>150.80115134129827</v>
      </c>
      <c r="G21" s="4">
        <f>C11</f>
        <v>14200</v>
      </c>
      <c r="H21" s="5"/>
      <c r="K21" s="51" t="s">
        <v>63</v>
      </c>
      <c r="L21" s="52"/>
      <c r="M21">
        <v>6.5</v>
      </c>
      <c r="N21" t="s">
        <v>13</v>
      </c>
      <c r="R21" s="3"/>
      <c r="U21" s="2"/>
      <c r="Z21" s="3"/>
    </row>
    <row r="22" spans="2:26">
      <c r="B22" s="14"/>
      <c r="F22" s="4"/>
      <c r="G22" s="6">
        <f>G21*(C21/D21)*(D23/C23)</f>
        <v>11952.695652173914</v>
      </c>
      <c r="H22" s="7">
        <f>G21-(G21*(C21/D21)*(D23/C23))</f>
        <v>2247.3043478260861</v>
      </c>
      <c r="K22" s="51" t="s">
        <v>64</v>
      </c>
      <c r="L22" s="52"/>
      <c r="M22">
        <f>DEGREES(ASIN(M20/M16))</f>
        <v>15.417879120891817</v>
      </c>
      <c r="R22" s="3"/>
      <c r="U22" s="34" t="s">
        <v>65</v>
      </c>
      <c r="V22" s="35"/>
      <c r="W22">
        <f>SUM(W18:W20)</f>
        <v>559.10648550163364</v>
      </c>
      <c r="X22" t="s">
        <v>53</v>
      </c>
      <c r="Y22" t="s">
        <v>66</v>
      </c>
      <c r="Z22" s="3"/>
    </row>
    <row r="23" spans="2:26">
      <c r="B23" s="14" t="s">
        <v>67</v>
      </c>
      <c r="C23">
        <v>25</v>
      </c>
      <c r="D23">
        <v>22</v>
      </c>
      <c r="F23" s="4">
        <f>(C11*60*(C23/D23)*D10*PI()*( C7/D7)/1000)*(C8/D8)</f>
        <v>179.15426037447625</v>
      </c>
      <c r="G23" s="4">
        <f>C11</f>
        <v>14200</v>
      </c>
      <c r="H23" s="5"/>
      <c r="K23" s="2"/>
      <c r="R23" s="3"/>
      <c r="U23" s="2"/>
      <c r="Z23" s="3"/>
    </row>
    <row r="24" spans="2:26">
      <c r="B24" s="14"/>
      <c r="F24" s="4"/>
      <c r="G24" s="6">
        <f>G23*(C23/D23)*(D25/C25)</f>
        <v>12412.587412587414</v>
      </c>
      <c r="H24" s="7">
        <f>G23-(G23*(C23/D23)*(D25/C25))</f>
        <v>1787.4125874125857</v>
      </c>
      <c r="K24" s="79" t="s">
        <v>68</v>
      </c>
      <c r="L24" s="62"/>
      <c r="M24" s="62"/>
      <c r="N24" s="62"/>
      <c r="O24" s="62"/>
      <c r="P24" s="62"/>
      <c r="Q24" s="62"/>
      <c r="R24" s="72"/>
      <c r="S24" s="16"/>
      <c r="U24" s="34" t="s">
        <v>102</v>
      </c>
      <c r="V24" s="35"/>
      <c r="W24">
        <f>SUM(W22*W11)</f>
        <v>31830.627044285269</v>
      </c>
      <c r="X24" t="s">
        <v>70</v>
      </c>
      <c r="Y24" t="s">
        <v>71</v>
      </c>
      <c r="Z24" s="3"/>
    </row>
    <row r="25" spans="2:26">
      <c r="B25" s="15" t="s">
        <v>72</v>
      </c>
      <c r="C25" s="10">
        <v>26</v>
      </c>
      <c r="D25" s="10">
        <v>20</v>
      </c>
      <c r="E25" s="10"/>
      <c r="F25" s="11">
        <f>(C11*60*(C25/D25)*D10*PI()*( C7/D7)/1000)*(C8/D8)</f>
        <v>204.9524738684008</v>
      </c>
      <c r="G25" s="11">
        <f>C11</f>
        <v>14200</v>
      </c>
      <c r="H25" s="12"/>
      <c r="K25" s="71"/>
      <c r="L25" s="62"/>
      <c r="M25" s="62"/>
      <c r="N25" s="62"/>
      <c r="O25" s="62"/>
      <c r="P25" s="62"/>
      <c r="Q25" s="62"/>
      <c r="R25" s="72"/>
      <c r="S25" s="16"/>
      <c r="U25" s="2"/>
      <c r="W25">
        <f>W24/1000</f>
        <v>31.830627044285269</v>
      </c>
      <c r="X25" t="s">
        <v>73</v>
      </c>
      <c r="Y25" t="s">
        <v>71</v>
      </c>
      <c r="Z25" s="3"/>
    </row>
    <row r="26" spans="2:26">
      <c r="C26" s="1" t="s">
        <v>103</v>
      </c>
      <c r="K26" s="2"/>
      <c r="R26" s="3"/>
      <c r="U26" s="2"/>
      <c r="W26">
        <f>W24*0.00134</f>
        <v>42.653040239342261</v>
      </c>
      <c r="X26" s="36" t="s">
        <v>75</v>
      </c>
      <c r="Y26" s="36"/>
      <c r="Z26" s="3"/>
    </row>
    <row r="27" spans="2:26">
      <c r="K27" s="2"/>
      <c r="M27" t="s">
        <v>76</v>
      </c>
      <c r="N27" t="s">
        <v>77</v>
      </c>
      <c r="Q27" t="s">
        <v>78</v>
      </c>
      <c r="R27" s="3" t="s">
        <v>79</v>
      </c>
      <c r="U27" s="9"/>
      <c r="V27" s="10"/>
      <c r="W27" s="10"/>
      <c r="X27" s="10"/>
      <c r="Y27" s="10"/>
      <c r="Z27" s="13"/>
    </row>
    <row r="28" spans="2:26">
      <c r="B28" s="63" t="s">
        <v>80</v>
      </c>
      <c r="C28" s="69"/>
      <c r="D28" s="69"/>
      <c r="E28" s="69"/>
      <c r="F28" s="69"/>
      <c r="G28" s="69"/>
      <c r="H28" s="70"/>
      <c r="K28" s="58" t="s">
        <v>81</v>
      </c>
      <c r="L28" s="36"/>
      <c r="M28">
        <f>(M16-Q28)/M16*100</f>
        <v>49.096518289995593</v>
      </c>
      <c r="N28">
        <f>(Q28/M16)*100</f>
        <v>50.903481710004407</v>
      </c>
      <c r="P28" t="s">
        <v>82</v>
      </c>
      <c r="Q28">
        <f>(M9*M16)/Q17</f>
        <v>0.75438959894226532</v>
      </c>
      <c r="R28" s="3">
        <f>(O9*M16)/Q18</f>
        <v>0.84848450285147536</v>
      </c>
    </row>
    <row r="29" spans="2:26">
      <c r="B29" s="71"/>
      <c r="C29" s="62"/>
      <c r="D29" s="62"/>
      <c r="E29" s="62"/>
      <c r="F29" s="62"/>
      <c r="G29" s="62"/>
      <c r="H29" s="72"/>
      <c r="K29" s="58" t="s">
        <v>79</v>
      </c>
      <c r="L29" s="36"/>
      <c r="M29">
        <f>(M16-R28)/M16*100</f>
        <v>42.747334490453753</v>
      </c>
      <c r="N29">
        <f>(R28/M16)*100</f>
        <v>57.25266550954624</v>
      </c>
      <c r="R29" s="3"/>
    </row>
    <row r="30" spans="2:26">
      <c r="B30" s="14"/>
      <c r="H30" s="3"/>
      <c r="K30" s="2"/>
      <c r="Q30" t="s">
        <v>78</v>
      </c>
      <c r="R30" s="3" t="s">
        <v>79</v>
      </c>
    </row>
    <row r="31" spans="2:26">
      <c r="B31" s="14" t="s">
        <v>83</v>
      </c>
      <c r="C31" s="4" t="s">
        <v>84</v>
      </c>
      <c r="D31" s="4" t="s">
        <v>85</v>
      </c>
      <c r="E31" s="4" t="s">
        <v>86</v>
      </c>
      <c r="F31" s="4" t="s">
        <v>87</v>
      </c>
      <c r="G31" s="4" t="s">
        <v>88</v>
      </c>
      <c r="H31" s="3"/>
      <c r="K31" s="2"/>
      <c r="P31" t="s">
        <v>89</v>
      </c>
      <c r="Q31">
        <f>((M16*(M9-M13))/(Q17*(TAN(RADIANS(M22)))))+M19</f>
        <v>0.59565161632681107</v>
      </c>
      <c r="R31" s="3">
        <f>((M16*(O9-O13))/(Q18*(TAN(RADIANS(M22)))))+M19</f>
        <v>0.93311022891001016</v>
      </c>
    </row>
    <row r="32" spans="2:26">
      <c r="B32" s="14" t="s">
        <v>101</v>
      </c>
      <c r="C32">
        <v>140</v>
      </c>
      <c r="D32">
        <v>80</v>
      </c>
      <c r="E32">
        <v>18</v>
      </c>
      <c r="F32">
        <f>((((C32/25.6*D32/100+E32/2)*2*PI())*25)/PI())/1000</f>
        <v>0.66874999999999996</v>
      </c>
      <c r="G32">
        <f>F32/2</f>
        <v>0.33437499999999998</v>
      </c>
      <c r="H32" s="3"/>
      <c r="K32" s="2"/>
      <c r="R32" s="3"/>
    </row>
    <row r="33" spans="2:18">
      <c r="B33" s="15" t="s">
        <v>104</v>
      </c>
      <c r="C33" s="10">
        <v>80</v>
      </c>
      <c r="D33" s="10">
        <v>100</v>
      </c>
      <c r="E33" s="10">
        <v>21</v>
      </c>
      <c r="F33" s="10">
        <f>((((C33/25.6*D33/100+E33/2)*2*PI())*25)/PI())/1000</f>
        <v>0.68125000000000002</v>
      </c>
      <c r="G33" s="10">
        <f>F33/2</f>
        <v>0.34062500000000001</v>
      </c>
      <c r="H33" s="13"/>
      <c r="K33" s="9"/>
      <c r="L33" s="10"/>
      <c r="M33" s="10"/>
      <c r="N33" s="10"/>
      <c r="O33" s="10"/>
      <c r="P33" s="10"/>
      <c r="Q33" s="10"/>
      <c r="R33" s="13"/>
    </row>
    <row r="35" spans="2:18">
      <c r="B35" s="82"/>
      <c r="C35" s="82"/>
      <c r="D35" s="82"/>
      <c r="E35" s="82"/>
      <c r="F35" s="82"/>
      <c r="G35" s="82"/>
      <c r="H35" s="82"/>
      <c r="I35" s="83"/>
    </row>
    <row r="36" spans="2:18">
      <c r="B36" s="82"/>
      <c r="C36" s="82"/>
      <c r="D36" s="82"/>
      <c r="E36" s="82"/>
      <c r="F36" s="82"/>
      <c r="G36" s="82"/>
      <c r="H36" s="82"/>
      <c r="I36" s="83"/>
    </row>
    <row r="37" spans="2:18">
      <c r="B37" s="83"/>
      <c r="C37" s="83"/>
      <c r="D37" s="83"/>
      <c r="E37" s="83"/>
      <c r="F37" s="83"/>
      <c r="G37" s="83"/>
      <c r="H37" s="83"/>
      <c r="I37" s="83"/>
    </row>
    <row r="38" spans="2:18">
      <c r="B38" s="84"/>
      <c r="C38" s="84"/>
      <c r="D38" s="83"/>
      <c r="E38" s="83"/>
      <c r="F38" s="83"/>
      <c r="G38" s="83"/>
      <c r="H38" s="83"/>
      <c r="I38" s="83"/>
    </row>
    <row r="39" spans="2:18">
      <c r="B39" s="84"/>
      <c r="C39" s="84"/>
      <c r="D39" s="83"/>
      <c r="E39" s="83"/>
      <c r="F39" s="83"/>
      <c r="G39" s="83"/>
      <c r="H39" s="83"/>
      <c r="I39" s="83"/>
    </row>
    <row r="40" spans="2:18">
      <c r="B40" s="84"/>
      <c r="C40" s="84"/>
      <c r="D40" s="83"/>
      <c r="E40" s="83"/>
      <c r="F40" s="83"/>
      <c r="G40" s="83"/>
      <c r="H40" s="83"/>
      <c r="I40" s="83"/>
    </row>
    <row r="41" spans="2:18">
      <c r="B41" s="84"/>
      <c r="C41" s="84"/>
      <c r="D41" s="83"/>
      <c r="E41" s="83"/>
      <c r="F41" s="83"/>
      <c r="G41" s="83"/>
      <c r="H41" s="83"/>
      <c r="I41" s="83"/>
    </row>
    <row r="42" spans="2:18">
      <c r="B42" s="84"/>
      <c r="C42" s="84"/>
      <c r="D42" s="83"/>
      <c r="E42" s="83"/>
      <c r="F42" s="83"/>
      <c r="G42" s="83"/>
      <c r="H42" s="83"/>
      <c r="I42" s="83"/>
    </row>
    <row r="43" spans="2:18">
      <c r="B43" s="84"/>
      <c r="C43" s="84"/>
      <c r="D43" s="83"/>
      <c r="E43" s="83"/>
      <c r="F43" s="83"/>
      <c r="G43" s="83"/>
      <c r="H43" s="83"/>
      <c r="I43" s="83"/>
    </row>
    <row r="44" spans="2:18">
      <c r="B44" s="83"/>
      <c r="C44" s="83"/>
      <c r="D44" s="83"/>
      <c r="E44" s="83"/>
      <c r="F44" s="83"/>
      <c r="G44" s="83"/>
      <c r="H44" s="83"/>
      <c r="I44" s="81"/>
    </row>
    <row r="45" spans="2:18">
      <c r="B45" s="83"/>
      <c r="C45" s="83"/>
      <c r="D45" s="83"/>
      <c r="E45" s="83"/>
      <c r="F45" s="83"/>
      <c r="G45" s="83"/>
      <c r="H45" s="83"/>
      <c r="I45" s="81"/>
    </row>
    <row r="46" spans="2:18">
      <c r="B46" s="85"/>
      <c r="C46" s="85"/>
      <c r="D46" s="85"/>
      <c r="E46" s="85"/>
      <c r="F46" s="85"/>
      <c r="G46" s="85"/>
      <c r="H46" s="85"/>
    </row>
    <row r="47" spans="2:18">
      <c r="B47" s="85"/>
      <c r="C47" s="85"/>
      <c r="D47" s="85"/>
      <c r="E47" s="85"/>
      <c r="F47" s="85"/>
      <c r="G47" s="85"/>
      <c r="H47" s="85"/>
    </row>
    <row r="48" spans="2:18">
      <c r="B48" s="85"/>
      <c r="C48" s="85"/>
      <c r="D48" s="85"/>
      <c r="E48" s="85"/>
      <c r="F48" s="85"/>
      <c r="G48" s="85"/>
      <c r="H48" s="85"/>
    </row>
  </sheetData>
  <mergeCells count="63">
    <mergeCell ref="B41:C41"/>
    <mergeCell ref="B42:C42"/>
    <mergeCell ref="B43:C43"/>
    <mergeCell ref="K22:L22"/>
    <mergeCell ref="B38:C38"/>
    <mergeCell ref="B39:C39"/>
    <mergeCell ref="B28:H29"/>
    <mergeCell ref="K28:L28"/>
    <mergeCell ref="K29:L29"/>
    <mergeCell ref="B35:H36"/>
    <mergeCell ref="B40:C40"/>
    <mergeCell ref="U14:V14"/>
    <mergeCell ref="U15:V15"/>
    <mergeCell ref="X26:Y26"/>
    <mergeCell ref="K17:L17"/>
    <mergeCell ref="O17:P17"/>
    <mergeCell ref="K18:L18"/>
    <mergeCell ref="O18:P18"/>
    <mergeCell ref="U18:V18"/>
    <mergeCell ref="K19:L19"/>
    <mergeCell ref="U19:V19"/>
    <mergeCell ref="K20:L20"/>
    <mergeCell ref="U20:V20"/>
    <mergeCell ref="U22:V22"/>
    <mergeCell ref="K24:R25"/>
    <mergeCell ref="U24:V24"/>
    <mergeCell ref="K21:L21"/>
    <mergeCell ref="K16:L16"/>
    <mergeCell ref="O16:P16"/>
    <mergeCell ref="K12:L12"/>
    <mergeCell ref="M12:N12"/>
    <mergeCell ref="O12:P12"/>
    <mergeCell ref="K14:L14"/>
    <mergeCell ref="M14:N14"/>
    <mergeCell ref="O14:P14"/>
    <mergeCell ref="U12:V12"/>
    <mergeCell ref="B13:C13"/>
    <mergeCell ref="K13:L13"/>
    <mergeCell ref="M13:N13"/>
    <mergeCell ref="O13:P13"/>
    <mergeCell ref="U13:V13"/>
    <mergeCell ref="K10:L10"/>
    <mergeCell ref="M10:N10"/>
    <mergeCell ref="O10:P10"/>
    <mergeCell ref="U10:V10"/>
    <mergeCell ref="K11:L11"/>
    <mergeCell ref="M11:N11"/>
    <mergeCell ref="O11:P11"/>
    <mergeCell ref="U11:V11"/>
    <mergeCell ref="K8:L8"/>
    <mergeCell ref="M8:N8"/>
    <mergeCell ref="O8:P8"/>
    <mergeCell ref="U8:V8"/>
    <mergeCell ref="M9:N9"/>
    <mergeCell ref="O9:P9"/>
    <mergeCell ref="U9:V9"/>
    <mergeCell ref="M7:N7"/>
    <mergeCell ref="O7:P7"/>
    <mergeCell ref="A1:AA1"/>
    <mergeCell ref="B4:H5"/>
    <mergeCell ref="K4:R5"/>
    <mergeCell ref="U4:Z5"/>
    <mergeCell ref="O6:P6"/>
  </mergeCells>
  <dataValidations count="3">
    <dataValidation allowBlank="1" showInputMessage="1" showErrorMessage="1" sqref="C11" xr:uid="{7F942EFD-C4CF-49D8-8E93-C8EA2921D74F}"/>
    <dataValidation type="list" allowBlank="1" showInputMessage="1" showErrorMessage="1" sqref="D8" xr:uid="{7658D18A-1A8A-442A-B963-843E32951D18}">
      <formula1>"35,36,37,38,39,40,41,42,43,44,45,46,47,48,49,50"</formula1>
    </dataValidation>
    <dataValidation type="list" allowBlank="1" showInputMessage="1" showErrorMessage="1" sqref="C8" xr:uid="{FED888BB-752E-436F-ACC4-EBAD83CC19A5}">
      <formula1>"11,12,13,14,15,16,17"</formula1>
    </dataValidation>
  </dataValidations>
  <hyperlinks>
    <hyperlink ref="C26" r:id="rId1" xr:uid="{E63B7C29-03A8-4E23-976A-E5523134CF2A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987C3-E0F4-4D79-A9CB-73E3FB0D5F57}">
  <dimension ref="A1:T16"/>
  <sheetViews>
    <sheetView tabSelected="1" workbookViewId="0">
      <selection activeCell="B15" sqref="B15"/>
    </sheetView>
  </sheetViews>
  <sheetFormatPr defaultRowHeight="15"/>
  <cols>
    <col min="2" max="2" width="10.28515625" bestFit="1" customWidth="1"/>
    <col min="3" max="4" width="12.5703125" bestFit="1" customWidth="1"/>
    <col min="7" max="7" width="9" customWidth="1"/>
    <col min="20" max="20" width="9.28515625" bestFit="1" customWidth="1"/>
  </cols>
  <sheetData>
    <row r="1" spans="1:20" ht="45.75" customHeight="1">
      <c r="A1" s="80" t="s">
        <v>105</v>
      </c>
      <c r="B1" s="53"/>
      <c r="C1" s="53"/>
      <c r="D1" s="54"/>
      <c r="G1" s="80" t="s">
        <v>92</v>
      </c>
      <c r="H1" s="69"/>
      <c r="I1" s="69"/>
      <c r="J1" s="69"/>
      <c r="K1" s="69"/>
      <c r="L1" s="70"/>
      <c r="M1" s="16"/>
      <c r="O1" s="80" t="s">
        <v>93</v>
      </c>
      <c r="P1" s="69"/>
      <c r="Q1" s="69"/>
      <c r="R1" s="69"/>
      <c r="S1" s="69"/>
      <c r="T1" s="70"/>
    </row>
    <row r="2" spans="1:20">
      <c r="A2" s="29" t="s">
        <v>94</v>
      </c>
      <c r="B2" s="30" t="s">
        <v>95</v>
      </c>
      <c r="C2" s="30" t="s">
        <v>96</v>
      </c>
      <c r="D2" s="31" t="s">
        <v>97</v>
      </c>
      <c r="G2" s="29" t="s">
        <v>42</v>
      </c>
      <c r="H2" s="30" t="s">
        <v>47</v>
      </c>
      <c r="I2" s="30" t="s">
        <v>98</v>
      </c>
      <c r="J2" s="30" t="s">
        <v>62</v>
      </c>
      <c r="K2" s="30" t="s">
        <v>67</v>
      </c>
      <c r="L2" s="31" t="s">
        <v>72</v>
      </c>
      <c r="M2" s="4"/>
      <c r="O2" s="29" t="s">
        <v>42</v>
      </c>
      <c r="P2" s="30" t="s">
        <v>47</v>
      </c>
      <c r="Q2" s="30" t="s">
        <v>98</v>
      </c>
      <c r="R2" s="30" t="s">
        <v>62</v>
      </c>
      <c r="S2" s="30" t="s">
        <v>67</v>
      </c>
      <c r="T2" s="31" t="s">
        <v>72</v>
      </c>
    </row>
    <row r="3" spans="1:20">
      <c r="A3" s="2">
        <v>2000</v>
      </c>
      <c r="B3">
        <v>2.5</v>
      </c>
      <c r="C3">
        <f>9.5488*(D3*1000)/A3</f>
        <v>8.9006736721919992</v>
      </c>
      <c r="D3" s="3">
        <f>0.745699872*B3</f>
        <v>1.8642496799999999</v>
      </c>
      <c r="G3" s="2">
        <f>$A3*60*'KTM 350 EXC-F'!$C$15/'KTM 350 EXC-F'!$D$15*'KTM 350 EXC-F'!$F$32*PI()*'KTM 350 EXC-F'!$C$7/'KTM 350 EXC-F'!$D$7/1000*'KTM 350 EXC-F'!$C$8/'KTM 350 EXC-F'!$D$8</f>
        <v>10.153584420886409</v>
      </c>
      <c r="H3">
        <f>$A3*60*'KTM 350 EXC-F'!$C$17/'KTM 350 EXC-F'!$D$17*'KTM 350 EXC-F'!$F$32*PI()*'KTM 350 EXC-F'!$C$7/'KTM 350 EXC-F'!$D$7/1000*'KTM 350 EXC-F'!$C$8/'KTM 350 EXC-F'!$D$8</f>
        <v>14.281964899708354</v>
      </c>
      <c r="I3">
        <f>$A3*60*'KTM 350 EXC-F'!$C$19/'KTM 350 EXC-F'!$D$19*'KTM 350 EXC-F'!$F$32*PI()*'KTM 350 EXC-F'!$C$7/'KTM 350 EXC-F'!$D$7/1000*'KTM 350 EXC-F'!$C$8/'KTM 350 EXC-F'!$D$8</f>
        <v>18.566554369620857</v>
      </c>
      <c r="J3">
        <f>$A3*60*'KTM 350 EXC-F'!$C$21/'KTM 350 EXC-F'!$D$21*'KTM 350 EXC-F'!$F$32*PI()*'KTM 350 EXC-F'!$C$7/'KTM 350 EXC-F'!$D$7/1000*'KTM 350 EXC-F'!$C$8/'KTM 350 EXC-F'!$D$8</f>
        <v>22.199141094111901</v>
      </c>
      <c r="K3">
        <f>$A3*60*'KTM 350 EXC-F'!$C$23/'KTM 350 EXC-F'!$D$23*'KTM 350 EXC-F'!$F$32*PI()*'KTM 350 EXC-F'!$C$7/'KTM 350 EXC-F'!$D$7/1000*'KTM 350 EXC-F'!$C$8/'KTM 350 EXC-F'!$D$8</f>
        <v>26.3729465477569</v>
      </c>
      <c r="L3" s="3">
        <f>$A3*60*'KTM 350 EXC-F'!$C$25/'KTM 350 EXC-F'!$D$25*'KTM 350 EXC-F'!$F$32*PI()*'KTM 350 EXC-F'!$C$7/'KTM 350 EXC-F'!$D$7/1000*'KTM 350 EXC-F'!$C$8/'KTM 350 EXC-F'!$D$8</f>
        <v>30.170650850633898</v>
      </c>
      <c r="O3" s="20">
        <f>($C3*1000)/($G3*(1000/3600))</f>
        <v>3155.7747384242352</v>
      </c>
      <c r="P3" s="21">
        <f>($C3*1000)/($H3*(1000/3600))</f>
        <v>2243.5586030984796</v>
      </c>
      <c r="Q3" s="21">
        <f>($C3*1000)/($I3*(1000/3600))</f>
        <v>1725.8143100757541</v>
      </c>
      <c r="R3" s="21">
        <f>($C3*1000)/($J3*(1000/3600))</f>
        <v>1443.4083320633574</v>
      </c>
      <c r="S3" s="21">
        <f>($C3*1000)/($K3*(1000/3600))</f>
        <v>1214.9732742933306</v>
      </c>
      <c r="T3" s="22">
        <f>($C3*1000)/($L3*(1000/3600))</f>
        <v>1062.0395754312331</v>
      </c>
    </row>
    <row r="4" spans="1:20">
      <c r="A4" s="2">
        <v>3000</v>
      </c>
      <c r="B4">
        <v>6</v>
      </c>
      <c r="C4">
        <f t="shared" ref="C4:C27" si="0">9.5488*(D4*1000)/A4</f>
        <v>14.2410778755072</v>
      </c>
      <c r="D4" s="3">
        <f t="shared" ref="D4:D27" si="1">0.745699872*B4</f>
        <v>4.4741992320000001</v>
      </c>
      <c r="G4" s="2">
        <f>$A4*60*'KTM 350 EXC-F'!$C$15/'KTM 350 EXC-F'!$D$15*'KTM 350 EXC-F'!$F$32*PI()*'KTM 350 EXC-F'!$C$7/'KTM 350 EXC-F'!$D$7/1000*'KTM 350 EXC-F'!$C$8/'KTM 350 EXC-F'!$D$8</f>
        <v>15.230376631329614</v>
      </c>
      <c r="H4">
        <f>$A4*60*'KTM 350 EXC-F'!$C$17/'KTM 350 EXC-F'!$D$17*'KTM 350 EXC-F'!$F$32*PI()*'KTM 350 EXC-F'!$C$7/'KTM 350 EXC-F'!$D$7/1000*'KTM 350 EXC-F'!$C$8/'KTM 350 EXC-F'!$D$8</f>
        <v>21.422947349562534</v>
      </c>
      <c r="I4">
        <f>$A4*60*'KTM 350 EXC-F'!$C$19/'KTM 350 EXC-F'!$D$19*'KTM 350 EXC-F'!$F$32*PI()*'KTM 350 EXC-F'!$C$7/'KTM 350 EXC-F'!$D$7/1000*'KTM 350 EXC-F'!$C$8/'KTM 350 EXC-F'!$D$8</f>
        <v>27.849831554431294</v>
      </c>
      <c r="J4">
        <f>$A4*60*'KTM 350 EXC-F'!$C$21/'KTM 350 EXC-F'!$D$21*'KTM 350 EXC-F'!$F$32*PI()*'KTM 350 EXC-F'!$C$7/'KTM 350 EXC-F'!$D$7/1000*'KTM 350 EXC-F'!$C$8/'KTM 350 EXC-F'!$D$8</f>
        <v>33.298711641167849</v>
      </c>
      <c r="K4">
        <f>$A4*60*'KTM 350 EXC-F'!$C$23/'KTM 350 EXC-F'!$D$23*'KTM 350 EXC-F'!$F$32*PI()*'KTM 350 EXC-F'!$C$7/'KTM 350 EXC-F'!$D$7/1000*'KTM 350 EXC-F'!$C$8/'KTM 350 EXC-F'!$D$8</f>
        <v>39.559419821635366</v>
      </c>
      <c r="L4" s="3">
        <f>$A4*60*'KTM 350 EXC-F'!$C$25/'KTM 350 EXC-F'!$D$25*'KTM 350 EXC-F'!$F$32*PI()*'KTM 350 EXC-F'!$C$7/'KTM 350 EXC-F'!$D$7/1000*'KTM 350 EXC-F'!$C$8/'KTM 350 EXC-F'!$D$8</f>
        <v>45.25597627595085</v>
      </c>
      <c r="O4" s="20">
        <f t="shared" ref="O4:O14" si="2">($C4*1000)/($G4*(1000/3600))</f>
        <v>3366.1597209858514</v>
      </c>
      <c r="P4" s="21">
        <f t="shared" ref="P4:P14" si="3">($C4*1000)/($H4*(1000/3600))</f>
        <v>2393.1291766383783</v>
      </c>
      <c r="Q4" s="21">
        <f t="shared" ref="Q4:Q14" si="4">($C4*1000)/($I4*(1000/3600))</f>
        <v>1840.8685974141372</v>
      </c>
      <c r="R4" s="21">
        <f t="shared" ref="R4:R14" si="5">($C4*1000)/($J4*(1000/3600))</f>
        <v>1539.6355542009151</v>
      </c>
      <c r="S4" s="21">
        <f t="shared" ref="S4:S14" si="6">($C4*1000)/($K4*(1000/3600))</f>
        <v>1295.9714925795527</v>
      </c>
      <c r="T4" s="22">
        <f t="shared" ref="T4:T14" si="7">($C4*1000)/($L4*(1000/3600))</f>
        <v>1132.8422137933153</v>
      </c>
    </row>
    <row r="5" spans="1:20">
      <c r="A5" s="2">
        <v>4000</v>
      </c>
      <c r="B5">
        <v>10</v>
      </c>
      <c r="C5">
        <f t="shared" si="0"/>
        <v>17.801347344383998</v>
      </c>
      <c r="D5" s="3">
        <f t="shared" si="1"/>
        <v>7.4569987199999996</v>
      </c>
      <c r="G5" s="2">
        <f>$A5*60*'KTM 350 EXC-F'!$C$15/'KTM 350 EXC-F'!$D$15*'KTM 350 EXC-F'!$F$32*PI()*'KTM 350 EXC-F'!$C$7/'KTM 350 EXC-F'!$D$7/1000*'KTM 350 EXC-F'!$C$8/'KTM 350 EXC-F'!$D$8</f>
        <v>20.307168841772818</v>
      </c>
      <c r="H5">
        <f>$A5*60*'KTM 350 EXC-F'!$C$17/'KTM 350 EXC-F'!$D$17*'KTM 350 EXC-F'!$F$32*PI()*'KTM 350 EXC-F'!$C$7/'KTM 350 EXC-F'!$D$7/1000*'KTM 350 EXC-F'!$C$8/'KTM 350 EXC-F'!$D$8</f>
        <v>28.563929799416709</v>
      </c>
      <c r="I5">
        <f>$A5*60*'KTM 350 EXC-F'!$C$19/'KTM 350 EXC-F'!$D$19*'KTM 350 EXC-F'!$F$32*PI()*'KTM 350 EXC-F'!$C$7/'KTM 350 EXC-F'!$D$7/1000*'KTM 350 EXC-F'!$C$8/'KTM 350 EXC-F'!$D$8</f>
        <v>37.133108739241713</v>
      </c>
      <c r="J5">
        <f>$A5*60*'KTM 350 EXC-F'!$C$21/'KTM 350 EXC-F'!$D$21*'KTM 350 EXC-F'!$F$32*PI()*'KTM 350 EXC-F'!$C$7/'KTM 350 EXC-F'!$D$7/1000*'KTM 350 EXC-F'!$C$8/'KTM 350 EXC-F'!$D$8</f>
        <v>44.398282188223803</v>
      </c>
      <c r="K5">
        <f>$A5*60*'KTM 350 EXC-F'!$C$23/'KTM 350 EXC-F'!$D$23*'KTM 350 EXC-F'!$F$32*PI()*'KTM 350 EXC-F'!$C$7/'KTM 350 EXC-F'!$D$7/1000*'KTM 350 EXC-F'!$C$8/'KTM 350 EXC-F'!$D$8</f>
        <v>52.7458930955138</v>
      </c>
      <c r="L5" s="3">
        <f>$A5*60*'KTM 350 EXC-F'!$C$25/'KTM 350 EXC-F'!$D$25*'KTM 350 EXC-F'!$F$32*PI()*'KTM 350 EXC-F'!$C$7/'KTM 350 EXC-F'!$D$7/1000*'KTM 350 EXC-F'!$C$8/'KTM 350 EXC-F'!$D$8</f>
        <v>60.341301701267795</v>
      </c>
      <c r="O5" s="20">
        <f t="shared" si="2"/>
        <v>3155.7747384242352</v>
      </c>
      <c r="P5" s="21">
        <f t="shared" si="3"/>
        <v>2243.5586030984796</v>
      </c>
      <c r="Q5" s="21">
        <f t="shared" si="4"/>
        <v>1725.8143100757541</v>
      </c>
      <c r="R5" s="21">
        <f t="shared" si="5"/>
        <v>1443.4083320633574</v>
      </c>
      <c r="S5" s="21">
        <f t="shared" si="6"/>
        <v>1214.9732742933306</v>
      </c>
      <c r="T5" s="22">
        <f t="shared" si="7"/>
        <v>1062.0395754312331</v>
      </c>
    </row>
    <row r="6" spans="1:20">
      <c r="A6" s="2">
        <v>5000</v>
      </c>
      <c r="B6">
        <v>20</v>
      </c>
      <c r="C6">
        <f t="shared" si="0"/>
        <v>28.482155751014396</v>
      </c>
      <c r="D6" s="3">
        <f t="shared" si="1"/>
        <v>14.913997439999999</v>
      </c>
      <c r="G6" s="2">
        <f>$A6*60*'KTM 350 EXC-F'!$C$15/'KTM 350 EXC-F'!$D$15*'KTM 350 EXC-F'!$F$32*PI()*'KTM 350 EXC-F'!$C$7/'KTM 350 EXC-F'!$D$7/1000*'KTM 350 EXC-F'!$C$8/'KTM 350 EXC-F'!$D$8</f>
        <v>25.383961052216019</v>
      </c>
      <c r="H6">
        <f>$A6*60*'KTM 350 EXC-F'!$C$17/'KTM 350 EXC-F'!$D$17*'KTM 350 EXC-F'!$F$32*PI()*'KTM 350 EXC-F'!$C$7/'KTM 350 EXC-F'!$D$7/1000*'KTM 350 EXC-F'!$C$8/'KTM 350 EXC-F'!$D$8</f>
        <v>35.704912249270883</v>
      </c>
      <c r="I6">
        <f>$A6*60*'KTM 350 EXC-F'!$C$19/'KTM 350 EXC-F'!$D$19*'KTM 350 EXC-F'!$F$32*PI()*'KTM 350 EXC-F'!$C$7/'KTM 350 EXC-F'!$D$7/1000*'KTM 350 EXC-F'!$C$8/'KTM 350 EXC-F'!$D$8</f>
        <v>46.41638592405215</v>
      </c>
      <c r="J6">
        <f>$A6*60*'KTM 350 EXC-F'!$C$21/'KTM 350 EXC-F'!$D$21*'KTM 350 EXC-F'!$F$32*PI()*'KTM 350 EXC-F'!$C$7/'KTM 350 EXC-F'!$D$7/1000*'KTM 350 EXC-F'!$C$8/'KTM 350 EXC-F'!$D$8</f>
        <v>55.497852735279736</v>
      </c>
      <c r="K6">
        <f>$A6*60*'KTM 350 EXC-F'!$C$23/'KTM 350 EXC-F'!$D$23*'KTM 350 EXC-F'!$F$32*PI()*'KTM 350 EXC-F'!$C$7/'KTM 350 EXC-F'!$D$7/1000*'KTM 350 EXC-F'!$C$8/'KTM 350 EXC-F'!$D$8</f>
        <v>65.932366369392241</v>
      </c>
      <c r="L6" s="3">
        <f>$A6*60*'KTM 350 EXC-F'!$C$25/'KTM 350 EXC-F'!$D$25*'KTM 350 EXC-F'!$F$32*PI()*'KTM 350 EXC-F'!$C$7/'KTM 350 EXC-F'!$D$7/1000*'KTM 350 EXC-F'!$C$8/'KTM 350 EXC-F'!$D$8</f>
        <v>75.426627126584748</v>
      </c>
      <c r="O6" s="20">
        <f t="shared" si="2"/>
        <v>4039.3916651830214</v>
      </c>
      <c r="P6" s="21">
        <f t="shared" si="3"/>
        <v>2871.7550119660541</v>
      </c>
      <c r="Q6" s="21">
        <f t="shared" si="4"/>
        <v>2209.0423168969651</v>
      </c>
      <c r="R6" s="21">
        <f t="shared" si="5"/>
        <v>1847.5626650410982</v>
      </c>
      <c r="S6" s="21">
        <f t="shared" si="6"/>
        <v>1555.1657910954636</v>
      </c>
      <c r="T6" s="22">
        <f t="shared" si="7"/>
        <v>1359.4106565519783</v>
      </c>
    </row>
    <row r="7" spans="1:20">
      <c r="A7" s="2">
        <v>6000</v>
      </c>
      <c r="B7">
        <v>25</v>
      </c>
      <c r="C7">
        <f t="shared" si="0"/>
        <v>29.668912240640005</v>
      </c>
      <c r="D7" s="3">
        <f t="shared" si="1"/>
        <v>18.6424968</v>
      </c>
      <c r="G7" s="2">
        <f>$A7*60*'KTM 350 EXC-F'!$C$15/'KTM 350 EXC-F'!$D$15*'KTM 350 EXC-F'!$F$32*PI()*'KTM 350 EXC-F'!$C$7/'KTM 350 EXC-F'!$D$7/1000*'KTM 350 EXC-F'!$C$8/'KTM 350 EXC-F'!$D$8</f>
        <v>30.460753262659228</v>
      </c>
      <c r="H7">
        <f>$A7*60*'KTM 350 EXC-F'!$C$17/'KTM 350 EXC-F'!$D$17*'KTM 350 EXC-F'!$F$32*PI()*'KTM 350 EXC-F'!$C$7/'KTM 350 EXC-F'!$D$7/1000*'KTM 350 EXC-F'!$C$8/'KTM 350 EXC-F'!$D$8</f>
        <v>42.845894699125068</v>
      </c>
      <c r="I7">
        <f>$A7*60*'KTM 350 EXC-F'!$C$19/'KTM 350 EXC-F'!$D$19*'KTM 350 EXC-F'!$F$32*PI()*'KTM 350 EXC-F'!$C$7/'KTM 350 EXC-F'!$D$7/1000*'KTM 350 EXC-F'!$C$8/'KTM 350 EXC-F'!$D$8</f>
        <v>55.699663108862588</v>
      </c>
      <c r="J7">
        <f>$A7*60*'KTM 350 EXC-F'!$C$21/'KTM 350 EXC-F'!$D$21*'KTM 350 EXC-F'!$F$32*PI()*'KTM 350 EXC-F'!$C$7/'KTM 350 EXC-F'!$D$7/1000*'KTM 350 EXC-F'!$C$8/'KTM 350 EXC-F'!$D$8</f>
        <v>66.597423282335697</v>
      </c>
      <c r="K7">
        <f>$A7*60*'KTM 350 EXC-F'!$C$23/'KTM 350 EXC-F'!$D$23*'KTM 350 EXC-F'!$F$32*PI()*'KTM 350 EXC-F'!$C$7/'KTM 350 EXC-F'!$D$7/1000*'KTM 350 EXC-F'!$C$8/'KTM 350 EXC-F'!$D$8</f>
        <v>79.118839643270732</v>
      </c>
      <c r="L7" s="3">
        <f>$A7*60*'KTM 350 EXC-F'!$C$25/'KTM 350 EXC-F'!$D$25*'KTM 350 EXC-F'!$F$32*PI()*'KTM 350 EXC-F'!$C$7/'KTM 350 EXC-F'!$D$7/1000*'KTM 350 EXC-F'!$C$8/'KTM 350 EXC-F'!$D$8</f>
        <v>90.5119525519017</v>
      </c>
      <c r="O7" s="20">
        <f t="shared" si="2"/>
        <v>3506.4163760269289</v>
      </c>
      <c r="P7" s="21">
        <f t="shared" si="3"/>
        <v>2492.8428923316446</v>
      </c>
      <c r="Q7" s="21">
        <f t="shared" si="4"/>
        <v>1917.5714556397265</v>
      </c>
      <c r="R7" s="21">
        <f t="shared" si="5"/>
        <v>1603.7870356259534</v>
      </c>
      <c r="S7" s="21">
        <f t="shared" si="6"/>
        <v>1349.9703047703674</v>
      </c>
      <c r="T7" s="22">
        <f t="shared" si="7"/>
        <v>1180.0439727013704</v>
      </c>
    </row>
    <row r="8" spans="1:20">
      <c r="A8" s="2">
        <v>7000</v>
      </c>
      <c r="B8">
        <v>32</v>
      </c>
      <c r="C8">
        <f t="shared" si="0"/>
        <v>32.55103514401646</v>
      </c>
      <c r="D8" s="3">
        <f t="shared" si="1"/>
        <v>23.862395904</v>
      </c>
      <c r="G8" s="2">
        <f>$A8*60*'KTM 350 EXC-F'!$C$15/'KTM 350 EXC-F'!$D$15*'KTM 350 EXC-F'!$F$32*PI()*'KTM 350 EXC-F'!$C$7/'KTM 350 EXC-F'!$D$7/1000*'KTM 350 EXC-F'!$C$8/'KTM 350 EXC-F'!$D$8</f>
        <v>35.537545473102426</v>
      </c>
      <c r="H8">
        <f>$A8*60*'KTM 350 EXC-F'!$C$17/'KTM 350 EXC-F'!$D$17*'KTM 350 EXC-F'!$F$32*PI()*'KTM 350 EXC-F'!$C$7/'KTM 350 EXC-F'!$D$7/1000*'KTM 350 EXC-F'!$C$8/'KTM 350 EXC-F'!$D$8</f>
        <v>49.986877148979246</v>
      </c>
      <c r="I8">
        <f>$A8*60*'KTM 350 EXC-F'!$C$19/'KTM 350 EXC-F'!$D$19*'KTM 350 EXC-F'!$F$32*PI()*'KTM 350 EXC-F'!$C$7/'KTM 350 EXC-F'!$D$7/1000*'KTM 350 EXC-F'!$C$8/'KTM 350 EXC-F'!$D$8</f>
        <v>64.982940293673011</v>
      </c>
      <c r="J8">
        <f>$A8*60*'KTM 350 EXC-F'!$C$21/'KTM 350 EXC-F'!$D$21*'KTM 350 EXC-F'!$F$32*PI()*'KTM 350 EXC-F'!$C$7/'KTM 350 EXC-F'!$D$7/1000*'KTM 350 EXC-F'!$C$8/'KTM 350 EXC-F'!$D$8</f>
        <v>77.696993829391644</v>
      </c>
      <c r="K8">
        <f>$A8*60*'KTM 350 EXC-F'!$C$23/'KTM 350 EXC-F'!$D$23*'KTM 350 EXC-F'!$F$32*PI()*'KTM 350 EXC-F'!$C$7/'KTM 350 EXC-F'!$D$7/1000*'KTM 350 EXC-F'!$C$8/'KTM 350 EXC-F'!$D$8</f>
        <v>92.305312917149166</v>
      </c>
      <c r="L8" s="3">
        <f>$A8*60*'KTM 350 EXC-F'!$C$25/'KTM 350 EXC-F'!$D$25*'KTM 350 EXC-F'!$F$32*PI()*'KTM 350 EXC-F'!$C$7/'KTM 350 EXC-F'!$D$7/1000*'KTM 350 EXC-F'!$C$8/'KTM 350 EXC-F'!$D$8</f>
        <v>105.59727797721867</v>
      </c>
      <c r="O8" s="20">
        <f t="shared" si="2"/>
        <v>3297.4625838228753</v>
      </c>
      <c r="P8" s="21">
        <f t="shared" si="3"/>
        <v>2344.2898056865752</v>
      </c>
      <c r="Q8" s="21">
        <f t="shared" si="4"/>
        <v>1803.2998505281348</v>
      </c>
      <c r="R8" s="21">
        <f t="shared" si="5"/>
        <v>1508.2144204417129</v>
      </c>
      <c r="S8" s="21">
        <f t="shared" si="6"/>
        <v>1269.5230947718069</v>
      </c>
      <c r="T8" s="22">
        <f t="shared" si="7"/>
        <v>1109.7229849403905</v>
      </c>
    </row>
    <row r="9" spans="1:20">
      <c r="A9" s="2">
        <v>8000</v>
      </c>
      <c r="B9">
        <v>37</v>
      </c>
      <c r="C9">
        <f t="shared" si="0"/>
        <v>32.932492587110396</v>
      </c>
      <c r="D9" s="3">
        <f t="shared" si="1"/>
        <v>27.590895264</v>
      </c>
      <c r="G9" s="2">
        <f>$A9*60*'KTM 350 EXC-F'!$C$15/'KTM 350 EXC-F'!$D$15*'KTM 350 EXC-F'!$F$32*PI()*'KTM 350 EXC-F'!$C$7/'KTM 350 EXC-F'!$D$7/1000*'KTM 350 EXC-F'!$C$8/'KTM 350 EXC-F'!$D$8</f>
        <v>40.614337683545635</v>
      </c>
      <c r="H9">
        <f>$A9*60*'KTM 350 EXC-F'!$C$17/'KTM 350 EXC-F'!$D$17*'KTM 350 EXC-F'!$F$32*PI()*'KTM 350 EXC-F'!$C$7/'KTM 350 EXC-F'!$D$7/1000*'KTM 350 EXC-F'!$C$8/'KTM 350 EXC-F'!$D$8</f>
        <v>57.127859598833417</v>
      </c>
      <c r="I9">
        <f>$A9*60*'KTM 350 EXC-F'!$C$19/'KTM 350 EXC-F'!$D$19*'KTM 350 EXC-F'!$F$32*PI()*'KTM 350 EXC-F'!$C$7/'KTM 350 EXC-F'!$D$7/1000*'KTM 350 EXC-F'!$C$8/'KTM 350 EXC-F'!$D$8</f>
        <v>74.266217478483426</v>
      </c>
      <c r="J9">
        <f>$A9*60*'KTM 350 EXC-F'!$C$21/'KTM 350 EXC-F'!$D$21*'KTM 350 EXC-F'!$F$32*PI()*'KTM 350 EXC-F'!$C$7/'KTM 350 EXC-F'!$D$7/1000*'KTM 350 EXC-F'!$C$8/'KTM 350 EXC-F'!$D$8</f>
        <v>88.796564376447606</v>
      </c>
      <c r="K9">
        <f>$A9*60*'KTM 350 EXC-F'!$C$23/'KTM 350 EXC-F'!$D$23*'KTM 350 EXC-F'!$F$32*PI()*'KTM 350 EXC-F'!$C$7/'KTM 350 EXC-F'!$D$7/1000*'KTM 350 EXC-F'!$C$8/'KTM 350 EXC-F'!$D$8</f>
        <v>105.4917861910276</v>
      </c>
      <c r="L9" s="3">
        <f>$A9*60*'KTM 350 EXC-F'!$C$25/'KTM 350 EXC-F'!$D$25*'KTM 350 EXC-F'!$F$32*PI()*'KTM 350 EXC-F'!$C$7/'KTM 350 EXC-F'!$D$7/1000*'KTM 350 EXC-F'!$C$8/'KTM 350 EXC-F'!$D$8</f>
        <v>120.68260340253559</v>
      </c>
      <c r="O9" s="20">
        <f t="shared" si="2"/>
        <v>2919.0916330424175</v>
      </c>
      <c r="P9" s="21">
        <f t="shared" si="3"/>
        <v>2075.2917078660939</v>
      </c>
      <c r="Q9" s="21">
        <f t="shared" si="4"/>
        <v>1596.3782368200725</v>
      </c>
      <c r="R9" s="21">
        <f t="shared" si="5"/>
        <v>1335.1527071586058</v>
      </c>
      <c r="S9" s="21">
        <f t="shared" si="6"/>
        <v>1123.8502787213311</v>
      </c>
      <c r="T9" s="22">
        <f t="shared" si="7"/>
        <v>982.38660727389072</v>
      </c>
    </row>
    <row r="10" spans="1:20">
      <c r="A10" s="2">
        <v>9000</v>
      </c>
      <c r="B10">
        <v>45</v>
      </c>
      <c r="C10">
        <f t="shared" si="0"/>
        <v>35.602694688767997</v>
      </c>
      <c r="D10" s="3">
        <f t="shared" si="1"/>
        <v>33.556494239999999</v>
      </c>
      <c r="G10" s="2">
        <f>$A10*60*'KTM 350 EXC-F'!$C$15/'KTM 350 EXC-F'!$D$15*'KTM 350 EXC-F'!$F$32*PI()*'KTM 350 EXC-F'!$C$7/'KTM 350 EXC-F'!$D$7/1000*'KTM 350 EXC-F'!$C$8/'KTM 350 EXC-F'!$D$8</f>
        <v>45.691129893988837</v>
      </c>
      <c r="H10">
        <f>$A10*60*'KTM 350 EXC-F'!$C$17/'KTM 350 EXC-F'!$D$17*'KTM 350 EXC-F'!$F$32*PI()*'KTM 350 EXC-F'!$C$7/'KTM 350 EXC-F'!$D$7/1000*'KTM 350 EXC-F'!$C$8/'KTM 350 EXC-F'!$D$8</f>
        <v>64.268842048687603</v>
      </c>
      <c r="I10">
        <f>$A10*60*'KTM 350 EXC-F'!$C$19/'KTM 350 EXC-F'!$D$19*'KTM 350 EXC-F'!$F$32*PI()*'KTM 350 EXC-F'!$C$7/'KTM 350 EXC-F'!$D$7/1000*'KTM 350 EXC-F'!$C$8/'KTM 350 EXC-F'!$D$8</f>
        <v>83.549494663293885</v>
      </c>
      <c r="J10">
        <f>$A10*60*'KTM 350 EXC-F'!$C$21/'KTM 350 EXC-F'!$D$21*'KTM 350 EXC-F'!$F$32*PI()*'KTM 350 EXC-F'!$C$7/'KTM 350 EXC-F'!$D$7/1000*'KTM 350 EXC-F'!$C$8/'KTM 350 EXC-F'!$D$8</f>
        <v>99.896134923503539</v>
      </c>
      <c r="K10">
        <f>$A10*60*'KTM 350 EXC-F'!$C$23/'KTM 350 EXC-F'!$D$23*'KTM 350 EXC-F'!$F$32*PI()*'KTM 350 EXC-F'!$C$7/'KTM 350 EXC-F'!$D$7/1000*'KTM 350 EXC-F'!$C$8/'KTM 350 EXC-F'!$D$8</f>
        <v>118.67825946490609</v>
      </c>
      <c r="L10" s="3">
        <f>$A10*60*'KTM 350 EXC-F'!$C$25/'KTM 350 EXC-F'!$D$25*'KTM 350 EXC-F'!$F$32*PI()*'KTM 350 EXC-F'!$C$7/'KTM 350 EXC-F'!$D$7/1000*'KTM 350 EXC-F'!$C$8/'KTM 350 EXC-F'!$D$8</f>
        <v>135.76792882785253</v>
      </c>
      <c r="O10" s="20">
        <f t="shared" si="2"/>
        <v>2805.133100821542</v>
      </c>
      <c r="P10" s="21">
        <f t="shared" si="3"/>
        <v>1994.2743138653152</v>
      </c>
      <c r="Q10" s="21">
        <f t="shared" si="4"/>
        <v>1534.0571645117809</v>
      </c>
      <c r="R10" s="21">
        <f t="shared" si="5"/>
        <v>1283.0296285007623</v>
      </c>
      <c r="S10" s="21">
        <f t="shared" si="6"/>
        <v>1079.9762438162936</v>
      </c>
      <c r="T10" s="22">
        <f t="shared" si="7"/>
        <v>944.03517816109604</v>
      </c>
    </row>
    <row r="11" spans="1:20">
      <c r="A11" s="2">
        <v>10000</v>
      </c>
      <c r="B11">
        <v>47</v>
      </c>
      <c r="C11">
        <f t="shared" si="0"/>
        <v>33.466533007441917</v>
      </c>
      <c r="D11" s="3">
        <f t="shared" si="1"/>
        <v>35.047893983999998</v>
      </c>
      <c r="G11" s="2">
        <f>$A11*60*'KTM 350 EXC-F'!$C$15/'KTM 350 EXC-F'!$D$15*'KTM 350 EXC-F'!$F$32*PI()*'KTM 350 EXC-F'!$C$7/'KTM 350 EXC-F'!$D$7/1000*'KTM 350 EXC-F'!$C$8/'KTM 350 EXC-F'!$D$8</f>
        <v>50.767922104432039</v>
      </c>
      <c r="H11">
        <f>$A11*60*'KTM 350 EXC-F'!$C$17/'KTM 350 EXC-F'!$D$17*'KTM 350 EXC-F'!$F$32*PI()*'KTM 350 EXC-F'!$C$7/'KTM 350 EXC-F'!$D$7/1000*'KTM 350 EXC-F'!$C$8/'KTM 350 EXC-F'!$D$8</f>
        <v>71.409824498541767</v>
      </c>
      <c r="I11">
        <f>$A11*60*'KTM 350 EXC-F'!$C$19/'KTM 350 EXC-F'!$D$19*'KTM 350 EXC-F'!$F$32*PI()*'KTM 350 EXC-F'!$C$7/'KTM 350 EXC-F'!$D$7/1000*'KTM 350 EXC-F'!$C$8/'KTM 350 EXC-F'!$D$8</f>
        <v>92.832771848104301</v>
      </c>
      <c r="J11">
        <f>$A11*60*'KTM 350 EXC-F'!$C$21/'KTM 350 EXC-F'!$D$21*'KTM 350 EXC-F'!$F$32*PI()*'KTM 350 EXC-F'!$C$7/'KTM 350 EXC-F'!$D$7/1000*'KTM 350 EXC-F'!$C$8/'KTM 350 EXC-F'!$D$8</f>
        <v>110.99570547055947</v>
      </c>
      <c r="K11">
        <f>$A11*60*'KTM 350 EXC-F'!$C$23/'KTM 350 EXC-F'!$D$23*'KTM 350 EXC-F'!$F$32*PI()*'KTM 350 EXC-F'!$C$7/'KTM 350 EXC-F'!$D$7/1000*'KTM 350 EXC-F'!$C$8/'KTM 350 EXC-F'!$D$8</f>
        <v>131.86473273878448</v>
      </c>
      <c r="L11" s="3">
        <f>$A11*60*'KTM 350 EXC-F'!$C$25/'KTM 350 EXC-F'!$D$25*'KTM 350 EXC-F'!$F$32*PI()*'KTM 350 EXC-F'!$C$7/'KTM 350 EXC-F'!$D$7/1000*'KTM 350 EXC-F'!$C$8/'KTM 350 EXC-F'!$D$8</f>
        <v>150.8532542531695</v>
      </c>
      <c r="O11" s="20">
        <f t="shared" si="2"/>
        <v>2373.1426032950253</v>
      </c>
      <c r="P11" s="21">
        <f t="shared" si="3"/>
        <v>1687.1560695300568</v>
      </c>
      <c r="Q11" s="21">
        <f t="shared" si="4"/>
        <v>1297.812361176967</v>
      </c>
      <c r="R11" s="21">
        <f t="shared" si="5"/>
        <v>1085.4430657116452</v>
      </c>
      <c r="S11" s="21">
        <f t="shared" si="6"/>
        <v>913.65990226858491</v>
      </c>
      <c r="T11" s="22">
        <f t="shared" si="7"/>
        <v>798.65376072428728</v>
      </c>
    </row>
    <row r="12" spans="1:20">
      <c r="A12" s="2">
        <v>11000</v>
      </c>
      <c r="B12">
        <v>49</v>
      </c>
      <c r="C12">
        <f t="shared" si="0"/>
        <v>31.718764359084219</v>
      </c>
      <c r="D12" s="3">
        <f t="shared" si="1"/>
        <v>36.539293727999997</v>
      </c>
      <c r="G12" s="2">
        <f>$A12*60*'KTM 350 EXC-F'!$C$15/'KTM 350 EXC-F'!$D$15*'KTM 350 EXC-F'!$F$32*PI()*'KTM 350 EXC-F'!$C$7/'KTM 350 EXC-F'!$D$7/1000*'KTM 350 EXC-F'!$C$8/'KTM 350 EXC-F'!$D$8</f>
        <v>55.844714314875255</v>
      </c>
      <c r="H12">
        <f>$A12*60*'KTM 350 EXC-F'!$C$17/'KTM 350 EXC-F'!$D$17*'KTM 350 EXC-F'!$F$32*PI()*'KTM 350 EXC-F'!$C$7/'KTM 350 EXC-F'!$D$7/1000*'KTM 350 EXC-F'!$C$8/'KTM 350 EXC-F'!$D$8</f>
        <v>78.550806948395945</v>
      </c>
      <c r="I12">
        <f>$A12*60*'KTM 350 EXC-F'!$C$19/'KTM 350 EXC-F'!$D$19*'KTM 350 EXC-F'!$F$32*PI()*'KTM 350 EXC-F'!$C$7/'KTM 350 EXC-F'!$D$7/1000*'KTM 350 EXC-F'!$C$8/'KTM 350 EXC-F'!$D$8</f>
        <v>102.11604903291476</v>
      </c>
      <c r="J12">
        <f>$A12*60*'KTM 350 EXC-F'!$C$21/'KTM 350 EXC-F'!$D$21*'KTM 350 EXC-F'!$F$32*PI()*'KTM 350 EXC-F'!$C$7/'KTM 350 EXC-F'!$D$7/1000*'KTM 350 EXC-F'!$C$8/'KTM 350 EXC-F'!$D$8</f>
        <v>122.09527601761545</v>
      </c>
      <c r="K12">
        <f>$A12*60*'KTM 350 EXC-F'!$C$23/'KTM 350 EXC-F'!$D$23*'KTM 350 EXC-F'!$F$32*PI()*'KTM 350 EXC-F'!$C$7/'KTM 350 EXC-F'!$D$7/1000*'KTM 350 EXC-F'!$C$8/'KTM 350 EXC-F'!$D$8</f>
        <v>145.05120601266296</v>
      </c>
      <c r="L12" s="3">
        <f>$A12*60*'KTM 350 EXC-F'!$C$25/'KTM 350 EXC-F'!$D$25*'KTM 350 EXC-F'!$F$32*PI()*'KTM 350 EXC-F'!$C$7/'KTM 350 EXC-F'!$D$7/1000*'KTM 350 EXC-F'!$C$8/'KTM 350 EXC-F'!$D$8</f>
        <v>165.93857967848646</v>
      </c>
      <c r="O12" s="20">
        <f t="shared" si="2"/>
        <v>2044.733384235207</v>
      </c>
      <c r="P12" s="21">
        <f t="shared" si="3"/>
        <v>1453.6776403547178</v>
      </c>
      <c r="Q12" s="21">
        <f t="shared" si="4"/>
        <v>1118.2135695036286</v>
      </c>
      <c r="R12" s="21">
        <f t="shared" si="5"/>
        <v>935.23316722121695</v>
      </c>
      <c r="S12" s="21">
        <f t="shared" si="6"/>
        <v>787.22235293055496</v>
      </c>
      <c r="T12" s="22">
        <f t="shared" si="7"/>
        <v>688.13142738684849</v>
      </c>
    </row>
    <row r="13" spans="1:20">
      <c r="A13" s="2">
        <v>12000</v>
      </c>
      <c r="B13">
        <v>50</v>
      </c>
      <c r="C13">
        <f t="shared" si="0"/>
        <v>29.668912240640005</v>
      </c>
      <c r="D13" s="3">
        <f t="shared" si="1"/>
        <v>37.2849936</v>
      </c>
      <c r="G13" s="2">
        <f>$A13*60*'KTM 350 EXC-F'!$C$15/'KTM 350 EXC-F'!$D$15*'KTM 350 EXC-F'!$F$32*PI()*'KTM 350 EXC-F'!$C$7/'KTM 350 EXC-F'!$D$7/1000*'KTM 350 EXC-F'!$C$8/'KTM 350 EXC-F'!$D$8</f>
        <v>60.921506525318456</v>
      </c>
      <c r="H13">
        <f>$A13*60*'KTM 350 EXC-F'!$C$17/'KTM 350 EXC-F'!$D$17*'KTM 350 EXC-F'!$F$32*PI()*'KTM 350 EXC-F'!$C$7/'KTM 350 EXC-F'!$D$7/1000*'KTM 350 EXC-F'!$C$8/'KTM 350 EXC-F'!$D$8</f>
        <v>85.691789398250137</v>
      </c>
      <c r="I13">
        <f>$A13*60*'KTM 350 EXC-F'!$C$19/'KTM 350 EXC-F'!$D$19*'KTM 350 EXC-F'!$F$32*PI()*'KTM 350 EXC-F'!$C$7/'KTM 350 EXC-F'!$D$7/1000*'KTM 350 EXC-F'!$C$8/'KTM 350 EXC-F'!$D$8</f>
        <v>111.39932621772518</v>
      </c>
      <c r="J13">
        <f>$A13*60*'KTM 350 EXC-F'!$C$21/'KTM 350 EXC-F'!$D$21*'KTM 350 EXC-F'!$F$32*PI()*'KTM 350 EXC-F'!$C$7/'KTM 350 EXC-F'!$D$7/1000*'KTM 350 EXC-F'!$C$8/'KTM 350 EXC-F'!$D$8</f>
        <v>133.19484656467139</v>
      </c>
      <c r="K13">
        <f>$A13*60*'KTM 350 EXC-F'!$C$23/'KTM 350 EXC-F'!$D$23*'KTM 350 EXC-F'!$F$32*PI()*'KTM 350 EXC-F'!$C$7/'KTM 350 EXC-F'!$D$7/1000*'KTM 350 EXC-F'!$C$8/'KTM 350 EXC-F'!$D$8</f>
        <v>158.23767928654146</v>
      </c>
      <c r="L13" s="3">
        <f>$A13*60*'KTM 350 EXC-F'!$C$25/'KTM 350 EXC-F'!$D$25*'KTM 350 EXC-F'!$F$32*PI()*'KTM 350 EXC-F'!$C$7/'KTM 350 EXC-F'!$D$7/1000*'KTM 350 EXC-F'!$C$8/'KTM 350 EXC-F'!$D$8</f>
        <v>181.0239051038034</v>
      </c>
      <c r="O13" s="20">
        <f t="shared" si="2"/>
        <v>1753.2081880134645</v>
      </c>
      <c r="P13" s="21">
        <f t="shared" si="3"/>
        <v>1246.4214461658223</v>
      </c>
      <c r="Q13" s="21">
        <f t="shared" si="4"/>
        <v>958.78572781986327</v>
      </c>
      <c r="R13" s="21">
        <f t="shared" si="5"/>
        <v>801.89351781297671</v>
      </c>
      <c r="S13" s="21">
        <f t="shared" si="6"/>
        <v>674.98515238518371</v>
      </c>
      <c r="T13" s="22">
        <f t="shared" si="7"/>
        <v>590.02198635068521</v>
      </c>
    </row>
    <row r="14" spans="1:20">
      <c r="A14" s="9">
        <v>13000</v>
      </c>
      <c r="B14" s="10">
        <v>50</v>
      </c>
      <c r="C14" s="10">
        <f t="shared" si="0"/>
        <v>27.386688222129234</v>
      </c>
      <c r="D14" s="13">
        <f t="shared" si="1"/>
        <v>37.2849936</v>
      </c>
      <c r="G14" s="9">
        <f>$A14*60*'KTM 350 EXC-F'!$C$15/'KTM 350 EXC-F'!$D$15*'KTM 350 EXC-F'!$F$32*PI()*'KTM 350 EXC-F'!$C$7/'KTM 350 EXC-F'!$D$7/1000*'KTM 350 EXC-F'!$C$8/'KTM 350 EXC-F'!$D$8</f>
        <v>65.998298735761651</v>
      </c>
      <c r="H14" s="10">
        <f>$A14*60*'KTM 350 EXC-F'!$C$17/'KTM 350 EXC-F'!$D$17*'KTM 350 EXC-F'!$F$32*PI()*'KTM 350 EXC-F'!$C$7/'KTM 350 EXC-F'!$D$7/1000*'KTM 350 EXC-F'!$C$8/'KTM 350 EXC-F'!$D$8</f>
        <v>92.832771848104301</v>
      </c>
      <c r="I14" s="10">
        <f>$A14*60*'KTM 350 EXC-F'!$C$19/'KTM 350 EXC-F'!$D$19*'KTM 350 EXC-F'!$F$32*PI()*'KTM 350 EXC-F'!$C$7/'KTM 350 EXC-F'!$D$7/1000*'KTM 350 EXC-F'!$C$8/'KTM 350 EXC-F'!$D$8</f>
        <v>120.68260340253559</v>
      </c>
      <c r="J14" s="10">
        <f>$A14*60*'KTM 350 EXC-F'!$C$21/'KTM 350 EXC-F'!$D$21*'KTM 350 EXC-F'!$F$32*PI()*'KTM 350 EXC-F'!$C$7/'KTM 350 EXC-F'!$D$7/1000*'KTM 350 EXC-F'!$C$8/'KTM 350 EXC-F'!$D$8</f>
        <v>144.29441711172737</v>
      </c>
      <c r="K14" s="10">
        <f>$A14*60*'KTM 350 EXC-F'!$C$23/'KTM 350 EXC-F'!$D$23*'KTM 350 EXC-F'!$F$32*PI()*'KTM 350 EXC-F'!$C$7/'KTM 350 EXC-F'!$D$7/1000*'KTM 350 EXC-F'!$C$8/'KTM 350 EXC-F'!$D$8</f>
        <v>171.42415256041986</v>
      </c>
      <c r="L14" s="13">
        <f>$A14*60*'KTM 350 EXC-F'!$C$25/'KTM 350 EXC-F'!$D$25*'KTM 350 EXC-F'!$F$32*PI()*'KTM 350 EXC-F'!$C$7/'KTM 350 EXC-F'!$D$7/1000*'KTM 350 EXC-F'!$C$8/'KTM 350 EXC-F'!$D$8</f>
        <v>196.10923052912037</v>
      </c>
      <c r="O14" s="23">
        <f t="shared" si="2"/>
        <v>1493.8578643428334</v>
      </c>
      <c r="P14" s="24">
        <f t="shared" si="3"/>
        <v>1062.0395754312333</v>
      </c>
      <c r="Q14" s="24">
        <f t="shared" si="4"/>
        <v>816.95351956248714</v>
      </c>
      <c r="R14" s="24">
        <f t="shared" si="5"/>
        <v>683.27021636135271</v>
      </c>
      <c r="S14" s="24">
        <f t="shared" si="6"/>
        <v>575.13527777199101</v>
      </c>
      <c r="T14" s="25">
        <f t="shared" si="7"/>
        <v>502.74062742306893</v>
      </c>
    </row>
    <row r="16" spans="1:20">
      <c r="B16" s="1" t="s">
        <v>106</v>
      </c>
    </row>
  </sheetData>
  <mergeCells count="3">
    <mergeCell ref="A1:D1"/>
    <mergeCell ref="G1:L1"/>
    <mergeCell ref="O1:T1"/>
  </mergeCells>
  <hyperlinks>
    <hyperlink ref="B16" r:id="rId1" xr:uid="{F3877045-F806-4937-AC59-6FD151E8F0A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2022-12-12T13:52:02Z</dcterms:created>
  <dcterms:modified xsi:type="dcterms:W3CDTF">2022-12-18T22:00:07Z</dcterms:modified>
  <cp:category/>
  <cp:contentStatus/>
</cp:coreProperties>
</file>