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io\OneDrive\Documents\1st Year\Motorcycle Technology\"/>
    </mc:Choice>
  </mc:AlternateContent>
  <xr:revisionPtr revIDLastSave="0" documentId="8_{E49DA8B5-005A-4158-802A-EB5FF96AEAE9}" xr6:coauthVersionLast="47" xr6:coauthVersionMax="47" xr10:uidLastSave="{00000000-0000-0000-0000-000000000000}"/>
  <bookViews>
    <workbookView xWindow="-108" yWindow="-108" windowWidth="23256" windowHeight="12576" xr2:uid="{B0B8A0AE-6B30-4872-BA2D-7FE763A1F6CA}"/>
  </bookViews>
  <sheets>
    <sheet name="Gearbox" sheetId="1" r:id="rId1"/>
    <sheet name="Road Speed and Driving Force" sheetId="2" r:id="rId2"/>
    <sheet name="Power Torque Curve" sheetId="8" r:id="rId3"/>
    <sheet name="Shift Point Chart" sheetId="7" r:id="rId4"/>
    <sheet name="Drag Calculations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2" i="2" l="1"/>
  <c r="AA103" i="1"/>
  <c r="AA104" i="1" s="1"/>
  <c r="AA100" i="1"/>
  <c r="AA101" i="1"/>
  <c r="AA102" i="1" s="1"/>
  <c r="AA98" i="1"/>
  <c r="AA99" i="1" s="1"/>
  <c r="AA96" i="1"/>
  <c r="AA97" i="1"/>
  <c r="AA92" i="1"/>
  <c r="AA93" i="1" s="1"/>
  <c r="AA94" i="1" s="1"/>
  <c r="AA95" i="1" s="1"/>
  <c r="AA26" i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25" i="1"/>
  <c r="AA6" i="1"/>
  <c r="AA7" i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5" i="1"/>
  <c r="F65" i="6"/>
  <c r="F68" i="6" s="1"/>
  <c r="F67" i="6"/>
  <c r="F56" i="6"/>
  <c r="F58" i="6"/>
  <c r="F59" i="6"/>
  <c r="F47" i="6"/>
  <c r="F50" i="6" s="1"/>
  <c r="F49" i="6"/>
  <c r="F38" i="6"/>
  <c r="F41" i="6" s="1"/>
  <c r="F40" i="6"/>
  <c r="F29" i="6"/>
  <c r="F32" i="6" s="1"/>
  <c r="F31" i="6"/>
  <c r="F20" i="6"/>
  <c r="F22" i="6"/>
  <c r="F23" i="6"/>
  <c r="F11" i="6"/>
  <c r="F14" i="6" s="1"/>
  <c r="F13" i="6"/>
  <c r="F5" i="6"/>
  <c r="F2" i="6"/>
  <c r="F4" i="6"/>
  <c r="H11" i="6"/>
  <c r="H12" i="6" s="1"/>
  <c r="H13" i="6" s="1"/>
  <c r="H14" i="6" s="1"/>
  <c r="H15" i="6" s="1"/>
  <c r="H16" i="6" s="1"/>
  <c r="H10" i="6"/>
  <c r="AC75" i="1"/>
  <c r="AC76" i="1" s="1"/>
  <c r="AC77" i="1" s="1"/>
  <c r="AC78" i="1" s="1"/>
  <c r="AC65" i="1"/>
  <c r="AC66" i="1" s="1"/>
  <c r="AC67" i="1" s="1"/>
  <c r="AC68" i="1" s="1"/>
  <c r="AC69" i="1" s="1"/>
  <c r="AC70" i="1" s="1"/>
  <c r="AC71" i="1" s="1"/>
  <c r="AC72" i="1" s="1"/>
  <c r="AC73" i="1" s="1"/>
  <c r="AC74" i="1" s="1"/>
  <c r="AC5" i="1"/>
  <c r="AC6" i="1" s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K4" i="1"/>
  <c r="K5" i="1" s="1"/>
  <c r="C13" i="6"/>
  <c r="C3" i="6"/>
  <c r="M22" i="2"/>
  <c r="C5" i="6" s="1"/>
  <c r="C6" i="6" s="1"/>
  <c r="A3" i="2"/>
  <c r="A4" i="2" s="1"/>
  <c r="M3" i="2"/>
  <c r="T3" i="2" s="1"/>
  <c r="M2" i="2"/>
  <c r="T2" i="2" s="1"/>
  <c r="I3" i="2"/>
  <c r="P3" i="2" s="1"/>
  <c r="L3" i="2"/>
  <c r="S3" i="2" s="1"/>
  <c r="K3" i="2"/>
  <c r="R3" i="2" s="1"/>
  <c r="J3" i="2"/>
  <c r="Q3" i="2" s="1"/>
  <c r="L2" i="2"/>
  <c r="S2" i="2" s="1"/>
  <c r="K2" i="2"/>
  <c r="R2" i="2" s="1"/>
  <c r="J2" i="2"/>
  <c r="Q2" i="2" s="1"/>
  <c r="I2" i="2"/>
  <c r="P2" i="2" s="1"/>
  <c r="H2" i="2"/>
  <c r="O2" i="2" s="1"/>
  <c r="H3" i="2"/>
  <c r="O3" i="2" s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" i="2"/>
  <c r="G14" i="1"/>
  <c r="H14" i="1" s="1"/>
  <c r="G16" i="1"/>
  <c r="H16" i="1" s="1"/>
  <c r="G18" i="1"/>
  <c r="H18" i="1" s="1"/>
  <c r="G20" i="1"/>
  <c r="H20" i="1" s="1"/>
  <c r="G12" i="1"/>
  <c r="G11" i="1"/>
  <c r="F11" i="1"/>
  <c r="F13" i="1"/>
  <c r="F15" i="1"/>
  <c r="F17" i="1"/>
  <c r="F19" i="1"/>
  <c r="F21" i="1"/>
  <c r="H12" i="1" l="1"/>
  <c r="C12" i="6"/>
  <c r="A5" i="2"/>
  <c r="M4" i="2"/>
  <c r="T4" i="2" s="1"/>
  <c r="L4" i="2"/>
  <c r="S4" i="2" s="1"/>
  <c r="J4" i="2"/>
  <c r="Q4" i="2" s="1"/>
  <c r="H4" i="2"/>
  <c r="O4" i="2" s="1"/>
  <c r="I4" i="2"/>
  <c r="P4" i="2" s="1"/>
  <c r="K4" i="2"/>
  <c r="R4" i="2" s="1"/>
  <c r="F12" i="6" l="1"/>
  <c r="F15" i="6" s="1"/>
  <c r="I10" i="6" s="1"/>
  <c r="F39" i="6"/>
  <c r="F42" i="6" s="1"/>
  <c r="I13" i="6" s="1"/>
  <c r="F21" i="6"/>
  <c r="F24" i="6" s="1"/>
  <c r="I11" i="6" s="1"/>
  <c r="F30" i="6"/>
  <c r="F33" i="6" s="1"/>
  <c r="I12" i="6" s="1"/>
  <c r="F57" i="6"/>
  <c r="F60" i="6" s="1"/>
  <c r="I15" i="6" s="1"/>
  <c r="F3" i="6"/>
  <c r="F6" i="6" s="1"/>
  <c r="I9" i="6" s="1"/>
  <c r="F66" i="6"/>
  <c r="F69" i="6" s="1"/>
  <c r="I16" i="6" s="1"/>
  <c r="F48" i="6"/>
  <c r="F51" i="6" s="1"/>
  <c r="I14" i="6" s="1"/>
  <c r="C14" i="6"/>
  <c r="I5" i="2"/>
  <c r="P5" i="2" s="1"/>
  <c r="K5" i="2"/>
  <c r="R5" i="2" s="1"/>
  <c r="A6" i="2"/>
  <c r="M5" i="2"/>
  <c r="T5" i="2" s="1"/>
  <c r="L5" i="2"/>
  <c r="S5" i="2" s="1"/>
  <c r="J5" i="2"/>
  <c r="Q5" i="2" s="1"/>
  <c r="H5" i="2"/>
  <c r="O5" i="2" s="1"/>
  <c r="I6" i="2" l="1"/>
  <c r="P6" i="2" s="1"/>
  <c r="K6" i="2"/>
  <c r="R6" i="2" s="1"/>
  <c r="H6" i="2"/>
  <c r="O6" i="2" s="1"/>
  <c r="A7" i="2"/>
  <c r="M6" i="2"/>
  <c r="T6" i="2" s="1"/>
  <c r="L6" i="2"/>
  <c r="S6" i="2" s="1"/>
  <c r="J6" i="2"/>
  <c r="Q6" i="2" s="1"/>
  <c r="L7" i="2" l="1"/>
  <c r="S7" i="2" s="1"/>
  <c r="I7" i="2"/>
  <c r="P7" i="2" s="1"/>
  <c r="K7" i="2"/>
  <c r="R7" i="2" s="1"/>
  <c r="A8" i="2"/>
  <c r="M7" i="2"/>
  <c r="T7" i="2" s="1"/>
  <c r="J7" i="2"/>
  <c r="Q7" i="2" s="1"/>
  <c r="H7" i="2"/>
  <c r="O7" i="2" s="1"/>
  <c r="H8" i="2" l="1"/>
  <c r="O8" i="2" s="1"/>
  <c r="I8" i="2"/>
  <c r="P8" i="2" s="1"/>
  <c r="K8" i="2"/>
  <c r="R8" i="2" s="1"/>
  <c r="A9" i="2"/>
  <c r="M8" i="2"/>
  <c r="T8" i="2" s="1"/>
  <c r="L8" i="2"/>
  <c r="S8" i="2" s="1"/>
  <c r="J8" i="2"/>
  <c r="Q8" i="2" s="1"/>
  <c r="L9" i="2" l="1"/>
  <c r="S9" i="2" s="1"/>
  <c r="J9" i="2"/>
  <c r="Q9" i="2" s="1"/>
  <c r="H9" i="2"/>
  <c r="O9" i="2" s="1"/>
  <c r="I9" i="2"/>
  <c r="P9" i="2" s="1"/>
  <c r="K9" i="2"/>
  <c r="R9" i="2" s="1"/>
  <c r="A10" i="2"/>
  <c r="M9" i="2"/>
  <c r="T9" i="2" s="1"/>
  <c r="A11" i="2" l="1"/>
  <c r="M10" i="2"/>
  <c r="T10" i="2" s="1"/>
  <c r="H10" i="2"/>
  <c r="O10" i="2" s="1"/>
  <c r="L10" i="2"/>
  <c r="S10" i="2" s="1"/>
  <c r="J10" i="2"/>
  <c r="Q10" i="2" s="1"/>
  <c r="I10" i="2"/>
  <c r="P10" i="2" s="1"/>
  <c r="K10" i="2"/>
  <c r="R10" i="2" s="1"/>
  <c r="A12" i="2" l="1"/>
  <c r="M11" i="2"/>
  <c r="T11" i="2" s="1"/>
  <c r="L11" i="2"/>
  <c r="S11" i="2" s="1"/>
  <c r="J11" i="2"/>
  <c r="Q11" i="2" s="1"/>
  <c r="H11" i="2"/>
  <c r="O11" i="2" s="1"/>
  <c r="K11" i="2"/>
  <c r="R11" i="2" s="1"/>
  <c r="I11" i="2"/>
  <c r="P11" i="2" s="1"/>
  <c r="A13" i="2" l="1"/>
  <c r="M12" i="2"/>
  <c r="T12" i="2" s="1"/>
  <c r="L12" i="2"/>
  <c r="S12" i="2" s="1"/>
  <c r="J12" i="2"/>
  <c r="Q12" i="2" s="1"/>
  <c r="H12" i="2"/>
  <c r="O12" i="2" s="1"/>
  <c r="I12" i="2"/>
  <c r="P12" i="2" s="1"/>
  <c r="K12" i="2"/>
  <c r="R12" i="2" s="1"/>
  <c r="I13" i="2" l="1"/>
  <c r="P13" i="2" s="1"/>
  <c r="K13" i="2"/>
  <c r="R13" i="2" s="1"/>
  <c r="A14" i="2"/>
  <c r="M13" i="2"/>
  <c r="T13" i="2" s="1"/>
  <c r="L13" i="2"/>
  <c r="S13" i="2" s="1"/>
  <c r="J13" i="2"/>
  <c r="Q13" i="2" s="1"/>
  <c r="H13" i="2"/>
  <c r="O13" i="2" s="1"/>
  <c r="I14" i="2" l="1"/>
  <c r="P14" i="2" s="1"/>
  <c r="K14" i="2"/>
  <c r="R14" i="2" s="1"/>
  <c r="A15" i="2"/>
  <c r="M14" i="2"/>
  <c r="T14" i="2" s="1"/>
  <c r="J14" i="2"/>
  <c r="Q14" i="2" s="1"/>
  <c r="H14" i="2"/>
  <c r="O14" i="2" s="1"/>
  <c r="L14" i="2"/>
  <c r="S14" i="2" s="1"/>
  <c r="I15" i="2" l="1"/>
  <c r="P15" i="2" s="1"/>
  <c r="K15" i="2"/>
  <c r="R15" i="2" s="1"/>
  <c r="L15" i="2"/>
  <c r="S15" i="2" s="1"/>
  <c r="J15" i="2"/>
  <c r="Q15" i="2" s="1"/>
  <c r="A16" i="2"/>
  <c r="M15" i="2"/>
  <c r="T15" i="2" s="1"/>
  <c r="H15" i="2"/>
  <c r="O15" i="2" s="1"/>
  <c r="H16" i="2" l="1"/>
  <c r="O16" i="2" s="1"/>
  <c r="I16" i="2"/>
  <c r="P16" i="2" s="1"/>
  <c r="K16" i="2"/>
  <c r="R16" i="2" s="1"/>
  <c r="M16" i="2"/>
  <c r="T16" i="2" s="1"/>
  <c r="A17" i="2"/>
  <c r="L16" i="2"/>
  <c r="S16" i="2" s="1"/>
  <c r="J16" i="2"/>
  <c r="Q16" i="2" s="1"/>
  <c r="L17" i="2" l="1"/>
  <c r="S17" i="2" s="1"/>
  <c r="J17" i="2"/>
  <c r="Q17" i="2" s="1"/>
  <c r="I17" i="2"/>
  <c r="P17" i="2" s="1"/>
  <c r="K17" i="2"/>
  <c r="R17" i="2" s="1"/>
  <c r="A18" i="2"/>
  <c r="M17" i="2"/>
  <c r="T17" i="2" s="1"/>
  <c r="H17" i="2"/>
  <c r="O17" i="2" s="1"/>
  <c r="A19" i="2" l="1"/>
  <c r="M18" i="2"/>
  <c r="T18" i="2" s="1"/>
  <c r="J18" i="2"/>
  <c r="Q18" i="2" s="1"/>
  <c r="L18" i="2"/>
  <c r="S18" i="2" s="1"/>
  <c r="K18" i="2"/>
  <c r="R18" i="2" s="1"/>
  <c r="I18" i="2"/>
  <c r="P18" i="2" s="1"/>
  <c r="H18" i="2"/>
  <c r="O18" i="2" s="1"/>
  <c r="I19" i="2" l="1"/>
  <c r="P19" i="2" s="1"/>
  <c r="A20" i="2"/>
  <c r="M19" i="2"/>
  <c r="T19" i="2" s="1"/>
  <c r="L19" i="2"/>
  <c r="S19" i="2" s="1"/>
  <c r="J19" i="2"/>
  <c r="Q19" i="2" s="1"/>
  <c r="H19" i="2"/>
  <c r="O19" i="2" s="1"/>
  <c r="K19" i="2"/>
  <c r="R19" i="2" s="1"/>
  <c r="A21" i="2" l="1"/>
  <c r="M20" i="2"/>
  <c r="T20" i="2" s="1"/>
  <c r="L20" i="2"/>
  <c r="S20" i="2" s="1"/>
  <c r="J20" i="2"/>
  <c r="Q20" i="2" s="1"/>
  <c r="H20" i="2"/>
  <c r="O20" i="2" s="1"/>
  <c r="I20" i="2"/>
  <c r="P20" i="2" s="1"/>
  <c r="K20" i="2"/>
  <c r="R20" i="2" s="1"/>
  <c r="I21" i="2" l="1"/>
  <c r="P21" i="2" s="1"/>
  <c r="K21" i="2"/>
  <c r="R21" i="2" s="1"/>
  <c r="A22" i="2"/>
  <c r="M21" i="2"/>
  <c r="T21" i="2" s="1"/>
  <c r="L21" i="2"/>
  <c r="S21" i="2" s="1"/>
  <c r="J21" i="2"/>
  <c r="Q21" i="2" s="1"/>
  <c r="H21" i="2"/>
  <c r="O21" i="2" s="1"/>
  <c r="I22" i="2" l="1"/>
  <c r="P22" i="2" s="1"/>
  <c r="K22" i="2"/>
  <c r="R22" i="2" s="1"/>
  <c r="H22" i="2"/>
  <c r="O22" i="2" s="1"/>
  <c r="L22" i="2"/>
  <c r="S22" i="2" s="1"/>
  <c r="J22" i="2"/>
  <c r="Q22" i="2" s="1"/>
  <c r="F61" i="6" l="1"/>
  <c r="F43" i="6"/>
  <c r="F25" i="6"/>
  <c r="F7" i="6"/>
  <c r="F70" i="6"/>
  <c r="F52" i="6"/>
  <c r="F34" i="6"/>
  <c r="F16" i="6"/>
  <c r="C15" i="6"/>
</calcChain>
</file>

<file path=xl/sharedStrings.xml><?xml version="1.0" encoding="utf-8"?>
<sst xmlns="http://schemas.openxmlformats.org/spreadsheetml/2006/main" count="123" uniqueCount="71">
  <si>
    <t>Road Speed (km/h)</t>
  </si>
  <si>
    <t>RPM Limit</t>
  </si>
  <si>
    <t>Mainshaft</t>
  </si>
  <si>
    <t>Countershaft</t>
  </si>
  <si>
    <t>Ratio</t>
  </si>
  <si>
    <t>In</t>
  </si>
  <si>
    <t>Out</t>
  </si>
  <si>
    <t>Revs</t>
  </si>
  <si>
    <t>Rev Falls</t>
  </si>
  <si>
    <t>Chain Links</t>
  </si>
  <si>
    <t>RPM</t>
  </si>
  <si>
    <t>Power (hp)</t>
  </si>
  <si>
    <t>Torque (Nm)</t>
  </si>
  <si>
    <t>Power (kW)</t>
  </si>
  <si>
    <t>Torque (ft-lbs)</t>
  </si>
  <si>
    <t>Road Speed 1st(km/h)</t>
  </si>
  <si>
    <t>Road Speed 2nd (km/h)</t>
  </si>
  <si>
    <t>Road Speed 3rd (km/h)</t>
  </si>
  <si>
    <t>Road Speed 4th (km/h)</t>
  </si>
  <si>
    <t>Road Speed 5th (km/h)</t>
  </si>
  <si>
    <t>Road Speed 6th (km/h)</t>
  </si>
  <si>
    <t>Driving Force 1st (N)</t>
  </si>
  <si>
    <t>Driving Force 2nd (N)</t>
  </si>
  <si>
    <t>Driving Force 3rd (N)</t>
  </si>
  <si>
    <t>Driving Force 4th (N)</t>
  </si>
  <si>
    <t>Driving Force 5th (N)</t>
  </si>
  <si>
    <t>Frontal Area of R1</t>
  </si>
  <si>
    <t>mm^2</t>
  </si>
  <si>
    <t>Mechanical top speed</t>
  </si>
  <si>
    <t>kmh</t>
  </si>
  <si>
    <t>m/s</t>
  </si>
  <si>
    <t>Along flat plane:</t>
  </si>
  <si>
    <t>Conditions</t>
  </si>
  <si>
    <r>
      <t>1.167kg/m^3, 20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C, 987mbar </t>
    </r>
  </si>
  <si>
    <t>m^2</t>
  </si>
  <si>
    <t>Mass of wet bike (kg)</t>
  </si>
  <si>
    <t>Driving force at top speed of bike (N)</t>
  </si>
  <si>
    <t>Rolling resistance (N)</t>
  </si>
  <si>
    <t>Aero drag (N)</t>
  </si>
  <si>
    <t>Total resistance (N)</t>
  </si>
  <si>
    <t>Therefore, along flat it can reach top speed</t>
  </si>
  <si>
    <t>Resistance up slope (N)</t>
  </si>
  <si>
    <t>Therefore, up slope it cannot reach top speed</t>
  </si>
  <si>
    <t>Angle of slope (degrees)</t>
  </si>
  <si>
    <t>Primary Drive</t>
  </si>
  <si>
    <t>Final Drive</t>
  </si>
  <si>
    <t>1st Gear</t>
  </si>
  <si>
    <t>2nd Gear</t>
  </si>
  <si>
    <t>3rd Gear</t>
  </si>
  <si>
    <t>4th Gear</t>
  </si>
  <si>
    <t>5th Gear</t>
  </si>
  <si>
    <t>6th Gear</t>
  </si>
  <si>
    <t>Gearbox:</t>
  </si>
  <si>
    <t>Wheel Diameter (m)</t>
  </si>
  <si>
    <t>Swingarm:</t>
  </si>
  <si>
    <t>Chain Size (Inches)</t>
  </si>
  <si>
    <t>Swingarm Length (mm)</t>
  </si>
  <si>
    <t>Revs:</t>
  </si>
  <si>
    <t>Gear Teeth:</t>
  </si>
  <si>
    <t>Slope Percentage (%)</t>
  </si>
  <si>
    <t>Therefore, up slope it can reach top speed</t>
  </si>
  <si>
    <t>Up slope of 1%:</t>
  </si>
  <si>
    <t>Up slope of 2%:</t>
  </si>
  <si>
    <t>Up slope of 3%:</t>
  </si>
  <si>
    <t>Up slope of 4%:</t>
  </si>
  <si>
    <t>Up slope of 5%:</t>
  </si>
  <si>
    <t>Up slope of 6%:</t>
  </si>
  <si>
    <t>Up slope of 7%:</t>
  </si>
  <si>
    <t>Up slope of 8%:</t>
  </si>
  <si>
    <t>Driving Force Required To Reach Top Speed (N)</t>
  </si>
  <si>
    <t>Driving Force (6th)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</si>
</sst>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4" fillId="2" borderId="1" xfId="0" applyFont="1" applyFill="1" applyBorder="1"/>
    <xf numFmtId="0" fontId="6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7" fillId="2" borderId="1" xfId="0" applyFont="1" applyFill="1" applyBorder="1"/>
    <xf numFmtId="0" fontId="8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6" fillId="2" borderId="0" xfId="0" applyFont="1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Torque Curve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'Road Speed and Driving Force'!$B$1</c:f>
              <c:strCache>
                <c:ptCount val="1"/>
                <c:pt idx="0">
                  <c:v>Power (hp)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'Road Speed and Driving Force'!$A$2:$A$22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'Road Speed and Driving Force'!$B$2:$B$22</c:f>
              <c:numCache>
                <c:formatCode>General</c:formatCode>
                <c:ptCount val="21"/>
                <c:pt idx="0">
                  <c:v>40</c:v>
                </c:pt>
                <c:pt idx="1">
                  <c:v>48</c:v>
                </c:pt>
                <c:pt idx="2">
                  <c:v>55</c:v>
                </c:pt>
                <c:pt idx="3">
                  <c:v>60</c:v>
                </c:pt>
                <c:pt idx="4">
                  <c:v>63</c:v>
                </c:pt>
                <c:pt idx="5">
                  <c:v>70</c:v>
                </c:pt>
                <c:pt idx="6">
                  <c:v>78</c:v>
                </c:pt>
                <c:pt idx="7">
                  <c:v>88</c:v>
                </c:pt>
                <c:pt idx="8">
                  <c:v>111</c:v>
                </c:pt>
                <c:pt idx="9">
                  <c:v>126</c:v>
                </c:pt>
                <c:pt idx="10">
                  <c:v>136</c:v>
                </c:pt>
                <c:pt idx="11">
                  <c:v>143</c:v>
                </c:pt>
                <c:pt idx="12">
                  <c:v>150</c:v>
                </c:pt>
                <c:pt idx="13">
                  <c:v>160</c:v>
                </c:pt>
                <c:pt idx="14">
                  <c:v>164</c:v>
                </c:pt>
                <c:pt idx="15">
                  <c:v>174</c:v>
                </c:pt>
                <c:pt idx="16">
                  <c:v>177</c:v>
                </c:pt>
                <c:pt idx="17">
                  <c:v>180</c:v>
                </c:pt>
                <c:pt idx="18">
                  <c:v>183</c:v>
                </c:pt>
                <c:pt idx="19">
                  <c:v>184</c:v>
                </c:pt>
                <c:pt idx="20">
                  <c:v>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C2-41C6-ABEC-57CD8D8830DD}"/>
            </c:ext>
          </c:extLst>
        </c:ser>
        <c:ser>
          <c:idx val="1"/>
          <c:order val="1"/>
          <c:tx>
            <c:strRef>
              <c:f>'Road Speed and Driving Force'!$C$1</c:f>
              <c:strCache>
                <c:ptCount val="1"/>
                <c:pt idx="0">
                  <c:v>Torque (ft-lbs)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'Road Speed and Driving Force'!$A$2:$A$22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'Road Speed and Driving Force'!$C$2:$C$22</c:f>
              <c:numCache>
                <c:formatCode>General</c:formatCode>
                <c:ptCount val="21"/>
                <c:pt idx="0">
                  <c:v>53</c:v>
                </c:pt>
                <c:pt idx="1">
                  <c:v>56</c:v>
                </c:pt>
                <c:pt idx="2">
                  <c:v>56</c:v>
                </c:pt>
                <c:pt idx="3">
                  <c:v>57</c:v>
                </c:pt>
                <c:pt idx="4">
                  <c:v>55</c:v>
                </c:pt>
                <c:pt idx="5">
                  <c:v>56</c:v>
                </c:pt>
                <c:pt idx="6">
                  <c:v>58</c:v>
                </c:pt>
                <c:pt idx="7">
                  <c:v>65</c:v>
                </c:pt>
                <c:pt idx="8">
                  <c:v>73</c:v>
                </c:pt>
                <c:pt idx="9">
                  <c:v>78</c:v>
                </c:pt>
                <c:pt idx="10">
                  <c:v>80</c:v>
                </c:pt>
                <c:pt idx="11">
                  <c:v>79</c:v>
                </c:pt>
                <c:pt idx="12">
                  <c:v>79</c:v>
                </c:pt>
                <c:pt idx="13">
                  <c:v>80</c:v>
                </c:pt>
                <c:pt idx="14">
                  <c:v>79</c:v>
                </c:pt>
                <c:pt idx="15">
                  <c:v>80</c:v>
                </c:pt>
                <c:pt idx="16">
                  <c:v>78</c:v>
                </c:pt>
                <c:pt idx="17">
                  <c:v>75</c:v>
                </c:pt>
                <c:pt idx="18">
                  <c:v>74</c:v>
                </c:pt>
                <c:pt idx="19">
                  <c:v>74</c:v>
                </c:pt>
                <c:pt idx="20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C2-41C6-ABEC-57CD8D8830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2323135"/>
        <c:axId val="1252324383"/>
      </c:lineChart>
      <c:catAx>
        <c:axId val="12523231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2324383"/>
        <c:crosses val="autoZero"/>
        <c:auto val="1"/>
        <c:lblAlgn val="ctr"/>
        <c:lblOffset val="100"/>
        <c:noMultiLvlLbl val="0"/>
      </c:catAx>
      <c:valAx>
        <c:axId val="1252324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(hp)/Torque</a:t>
                </a:r>
                <a:r>
                  <a:rPr lang="en-GB" baseline="0"/>
                  <a:t> (ft-lbs)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2323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Shift Point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Force'!$H$2:$H$22</c:f>
              <c:numCache>
                <c:formatCode>General</c:formatCode>
                <c:ptCount val="21"/>
                <c:pt idx="0">
                  <c:v>44.379654157045209</c:v>
                </c:pt>
                <c:pt idx="1">
                  <c:v>49.927110926675866</c:v>
                </c:pt>
                <c:pt idx="2">
                  <c:v>55.474567696306515</c:v>
                </c:pt>
                <c:pt idx="3">
                  <c:v>61.022024465937164</c:v>
                </c:pt>
                <c:pt idx="4">
                  <c:v>66.569481235567807</c:v>
                </c:pt>
                <c:pt idx="5">
                  <c:v>72.116938005198477</c:v>
                </c:pt>
                <c:pt idx="6">
                  <c:v>77.66439477482912</c:v>
                </c:pt>
                <c:pt idx="7">
                  <c:v>83.211851544459762</c:v>
                </c:pt>
                <c:pt idx="8">
                  <c:v>88.759308314090418</c:v>
                </c:pt>
                <c:pt idx="9">
                  <c:v>94.306765083721061</c:v>
                </c:pt>
                <c:pt idx="10">
                  <c:v>99.854221853351731</c:v>
                </c:pt>
                <c:pt idx="11">
                  <c:v>105.40167862298236</c:v>
                </c:pt>
                <c:pt idx="12">
                  <c:v>110.94913539261303</c:v>
                </c:pt>
                <c:pt idx="13">
                  <c:v>116.49659216224366</c:v>
                </c:pt>
                <c:pt idx="14">
                  <c:v>122.04404893187433</c:v>
                </c:pt>
                <c:pt idx="15">
                  <c:v>127.59150570150496</c:v>
                </c:pt>
                <c:pt idx="16">
                  <c:v>133.13896247113561</c:v>
                </c:pt>
                <c:pt idx="17">
                  <c:v>138.6864192407663</c:v>
                </c:pt>
                <c:pt idx="18">
                  <c:v>144.23387601039695</c:v>
                </c:pt>
                <c:pt idx="19">
                  <c:v>149.78133278002758</c:v>
                </c:pt>
                <c:pt idx="20">
                  <c:v>155.32878954965824</c:v>
                </c:pt>
              </c:numCache>
            </c:numRef>
          </c:xVal>
          <c:yVal>
            <c:numRef>
              <c:f>'Road Speed and Driving Force'!$O$2:$O$22</c:f>
              <c:numCache>
                <c:formatCode>General</c:formatCode>
                <c:ptCount val="21"/>
                <c:pt idx="0">
                  <c:v>2419.5952410988639</c:v>
                </c:pt>
                <c:pt idx="1">
                  <c:v>2580.9015905054544</c:v>
                </c:pt>
                <c:pt idx="2">
                  <c:v>2661.5547652087503</c:v>
                </c:pt>
                <c:pt idx="3">
                  <c:v>2639.5584448351242</c:v>
                </c:pt>
                <c:pt idx="4">
                  <c:v>2540.5750031538078</c:v>
                </c:pt>
                <c:pt idx="5">
                  <c:v>2605.7179519526221</c:v>
                </c:pt>
                <c:pt idx="6">
                  <c:v>2696.1204115101623</c:v>
                </c:pt>
                <c:pt idx="7">
                  <c:v>2838.9917495560007</c:v>
                </c:pt>
                <c:pt idx="8">
                  <c:v>3357.1883970246731</c:v>
                </c:pt>
                <c:pt idx="9">
                  <c:v>3586.6941220994931</c:v>
                </c:pt>
                <c:pt idx="10">
                  <c:v>3656.2772532160602</c:v>
                </c:pt>
                <c:pt idx="11">
                  <c:v>3642.1275734435535</c:v>
                </c:pt>
                <c:pt idx="12">
                  <c:v>3629.3928616482958</c:v>
                </c:pt>
                <c:pt idx="13">
                  <c:v>3687.0022721506502</c:v>
                </c:pt>
                <c:pt idx="14">
                  <c:v>3607.3965412746693</c:v>
                </c:pt>
                <c:pt idx="15">
                  <c:v>3660.9527995756725</c:v>
                </c:pt>
                <c:pt idx="16">
                  <c:v>3568.9029806208241</c:v>
                </c:pt>
                <c:pt idx="17">
                  <c:v>3484.2171471823635</c:v>
                </c:pt>
                <c:pt idx="18">
                  <c:v>3406.0456086237846</c:v>
                </c:pt>
                <c:pt idx="19">
                  <c:v>3297.8186989791916</c:v>
                </c:pt>
                <c:pt idx="20">
                  <c:v>3145.4738134285226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18-498E-9866-D4368586B2BE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Force'!$I$2:$I$22</c:f>
              <c:numCache>
                <c:formatCode>General</c:formatCode>
                <c:ptCount val="21"/>
                <c:pt idx="0">
                  <c:v>53.015694965983734</c:v>
                </c:pt>
                <c:pt idx="1">
                  <c:v>59.642656836731703</c:v>
                </c:pt>
                <c:pt idx="2">
                  <c:v>66.269618707479651</c:v>
                </c:pt>
                <c:pt idx="3">
                  <c:v>72.896580578227628</c:v>
                </c:pt>
                <c:pt idx="4">
                  <c:v>79.523542448975604</c:v>
                </c:pt>
                <c:pt idx="5">
                  <c:v>86.150504319723581</c:v>
                </c:pt>
                <c:pt idx="6">
                  <c:v>92.777466190471543</c:v>
                </c:pt>
                <c:pt idx="7">
                  <c:v>99.404428061219491</c:v>
                </c:pt>
                <c:pt idx="8">
                  <c:v>106.03138993196747</c:v>
                </c:pt>
                <c:pt idx="9">
                  <c:v>112.65835180271546</c:v>
                </c:pt>
                <c:pt idx="10">
                  <c:v>119.28531367346341</c:v>
                </c:pt>
                <c:pt idx="11">
                  <c:v>125.91227554421137</c:v>
                </c:pt>
                <c:pt idx="12">
                  <c:v>132.5392374149593</c:v>
                </c:pt>
                <c:pt idx="13">
                  <c:v>139.16619928570731</c:v>
                </c:pt>
                <c:pt idx="14">
                  <c:v>145.79316115645526</c:v>
                </c:pt>
                <c:pt idx="15">
                  <c:v>152.42012302720323</c:v>
                </c:pt>
                <c:pt idx="16">
                  <c:v>159.04708489795121</c:v>
                </c:pt>
                <c:pt idx="17">
                  <c:v>165.67404676869916</c:v>
                </c:pt>
                <c:pt idx="18">
                  <c:v>172.30100863944716</c:v>
                </c:pt>
                <c:pt idx="19">
                  <c:v>178.92797051019511</c:v>
                </c:pt>
                <c:pt idx="20">
                  <c:v>185.55493238094309</c:v>
                </c:pt>
              </c:numCache>
            </c:numRef>
          </c:xVal>
          <c:yVal>
            <c:numRef>
              <c:f>'Road Speed and Driving Force'!$P$2:$P$22</c:f>
              <c:numCache>
                <c:formatCode>General</c:formatCode>
                <c:ptCount val="21"/>
                <c:pt idx="0">
                  <c:v>2025.4530298791399</c:v>
                </c:pt>
                <c:pt idx="1">
                  <c:v>2160.4832318710819</c:v>
                </c:pt>
                <c:pt idx="2">
                  <c:v>2227.9983328670537</c:v>
                </c:pt>
                <c:pt idx="3">
                  <c:v>2209.5851235045166</c:v>
                </c:pt>
                <c:pt idx="4">
                  <c:v>2126.7256813730969</c:v>
                </c:pt>
                <c:pt idx="5">
                  <c:v>2181.2571091006116</c:v>
                </c:pt>
                <c:pt idx="6">
                  <c:v>2256.9333761510406</c:v>
                </c:pt>
                <c:pt idx="7">
                  <c:v>2376.5315550581909</c:v>
                </c:pt>
                <c:pt idx="8">
                  <c:v>2810.3160789573062</c:v>
                </c:pt>
                <c:pt idx="9">
                  <c:v>3002.4362560561358</c:v>
                </c:pt>
                <c:pt idx="10">
                  <c:v>3060.6845784840325</c:v>
                </c:pt>
                <c:pt idx="11">
                  <c:v>3048.8398239233361</c:v>
                </c:pt>
                <c:pt idx="12">
                  <c:v>3038.1795448187099</c:v>
                </c:pt>
                <c:pt idx="13">
                  <c:v>3086.4046169586891</c:v>
                </c:pt>
                <c:pt idx="14">
                  <c:v>3019.7663354561719</c:v>
                </c:pt>
                <c:pt idx="15">
                  <c:v>3064.5984973823502</c:v>
                </c:pt>
                <c:pt idx="16">
                  <c:v>2987.5432190717306</c:v>
                </c:pt>
                <c:pt idx="17">
                  <c:v>2916.6523630259612</c:v>
                </c:pt>
                <c:pt idx="18">
                  <c:v>2851.214649752942</c:v>
                </c:pt>
                <c:pt idx="19">
                  <c:v>2760.6174629463826</c:v>
                </c:pt>
                <c:pt idx="20">
                  <c:v>2633.0889388428809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D18-498E-9866-D4368586B2BE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Force'!$J$2:$J$22</c:f>
              <c:numCache>
                <c:formatCode>General</c:formatCode>
                <c:ptCount val="21"/>
                <c:pt idx="0">
                  <c:v>62.638711867372372</c:v>
                </c:pt>
                <c:pt idx="1">
                  <c:v>70.468550850793918</c:v>
                </c:pt>
                <c:pt idx="2">
                  <c:v>78.29838983421547</c:v>
                </c:pt>
                <c:pt idx="3">
                  <c:v>86.128228817637023</c:v>
                </c:pt>
                <c:pt idx="4">
                  <c:v>93.958067801058547</c:v>
                </c:pt>
                <c:pt idx="5">
                  <c:v>101.78790678448011</c:v>
                </c:pt>
                <c:pt idx="6">
                  <c:v>109.61774576790164</c:v>
                </c:pt>
                <c:pt idx="7">
                  <c:v>117.44758475132322</c:v>
                </c:pt>
                <c:pt idx="8">
                  <c:v>125.27742373474474</c:v>
                </c:pt>
                <c:pt idx="9">
                  <c:v>133.10726271816631</c:v>
                </c:pt>
                <c:pt idx="10">
                  <c:v>140.93710170158784</c:v>
                </c:pt>
                <c:pt idx="11">
                  <c:v>148.76694068500939</c:v>
                </c:pt>
                <c:pt idx="12">
                  <c:v>156.59677966843094</c:v>
                </c:pt>
                <c:pt idx="13">
                  <c:v>164.42661865185252</c:v>
                </c:pt>
                <c:pt idx="14">
                  <c:v>172.25645763527405</c:v>
                </c:pt>
                <c:pt idx="15">
                  <c:v>180.08629661869557</c:v>
                </c:pt>
                <c:pt idx="16">
                  <c:v>187.91613560211709</c:v>
                </c:pt>
                <c:pt idx="17">
                  <c:v>195.74597458553865</c:v>
                </c:pt>
                <c:pt idx="18">
                  <c:v>203.57581356896023</c:v>
                </c:pt>
                <c:pt idx="19">
                  <c:v>211.40565255238175</c:v>
                </c:pt>
                <c:pt idx="20">
                  <c:v>219.23549153580328</c:v>
                </c:pt>
              </c:numCache>
            </c:numRef>
          </c:xVal>
          <c:yVal>
            <c:numRef>
              <c:f>'Road Speed and Driving Force'!$Q$2:$Q$22</c:f>
              <c:numCache>
                <c:formatCode>General</c:formatCode>
                <c:ptCount val="21"/>
                <c:pt idx="0">
                  <c:v>1714.2881262846206</c:v>
                </c:pt>
                <c:pt idx="1">
                  <c:v>1828.5740013702616</c:v>
                </c:pt>
                <c:pt idx="2">
                  <c:v>1885.7169389130822</c:v>
                </c:pt>
                <c:pt idx="3">
                  <c:v>1870.1325014014042</c:v>
                </c:pt>
                <c:pt idx="4">
                  <c:v>1800.0025325988518</c:v>
                </c:pt>
                <c:pt idx="5">
                  <c:v>1846.1564436911297</c:v>
                </c:pt>
                <c:pt idx="6">
                  <c:v>1910.2067692885771</c:v>
                </c:pt>
                <c:pt idx="7">
                  <c:v>2011.4314015072875</c:v>
                </c:pt>
                <c:pt idx="8">
                  <c:v>2378.5747752199109</c:v>
                </c:pt>
                <c:pt idx="9">
                  <c:v>2541.1800460219079</c:v>
                </c:pt>
                <c:pt idx="10">
                  <c:v>2590.4798352745374</c:v>
                </c:pt>
                <c:pt idx="11">
                  <c:v>2580.4547585126393</c:v>
                </c:pt>
                <c:pt idx="12">
                  <c:v>2571.4321894269301</c:v>
                </c:pt>
                <c:pt idx="13">
                  <c:v>2612.2485733860876</c:v>
                </c:pt>
                <c:pt idx="14">
                  <c:v>2555.847751915252</c:v>
                </c:pt>
                <c:pt idx="15">
                  <c:v>2593.7924693349905</c:v>
                </c:pt>
                <c:pt idx="16">
                  <c:v>2528.5749862698153</c:v>
                </c:pt>
                <c:pt idx="17">
                  <c:v>2468.5749018498532</c:v>
                </c:pt>
                <c:pt idx="18">
                  <c:v>2413.1902085391193</c:v>
                </c:pt>
                <c:pt idx="19">
                  <c:v>2336.511223973112</c:v>
                </c:pt>
                <c:pt idx="20">
                  <c:v>2228.5745641700069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D18-498E-9866-D4368586B2BE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Force'!$K$2:$K$22</c:f>
              <c:numCache>
                <c:formatCode>General</c:formatCode>
                <c:ptCount val="21"/>
                <c:pt idx="0">
                  <c:v>73.078497178601111</c:v>
                </c:pt>
                <c:pt idx="1">
                  <c:v>82.213309325926261</c:v>
                </c:pt>
                <c:pt idx="2">
                  <c:v>91.348121473251382</c:v>
                </c:pt>
                <c:pt idx="3">
                  <c:v>100.48293362057653</c:v>
                </c:pt>
                <c:pt idx="4">
                  <c:v>109.61774576790164</c:v>
                </c:pt>
                <c:pt idx="5">
                  <c:v>118.75255791522679</c:v>
                </c:pt>
                <c:pt idx="6">
                  <c:v>127.88737006255192</c:v>
                </c:pt>
                <c:pt idx="7">
                  <c:v>137.02218220987709</c:v>
                </c:pt>
                <c:pt idx="8">
                  <c:v>146.15699435720222</c:v>
                </c:pt>
                <c:pt idx="9">
                  <c:v>155.29180650452736</c:v>
                </c:pt>
                <c:pt idx="10">
                  <c:v>164.42661865185252</c:v>
                </c:pt>
                <c:pt idx="11">
                  <c:v>173.56143079917763</c:v>
                </c:pt>
                <c:pt idx="12">
                  <c:v>182.69624294650276</c:v>
                </c:pt>
                <c:pt idx="13">
                  <c:v>191.8310550938279</c:v>
                </c:pt>
                <c:pt idx="14">
                  <c:v>200.96586724115306</c:v>
                </c:pt>
                <c:pt idx="15">
                  <c:v>210.10067938847817</c:v>
                </c:pt>
                <c:pt idx="16">
                  <c:v>219.23549153580328</c:v>
                </c:pt>
                <c:pt idx="17">
                  <c:v>228.37030368312844</c:v>
                </c:pt>
                <c:pt idx="18">
                  <c:v>237.50511583045358</c:v>
                </c:pt>
                <c:pt idx="19">
                  <c:v>246.63992797777877</c:v>
                </c:pt>
                <c:pt idx="20">
                  <c:v>255.77474012510385</c:v>
                </c:pt>
              </c:numCache>
            </c:numRef>
          </c:xVal>
          <c:yVal>
            <c:numRef>
              <c:f>'Road Speed and Driving Force'!$R$2:$R$22</c:f>
              <c:numCache>
                <c:formatCode>General</c:formatCode>
                <c:ptCount val="21"/>
                <c:pt idx="0">
                  <c:v>1469.3898225296743</c:v>
                </c:pt>
                <c:pt idx="1">
                  <c:v>1567.3491440316523</c:v>
                </c:pt>
                <c:pt idx="2">
                  <c:v>1616.328804782642</c:v>
                </c:pt>
                <c:pt idx="3">
                  <c:v>1602.9707154869177</c:v>
                </c:pt>
                <c:pt idx="4">
                  <c:v>1542.8593136561587</c:v>
                </c:pt>
                <c:pt idx="5">
                  <c:v>1582.4198088781113</c:v>
                </c:pt>
                <c:pt idx="6">
                  <c:v>1637.3200879616372</c:v>
                </c:pt>
                <c:pt idx="7">
                  <c:v>1724.084058434818</c:v>
                </c:pt>
                <c:pt idx="8">
                  <c:v>2038.778378759923</c:v>
                </c:pt>
                <c:pt idx="9">
                  <c:v>2178.1543251616354</c:v>
                </c:pt>
                <c:pt idx="10">
                  <c:v>2220.4112873781742</c:v>
                </c:pt>
                <c:pt idx="11">
                  <c:v>2211.8183644394048</c:v>
                </c:pt>
                <c:pt idx="12">
                  <c:v>2204.084733794512</c:v>
                </c:pt>
                <c:pt idx="13">
                  <c:v>2239.070205759504</c:v>
                </c:pt>
                <c:pt idx="14">
                  <c:v>2190.7266444987872</c:v>
                </c:pt>
                <c:pt idx="15">
                  <c:v>2223.2506880014207</c:v>
                </c:pt>
                <c:pt idx="16">
                  <c:v>2167.3499882312703</c:v>
                </c:pt>
                <c:pt idx="17">
                  <c:v>2115.9213444427314</c:v>
                </c:pt>
                <c:pt idx="18">
                  <c:v>2068.4487501763883</c:v>
                </c:pt>
                <c:pt idx="19">
                  <c:v>2002.7239062626672</c:v>
                </c:pt>
                <c:pt idx="20">
                  <c:v>1910.2067692885767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D18-498E-9866-D4368586B2BE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Force'!$L$2:$L$22</c:f>
              <c:numCache>
                <c:formatCode>General</c:formatCode>
                <c:ptCount val="21"/>
                <c:pt idx="0">
                  <c:v>83.556176447402336</c:v>
                </c:pt>
                <c:pt idx="1">
                  <c:v>94.000698503327641</c:v>
                </c:pt>
                <c:pt idx="2">
                  <c:v>104.44522055925295</c:v>
                </c:pt>
                <c:pt idx="3">
                  <c:v>114.88974261517824</c:v>
                </c:pt>
                <c:pt idx="4">
                  <c:v>125.33426467110351</c:v>
                </c:pt>
                <c:pt idx="5">
                  <c:v>135.7787867270288</c:v>
                </c:pt>
                <c:pt idx="6">
                  <c:v>146.22330878295412</c:v>
                </c:pt>
                <c:pt idx="7">
                  <c:v>156.66783083887941</c:v>
                </c:pt>
                <c:pt idx="8">
                  <c:v>167.11235289480467</c:v>
                </c:pt>
                <c:pt idx="9">
                  <c:v>177.55687495072999</c:v>
                </c:pt>
                <c:pt idx="10">
                  <c:v>188.00139700665528</c:v>
                </c:pt>
                <c:pt idx="11">
                  <c:v>198.4459190625806</c:v>
                </c:pt>
                <c:pt idx="12">
                  <c:v>208.89044111850589</c:v>
                </c:pt>
                <c:pt idx="13">
                  <c:v>219.33496317443115</c:v>
                </c:pt>
                <c:pt idx="14">
                  <c:v>229.77948523035647</c:v>
                </c:pt>
                <c:pt idx="15">
                  <c:v>240.22400728628173</c:v>
                </c:pt>
                <c:pt idx="16">
                  <c:v>250.66852934220702</c:v>
                </c:pt>
                <c:pt idx="17">
                  <c:v>261.11305139813231</c:v>
                </c:pt>
                <c:pt idx="18">
                  <c:v>271.5575734540576</c:v>
                </c:pt>
                <c:pt idx="19">
                  <c:v>282.00209550998295</c:v>
                </c:pt>
                <c:pt idx="20">
                  <c:v>292.44661756590824</c:v>
                </c:pt>
              </c:numCache>
            </c:numRef>
          </c:xVal>
          <c:yVal>
            <c:numRef>
              <c:f>'Road Speed and Driving Force'!$S$2:$S$22</c:f>
              <c:numCache>
                <c:formatCode>General</c:formatCode>
                <c:ptCount val="21"/>
                <c:pt idx="0">
                  <c:v>1285.1330035140491</c:v>
                </c:pt>
                <c:pt idx="1">
                  <c:v>1370.8085370816518</c:v>
                </c:pt>
                <c:pt idx="2">
                  <c:v>1413.6463038654535</c:v>
                </c:pt>
                <c:pt idx="3">
                  <c:v>1401.9632765607805</c:v>
                </c:pt>
                <c:pt idx="4">
                  <c:v>1349.3896536897514</c:v>
                </c:pt>
                <c:pt idx="5">
                  <c:v>1383.9893883997449</c:v>
                </c:pt>
                <c:pt idx="6">
                  <c:v>1432.0053467727971</c:v>
                </c:pt>
                <c:pt idx="7">
                  <c:v>1507.8893907898173</c:v>
                </c:pt>
                <c:pt idx="8">
                  <c:v>1783.1220423757427</c:v>
                </c:pt>
                <c:pt idx="9">
                  <c:v>1905.020687562002</c:v>
                </c:pt>
                <c:pt idx="10">
                  <c:v>1941.9787608656734</c:v>
                </c:pt>
                <c:pt idx="11">
                  <c:v>1934.4633631843049</c:v>
                </c:pt>
                <c:pt idx="12">
                  <c:v>1927.6995052710729</c:v>
                </c:pt>
                <c:pt idx="13">
                  <c:v>1958.2979101166459</c:v>
                </c:pt>
                <c:pt idx="14">
                  <c:v>1916.0164779663999</c:v>
                </c:pt>
                <c:pt idx="15">
                  <c:v>1944.4621096647345</c:v>
                </c:pt>
                <c:pt idx="16">
                  <c:v>1895.5711801832219</c:v>
                </c:pt>
                <c:pt idx="17">
                  <c:v>1850.5915250602302</c:v>
                </c:pt>
                <c:pt idx="18">
                  <c:v>1809.071843408238</c:v>
                </c:pt>
                <c:pt idx="19">
                  <c:v>1751.5886862709995</c:v>
                </c:pt>
                <c:pt idx="20">
                  <c:v>1670.6729045682632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D18-498E-9866-D4368586B2BE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'Road Speed and Driving Force'!$M$2:$M$22</c:f>
              <c:numCache>
                <c:formatCode>General</c:formatCode>
                <c:ptCount val="21"/>
                <c:pt idx="0">
                  <c:v>92.309680646654044</c:v>
                </c:pt>
                <c:pt idx="1">
                  <c:v>103.84839072748578</c:v>
                </c:pt>
                <c:pt idx="2">
                  <c:v>115.38710080831753</c:v>
                </c:pt>
                <c:pt idx="3">
                  <c:v>126.9258108891493</c:v>
                </c:pt>
                <c:pt idx="4">
                  <c:v>138.46452096998104</c:v>
                </c:pt>
                <c:pt idx="5">
                  <c:v>150.00323105081281</c:v>
                </c:pt>
                <c:pt idx="6">
                  <c:v>161.54194113164456</c:v>
                </c:pt>
                <c:pt idx="7">
                  <c:v>173.08065121247631</c:v>
                </c:pt>
                <c:pt idx="8">
                  <c:v>184.61936129330809</c:v>
                </c:pt>
                <c:pt idx="9">
                  <c:v>196.15807137413984</c:v>
                </c:pt>
                <c:pt idx="10">
                  <c:v>207.69678145497156</c:v>
                </c:pt>
                <c:pt idx="11">
                  <c:v>219.23549153580328</c:v>
                </c:pt>
                <c:pt idx="12">
                  <c:v>230.77420161663505</c:v>
                </c:pt>
                <c:pt idx="13">
                  <c:v>242.3129116974668</c:v>
                </c:pt>
                <c:pt idx="14">
                  <c:v>253.85162177829861</c:v>
                </c:pt>
                <c:pt idx="15">
                  <c:v>265.39033185913036</c:v>
                </c:pt>
                <c:pt idx="16">
                  <c:v>276.92904193996208</c:v>
                </c:pt>
                <c:pt idx="17">
                  <c:v>288.46775202079391</c:v>
                </c:pt>
                <c:pt idx="18">
                  <c:v>300.00646210162563</c:v>
                </c:pt>
                <c:pt idx="19">
                  <c:v>311.54517218245729</c:v>
                </c:pt>
                <c:pt idx="20">
                  <c:v>323.08388226328913</c:v>
                </c:pt>
              </c:numCache>
            </c:numRef>
          </c:xVal>
          <c:yVal>
            <c:numRef>
              <c:f>'Road Speed and Driving Force'!$T$2:$T$22</c:f>
              <c:numCache>
                <c:formatCode>General</c:formatCode>
                <c:ptCount val="21"/>
                <c:pt idx="0">
                  <c:v>1163.2669428359923</c:v>
                </c:pt>
                <c:pt idx="1">
                  <c:v>1240.8180723583916</c:v>
                </c:pt>
                <c:pt idx="2">
                  <c:v>1279.5936371195917</c:v>
                </c:pt>
                <c:pt idx="3">
                  <c:v>1269.0184830938099</c:v>
                </c:pt>
                <c:pt idx="4">
                  <c:v>1221.4302899777922</c:v>
                </c:pt>
                <c:pt idx="5">
                  <c:v>1252.7490153618378</c:v>
                </c:pt>
                <c:pt idx="6">
                  <c:v>1296.2117363029627</c:v>
                </c:pt>
                <c:pt idx="7">
                  <c:v>1364.8998795942309</c:v>
                </c:pt>
                <c:pt idx="8">
                  <c:v>1614.0328831849388</c:v>
                </c:pt>
                <c:pt idx="9">
                  <c:v>1724.3721740862945</c:v>
                </c:pt>
                <c:pt idx="10">
                  <c:v>1757.8256025077217</c:v>
                </c:pt>
                <c:pt idx="11">
                  <c:v>1751.0228718478625</c:v>
                </c:pt>
                <c:pt idx="12">
                  <c:v>1744.9004142539886</c:v>
                </c:pt>
                <c:pt idx="13">
                  <c:v>1772.5972462262744</c:v>
                </c:pt>
                <c:pt idx="14">
                  <c:v>1734.3252602282066</c:v>
                </c:pt>
                <c:pt idx="15">
                  <c:v>1760.0734613344578</c:v>
                </c:pt>
                <c:pt idx="16">
                  <c:v>1715.8187406830887</c:v>
                </c:pt>
                <c:pt idx="17">
                  <c:v>1675.1043976838284</c:v>
                </c:pt>
                <c:pt idx="18">
                  <c:v>1637.5219272229735</c:v>
                </c:pt>
                <c:pt idx="19">
                  <c:v>1585.4897591246117</c:v>
                </c:pt>
                <c:pt idx="20">
                  <c:v>1512.2470256867898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D18-498E-9866-D4368586B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9856176"/>
        <c:axId val="769857008"/>
      </c:scatterChart>
      <c:valAx>
        <c:axId val="769856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9857008"/>
        <c:crosses val="autoZero"/>
        <c:crossBetween val="midCat"/>
      </c:valAx>
      <c:valAx>
        <c:axId val="76985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9856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C211FA-7E5F-441F-890A-A520343AB27B}">
  <sheetPr/>
  <sheetViews>
    <sheetView zoomScale="8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DFA172B-34DA-4BA2-A6C1-073257608630}">
  <sheetPr/>
  <sheetViews>
    <sheetView zoomScale="8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897" cy="60697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2BC2E5-43A5-4B1A-8622-40B9B075B6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7435" cy="60691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C6FE39-0FAE-49F5-8C63-A3B8AE3DE6A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36D67-AE08-4867-B7B8-ECE7ED432E24}">
  <dimension ref="B2:AC104"/>
  <sheetViews>
    <sheetView tabSelected="1" zoomScaleNormal="100" workbookViewId="0">
      <selection activeCell="K19" sqref="K19"/>
    </sheetView>
  </sheetViews>
  <sheetFormatPr defaultRowHeight="14.4" x14ac:dyDescent="0.3"/>
  <cols>
    <col min="1" max="1" width="14.33203125" bestFit="1" customWidth="1"/>
    <col min="2" max="2" width="18.109375" bestFit="1" customWidth="1"/>
    <col min="3" max="4" width="11.6640625" bestFit="1" customWidth="1"/>
    <col min="5" max="5" width="16.44140625" bestFit="1" customWidth="1"/>
    <col min="6" max="6" width="18.109375" bestFit="1" customWidth="1"/>
    <col min="10" max="10" width="19.6640625" bestFit="1" customWidth="1"/>
    <col min="11" max="11" width="14.88671875" bestFit="1" customWidth="1"/>
    <col min="14" max="14" width="9" customWidth="1"/>
    <col min="29" max="29" width="10.77734375" bestFit="1" customWidth="1"/>
  </cols>
  <sheetData>
    <row r="2" spans="2:29" ht="21" x14ac:dyDescent="0.4">
      <c r="B2" s="7" t="s">
        <v>52</v>
      </c>
      <c r="C2" s="8"/>
      <c r="D2" s="8"/>
      <c r="E2" s="8"/>
      <c r="F2" s="8"/>
      <c r="G2" s="8"/>
      <c r="H2" s="9"/>
      <c r="J2" s="7" t="s">
        <v>54</v>
      </c>
      <c r="K2" s="9"/>
    </row>
    <row r="3" spans="2:29" x14ac:dyDescent="0.3">
      <c r="B3" s="10"/>
      <c r="C3" s="11"/>
      <c r="D3" s="11"/>
      <c r="E3" s="11"/>
      <c r="F3" s="11"/>
      <c r="G3" s="11"/>
      <c r="H3" s="12"/>
      <c r="J3" s="1" t="s">
        <v>9</v>
      </c>
      <c r="K3" s="1">
        <v>114</v>
      </c>
      <c r="AA3" t="s">
        <v>57</v>
      </c>
      <c r="AC3" t="s">
        <v>58</v>
      </c>
    </row>
    <row r="4" spans="2:29" x14ac:dyDescent="0.3">
      <c r="B4" s="10"/>
      <c r="C4" s="11"/>
      <c r="D4" s="11"/>
      <c r="E4" s="11"/>
      <c r="F4" s="11"/>
      <c r="G4" s="11"/>
      <c r="H4" s="12"/>
      <c r="J4" s="1" t="s">
        <v>55</v>
      </c>
      <c r="K4" s="14">
        <f>5/8</f>
        <v>0.625</v>
      </c>
      <c r="AA4">
        <v>5000</v>
      </c>
      <c r="AC4">
        <v>1</v>
      </c>
    </row>
    <row r="5" spans="2:29" x14ac:dyDescent="0.3">
      <c r="B5" s="2"/>
      <c r="C5" s="6" t="s">
        <v>5</v>
      </c>
      <c r="D5" s="6" t="s">
        <v>6</v>
      </c>
      <c r="E5" s="11"/>
      <c r="F5" s="6" t="s">
        <v>53</v>
      </c>
      <c r="G5" s="3">
        <v>0.64084200000000002</v>
      </c>
      <c r="H5" s="12"/>
      <c r="J5" s="1" t="s">
        <v>56</v>
      </c>
      <c r="K5" s="1">
        <f>0.5*(K3-0.5*(C7+D7))*25.4*K4-95</f>
        <v>583.65625</v>
      </c>
      <c r="AA5">
        <f>AA4+100</f>
        <v>5100</v>
      </c>
      <c r="AC5">
        <f>AC4+1</f>
        <v>2</v>
      </c>
    </row>
    <row r="6" spans="2:29" x14ac:dyDescent="0.3">
      <c r="B6" s="6" t="s">
        <v>44</v>
      </c>
      <c r="C6" s="1">
        <v>41</v>
      </c>
      <c r="D6" s="1">
        <v>67</v>
      </c>
      <c r="E6" s="11"/>
      <c r="F6" s="6" t="s">
        <v>1</v>
      </c>
      <c r="G6" s="3">
        <v>14500</v>
      </c>
      <c r="H6" s="12"/>
      <c r="AA6">
        <f t="shared" ref="AA6:AA24" si="0">AA5+100</f>
        <v>5200</v>
      </c>
      <c r="AC6">
        <f t="shared" ref="AC6:AC69" si="1">AC5+1</f>
        <v>3</v>
      </c>
    </row>
    <row r="7" spans="2:29" x14ac:dyDescent="0.3">
      <c r="B7" s="6" t="s">
        <v>45</v>
      </c>
      <c r="C7" s="1">
        <v>16</v>
      </c>
      <c r="D7" s="1">
        <v>41</v>
      </c>
      <c r="E7" s="11"/>
      <c r="F7" s="11"/>
      <c r="G7" s="11"/>
      <c r="H7" s="12"/>
      <c r="AA7">
        <f t="shared" si="0"/>
        <v>5300</v>
      </c>
      <c r="AC7">
        <f t="shared" si="1"/>
        <v>4</v>
      </c>
    </row>
    <row r="8" spans="2:29" x14ac:dyDescent="0.3">
      <c r="B8" s="10"/>
      <c r="C8" s="11"/>
      <c r="D8" s="11"/>
      <c r="E8" s="11"/>
      <c r="F8" s="11"/>
      <c r="G8" s="13"/>
      <c r="H8" s="12"/>
      <c r="AA8">
        <f t="shared" si="0"/>
        <v>5400</v>
      </c>
      <c r="AC8">
        <f t="shared" si="1"/>
        <v>5</v>
      </c>
    </row>
    <row r="9" spans="2:29" x14ac:dyDescent="0.3">
      <c r="B9" s="10"/>
      <c r="C9" s="11"/>
      <c r="D9" s="11"/>
      <c r="E9" s="11"/>
      <c r="F9" s="11"/>
      <c r="G9" s="11"/>
      <c r="H9" s="12"/>
      <c r="AA9">
        <f t="shared" si="0"/>
        <v>5500</v>
      </c>
      <c r="AC9">
        <f t="shared" si="1"/>
        <v>6</v>
      </c>
    </row>
    <row r="10" spans="2:29" x14ac:dyDescent="0.3">
      <c r="B10" s="1"/>
      <c r="C10" s="5" t="s">
        <v>2</v>
      </c>
      <c r="D10" s="5" t="s">
        <v>3</v>
      </c>
      <c r="E10" s="5" t="s">
        <v>4</v>
      </c>
      <c r="F10" s="5" t="s">
        <v>0</v>
      </c>
      <c r="G10" s="5" t="s">
        <v>7</v>
      </c>
      <c r="H10" s="5" t="s">
        <v>8</v>
      </c>
      <c r="AA10">
        <f t="shared" si="0"/>
        <v>5600</v>
      </c>
      <c r="AC10">
        <f t="shared" si="1"/>
        <v>7</v>
      </c>
    </row>
    <row r="11" spans="2:29" x14ac:dyDescent="0.3">
      <c r="B11" s="5" t="s">
        <v>46</v>
      </c>
      <c r="C11" s="1">
        <v>15</v>
      </c>
      <c r="D11" s="1">
        <v>39</v>
      </c>
      <c r="E11" s="1">
        <v>2.6</v>
      </c>
      <c r="F11" s="1">
        <f>(($G$6*60*(C11/D11)*($C$6/$D$6)*$G$5*PI())/1000)*($C$7/$D$7)</f>
        <v>160.87624631928887</v>
      </c>
      <c r="G11" s="1">
        <f>$G$6</f>
        <v>14500</v>
      </c>
      <c r="H11" s="1"/>
      <c r="AA11">
        <f t="shared" si="0"/>
        <v>5700</v>
      </c>
      <c r="AC11">
        <f t="shared" si="1"/>
        <v>8</v>
      </c>
    </row>
    <row r="12" spans="2:29" x14ac:dyDescent="0.3">
      <c r="B12" s="1"/>
      <c r="C12" s="1"/>
      <c r="D12" s="1"/>
      <c r="E12" s="1"/>
      <c r="F12" s="1"/>
      <c r="G12" s="4">
        <f>$G$6*(C11/D11)*(D13/C13)</f>
        <v>12138.009049773755</v>
      </c>
      <c r="H12" s="1">
        <f>G11-G12</f>
        <v>2361.9909502262453</v>
      </c>
      <c r="AA12">
        <f t="shared" si="0"/>
        <v>5800</v>
      </c>
      <c r="AC12">
        <f t="shared" si="1"/>
        <v>9</v>
      </c>
    </row>
    <row r="13" spans="2:29" x14ac:dyDescent="0.3">
      <c r="B13" s="5" t="s">
        <v>47</v>
      </c>
      <c r="C13" s="1">
        <v>17</v>
      </c>
      <c r="D13" s="1">
        <v>37</v>
      </c>
      <c r="E13" s="1">
        <v>2.1760000000000002</v>
      </c>
      <c r="F13" s="1">
        <f>(($G$6*60*(C13/D13)*($C$6/$D$6)*$G$5*PI())/1000)*($C$7/$D$7)</f>
        <v>192.18189425169101</v>
      </c>
      <c r="G13" s="1">
        <v>14500</v>
      </c>
      <c r="H13" s="1"/>
      <c r="AA13">
        <f t="shared" si="0"/>
        <v>5900</v>
      </c>
      <c r="AC13">
        <f t="shared" si="1"/>
        <v>10</v>
      </c>
    </row>
    <row r="14" spans="2:29" x14ac:dyDescent="0.3">
      <c r="B14" s="1"/>
      <c r="C14" s="1"/>
      <c r="D14" s="1"/>
      <c r="E14" s="1"/>
      <c r="F14" s="1"/>
      <c r="G14" s="4">
        <f>$G$6*(C13/D13)*(D15/C15)</f>
        <v>12272.403982930298</v>
      </c>
      <c r="H14" s="1">
        <f t="shared" ref="H14:H20" si="2">G13-G14</f>
        <v>2227.5960170697017</v>
      </c>
      <c r="AA14">
        <f t="shared" si="0"/>
        <v>6000</v>
      </c>
      <c r="AC14">
        <f t="shared" si="1"/>
        <v>11</v>
      </c>
    </row>
    <row r="15" spans="2:29" x14ac:dyDescent="0.3">
      <c r="B15" s="5" t="s">
        <v>48</v>
      </c>
      <c r="C15" s="1">
        <v>19</v>
      </c>
      <c r="D15" s="1">
        <v>35</v>
      </c>
      <c r="E15" s="1">
        <v>1.8240000000000001</v>
      </c>
      <c r="F15" s="1">
        <f>(($G$6*60*(C15/D15)*($C$6/$D$6)*$G$5*PI())/1000)*($C$7/$D$7)</f>
        <v>227.06533051922489</v>
      </c>
      <c r="G15" s="1">
        <v>14500</v>
      </c>
      <c r="H15" s="1"/>
      <c r="AA15">
        <f t="shared" si="0"/>
        <v>6100</v>
      </c>
      <c r="AC15">
        <f t="shared" si="1"/>
        <v>12</v>
      </c>
    </row>
    <row r="16" spans="2:29" x14ac:dyDescent="0.3">
      <c r="B16" s="1"/>
      <c r="C16" s="1"/>
      <c r="D16" s="1"/>
      <c r="E16" s="1"/>
      <c r="F16" s="1"/>
      <c r="G16" s="4">
        <f>$G$6*(C15/D15)*(D17/C17)</f>
        <v>12428.571428571428</v>
      </c>
      <c r="H16" s="1">
        <f t="shared" si="2"/>
        <v>2071.4285714285725</v>
      </c>
      <c r="AA16">
        <f t="shared" si="0"/>
        <v>6200</v>
      </c>
      <c r="AC16">
        <f t="shared" si="1"/>
        <v>13</v>
      </c>
    </row>
    <row r="17" spans="2:29" x14ac:dyDescent="0.3">
      <c r="B17" s="5" t="s">
        <v>49</v>
      </c>
      <c r="C17" s="1">
        <v>19</v>
      </c>
      <c r="D17" s="1">
        <v>30</v>
      </c>
      <c r="E17" s="1">
        <v>1.579</v>
      </c>
      <c r="F17" s="1">
        <f>(($G$6*60*(C17/D17)*($C$6/$D$6)*$G$5*PI())/1000)*($C$7/$D$7)</f>
        <v>264.90955227242898</v>
      </c>
      <c r="G17" s="1">
        <v>14500</v>
      </c>
      <c r="H17" s="1"/>
      <c r="AA17">
        <f t="shared" si="0"/>
        <v>6300</v>
      </c>
      <c r="AC17">
        <f t="shared" si="1"/>
        <v>14</v>
      </c>
    </row>
    <row r="18" spans="2:29" x14ac:dyDescent="0.3">
      <c r="B18" s="1"/>
      <c r="C18" s="1"/>
      <c r="D18" s="1"/>
      <c r="E18" s="1"/>
      <c r="F18" s="1"/>
      <c r="G18" s="4">
        <f>$G$6*(C17/D17)*(D19/C19)</f>
        <v>12681.74603174603</v>
      </c>
      <c r="H18" s="1">
        <f t="shared" si="2"/>
        <v>1818.25396825397</v>
      </c>
      <c r="AA18">
        <f t="shared" si="0"/>
        <v>6400</v>
      </c>
      <c r="AC18">
        <f t="shared" si="1"/>
        <v>15</v>
      </c>
    </row>
    <row r="19" spans="2:29" x14ac:dyDescent="0.3">
      <c r="B19" s="5" t="s">
        <v>50</v>
      </c>
      <c r="C19" s="1">
        <v>21</v>
      </c>
      <c r="D19" s="1">
        <v>29</v>
      </c>
      <c r="E19" s="1">
        <v>1.381</v>
      </c>
      <c r="F19" s="1">
        <f>(($G$6*60*(C19/D19)*($C$6/$D$6)*$G$5*PI())/1000)*($C$7/$D$7)</f>
        <v>302.89113962183353</v>
      </c>
      <c r="G19" s="1">
        <v>14500</v>
      </c>
      <c r="H19" s="1"/>
      <c r="AA19">
        <f t="shared" si="0"/>
        <v>6500</v>
      </c>
      <c r="AC19">
        <f t="shared" si="1"/>
        <v>16</v>
      </c>
    </row>
    <row r="20" spans="2:29" x14ac:dyDescent="0.3">
      <c r="B20" s="1"/>
      <c r="C20" s="1"/>
      <c r="D20" s="1"/>
      <c r="E20" s="1"/>
      <c r="F20" s="1"/>
      <c r="G20" s="4">
        <f>$G$6*(C19/D19)*(D21/C21)</f>
        <v>13125</v>
      </c>
      <c r="H20" s="1">
        <f t="shared" si="2"/>
        <v>1375</v>
      </c>
      <c r="AA20">
        <f t="shared" si="0"/>
        <v>6600</v>
      </c>
      <c r="AC20">
        <f t="shared" si="1"/>
        <v>17</v>
      </c>
    </row>
    <row r="21" spans="2:29" x14ac:dyDescent="0.3">
      <c r="B21" s="5" t="s">
        <v>51</v>
      </c>
      <c r="C21" s="1">
        <v>24</v>
      </c>
      <c r="D21" s="1">
        <v>30</v>
      </c>
      <c r="E21" s="1">
        <v>1.25</v>
      </c>
      <c r="F21" s="1">
        <f>(($G$6*60*(C21/D21)*($C$6/$D$6)*$G$5*PI())/1000)*($C$7/$D$7)</f>
        <v>334.62259234412085</v>
      </c>
      <c r="G21" s="1">
        <v>14500</v>
      </c>
      <c r="H21" s="1"/>
      <c r="AA21">
        <f t="shared" si="0"/>
        <v>6700</v>
      </c>
      <c r="AC21">
        <f t="shared" si="1"/>
        <v>18</v>
      </c>
    </row>
    <row r="22" spans="2:29" x14ac:dyDescent="0.3">
      <c r="AA22">
        <f t="shared" si="0"/>
        <v>6800</v>
      </c>
      <c r="AC22">
        <f t="shared" si="1"/>
        <v>19</v>
      </c>
    </row>
    <row r="23" spans="2:29" x14ac:dyDescent="0.3">
      <c r="AA23">
        <f t="shared" si="0"/>
        <v>6900</v>
      </c>
      <c r="AC23">
        <f t="shared" si="1"/>
        <v>20</v>
      </c>
    </row>
    <row r="24" spans="2:29" x14ac:dyDescent="0.3">
      <c r="AA24">
        <f t="shared" si="0"/>
        <v>7000</v>
      </c>
      <c r="AC24">
        <f t="shared" si="1"/>
        <v>21</v>
      </c>
    </row>
    <row r="25" spans="2:29" x14ac:dyDescent="0.3">
      <c r="AA25">
        <f>AA24+100</f>
        <v>7100</v>
      </c>
      <c r="AC25">
        <f t="shared" si="1"/>
        <v>22</v>
      </c>
    </row>
    <row r="26" spans="2:29" x14ac:dyDescent="0.3">
      <c r="AA26">
        <f t="shared" ref="AA26:AA89" si="3">AA25+100</f>
        <v>7200</v>
      </c>
      <c r="AC26">
        <f t="shared" si="1"/>
        <v>23</v>
      </c>
    </row>
    <row r="27" spans="2:29" x14ac:dyDescent="0.3">
      <c r="AA27">
        <f t="shared" si="3"/>
        <v>7300</v>
      </c>
      <c r="AC27">
        <f t="shared" si="1"/>
        <v>24</v>
      </c>
    </row>
    <row r="28" spans="2:29" x14ac:dyDescent="0.3">
      <c r="AA28">
        <f t="shared" si="3"/>
        <v>7400</v>
      </c>
      <c r="AC28">
        <f t="shared" si="1"/>
        <v>25</v>
      </c>
    </row>
    <row r="29" spans="2:29" x14ac:dyDescent="0.3">
      <c r="AA29">
        <f t="shared" si="3"/>
        <v>7500</v>
      </c>
      <c r="AC29">
        <f t="shared" si="1"/>
        <v>26</v>
      </c>
    </row>
    <row r="30" spans="2:29" x14ac:dyDescent="0.3">
      <c r="AA30">
        <f t="shared" si="3"/>
        <v>7600</v>
      </c>
      <c r="AC30">
        <f t="shared" si="1"/>
        <v>27</v>
      </c>
    </row>
    <row r="31" spans="2:29" x14ac:dyDescent="0.3">
      <c r="AA31">
        <f t="shared" si="3"/>
        <v>7700</v>
      </c>
      <c r="AC31">
        <f t="shared" si="1"/>
        <v>28</v>
      </c>
    </row>
    <row r="32" spans="2:29" x14ac:dyDescent="0.3">
      <c r="AA32">
        <f t="shared" si="3"/>
        <v>7800</v>
      </c>
      <c r="AC32">
        <f t="shared" si="1"/>
        <v>29</v>
      </c>
    </row>
    <row r="33" spans="27:29" x14ac:dyDescent="0.3">
      <c r="AA33">
        <f t="shared" si="3"/>
        <v>7900</v>
      </c>
      <c r="AC33">
        <f t="shared" si="1"/>
        <v>30</v>
      </c>
    </row>
    <row r="34" spans="27:29" x14ac:dyDescent="0.3">
      <c r="AA34">
        <f t="shared" si="3"/>
        <v>8000</v>
      </c>
      <c r="AC34">
        <f t="shared" si="1"/>
        <v>31</v>
      </c>
    </row>
    <row r="35" spans="27:29" x14ac:dyDescent="0.3">
      <c r="AA35">
        <f t="shared" si="3"/>
        <v>8100</v>
      </c>
      <c r="AC35">
        <f t="shared" si="1"/>
        <v>32</v>
      </c>
    </row>
    <row r="36" spans="27:29" x14ac:dyDescent="0.3">
      <c r="AA36">
        <f t="shared" si="3"/>
        <v>8200</v>
      </c>
      <c r="AC36">
        <f t="shared" si="1"/>
        <v>33</v>
      </c>
    </row>
    <row r="37" spans="27:29" x14ac:dyDescent="0.3">
      <c r="AA37">
        <f t="shared" si="3"/>
        <v>8300</v>
      </c>
      <c r="AC37">
        <f t="shared" si="1"/>
        <v>34</v>
      </c>
    </row>
    <row r="38" spans="27:29" x14ac:dyDescent="0.3">
      <c r="AA38">
        <f t="shared" si="3"/>
        <v>8400</v>
      </c>
      <c r="AC38">
        <f t="shared" si="1"/>
        <v>35</v>
      </c>
    </row>
    <row r="39" spans="27:29" x14ac:dyDescent="0.3">
      <c r="AA39">
        <f t="shared" si="3"/>
        <v>8500</v>
      </c>
      <c r="AC39">
        <f t="shared" si="1"/>
        <v>36</v>
      </c>
    </row>
    <row r="40" spans="27:29" x14ac:dyDescent="0.3">
      <c r="AA40">
        <f t="shared" si="3"/>
        <v>8600</v>
      </c>
      <c r="AC40">
        <f t="shared" si="1"/>
        <v>37</v>
      </c>
    </row>
    <row r="41" spans="27:29" x14ac:dyDescent="0.3">
      <c r="AA41">
        <f t="shared" si="3"/>
        <v>8700</v>
      </c>
      <c r="AC41">
        <f t="shared" si="1"/>
        <v>38</v>
      </c>
    </row>
    <row r="42" spans="27:29" x14ac:dyDescent="0.3">
      <c r="AA42">
        <f t="shared" si="3"/>
        <v>8800</v>
      </c>
      <c r="AC42">
        <f>AC41+1</f>
        <v>39</v>
      </c>
    </row>
    <row r="43" spans="27:29" x14ac:dyDescent="0.3">
      <c r="AA43">
        <f t="shared" si="3"/>
        <v>8900</v>
      </c>
      <c r="AC43">
        <f t="shared" si="1"/>
        <v>40</v>
      </c>
    </row>
    <row r="44" spans="27:29" x14ac:dyDescent="0.3">
      <c r="AA44">
        <f t="shared" si="3"/>
        <v>9000</v>
      </c>
      <c r="AC44">
        <f t="shared" si="1"/>
        <v>41</v>
      </c>
    </row>
    <row r="45" spans="27:29" x14ac:dyDescent="0.3">
      <c r="AA45">
        <f t="shared" si="3"/>
        <v>9100</v>
      </c>
      <c r="AC45">
        <f t="shared" si="1"/>
        <v>42</v>
      </c>
    </row>
    <row r="46" spans="27:29" x14ac:dyDescent="0.3">
      <c r="AA46">
        <f t="shared" si="3"/>
        <v>9200</v>
      </c>
      <c r="AC46">
        <f t="shared" si="1"/>
        <v>43</v>
      </c>
    </row>
    <row r="47" spans="27:29" x14ac:dyDescent="0.3">
      <c r="AA47">
        <f t="shared" si="3"/>
        <v>9300</v>
      </c>
      <c r="AC47">
        <f t="shared" si="1"/>
        <v>44</v>
      </c>
    </row>
    <row r="48" spans="27:29" x14ac:dyDescent="0.3">
      <c r="AA48">
        <f t="shared" si="3"/>
        <v>9400</v>
      </c>
      <c r="AC48">
        <f t="shared" si="1"/>
        <v>45</v>
      </c>
    </row>
    <row r="49" spans="27:29" x14ac:dyDescent="0.3">
      <c r="AA49">
        <f t="shared" si="3"/>
        <v>9500</v>
      </c>
      <c r="AC49">
        <f t="shared" si="1"/>
        <v>46</v>
      </c>
    </row>
    <row r="50" spans="27:29" x14ac:dyDescent="0.3">
      <c r="AA50">
        <f t="shared" si="3"/>
        <v>9600</v>
      </c>
      <c r="AC50">
        <f t="shared" si="1"/>
        <v>47</v>
      </c>
    </row>
    <row r="51" spans="27:29" x14ac:dyDescent="0.3">
      <c r="AA51">
        <f t="shared" si="3"/>
        <v>9700</v>
      </c>
      <c r="AC51">
        <f t="shared" si="1"/>
        <v>48</v>
      </c>
    </row>
    <row r="52" spans="27:29" x14ac:dyDescent="0.3">
      <c r="AA52">
        <f t="shared" si="3"/>
        <v>9800</v>
      </c>
      <c r="AC52">
        <f>AC51+1</f>
        <v>49</v>
      </c>
    </row>
    <row r="53" spans="27:29" x14ac:dyDescent="0.3">
      <c r="AA53">
        <f t="shared" si="3"/>
        <v>9900</v>
      </c>
      <c r="AC53">
        <f t="shared" si="1"/>
        <v>50</v>
      </c>
    </row>
    <row r="54" spans="27:29" x14ac:dyDescent="0.3">
      <c r="AA54">
        <f t="shared" si="3"/>
        <v>10000</v>
      </c>
      <c r="AC54">
        <f t="shared" si="1"/>
        <v>51</v>
      </c>
    </row>
    <row r="55" spans="27:29" x14ac:dyDescent="0.3">
      <c r="AA55">
        <f t="shared" si="3"/>
        <v>10100</v>
      </c>
      <c r="AC55">
        <f t="shared" si="1"/>
        <v>52</v>
      </c>
    </row>
    <row r="56" spans="27:29" x14ac:dyDescent="0.3">
      <c r="AA56">
        <f t="shared" si="3"/>
        <v>10200</v>
      </c>
      <c r="AC56">
        <f t="shared" si="1"/>
        <v>53</v>
      </c>
    </row>
    <row r="57" spans="27:29" x14ac:dyDescent="0.3">
      <c r="AA57">
        <f t="shared" si="3"/>
        <v>10300</v>
      </c>
      <c r="AC57">
        <f t="shared" si="1"/>
        <v>54</v>
      </c>
    </row>
    <row r="58" spans="27:29" x14ac:dyDescent="0.3">
      <c r="AA58">
        <f t="shared" si="3"/>
        <v>10400</v>
      </c>
      <c r="AC58">
        <f t="shared" si="1"/>
        <v>55</v>
      </c>
    </row>
    <row r="59" spans="27:29" x14ac:dyDescent="0.3">
      <c r="AA59">
        <f t="shared" si="3"/>
        <v>10500</v>
      </c>
      <c r="AC59">
        <f t="shared" si="1"/>
        <v>56</v>
      </c>
    </row>
    <row r="60" spans="27:29" x14ac:dyDescent="0.3">
      <c r="AA60">
        <f t="shared" si="3"/>
        <v>10600</v>
      </c>
      <c r="AC60">
        <f t="shared" si="1"/>
        <v>57</v>
      </c>
    </row>
    <row r="61" spans="27:29" x14ac:dyDescent="0.3">
      <c r="AA61">
        <f t="shared" si="3"/>
        <v>10700</v>
      </c>
      <c r="AC61">
        <f t="shared" si="1"/>
        <v>58</v>
      </c>
    </row>
    <row r="62" spans="27:29" x14ac:dyDescent="0.3">
      <c r="AA62">
        <f t="shared" si="3"/>
        <v>10800</v>
      </c>
      <c r="AC62">
        <f t="shared" si="1"/>
        <v>59</v>
      </c>
    </row>
    <row r="63" spans="27:29" x14ac:dyDescent="0.3">
      <c r="AA63">
        <f t="shared" si="3"/>
        <v>10900</v>
      </c>
      <c r="AC63">
        <f t="shared" si="1"/>
        <v>60</v>
      </c>
    </row>
    <row r="64" spans="27:29" x14ac:dyDescent="0.3">
      <c r="AA64">
        <f t="shared" si="3"/>
        <v>11000</v>
      </c>
      <c r="AC64">
        <f t="shared" si="1"/>
        <v>61</v>
      </c>
    </row>
    <row r="65" spans="27:29" x14ac:dyDescent="0.3">
      <c r="AA65">
        <f t="shared" si="3"/>
        <v>11100</v>
      </c>
      <c r="AC65">
        <f>AC64+1</f>
        <v>62</v>
      </c>
    </row>
    <row r="66" spans="27:29" x14ac:dyDescent="0.3">
      <c r="AA66">
        <f t="shared" si="3"/>
        <v>11200</v>
      </c>
      <c r="AC66">
        <f t="shared" si="1"/>
        <v>63</v>
      </c>
    </row>
    <row r="67" spans="27:29" x14ac:dyDescent="0.3">
      <c r="AA67">
        <f t="shared" si="3"/>
        <v>11300</v>
      </c>
      <c r="AC67">
        <f t="shared" si="1"/>
        <v>64</v>
      </c>
    </row>
    <row r="68" spans="27:29" x14ac:dyDescent="0.3">
      <c r="AA68">
        <f t="shared" si="3"/>
        <v>11400</v>
      </c>
      <c r="AC68">
        <f t="shared" si="1"/>
        <v>65</v>
      </c>
    </row>
    <row r="69" spans="27:29" x14ac:dyDescent="0.3">
      <c r="AA69">
        <f t="shared" si="3"/>
        <v>11500</v>
      </c>
      <c r="AC69">
        <f t="shared" si="1"/>
        <v>66</v>
      </c>
    </row>
    <row r="70" spans="27:29" x14ac:dyDescent="0.3">
      <c r="AA70">
        <f t="shared" si="3"/>
        <v>11600</v>
      </c>
      <c r="AC70">
        <f t="shared" ref="AC70:AC74" si="4">AC69+1</f>
        <v>67</v>
      </c>
    </row>
    <row r="71" spans="27:29" x14ac:dyDescent="0.3">
      <c r="AA71">
        <f t="shared" si="3"/>
        <v>11700</v>
      </c>
      <c r="AC71">
        <f t="shared" si="4"/>
        <v>68</v>
      </c>
    </row>
    <row r="72" spans="27:29" x14ac:dyDescent="0.3">
      <c r="AA72">
        <f t="shared" si="3"/>
        <v>11800</v>
      </c>
      <c r="AC72">
        <f t="shared" si="4"/>
        <v>69</v>
      </c>
    </row>
    <row r="73" spans="27:29" x14ac:dyDescent="0.3">
      <c r="AA73">
        <f t="shared" si="3"/>
        <v>11900</v>
      </c>
      <c r="AC73">
        <f t="shared" si="4"/>
        <v>70</v>
      </c>
    </row>
    <row r="74" spans="27:29" x14ac:dyDescent="0.3">
      <c r="AA74">
        <f t="shared" si="3"/>
        <v>12000</v>
      </c>
      <c r="AC74">
        <f t="shared" si="4"/>
        <v>71</v>
      </c>
    </row>
    <row r="75" spans="27:29" x14ac:dyDescent="0.3">
      <c r="AA75">
        <f t="shared" si="3"/>
        <v>12100</v>
      </c>
      <c r="AC75">
        <f>AC74+1</f>
        <v>72</v>
      </c>
    </row>
    <row r="76" spans="27:29" x14ac:dyDescent="0.3">
      <c r="AA76">
        <f t="shared" si="3"/>
        <v>12200</v>
      </c>
      <c r="AC76">
        <f t="shared" ref="AC76:AC78" si="5">AC75+1</f>
        <v>73</v>
      </c>
    </row>
    <row r="77" spans="27:29" x14ac:dyDescent="0.3">
      <c r="AA77">
        <f t="shared" si="3"/>
        <v>12300</v>
      </c>
      <c r="AC77">
        <f t="shared" si="5"/>
        <v>74</v>
      </c>
    </row>
    <row r="78" spans="27:29" x14ac:dyDescent="0.3">
      <c r="AA78">
        <f t="shared" si="3"/>
        <v>12400</v>
      </c>
      <c r="AC78">
        <f t="shared" si="5"/>
        <v>75</v>
      </c>
    </row>
    <row r="79" spans="27:29" x14ac:dyDescent="0.3">
      <c r="AA79">
        <f t="shared" si="3"/>
        <v>12500</v>
      </c>
    </row>
    <row r="80" spans="27:29" x14ac:dyDescent="0.3">
      <c r="AA80">
        <f t="shared" si="3"/>
        <v>12600</v>
      </c>
    </row>
    <row r="81" spans="27:27" x14ac:dyDescent="0.3">
      <c r="AA81">
        <f t="shared" si="3"/>
        <v>12700</v>
      </c>
    </row>
    <row r="82" spans="27:27" x14ac:dyDescent="0.3">
      <c r="AA82">
        <f t="shared" si="3"/>
        <v>12800</v>
      </c>
    </row>
    <row r="83" spans="27:27" x14ac:dyDescent="0.3">
      <c r="AA83">
        <f t="shared" si="3"/>
        <v>12900</v>
      </c>
    </row>
    <row r="84" spans="27:27" x14ac:dyDescent="0.3">
      <c r="AA84">
        <f t="shared" si="3"/>
        <v>13000</v>
      </c>
    </row>
    <row r="85" spans="27:27" x14ac:dyDescent="0.3">
      <c r="AA85">
        <f t="shared" si="3"/>
        <v>13100</v>
      </c>
    </row>
    <row r="86" spans="27:27" x14ac:dyDescent="0.3">
      <c r="AA86">
        <f t="shared" si="3"/>
        <v>13200</v>
      </c>
    </row>
    <row r="87" spans="27:27" x14ac:dyDescent="0.3">
      <c r="AA87">
        <f t="shared" si="3"/>
        <v>13300</v>
      </c>
    </row>
    <row r="88" spans="27:27" x14ac:dyDescent="0.3">
      <c r="AA88">
        <f t="shared" si="3"/>
        <v>13400</v>
      </c>
    </row>
    <row r="89" spans="27:27" x14ac:dyDescent="0.3">
      <c r="AA89">
        <f t="shared" si="3"/>
        <v>13500</v>
      </c>
    </row>
    <row r="90" spans="27:27" x14ac:dyDescent="0.3">
      <c r="AA90">
        <f t="shared" ref="AA90:AA91" si="6">AA89+100</f>
        <v>13600</v>
      </c>
    </row>
    <row r="91" spans="27:27" x14ac:dyDescent="0.3">
      <c r="AA91">
        <f t="shared" si="6"/>
        <v>13700</v>
      </c>
    </row>
    <row r="92" spans="27:27" x14ac:dyDescent="0.3">
      <c r="AA92">
        <f>AA91+100</f>
        <v>13800</v>
      </c>
    </row>
    <row r="93" spans="27:27" x14ac:dyDescent="0.3">
      <c r="AA93">
        <f t="shared" ref="AA93:AA95" si="7">AA92+100</f>
        <v>13900</v>
      </c>
    </row>
    <row r="94" spans="27:27" x14ac:dyDescent="0.3">
      <c r="AA94">
        <f t="shared" si="7"/>
        <v>14000</v>
      </c>
    </row>
    <row r="95" spans="27:27" x14ac:dyDescent="0.3">
      <c r="AA95">
        <f t="shared" si="7"/>
        <v>14100</v>
      </c>
    </row>
    <row r="96" spans="27:27" x14ac:dyDescent="0.3">
      <c r="AA96">
        <f>AA95+100</f>
        <v>14200</v>
      </c>
    </row>
    <row r="97" spans="27:27" x14ac:dyDescent="0.3">
      <c r="AA97">
        <f t="shared" ref="AA97" si="8">AA96+100</f>
        <v>14300</v>
      </c>
    </row>
    <row r="98" spans="27:27" x14ac:dyDescent="0.3">
      <c r="AA98">
        <f>AA97+100</f>
        <v>14400</v>
      </c>
    </row>
    <row r="99" spans="27:27" x14ac:dyDescent="0.3">
      <c r="AA99">
        <f t="shared" ref="AA99:AA104" si="9">AA98+100</f>
        <v>14500</v>
      </c>
    </row>
    <row r="100" spans="27:27" x14ac:dyDescent="0.3">
      <c r="AA100">
        <f t="shared" si="9"/>
        <v>14600</v>
      </c>
    </row>
    <row r="101" spans="27:27" x14ac:dyDescent="0.3">
      <c r="AA101">
        <f t="shared" si="9"/>
        <v>14700</v>
      </c>
    </row>
    <row r="102" spans="27:27" x14ac:dyDescent="0.3">
      <c r="AA102">
        <f t="shared" si="9"/>
        <v>14800</v>
      </c>
    </row>
    <row r="103" spans="27:27" x14ac:dyDescent="0.3">
      <c r="AA103">
        <f t="shared" si="9"/>
        <v>14900</v>
      </c>
    </row>
    <row r="104" spans="27:27" x14ac:dyDescent="0.3">
      <c r="AA104">
        <f t="shared" si="9"/>
        <v>15000</v>
      </c>
    </row>
  </sheetData>
  <phoneticPr fontId="1" type="noConversion"/>
  <dataValidations count="2">
    <dataValidation type="list" allowBlank="1" showInputMessage="1" showErrorMessage="1" sqref="G6" xr:uid="{D2A4D556-5EE3-4F4C-9C24-F9BF913B84C7}">
      <formula1>$AA$4:$AA$104</formula1>
    </dataValidation>
    <dataValidation type="list" allowBlank="1" showInputMessage="1" showErrorMessage="1" sqref="C11:D11 C13:D13 C15:D15 C17:D17 C19:D19 C21:D21 C6:D7" xr:uid="{9E3CE51D-E1CE-4E80-B2FC-B5ACC3923BF5}">
      <formula1>$AC$4:$AC$78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523F-B905-499E-8C44-415A0ED25092}">
  <dimension ref="A1:T22"/>
  <sheetViews>
    <sheetView topLeftCell="D1" zoomScale="55" zoomScaleNormal="55" workbookViewId="0">
      <selection activeCell="T22" sqref="T22"/>
    </sheetView>
  </sheetViews>
  <sheetFormatPr defaultRowHeight="14.4" x14ac:dyDescent="0.3"/>
  <cols>
    <col min="2" max="2" width="13.6640625" bestFit="1" customWidth="1"/>
    <col min="3" max="3" width="18.109375" bestFit="1" customWidth="1"/>
    <col min="4" max="4" width="15.21875" bestFit="1" customWidth="1"/>
    <col min="5" max="5" width="14" bestFit="1" customWidth="1"/>
    <col min="8" max="8" width="26.5546875" bestFit="1" customWidth="1"/>
    <col min="9" max="9" width="28.44140625" bestFit="1" customWidth="1"/>
    <col min="10" max="13" width="27.77734375" bestFit="1" customWidth="1"/>
    <col min="15" max="15" width="24.33203125" bestFit="1" customWidth="1"/>
    <col min="16" max="16" width="25.5546875" bestFit="1" customWidth="1"/>
    <col min="17" max="19" width="25" bestFit="1" customWidth="1"/>
    <col min="20" max="20" width="26.77734375" bestFit="1" customWidth="1"/>
  </cols>
  <sheetData>
    <row r="1" spans="1:20" x14ac:dyDescent="0.3">
      <c r="A1" s="5" t="s">
        <v>10</v>
      </c>
      <c r="B1" s="5" t="s">
        <v>11</v>
      </c>
      <c r="C1" s="5" t="s">
        <v>14</v>
      </c>
      <c r="D1" s="5" t="s">
        <v>12</v>
      </c>
      <c r="E1" s="5" t="s">
        <v>13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  <c r="O1" s="5" t="s">
        <v>21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70</v>
      </c>
    </row>
    <row r="2" spans="1:20" x14ac:dyDescent="0.3">
      <c r="A2" s="1">
        <v>4000</v>
      </c>
      <c r="B2" s="1">
        <v>40</v>
      </c>
      <c r="C2" s="1">
        <v>53</v>
      </c>
      <c r="D2" s="1">
        <f>C2*1.3558</f>
        <v>71.857399999999998</v>
      </c>
      <c r="E2" s="1">
        <f>B2*0.7457</f>
        <v>29.828000000000003</v>
      </c>
      <c r="H2" s="1">
        <f>((A2*60*(Gearbox!$C$11/Gearbox!$D$11)*(Gearbox!$C$6/Gearbox!$D$6)*Gearbox!$G$5*PI())/1000)*(Gearbox!$C$7/Gearbox!$D$7)</f>
        <v>44.379654157045209</v>
      </c>
      <c r="I2" s="1">
        <f>((A2*60*(Gearbox!$C$13/Gearbox!$D$13)*(Gearbox!$C$6/Gearbox!$D$6)*Gearbox!$G$5*PI())/1000)*(Gearbox!$C$7/Gearbox!$D$7)</f>
        <v>53.015694965983734</v>
      </c>
      <c r="J2" s="1">
        <f>((A2*60*(Gearbox!$C$15/Gearbox!$D$15)*(Gearbox!$C$6/Gearbox!$D$6)*Gearbox!$G$5*PI())/1000)*(Gearbox!$C$7/Gearbox!$D$7)</f>
        <v>62.638711867372372</v>
      </c>
      <c r="K2" s="1">
        <f>((A2*60*(Gearbox!$C$17/Gearbox!$D$17)*(Gearbox!$C$6/Gearbox!$D$6)*Gearbox!$G$5*PI())/1000)*(Gearbox!$C$7/Gearbox!$D$7)</f>
        <v>73.078497178601111</v>
      </c>
      <c r="L2" s="1">
        <f>((A2*60*(Gearbox!$C$19/Gearbox!$D$19)*(Gearbox!$C$6/Gearbox!$D$6)*Gearbox!$G$5*PI())/1000)*(Gearbox!$C$7/Gearbox!$D$7)</f>
        <v>83.556176447402336</v>
      </c>
      <c r="M2" s="1">
        <f>((A2*60*(Gearbox!$C$21/Gearbox!$D$21)*(Gearbox!$C$6/Gearbox!$D$6)*Gearbox!$G$5*PI())/1000)*(Gearbox!$C$7/Gearbox!$D$7)</f>
        <v>92.309680646654044</v>
      </c>
      <c r="O2" s="1">
        <f t="shared" ref="O2:T2" si="0">($E2*1000)/(H2*(1000/3600))</f>
        <v>2419.5952410988639</v>
      </c>
      <c r="P2" s="1">
        <f t="shared" si="0"/>
        <v>2025.4530298791399</v>
      </c>
      <c r="Q2" s="1">
        <f t="shared" si="0"/>
        <v>1714.2881262846206</v>
      </c>
      <c r="R2" s="1">
        <f t="shared" si="0"/>
        <v>1469.3898225296743</v>
      </c>
      <c r="S2" s="1">
        <f t="shared" si="0"/>
        <v>1285.1330035140491</v>
      </c>
      <c r="T2" s="1">
        <f t="shared" si="0"/>
        <v>1163.2669428359923</v>
      </c>
    </row>
    <row r="3" spans="1:20" x14ac:dyDescent="0.3">
      <c r="A3" s="1">
        <f>A2+500</f>
        <v>4500</v>
      </c>
      <c r="B3" s="1">
        <v>48</v>
      </c>
      <c r="C3" s="1">
        <v>56</v>
      </c>
      <c r="D3" s="1">
        <f t="shared" ref="D3:D22" si="1">C3*1.3558</f>
        <v>75.924799999999991</v>
      </c>
      <c r="E3" s="1">
        <f t="shared" ref="E3:E22" si="2">B3*0.7457</f>
        <v>35.793599999999998</v>
      </c>
      <c r="H3" s="1">
        <f>((A3*60*(Gearbox!$C$11/Gearbox!$D$11)*(Gearbox!$C$6/Gearbox!$D$6)*Gearbox!$G$5*PI())/1000)*(Gearbox!$C$7/Gearbox!$D$7)</f>
        <v>49.927110926675866</v>
      </c>
      <c r="I3" s="1">
        <f>((A3*60*(Gearbox!$C$13/Gearbox!$D$13)*(Gearbox!$C$6/Gearbox!$D$6)*Gearbox!$G$5*PI())/1000)*(Gearbox!$C$7/Gearbox!$D$7)</f>
        <v>59.642656836731703</v>
      </c>
      <c r="J3" s="1">
        <f>((A3*60*(Gearbox!$C$15/Gearbox!$D$15)*(Gearbox!$C$6/Gearbox!$D$6)*Gearbox!$G$5*PI())/1000)*(Gearbox!$C$7/Gearbox!$D$7)</f>
        <v>70.468550850793918</v>
      </c>
      <c r="K3" s="1">
        <f>((A3*60*(Gearbox!$C$17/Gearbox!$D$17)*(Gearbox!$C$6/Gearbox!$D$6)*Gearbox!$G$5*PI())/1000)*(Gearbox!$C$7/Gearbox!$D$7)</f>
        <v>82.213309325926261</v>
      </c>
      <c r="L3" s="1">
        <f>((A3*60*(Gearbox!$C$19/Gearbox!$D$19)*(Gearbox!$C$6/Gearbox!$D$6)*Gearbox!$G$5*PI())/1000)*(Gearbox!$C$7/Gearbox!$D$7)</f>
        <v>94.000698503327641</v>
      </c>
      <c r="M3" s="1">
        <f>((A3*60*(Gearbox!$C$21/Gearbox!$D$21)*(Gearbox!$C$6/Gearbox!$D$6)*Gearbox!$G$5*PI())/1000)*(Gearbox!$C$7/Gearbox!$D$7)</f>
        <v>103.84839072748578</v>
      </c>
      <c r="O3" s="1">
        <f t="shared" ref="O3:O22" si="3">($E3*1000)/(H3*(1000/3600))</f>
        <v>2580.9015905054544</v>
      </c>
      <c r="P3" s="1">
        <f t="shared" ref="P3:P22" si="4">($E3*1000)/(I3*(1000/3600))</f>
        <v>2160.4832318710819</v>
      </c>
      <c r="Q3" s="1">
        <f t="shared" ref="Q3:Q22" si="5">($E3*1000)/(J3*(1000/3600))</f>
        <v>1828.5740013702616</v>
      </c>
      <c r="R3" s="1">
        <f t="shared" ref="R3:R22" si="6">($E3*1000)/(K3*(1000/3600))</f>
        <v>1567.3491440316523</v>
      </c>
      <c r="S3" s="1">
        <f t="shared" ref="S3:S22" si="7">($E3*1000)/(L3*(1000/3600))</f>
        <v>1370.8085370816518</v>
      </c>
      <c r="T3" s="1">
        <f t="shared" ref="T3:T21" si="8">($E3*1000)/(M3*(1000/3600))</f>
        <v>1240.8180723583916</v>
      </c>
    </row>
    <row r="4" spans="1:20" x14ac:dyDescent="0.3">
      <c r="A4" s="1">
        <f t="shared" ref="A4:A17" si="9">A3+500</f>
        <v>5000</v>
      </c>
      <c r="B4" s="1">
        <v>55</v>
      </c>
      <c r="C4" s="1">
        <v>56</v>
      </c>
      <c r="D4" s="1">
        <f t="shared" si="1"/>
        <v>75.924799999999991</v>
      </c>
      <c r="E4" s="1">
        <f t="shared" si="2"/>
        <v>41.013500000000001</v>
      </c>
      <c r="H4" s="1">
        <f>((A4*60*(Gearbox!$C$11/Gearbox!$D$11)*(Gearbox!$C$6/Gearbox!$D$6)*Gearbox!$G$5*PI())/1000)*(Gearbox!$C$7/Gearbox!$D$7)</f>
        <v>55.474567696306515</v>
      </c>
      <c r="I4" s="1">
        <f>((A4*60*(Gearbox!$C$13/Gearbox!$D$13)*(Gearbox!$C$6/Gearbox!$D$6)*Gearbox!$G$5*PI())/1000)*(Gearbox!$C$7/Gearbox!$D$7)</f>
        <v>66.269618707479651</v>
      </c>
      <c r="J4" s="1">
        <f>((A4*60*(Gearbox!$C$15/Gearbox!$D$15)*(Gearbox!$C$6/Gearbox!$D$6)*Gearbox!$G$5*PI())/1000)*(Gearbox!$C$7/Gearbox!$D$7)</f>
        <v>78.29838983421547</v>
      </c>
      <c r="K4" s="1">
        <f>((A4*60*(Gearbox!$C$17/Gearbox!$D$17)*(Gearbox!$C$6/Gearbox!$D$6)*Gearbox!$G$5*PI())/1000)*(Gearbox!$C$7/Gearbox!$D$7)</f>
        <v>91.348121473251382</v>
      </c>
      <c r="L4" s="1">
        <f>((A4*60*(Gearbox!$C$19/Gearbox!$D$19)*(Gearbox!$C$6/Gearbox!$D$6)*Gearbox!$G$5*PI())/1000)*(Gearbox!$C$7/Gearbox!$D$7)</f>
        <v>104.44522055925295</v>
      </c>
      <c r="M4" s="1">
        <f>((A4*60*(Gearbox!$C$21/Gearbox!$D$21)*(Gearbox!$C$6/Gearbox!$D$6)*Gearbox!$G$5*PI())/1000)*(Gearbox!$C$7/Gearbox!$D$7)</f>
        <v>115.38710080831753</v>
      </c>
      <c r="O4" s="1">
        <f t="shared" si="3"/>
        <v>2661.5547652087503</v>
      </c>
      <c r="P4" s="1">
        <f t="shared" si="4"/>
        <v>2227.9983328670537</v>
      </c>
      <c r="Q4" s="1">
        <f t="shared" si="5"/>
        <v>1885.7169389130822</v>
      </c>
      <c r="R4" s="1">
        <f t="shared" si="6"/>
        <v>1616.328804782642</v>
      </c>
      <c r="S4" s="1">
        <f t="shared" si="7"/>
        <v>1413.6463038654535</v>
      </c>
      <c r="T4" s="1">
        <f t="shared" si="8"/>
        <v>1279.5936371195917</v>
      </c>
    </row>
    <row r="5" spans="1:20" x14ac:dyDescent="0.3">
      <c r="A5" s="1">
        <f t="shared" si="9"/>
        <v>5500</v>
      </c>
      <c r="B5" s="1">
        <v>60</v>
      </c>
      <c r="C5" s="1">
        <v>57</v>
      </c>
      <c r="D5" s="1">
        <f t="shared" si="1"/>
        <v>77.280599999999993</v>
      </c>
      <c r="E5" s="1">
        <f t="shared" si="2"/>
        <v>44.742000000000004</v>
      </c>
      <c r="H5" s="1">
        <f>((A5*60*(Gearbox!$C$11/Gearbox!$D$11)*(Gearbox!$C$6/Gearbox!$D$6)*Gearbox!$G$5*PI())/1000)*(Gearbox!$C$7/Gearbox!$D$7)</f>
        <v>61.022024465937164</v>
      </c>
      <c r="I5" s="1">
        <f>((A5*60*(Gearbox!$C$13/Gearbox!$D$13)*(Gearbox!$C$6/Gearbox!$D$6)*Gearbox!$G$5*PI())/1000)*(Gearbox!$C$7/Gearbox!$D$7)</f>
        <v>72.896580578227628</v>
      </c>
      <c r="J5" s="1">
        <f>((A5*60*(Gearbox!$C$15/Gearbox!$D$15)*(Gearbox!$C$6/Gearbox!$D$6)*Gearbox!$G$5*PI())/1000)*(Gearbox!$C$7/Gearbox!$D$7)</f>
        <v>86.128228817637023</v>
      </c>
      <c r="K5" s="1">
        <f>((A5*60*(Gearbox!$C$17/Gearbox!$D$17)*(Gearbox!$C$6/Gearbox!$D$6)*Gearbox!$G$5*PI())/1000)*(Gearbox!$C$7/Gearbox!$D$7)</f>
        <v>100.48293362057653</v>
      </c>
      <c r="L5" s="1">
        <f>((A5*60*(Gearbox!$C$19/Gearbox!$D$19)*(Gearbox!$C$6/Gearbox!$D$6)*Gearbox!$G$5*PI())/1000)*(Gearbox!$C$7/Gearbox!$D$7)</f>
        <v>114.88974261517824</v>
      </c>
      <c r="M5" s="1">
        <f>((A5*60*(Gearbox!$C$21/Gearbox!$D$21)*(Gearbox!$C$6/Gearbox!$D$6)*Gearbox!$G$5*PI())/1000)*(Gearbox!$C$7/Gearbox!$D$7)</f>
        <v>126.9258108891493</v>
      </c>
      <c r="O5" s="1">
        <f t="shared" si="3"/>
        <v>2639.5584448351242</v>
      </c>
      <c r="P5" s="1">
        <f t="shared" si="4"/>
        <v>2209.5851235045166</v>
      </c>
      <c r="Q5" s="1">
        <f t="shared" si="5"/>
        <v>1870.1325014014042</v>
      </c>
      <c r="R5" s="1">
        <f t="shared" si="6"/>
        <v>1602.9707154869177</v>
      </c>
      <c r="S5" s="1">
        <f t="shared" si="7"/>
        <v>1401.9632765607805</v>
      </c>
      <c r="T5" s="1">
        <f t="shared" si="8"/>
        <v>1269.0184830938099</v>
      </c>
    </row>
    <row r="6" spans="1:20" x14ac:dyDescent="0.3">
      <c r="A6" s="1">
        <f t="shared" si="9"/>
        <v>6000</v>
      </c>
      <c r="B6" s="1">
        <v>63</v>
      </c>
      <c r="C6" s="1">
        <v>55</v>
      </c>
      <c r="D6" s="1">
        <f t="shared" si="1"/>
        <v>74.568999999999988</v>
      </c>
      <c r="E6" s="1">
        <f t="shared" si="2"/>
        <v>46.979100000000003</v>
      </c>
      <c r="H6" s="1">
        <f>((A6*60*(Gearbox!$C$11/Gearbox!$D$11)*(Gearbox!$C$6/Gearbox!$D$6)*Gearbox!$G$5*PI())/1000)*(Gearbox!$C$7/Gearbox!$D$7)</f>
        <v>66.569481235567807</v>
      </c>
      <c r="I6" s="1">
        <f>((A6*60*(Gearbox!$C$13/Gearbox!$D$13)*(Gearbox!$C$6/Gearbox!$D$6)*Gearbox!$G$5*PI())/1000)*(Gearbox!$C$7/Gearbox!$D$7)</f>
        <v>79.523542448975604</v>
      </c>
      <c r="J6" s="1">
        <f>((A6*60*(Gearbox!$C$15/Gearbox!$D$15)*(Gearbox!$C$6/Gearbox!$D$6)*Gearbox!$G$5*PI())/1000)*(Gearbox!$C$7/Gearbox!$D$7)</f>
        <v>93.958067801058547</v>
      </c>
      <c r="K6" s="1">
        <f>((A6*60*(Gearbox!$C$17/Gearbox!$D$17)*(Gearbox!$C$6/Gearbox!$D$6)*Gearbox!$G$5*PI())/1000)*(Gearbox!$C$7/Gearbox!$D$7)</f>
        <v>109.61774576790164</v>
      </c>
      <c r="L6" s="1">
        <f>((A6*60*(Gearbox!$C$19/Gearbox!$D$19)*(Gearbox!$C$6/Gearbox!$D$6)*Gearbox!$G$5*PI())/1000)*(Gearbox!$C$7/Gearbox!$D$7)</f>
        <v>125.33426467110351</v>
      </c>
      <c r="M6" s="1">
        <f>((A6*60*(Gearbox!$C$21/Gearbox!$D$21)*(Gearbox!$C$6/Gearbox!$D$6)*Gearbox!$G$5*PI())/1000)*(Gearbox!$C$7/Gearbox!$D$7)</f>
        <v>138.46452096998104</v>
      </c>
      <c r="O6" s="1">
        <f t="shared" si="3"/>
        <v>2540.5750031538078</v>
      </c>
      <c r="P6" s="1">
        <f t="shared" si="4"/>
        <v>2126.7256813730969</v>
      </c>
      <c r="Q6" s="1">
        <f t="shared" si="5"/>
        <v>1800.0025325988518</v>
      </c>
      <c r="R6" s="1">
        <f t="shared" si="6"/>
        <v>1542.8593136561587</v>
      </c>
      <c r="S6" s="1">
        <f t="shared" si="7"/>
        <v>1349.3896536897514</v>
      </c>
      <c r="T6" s="1">
        <f t="shared" si="8"/>
        <v>1221.4302899777922</v>
      </c>
    </row>
    <row r="7" spans="1:20" x14ac:dyDescent="0.3">
      <c r="A7" s="1">
        <f t="shared" si="9"/>
        <v>6500</v>
      </c>
      <c r="B7" s="1">
        <v>70</v>
      </c>
      <c r="C7" s="1">
        <v>56</v>
      </c>
      <c r="D7" s="1">
        <f t="shared" si="1"/>
        <v>75.924799999999991</v>
      </c>
      <c r="E7" s="1">
        <f t="shared" si="2"/>
        <v>52.199000000000005</v>
      </c>
      <c r="H7" s="1">
        <f>((A7*60*(Gearbox!$C$11/Gearbox!$D$11)*(Gearbox!$C$6/Gearbox!$D$6)*Gearbox!$G$5*PI())/1000)*(Gearbox!$C$7/Gearbox!$D$7)</f>
        <v>72.116938005198477</v>
      </c>
      <c r="I7" s="1">
        <f>((A7*60*(Gearbox!$C$13/Gearbox!$D$13)*(Gearbox!$C$6/Gearbox!$D$6)*Gearbox!$G$5*PI())/1000)*(Gearbox!$C$7/Gearbox!$D$7)</f>
        <v>86.150504319723581</v>
      </c>
      <c r="J7" s="1">
        <f>((A7*60*(Gearbox!$C$15/Gearbox!$D$15)*(Gearbox!$C$6/Gearbox!$D$6)*Gearbox!$G$5*PI())/1000)*(Gearbox!$C$7/Gearbox!$D$7)</f>
        <v>101.78790678448011</v>
      </c>
      <c r="K7" s="1">
        <f>((A7*60*(Gearbox!$C$17/Gearbox!$D$17)*(Gearbox!$C$6/Gearbox!$D$6)*Gearbox!$G$5*PI())/1000)*(Gearbox!$C$7/Gearbox!$D$7)</f>
        <v>118.75255791522679</v>
      </c>
      <c r="L7" s="1">
        <f>((A7*60*(Gearbox!$C$19/Gearbox!$D$19)*(Gearbox!$C$6/Gearbox!$D$6)*Gearbox!$G$5*PI())/1000)*(Gearbox!$C$7/Gearbox!$D$7)</f>
        <v>135.7787867270288</v>
      </c>
      <c r="M7" s="1">
        <f>((A7*60*(Gearbox!$C$21/Gearbox!$D$21)*(Gearbox!$C$6/Gearbox!$D$6)*Gearbox!$G$5*PI())/1000)*(Gearbox!$C$7/Gearbox!$D$7)</f>
        <v>150.00323105081281</v>
      </c>
      <c r="O7" s="1">
        <f t="shared" si="3"/>
        <v>2605.7179519526221</v>
      </c>
      <c r="P7" s="1">
        <f t="shared" si="4"/>
        <v>2181.2571091006116</v>
      </c>
      <c r="Q7" s="1">
        <f t="shared" si="5"/>
        <v>1846.1564436911297</v>
      </c>
      <c r="R7" s="1">
        <f t="shared" si="6"/>
        <v>1582.4198088781113</v>
      </c>
      <c r="S7" s="1">
        <f t="shared" si="7"/>
        <v>1383.9893883997449</v>
      </c>
      <c r="T7" s="1">
        <f t="shared" si="8"/>
        <v>1252.7490153618378</v>
      </c>
    </row>
    <row r="8" spans="1:20" x14ac:dyDescent="0.3">
      <c r="A8" s="1">
        <f t="shared" si="9"/>
        <v>7000</v>
      </c>
      <c r="B8" s="1">
        <v>78</v>
      </c>
      <c r="C8" s="1">
        <v>58</v>
      </c>
      <c r="D8" s="1">
        <f t="shared" si="1"/>
        <v>78.636399999999995</v>
      </c>
      <c r="E8" s="1">
        <f t="shared" si="2"/>
        <v>58.1646</v>
      </c>
      <c r="H8" s="1">
        <f>((A8*60*(Gearbox!$C$11/Gearbox!$D$11)*(Gearbox!$C$6/Gearbox!$D$6)*Gearbox!$G$5*PI())/1000)*(Gearbox!$C$7/Gearbox!$D$7)</f>
        <v>77.66439477482912</v>
      </c>
      <c r="I8" s="1">
        <f>((A8*60*(Gearbox!$C$13/Gearbox!$D$13)*(Gearbox!$C$6/Gearbox!$D$6)*Gearbox!$G$5*PI())/1000)*(Gearbox!$C$7/Gearbox!$D$7)</f>
        <v>92.777466190471543</v>
      </c>
      <c r="J8" s="1">
        <f>((A8*60*(Gearbox!$C$15/Gearbox!$D$15)*(Gearbox!$C$6/Gearbox!$D$6)*Gearbox!$G$5*PI())/1000)*(Gearbox!$C$7/Gearbox!$D$7)</f>
        <v>109.61774576790164</v>
      </c>
      <c r="K8" s="1">
        <f>((A8*60*(Gearbox!$C$17/Gearbox!$D$17)*(Gearbox!$C$6/Gearbox!$D$6)*Gearbox!$G$5*PI())/1000)*(Gearbox!$C$7/Gearbox!$D$7)</f>
        <v>127.88737006255192</v>
      </c>
      <c r="L8" s="1">
        <f>((A8*60*(Gearbox!$C$19/Gearbox!$D$19)*(Gearbox!$C$6/Gearbox!$D$6)*Gearbox!$G$5*PI())/1000)*(Gearbox!$C$7/Gearbox!$D$7)</f>
        <v>146.22330878295412</v>
      </c>
      <c r="M8" s="1">
        <f>((A8*60*(Gearbox!$C$21/Gearbox!$D$21)*(Gearbox!$C$6/Gearbox!$D$6)*Gearbox!$G$5*PI())/1000)*(Gearbox!$C$7/Gearbox!$D$7)</f>
        <v>161.54194113164456</v>
      </c>
      <c r="O8" s="1">
        <f t="shared" si="3"/>
        <v>2696.1204115101623</v>
      </c>
      <c r="P8" s="1">
        <f t="shared" si="4"/>
        <v>2256.9333761510406</v>
      </c>
      <c r="Q8" s="1">
        <f t="shared" si="5"/>
        <v>1910.2067692885771</v>
      </c>
      <c r="R8" s="1">
        <f t="shared" si="6"/>
        <v>1637.3200879616372</v>
      </c>
      <c r="S8" s="1">
        <f t="shared" si="7"/>
        <v>1432.0053467727971</v>
      </c>
      <c r="T8" s="1">
        <f t="shared" si="8"/>
        <v>1296.2117363029627</v>
      </c>
    </row>
    <row r="9" spans="1:20" x14ac:dyDescent="0.3">
      <c r="A9" s="1">
        <f t="shared" si="9"/>
        <v>7500</v>
      </c>
      <c r="B9" s="1">
        <v>88</v>
      </c>
      <c r="C9" s="1">
        <v>65</v>
      </c>
      <c r="D9" s="1">
        <f t="shared" si="1"/>
        <v>88.126999999999995</v>
      </c>
      <c r="E9" s="1">
        <f t="shared" si="2"/>
        <v>65.621600000000001</v>
      </c>
      <c r="H9" s="1">
        <f>((A9*60*(Gearbox!$C$11/Gearbox!$D$11)*(Gearbox!$C$6/Gearbox!$D$6)*Gearbox!$G$5*PI())/1000)*(Gearbox!$C$7/Gearbox!$D$7)</f>
        <v>83.211851544459762</v>
      </c>
      <c r="I9" s="1">
        <f>((A9*60*(Gearbox!$C$13/Gearbox!$D$13)*(Gearbox!$C$6/Gearbox!$D$6)*Gearbox!$G$5*PI())/1000)*(Gearbox!$C$7/Gearbox!$D$7)</f>
        <v>99.404428061219491</v>
      </c>
      <c r="J9" s="1">
        <f>((A9*60*(Gearbox!$C$15/Gearbox!$D$15)*(Gearbox!$C$6/Gearbox!$D$6)*Gearbox!$G$5*PI())/1000)*(Gearbox!$C$7/Gearbox!$D$7)</f>
        <v>117.44758475132322</v>
      </c>
      <c r="K9" s="1">
        <f>((A9*60*(Gearbox!$C$17/Gearbox!$D$17)*(Gearbox!$C$6/Gearbox!$D$6)*Gearbox!$G$5*PI())/1000)*(Gearbox!$C$7/Gearbox!$D$7)</f>
        <v>137.02218220987709</v>
      </c>
      <c r="L9" s="1">
        <f>((A9*60*(Gearbox!$C$19/Gearbox!$D$19)*(Gearbox!$C$6/Gearbox!$D$6)*Gearbox!$G$5*PI())/1000)*(Gearbox!$C$7/Gearbox!$D$7)</f>
        <v>156.66783083887941</v>
      </c>
      <c r="M9" s="1">
        <f>((A9*60*(Gearbox!$C$21/Gearbox!$D$21)*(Gearbox!$C$6/Gearbox!$D$6)*Gearbox!$G$5*PI())/1000)*(Gearbox!$C$7/Gearbox!$D$7)</f>
        <v>173.08065121247631</v>
      </c>
      <c r="O9" s="1">
        <f t="shared" si="3"/>
        <v>2838.9917495560007</v>
      </c>
      <c r="P9" s="1">
        <f t="shared" si="4"/>
        <v>2376.5315550581909</v>
      </c>
      <c r="Q9" s="1">
        <f t="shared" si="5"/>
        <v>2011.4314015072875</v>
      </c>
      <c r="R9" s="1">
        <f t="shared" si="6"/>
        <v>1724.084058434818</v>
      </c>
      <c r="S9" s="1">
        <f t="shared" si="7"/>
        <v>1507.8893907898173</v>
      </c>
      <c r="T9" s="1">
        <f t="shared" si="8"/>
        <v>1364.8998795942309</v>
      </c>
    </row>
    <row r="10" spans="1:20" x14ac:dyDescent="0.3">
      <c r="A10" s="1">
        <f t="shared" si="9"/>
        <v>8000</v>
      </c>
      <c r="B10" s="1">
        <v>111</v>
      </c>
      <c r="C10" s="1">
        <v>73</v>
      </c>
      <c r="D10" s="1">
        <f t="shared" si="1"/>
        <v>98.973399999999998</v>
      </c>
      <c r="E10" s="1">
        <f t="shared" si="2"/>
        <v>82.7727</v>
      </c>
      <c r="H10" s="1">
        <f>((A10*60*(Gearbox!$C$11/Gearbox!$D$11)*(Gearbox!$C$6/Gearbox!$D$6)*Gearbox!$G$5*PI())/1000)*(Gearbox!$C$7/Gearbox!$D$7)</f>
        <v>88.759308314090418</v>
      </c>
      <c r="I10" s="1">
        <f>((A10*60*(Gearbox!$C$13/Gearbox!$D$13)*(Gearbox!$C$6/Gearbox!$D$6)*Gearbox!$G$5*PI())/1000)*(Gearbox!$C$7/Gearbox!$D$7)</f>
        <v>106.03138993196747</v>
      </c>
      <c r="J10" s="1">
        <f>((A10*60*(Gearbox!$C$15/Gearbox!$D$15)*(Gearbox!$C$6/Gearbox!$D$6)*Gearbox!$G$5*PI())/1000)*(Gearbox!$C$7/Gearbox!$D$7)</f>
        <v>125.27742373474474</v>
      </c>
      <c r="K10" s="1">
        <f>((A10*60*(Gearbox!$C$17/Gearbox!$D$17)*(Gearbox!$C$6/Gearbox!$D$6)*Gearbox!$G$5*PI())/1000)*(Gearbox!$C$7/Gearbox!$D$7)</f>
        <v>146.15699435720222</v>
      </c>
      <c r="L10" s="1">
        <f>((A10*60*(Gearbox!$C$19/Gearbox!$D$19)*(Gearbox!$C$6/Gearbox!$D$6)*Gearbox!$G$5*PI())/1000)*(Gearbox!$C$7/Gearbox!$D$7)</f>
        <v>167.11235289480467</v>
      </c>
      <c r="M10" s="1">
        <f>((A10*60*(Gearbox!$C$21/Gearbox!$D$21)*(Gearbox!$C$6/Gearbox!$D$6)*Gearbox!$G$5*PI())/1000)*(Gearbox!$C$7/Gearbox!$D$7)</f>
        <v>184.61936129330809</v>
      </c>
      <c r="O10" s="1">
        <f t="shared" si="3"/>
        <v>3357.1883970246731</v>
      </c>
      <c r="P10" s="1">
        <f t="shared" si="4"/>
        <v>2810.3160789573062</v>
      </c>
      <c r="Q10" s="1">
        <f t="shared" si="5"/>
        <v>2378.5747752199109</v>
      </c>
      <c r="R10" s="1">
        <f t="shared" si="6"/>
        <v>2038.778378759923</v>
      </c>
      <c r="S10" s="1">
        <f t="shared" si="7"/>
        <v>1783.1220423757427</v>
      </c>
      <c r="T10" s="1">
        <f t="shared" si="8"/>
        <v>1614.0328831849388</v>
      </c>
    </row>
    <row r="11" spans="1:20" x14ac:dyDescent="0.3">
      <c r="A11" s="1">
        <f t="shared" si="9"/>
        <v>8500</v>
      </c>
      <c r="B11" s="1">
        <v>126</v>
      </c>
      <c r="C11" s="1">
        <v>78</v>
      </c>
      <c r="D11" s="1">
        <f t="shared" si="1"/>
        <v>105.75239999999999</v>
      </c>
      <c r="E11" s="1">
        <f t="shared" si="2"/>
        <v>93.958200000000005</v>
      </c>
      <c r="H11" s="1">
        <f>((A11*60*(Gearbox!$C$11/Gearbox!$D$11)*(Gearbox!$C$6/Gearbox!$D$6)*Gearbox!$G$5*PI())/1000)*(Gearbox!$C$7/Gearbox!$D$7)</f>
        <v>94.306765083721061</v>
      </c>
      <c r="I11" s="1">
        <f>((A11*60*(Gearbox!$C$13/Gearbox!$D$13)*(Gearbox!$C$6/Gearbox!$D$6)*Gearbox!$G$5*PI())/1000)*(Gearbox!$C$7/Gearbox!$D$7)</f>
        <v>112.65835180271546</v>
      </c>
      <c r="J11" s="1">
        <f>((A11*60*(Gearbox!$C$15/Gearbox!$D$15)*(Gearbox!$C$6/Gearbox!$D$6)*Gearbox!$G$5*PI())/1000)*(Gearbox!$C$7/Gearbox!$D$7)</f>
        <v>133.10726271816631</v>
      </c>
      <c r="K11" s="1">
        <f>((A11*60*(Gearbox!$C$17/Gearbox!$D$17)*(Gearbox!$C$6/Gearbox!$D$6)*Gearbox!$G$5*PI())/1000)*(Gearbox!$C$7/Gearbox!$D$7)</f>
        <v>155.29180650452736</v>
      </c>
      <c r="L11" s="1">
        <f>((A11*60*(Gearbox!$C$19/Gearbox!$D$19)*(Gearbox!$C$6/Gearbox!$D$6)*Gearbox!$G$5*PI())/1000)*(Gearbox!$C$7/Gearbox!$D$7)</f>
        <v>177.55687495072999</v>
      </c>
      <c r="M11" s="1">
        <f>((A11*60*(Gearbox!$C$21/Gearbox!$D$21)*(Gearbox!$C$6/Gearbox!$D$6)*Gearbox!$G$5*PI())/1000)*(Gearbox!$C$7/Gearbox!$D$7)</f>
        <v>196.15807137413984</v>
      </c>
      <c r="O11" s="1">
        <f t="shared" si="3"/>
        <v>3586.6941220994931</v>
      </c>
      <c r="P11" s="1">
        <f t="shared" si="4"/>
        <v>3002.4362560561358</v>
      </c>
      <c r="Q11" s="1">
        <f t="shared" si="5"/>
        <v>2541.1800460219079</v>
      </c>
      <c r="R11" s="1">
        <f t="shared" si="6"/>
        <v>2178.1543251616354</v>
      </c>
      <c r="S11" s="1">
        <f t="shared" si="7"/>
        <v>1905.020687562002</v>
      </c>
      <c r="T11" s="1">
        <f t="shared" si="8"/>
        <v>1724.3721740862945</v>
      </c>
    </row>
    <row r="12" spans="1:20" x14ac:dyDescent="0.3">
      <c r="A12" s="1">
        <f t="shared" si="9"/>
        <v>9000</v>
      </c>
      <c r="B12" s="1">
        <v>136</v>
      </c>
      <c r="C12" s="1">
        <v>80</v>
      </c>
      <c r="D12" s="1">
        <f t="shared" si="1"/>
        <v>108.464</v>
      </c>
      <c r="E12" s="1">
        <f t="shared" si="2"/>
        <v>101.4152</v>
      </c>
      <c r="H12" s="1">
        <f>((A12*60*(Gearbox!$C$11/Gearbox!$D$11)*(Gearbox!$C$6/Gearbox!$D$6)*Gearbox!$G$5*PI())/1000)*(Gearbox!$C$7/Gearbox!$D$7)</f>
        <v>99.854221853351731</v>
      </c>
      <c r="I12" s="1">
        <f>((A12*60*(Gearbox!$C$13/Gearbox!$D$13)*(Gearbox!$C$6/Gearbox!$D$6)*Gearbox!$G$5*PI())/1000)*(Gearbox!$C$7/Gearbox!$D$7)</f>
        <v>119.28531367346341</v>
      </c>
      <c r="J12" s="1">
        <f>((A12*60*(Gearbox!$C$15/Gearbox!$D$15)*(Gearbox!$C$6/Gearbox!$D$6)*Gearbox!$G$5*PI())/1000)*(Gearbox!$C$7/Gearbox!$D$7)</f>
        <v>140.93710170158784</v>
      </c>
      <c r="K12" s="1">
        <f>((A12*60*(Gearbox!$C$17/Gearbox!$D$17)*(Gearbox!$C$6/Gearbox!$D$6)*Gearbox!$G$5*PI())/1000)*(Gearbox!$C$7/Gearbox!$D$7)</f>
        <v>164.42661865185252</v>
      </c>
      <c r="L12" s="1">
        <f>((A12*60*(Gearbox!$C$19/Gearbox!$D$19)*(Gearbox!$C$6/Gearbox!$D$6)*Gearbox!$G$5*PI())/1000)*(Gearbox!$C$7/Gearbox!$D$7)</f>
        <v>188.00139700665528</v>
      </c>
      <c r="M12" s="1">
        <f>((A12*60*(Gearbox!$C$21/Gearbox!$D$21)*(Gearbox!$C$6/Gearbox!$D$6)*Gearbox!$G$5*PI())/1000)*(Gearbox!$C$7/Gearbox!$D$7)</f>
        <v>207.69678145497156</v>
      </c>
      <c r="O12" s="1">
        <f t="shared" si="3"/>
        <v>3656.2772532160602</v>
      </c>
      <c r="P12" s="1">
        <f t="shared" si="4"/>
        <v>3060.6845784840325</v>
      </c>
      <c r="Q12" s="1">
        <f t="shared" si="5"/>
        <v>2590.4798352745374</v>
      </c>
      <c r="R12" s="1">
        <f t="shared" si="6"/>
        <v>2220.4112873781742</v>
      </c>
      <c r="S12" s="1">
        <f t="shared" si="7"/>
        <v>1941.9787608656734</v>
      </c>
      <c r="T12" s="1">
        <f t="shared" si="8"/>
        <v>1757.8256025077217</v>
      </c>
    </row>
    <row r="13" spans="1:20" x14ac:dyDescent="0.3">
      <c r="A13" s="1">
        <f t="shared" si="9"/>
        <v>9500</v>
      </c>
      <c r="B13" s="1">
        <v>143</v>
      </c>
      <c r="C13" s="1">
        <v>79</v>
      </c>
      <c r="D13" s="1">
        <f t="shared" si="1"/>
        <v>107.1082</v>
      </c>
      <c r="E13" s="1">
        <f t="shared" si="2"/>
        <v>106.63510000000001</v>
      </c>
      <c r="H13" s="1">
        <f>((A13*60*(Gearbox!$C$11/Gearbox!$D$11)*(Gearbox!$C$6/Gearbox!$D$6)*Gearbox!$G$5*PI())/1000)*(Gearbox!$C$7/Gearbox!$D$7)</f>
        <v>105.40167862298236</v>
      </c>
      <c r="I13" s="1">
        <f>((A13*60*(Gearbox!$C$13/Gearbox!$D$13)*(Gearbox!$C$6/Gearbox!$D$6)*Gearbox!$G$5*PI())/1000)*(Gearbox!$C$7/Gearbox!$D$7)</f>
        <v>125.91227554421137</v>
      </c>
      <c r="J13" s="1">
        <f>((A13*60*(Gearbox!$C$15/Gearbox!$D$15)*(Gearbox!$C$6/Gearbox!$D$6)*Gearbox!$G$5*PI())/1000)*(Gearbox!$C$7/Gearbox!$D$7)</f>
        <v>148.76694068500939</v>
      </c>
      <c r="K13" s="1">
        <f>((A13*60*(Gearbox!$C$17/Gearbox!$D$17)*(Gearbox!$C$6/Gearbox!$D$6)*Gearbox!$G$5*PI())/1000)*(Gearbox!$C$7/Gearbox!$D$7)</f>
        <v>173.56143079917763</v>
      </c>
      <c r="L13" s="1">
        <f>((A13*60*(Gearbox!$C$19/Gearbox!$D$19)*(Gearbox!$C$6/Gearbox!$D$6)*Gearbox!$G$5*PI())/1000)*(Gearbox!$C$7/Gearbox!$D$7)</f>
        <v>198.4459190625806</v>
      </c>
      <c r="M13" s="1">
        <f>((A13*60*(Gearbox!$C$21/Gearbox!$D$21)*(Gearbox!$C$6/Gearbox!$D$6)*Gearbox!$G$5*PI())/1000)*(Gearbox!$C$7/Gearbox!$D$7)</f>
        <v>219.23549153580328</v>
      </c>
      <c r="O13" s="1">
        <f t="shared" si="3"/>
        <v>3642.1275734435535</v>
      </c>
      <c r="P13" s="1">
        <f t="shared" si="4"/>
        <v>3048.8398239233361</v>
      </c>
      <c r="Q13" s="1">
        <f t="shared" si="5"/>
        <v>2580.4547585126393</v>
      </c>
      <c r="R13" s="1">
        <f t="shared" si="6"/>
        <v>2211.8183644394048</v>
      </c>
      <c r="S13" s="1">
        <f t="shared" si="7"/>
        <v>1934.4633631843049</v>
      </c>
      <c r="T13" s="1">
        <f t="shared" si="8"/>
        <v>1751.0228718478625</v>
      </c>
    </row>
    <row r="14" spans="1:20" x14ac:dyDescent="0.3">
      <c r="A14" s="1">
        <f t="shared" si="9"/>
        <v>10000</v>
      </c>
      <c r="B14" s="1">
        <v>150</v>
      </c>
      <c r="C14" s="1">
        <v>79</v>
      </c>
      <c r="D14" s="1">
        <f t="shared" si="1"/>
        <v>107.1082</v>
      </c>
      <c r="E14" s="1">
        <f t="shared" si="2"/>
        <v>111.855</v>
      </c>
      <c r="H14" s="1">
        <f>((A14*60*(Gearbox!$C$11/Gearbox!$D$11)*(Gearbox!$C$6/Gearbox!$D$6)*Gearbox!$G$5*PI())/1000)*(Gearbox!$C$7/Gearbox!$D$7)</f>
        <v>110.94913539261303</v>
      </c>
      <c r="I14" s="1">
        <f>((A14*60*(Gearbox!$C$13/Gearbox!$D$13)*(Gearbox!$C$6/Gearbox!$D$6)*Gearbox!$G$5*PI())/1000)*(Gearbox!$C$7/Gearbox!$D$7)</f>
        <v>132.5392374149593</v>
      </c>
      <c r="J14" s="1">
        <f>((A14*60*(Gearbox!$C$15/Gearbox!$D$15)*(Gearbox!$C$6/Gearbox!$D$6)*Gearbox!$G$5*PI())/1000)*(Gearbox!$C$7/Gearbox!$D$7)</f>
        <v>156.59677966843094</v>
      </c>
      <c r="K14" s="1">
        <f>((A14*60*(Gearbox!$C$17/Gearbox!$D$17)*(Gearbox!$C$6/Gearbox!$D$6)*Gearbox!$G$5*PI())/1000)*(Gearbox!$C$7/Gearbox!$D$7)</f>
        <v>182.69624294650276</v>
      </c>
      <c r="L14" s="1">
        <f>((A14*60*(Gearbox!$C$19/Gearbox!$D$19)*(Gearbox!$C$6/Gearbox!$D$6)*Gearbox!$G$5*PI())/1000)*(Gearbox!$C$7/Gearbox!$D$7)</f>
        <v>208.89044111850589</v>
      </c>
      <c r="M14" s="1">
        <f>((A14*60*(Gearbox!$C$21/Gearbox!$D$21)*(Gearbox!$C$6/Gearbox!$D$6)*Gearbox!$G$5*PI())/1000)*(Gearbox!$C$7/Gearbox!$D$7)</f>
        <v>230.77420161663505</v>
      </c>
      <c r="O14" s="1">
        <f t="shared" si="3"/>
        <v>3629.3928616482958</v>
      </c>
      <c r="P14" s="1">
        <f t="shared" si="4"/>
        <v>3038.1795448187099</v>
      </c>
      <c r="Q14" s="1">
        <f t="shared" si="5"/>
        <v>2571.4321894269301</v>
      </c>
      <c r="R14" s="1">
        <f t="shared" si="6"/>
        <v>2204.084733794512</v>
      </c>
      <c r="S14" s="1">
        <f t="shared" si="7"/>
        <v>1927.6995052710729</v>
      </c>
      <c r="T14" s="1">
        <f t="shared" si="8"/>
        <v>1744.9004142539886</v>
      </c>
    </row>
    <row r="15" spans="1:20" x14ac:dyDescent="0.3">
      <c r="A15" s="1">
        <f t="shared" si="9"/>
        <v>10500</v>
      </c>
      <c r="B15" s="1">
        <v>160</v>
      </c>
      <c r="C15" s="1">
        <v>80</v>
      </c>
      <c r="D15" s="1">
        <f t="shared" si="1"/>
        <v>108.464</v>
      </c>
      <c r="E15" s="1">
        <f t="shared" si="2"/>
        <v>119.31200000000001</v>
      </c>
      <c r="H15" s="1">
        <f>((A15*60*(Gearbox!$C$11/Gearbox!$D$11)*(Gearbox!$C$6/Gearbox!$D$6)*Gearbox!$G$5*PI())/1000)*(Gearbox!$C$7/Gearbox!$D$7)</f>
        <v>116.49659216224366</v>
      </c>
      <c r="I15" s="1">
        <f>((A15*60*(Gearbox!$C$13/Gearbox!$D$13)*(Gearbox!$C$6/Gearbox!$D$6)*Gearbox!$G$5*PI())/1000)*(Gearbox!$C$7/Gearbox!$D$7)</f>
        <v>139.16619928570731</v>
      </c>
      <c r="J15" s="1">
        <f>((A15*60*(Gearbox!$C$15/Gearbox!$D$15)*(Gearbox!$C$6/Gearbox!$D$6)*Gearbox!$G$5*PI())/1000)*(Gearbox!$C$7/Gearbox!$D$7)</f>
        <v>164.42661865185252</v>
      </c>
      <c r="K15" s="1">
        <f>((A15*60*(Gearbox!$C$17/Gearbox!$D$17)*(Gearbox!$C$6/Gearbox!$D$6)*Gearbox!$G$5*PI())/1000)*(Gearbox!$C$7/Gearbox!$D$7)</f>
        <v>191.8310550938279</v>
      </c>
      <c r="L15" s="1">
        <f>((A15*60*(Gearbox!$C$19/Gearbox!$D$19)*(Gearbox!$C$6/Gearbox!$D$6)*Gearbox!$G$5*PI())/1000)*(Gearbox!$C$7/Gearbox!$D$7)</f>
        <v>219.33496317443115</v>
      </c>
      <c r="M15" s="1">
        <f>((A15*60*(Gearbox!$C$21/Gearbox!$D$21)*(Gearbox!$C$6/Gearbox!$D$6)*Gearbox!$G$5*PI())/1000)*(Gearbox!$C$7/Gearbox!$D$7)</f>
        <v>242.3129116974668</v>
      </c>
      <c r="O15" s="1">
        <f t="shared" si="3"/>
        <v>3687.0022721506502</v>
      </c>
      <c r="P15" s="1">
        <f t="shared" si="4"/>
        <v>3086.4046169586891</v>
      </c>
      <c r="Q15" s="1">
        <f t="shared" si="5"/>
        <v>2612.2485733860876</v>
      </c>
      <c r="R15" s="1">
        <f t="shared" si="6"/>
        <v>2239.070205759504</v>
      </c>
      <c r="S15" s="1">
        <f t="shared" si="7"/>
        <v>1958.2979101166459</v>
      </c>
      <c r="T15" s="1">
        <f t="shared" si="8"/>
        <v>1772.5972462262744</v>
      </c>
    </row>
    <row r="16" spans="1:20" x14ac:dyDescent="0.3">
      <c r="A16" s="1">
        <f t="shared" si="9"/>
        <v>11000</v>
      </c>
      <c r="B16" s="1">
        <v>164</v>
      </c>
      <c r="C16" s="1">
        <v>79</v>
      </c>
      <c r="D16" s="1">
        <f t="shared" si="1"/>
        <v>107.1082</v>
      </c>
      <c r="E16" s="1">
        <f t="shared" si="2"/>
        <v>122.29480000000001</v>
      </c>
      <c r="H16" s="1">
        <f>((A16*60*(Gearbox!$C$11/Gearbox!$D$11)*(Gearbox!$C$6/Gearbox!$D$6)*Gearbox!$G$5*PI())/1000)*(Gearbox!$C$7/Gearbox!$D$7)</f>
        <v>122.04404893187433</v>
      </c>
      <c r="I16" s="1">
        <f>((A16*60*(Gearbox!$C$13/Gearbox!$D$13)*(Gearbox!$C$6/Gearbox!$D$6)*Gearbox!$G$5*PI())/1000)*(Gearbox!$C$7/Gearbox!$D$7)</f>
        <v>145.79316115645526</v>
      </c>
      <c r="J16" s="1">
        <f>((A16*60*(Gearbox!$C$15/Gearbox!$D$15)*(Gearbox!$C$6/Gearbox!$D$6)*Gearbox!$G$5*PI())/1000)*(Gearbox!$C$7/Gearbox!$D$7)</f>
        <v>172.25645763527405</v>
      </c>
      <c r="K16" s="1">
        <f>((A16*60*(Gearbox!$C$17/Gearbox!$D$17)*(Gearbox!$C$6/Gearbox!$D$6)*Gearbox!$G$5*PI())/1000)*(Gearbox!$C$7/Gearbox!$D$7)</f>
        <v>200.96586724115306</v>
      </c>
      <c r="L16" s="1">
        <f>((A16*60*(Gearbox!$C$19/Gearbox!$D$19)*(Gearbox!$C$6/Gearbox!$D$6)*Gearbox!$G$5*PI())/1000)*(Gearbox!$C$7/Gearbox!$D$7)</f>
        <v>229.77948523035647</v>
      </c>
      <c r="M16" s="1">
        <f>((A16*60*(Gearbox!$C$21/Gearbox!$D$21)*(Gearbox!$C$6/Gearbox!$D$6)*Gearbox!$G$5*PI())/1000)*(Gearbox!$C$7/Gearbox!$D$7)</f>
        <v>253.85162177829861</v>
      </c>
      <c r="O16" s="1">
        <f t="shared" si="3"/>
        <v>3607.3965412746693</v>
      </c>
      <c r="P16" s="1">
        <f t="shared" si="4"/>
        <v>3019.7663354561719</v>
      </c>
      <c r="Q16" s="1">
        <f t="shared" si="5"/>
        <v>2555.847751915252</v>
      </c>
      <c r="R16" s="1">
        <f t="shared" si="6"/>
        <v>2190.7266444987872</v>
      </c>
      <c r="S16" s="1">
        <f t="shared" si="7"/>
        <v>1916.0164779663999</v>
      </c>
      <c r="T16" s="1">
        <f t="shared" si="8"/>
        <v>1734.3252602282066</v>
      </c>
    </row>
    <row r="17" spans="1:20" x14ac:dyDescent="0.3">
      <c r="A17" s="1">
        <f t="shared" si="9"/>
        <v>11500</v>
      </c>
      <c r="B17" s="1">
        <v>174</v>
      </c>
      <c r="C17" s="1">
        <v>80</v>
      </c>
      <c r="D17" s="1">
        <f t="shared" si="1"/>
        <v>108.464</v>
      </c>
      <c r="E17" s="1">
        <f t="shared" si="2"/>
        <v>129.7518</v>
      </c>
      <c r="H17" s="1">
        <f>((A17*60*(Gearbox!$C$11/Gearbox!$D$11)*(Gearbox!$C$6/Gearbox!$D$6)*Gearbox!$G$5*PI())/1000)*(Gearbox!$C$7/Gearbox!$D$7)</f>
        <v>127.59150570150496</v>
      </c>
      <c r="I17" s="1">
        <f>((A17*60*(Gearbox!$C$13/Gearbox!$D$13)*(Gearbox!$C$6/Gearbox!$D$6)*Gearbox!$G$5*PI())/1000)*(Gearbox!$C$7/Gearbox!$D$7)</f>
        <v>152.42012302720323</v>
      </c>
      <c r="J17" s="1">
        <f>((A17*60*(Gearbox!$C$15/Gearbox!$D$15)*(Gearbox!$C$6/Gearbox!$D$6)*Gearbox!$G$5*PI())/1000)*(Gearbox!$C$7/Gearbox!$D$7)</f>
        <v>180.08629661869557</v>
      </c>
      <c r="K17" s="1">
        <f>((A17*60*(Gearbox!$C$17/Gearbox!$D$17)*(Gearbox!$C$6/Gearbox!$D$6)*Gearbox!$G$5*PI())/1000)*(Gearbox!$C$7/Gearbox!$D$7)</f>
        <v>210.10067938847817</v>
      </c>
      <c r="L17" s="1">
        <f>((A17*60*(Gearbox!$C$19/Gearbox!$D$19)*(Gearbox!$C$6/Gearbox!$D$6)*Gearbox!$G$5*PI())/1000)*(Gearbox!$C$7/Gearbox!$D$7)</f>
        <v>240.22400728628173</v>
      </c>
      <c r="M17" s="1">
        <f>((A17*60*(Gearbox!$C$21/Gearbox!$D$21)*(Gearbox!$C$6/Gearbox!$D$6)*Gearbox!$G$5*PI())/1000)*(Gearbox!$C$7/Gearbox!$D$7)</f>
        <v>265.39033185913036</v>
      </c>
      <c r="O17" s="1">
        <f t="shared" si="3"/>
        <v>3660.9527995756725</v>
      </c>
      <c r="P17" s="1">
        <f t="shared" si="4"/>
        <v>3064.5984973823502</v>
      </c>
      <c r="Q17" s="1">
        <f t="shared" si="5"/>
        <v>2593.7924693349905</v>
      </c>
      <c r="R17" s="1">
        <f t="shared" si="6"/>
        <v>2223.2506880014207</v>
      </c>
      <c r="S17" s="1">
        <f t="shared" si="7"/>
        <v>1944.4621096647345</v>
      </c>
      <c r="T17" s="1">
        <f t="shared" si="8"/>
        <v>1760.0734613344578</v>
      </c>
    </row>
    <row r="18" spans="1:20" x14ac:dyDescent="0.3">
      <c r="A18" s="1">
        <f>A17+500</f>
        <v>12000</v>
      </c>
      <c r="B18" s="1">
        <v>177</v>
      </c>
      <c r="C18" s="1">
        <v>78</v>
      </c>
      <c r="D18" s="1">
        <f t="shared" si="1"/>
        <v>105.75239999999999</v>
      </c>
      <c r="E18" s="1">
        <f t="shared" si="2"/>
        <v>131.9889</v>
      </c>
      <c r="H18" s="1">
        <f>((A18*60*(Gearbox!$C$11/Gearbox!$D$11)*(Gearbox!$C$6/Gearbox!$D$6)*Gearbox!$G$5*PI())/1000)*(Gearbox!$C$7/Gearbox!$D$7)</f>
        <v>133.13896247113561</v>
      </c>
      <c r="I18" s="1">
        <f>((A18*60*(Gearbox!$C$13/Gearbox!$D$13)*(Gearbox!$C$6/Gearbox!$D$6)*Gearbox!$G$5*PI())/1000)*(Gearbox!$C$7/Gearbox!$D$7)</f>
        <v>159.04708489795121</v>
      </c>
      <c r="J18" s="1">
        <f>((A18*60*(Gearbox!$C$15/Gearbox!$D$15)*(Gearbox!$C$6/Gearbox!$D$6)*Gearbox!$G$5*PI())/1000)*(Gearbox!$C$7/Gearbox!$D$7)</f>
        <v>187.91613560211709</v>
      </c>
      <c r="K18" s="1">
        <f>((A18*60*(Gearbox!$C$17/Gearbox!$D$17)*(Gearbox!$C$6/Gearbox!$D$6)*Gearbox!$G$5*PI())/1000)*(Gearbox!$C$7/Gearbox!$D$7)</f>
        <v>219.23549153580328</v>
      </c>
      <c r="L18" s="1">
        <f>((A18*60*(Gearbox!$C$19/Gearbox!$D$19)*(Gearbox!$C$6/Gearbox!$D$6)*Gearbox!$G$5*PI())/1000)*(Gearbox!$C$7/Gearbox!$D$7)</f>
        <v>250.66852934220702</v>
      </c>
      <c r="M18" s="1">
        <f>((A18*60*(Gearbox!$C$21/Gearbox!$D$21)*(Gearbox!$C$6/Gearbox!$D$6)*Gearbox!$G$5*PI())/1000)*(Gearbox!$C$7/Gearbox!$D$7)</f>
        <v>276.92904193996208</v>
      </c>
      <c r="O18" s="1">
        <f t="shared" si="3"/>
        <v>3568.9029806208241</v>
      </c>
      <c r="P18" s="1">
        <f t="shared" si="4"/>
        <v>2987.5432190717306</v>
      </c>
      <c r="Q18" s="1">
        <f t="shared" si="5"/>
        <v>2528.5749862698153</v>
      </c>
      <c r="R18" s="1">
        <f t="shared" si="6"/>
        <v>2167.3499882312703</v>
      </c>
      <c r="S18" s="1">
        <f t="shared" si="7"/>
        <v>1895.5711801832219</v>
      </c>
      <c r="T18" s="1">
        <f t="shared" si="8"/>
        <v>1715.8187406830887</v>
      </c>
    </row>
    <row r="19" spans="1:20" x14ac:dyDescent="0.3">
      <c r="A19" s="1">
        <f t="shared" ref="A19:A22" si="10">A18+500</f>
        <v>12500</v>
      </c>
      <c r="B19" s="1">
        <v>180</v>
      </c>
      <c r="C19" s="1">
        <v>75</v>
      </c>
      <c r="D19" s="1">
        <f t="shared" si="1"/>
        <v>101.68499999999999</v>
      </c>
      <c r="E19" s="1">
        <f t="shared" si="2"/>
        <v>134.226</v>
      </c>
      <c r="H19" s="1">
        <f>((A19*60*(Gearbox!$C$11/Gearbox!$D$11)*(Gearbox!$C$6/Gearbox!$D$6)*Gearbox!$G$5*PI())/1000)*(Gearbox!$C$7/Gearbox!$D$7)</f>
        <v>138.6864192407663</v>
      </c>
      <c r="I19" s="1">
        <f>((A19*60*(Gearbox!$C$13/Gearbox!$D$13)*(Gearbox!$C$6/Gearbox!$D$6)*Gearbox!$G$5*PI())/1000)*(Gearbox!$C$7/Gearbox!$D$7)</f>
        <v>165.67404676869916</v>
      </c>
      <c r="J19" s="1">
        <f>((A19*60*(Gearbox!$C$15/Gearbox!$D$15)*(Gearbox!$C$6/Gearbox!$D$6)*Gearbox!$G$5*PI())/1000)*(Gearbox!$C$7/Gearbox!$D$7)</f>
        <v>195.74597458553865</v>
      </c>
      <c r="K19" s="1">
        <f>((A19*60*(Gearbox!$C$17/Gearbox!$D$17)*(Gearbox!$C$6/Gearbox!$D$6)*Gearbox!$G$5*PI())/1000)*(Gearbox!$C$7/Gearbox!$D$7)</f>
        <v>228.37030368312844</v>
      </c>
      <c r="L19" s="1">
        <f>((A19*60*(Gearbox!$C$19/Gearbox!$D$19)*(Gearbox!$C$6/Gearbox!$D$6)*Gearbox!$G$5*PI())/1000)*(Gearbox!$C$7/Gearbox!$D$7)</f>
        <v>261.11305139813231</v>
      </c>
      <c r="M19" s="1">
        <f>((A19*60*(Gearbox!$C$21/Gearbox!$D$21)*(Gearbox!$C$6/Gearbox!$D$6)*Gearbox!$G$5*PI())/1000)*(Gearbox!$C$7/Gearbox!$D$7)</f>
        <v>288.46775202079391</v>
      </c>
      <c r="O19" s="1">
        <f t="shared" si="3"/>
        <v>3484.2171471823635</v>
      </c>
      <c r="P19" s="1">
        <f t="shared" si="4"/>
        <v>2916.6523630259612</v>
      </c>
      <c r="Q19" s="1">
        <f t="shared" si="5"/>
        <v>2468.5749018498532</v>
      </c>
      <c r="R19" s="1">
        <f t="shared" si="6"/>
        <v>2115.9213444427314</v>
      </c>
      <c r="S19" s="1">
        <f t="shared" si="7"/>
        <v>1850.5915250602302</v>
      </c>
      <c r="T19" s="1">
        <f t="shared" si="8"/>
        <v>1675.1043976838284</v>
      </c>
    </row>
    <row r="20" spans="1:20" x14ac:dyDescent="0.3">
      <c r="A20" s="1">
        <f t="shared" si="10"/>
        <v>13000</v>
      </c>
      <c r="B20" s="1">
        <v>183</v>
      </c>
      <c r="C20" s="1">
        <v>74</v>
      </c>
      <c r="D20" s="1">
        <f t="shared" si="1"/>
        <v>100.32919999999999</v>
      </c>
      <c r="E20" s="1">
        <f t="shared" si="2"/>
        <v>136.4631</v>
      </c>
      <c r="H20" s="1">
        <f>((A20*60*(Gearbox!$C$11/Gearbox!$D$11)*(Gearbox!$C$6/Gearbox!$D$6)*Gearbox!$G$5*PI())/1000)*(Gearbox!$C$7/Gearbox!$D$7)</f>
        <v>144.23387601039695</v>
      </c>
      <c r="I20" s="1">
        <f>((A20*60*(Gearbox!$C$13/Gearbox!$D$13)*(Gearbox!$C$6/Gearbox!$D$6)*Gearbox!$G$5*PI())/1000)*(Gearbox!$C$7/Gearbox!$D$7)</f>
        <v>172.30100863944716</v>
      </c>
      <c r="J20" s="1">
        <f>((A20*60*(Gearbox!$C$15/Gearbox!$D$15)*(Gearbox!$C$6/Gearbox!$D$6)*Gearbox!$G$5*PI())/1000)*(Gearbox!$C$7/Gearbox!$D$7)</f>
        <v>203.57581356896023</v>
      </c>
      <c r="K20" s="1">
        <f>((A20*60*(Gearbox!$C$17/Gearbox!$D$17)*(Gearbox!$C$6/Gearbox!$D$6)*Gearbox!$G$5*PI())/1000)*(Gearbox!$C$7/Gearbox!$D$7)</f>
        <v>237.50511583045358</v>
      </c>
      <c r="L20" s="1">
        <f>((A20*60*(Gearbox!$C$19/Gearbox!$D$19)*(Gearbox!$C$6/Gearbox!$D$6)*Gearbox!$G$5*PI())/1000)*(Gearbox!$C$7/Gearbox!$D$7)</f>
        <v>271.5575734540576</v>
      </c>
      <c r="M20" s="1">
        <f>((A20*60*(Gearbox!$C$21/Gearbox!$D$21)*(Gearbox!$C$6/Gearbox!$D$6)*Gearbox!$G$5*PI())/1000)*(Gearbox!$C$7/Gearbox!$D$7)</f>
        <v>300.00646210162563</v>
      </c>
      <c r="O20" s="1">
        <f t="shared" si="3"/>
        <v>3406.0456086237846</v>
      </c>
      <c r="P20" s="1">
        <f t="shared" si="4"/>
        <v>2851.214649752942</v>
      </c>
      <c r="Q20" s="1">
        <f t="shared" si="5"/>
        <v>2413.1902085391193</v>
      </c>
      <c r="R20" s="1">
        <f t="shared" si="6"/>
        <v>2068.4487501763883</v>
      </c>
      <c r="S20" s="1">
        <f t="shared" si="7"/>
        <v>1809.071843408238</v>
      </c>
      <c r="T20" s="1">
        <f t="shared" si="8"/>
        <v>1637.5219272229735</v>
      </c>
    </row>
    <row r="21" spans="1:20" x14ac:dyDescent="0.3">
      <c r="A21" s="1">
        <f>A20+500</f>
        <v>13500</v>
      </c>
      <c r="B21" s="1">
        <v>184</v>
      </c>
      <c r="C21" s="1">
        <v>74</v>
      </c>
      <c r="D21" s="1">
        <f t="shared" si="1"/>
        <v>100.32919999999999</v>
      </c>
      <c r="E21" s="1">
        <f t="shared" si="2"/>
        <v>137.2088</v>
      </c>
      <c r="H21" s="1">
        <f>((A21*60*(Gearbox!$C$11/Gearbox!$D$11)*(Gearbox!$C$6/Gearbox!$D$6)*Gearbox!$G$5*PI())/1000)*(Gearbox!$C$7/Gearbox!$D$7)</f>
        <v>149.78133278002758</v>
      </c>
      <c r="I21" s="1">
        <f>((A21*60*(Gearbox!$C$13/Gearbox!$D$13)*(Gearbox!$C$6/Gearbox!$D$6)*Gearbox!$G$5*PI())/1000)*(Gearbox!$C$7/Gearbox!$D$7)</f>
        <v>178.92797051019511</v>
      </c>
      <c r="J21" s="1">
        <f>((A21*60*(Gearbox!$C$15/Gearbox!$D$15)*(Gearbox!$C$6/Gearbox!$D$6)*Gearbox!$G$5*PI())/1000)*(Gearbox!$C$7/Gearbox!$D$7)</f>
        <v>211.40565255238175</v>
      </c>
      <c r="K21" s="1">
        <f>((A21*60*(Gearbox!$C$17/Gearbox!$D$17)*(Gearbox!$C$6/Gearbox!$D$6)*Gearbox!$G$5*PI())/1000)*(Gearbox!$C$7/Gearbox!$D$7)</f>
        <v>246.63992797777877</v>
      </c>
      <c r="L21" s="1">
        <f>((A21*60*(Gearbox!$C$19/Gearbox!$D$19)*(Gearbox!$C$6/Gearbox!$D$6)*Gearbox!$G$5*PI())/1000)*(Gearbox!$C$7/Gearbox!$D$7)</f>
        <v>282.00209550998295</v>
      </c>
      <c r="M21" s="1">
        <f>((A21*60*(Gearbox!$C$21/Gearbox!$D$21)*(Gearbox!$C$6/Gearbox!$D$6)*Gearbox!$G$5*PI())/1000)*(Gearbox!$C$7/Gearbox!$D$7)</f>
        <v>311.54517218245729</v>
      </c>
      <c r="O21" s="1">
        <f t="shared" si="3"/>
        <v>3297.8186989791916</v>
      </c>
      <c r="P21" s="1">
        <f t="shared" si="4"/>
        <v>2760.6174629463826</v>
      </c>
      <c r="Q21" s="1">
        <f t="shared" si="5"/>
        <v>2336.511223973112</v>
      </c>
      <c r="R21" s="1">
        <f t="shared" si="6"/>
        <v>2002.7239062626672</v>
      </c>
      <c r="S21" s="1">
        <f t="shared" si="7"/>
        <v>1751.5886862709995</v>
      </c>
      <c r="T21" s="1">
        <f t="shared" si="8"/>
        <v>1585.4897591246117</v>
      </c>
    </row>
    <row r="22" spans="1:20" x14ac:dyDescent="0.3">
      <c r="A22" s="1">
        <f t="shared" si="10"/>
        <v>14000</v>
      </c>
      <c r="B22" s="1">
        <v>182</v>
      </c>
      <c r="C22" s="1">
        <v>68</v>
      </c>
      <c r="D22" s="1">
        <f t="shared" si="1"/>
        <v>92.194399999999987</v>
      </c>
      <c r="E22" s="1">
        <f t="shared" si="2"/>
        <v>135.7174</v>
      </c>
      <c r="H22" s="1">
        <f>((A22*60*(Gearbox!$C$11/Gearbox!$D$11)*(Gearbox!$C$6/Gearbox!$D$6)*Gearbox!$G$5*PI())/1000)*(Gearbox!$C$7/Gearbox!$D$7)</f>
        <v>155.32878954965824</v>
      </c>
      <c r="I22" s="1">
        <f>((A22*60*(Gearbox!$C$13/Gearbox!$D$13)*(Gearbox!$C$6/Gearbox!$D$6)*Gearbox!$G$5*PI())/1000)*(Gearbox!$C$7/Gearbox!$D$7)</f>
        <v>185.55493238094309</v>
      </c>
      <c r="J22" s="1">
        <f>((A22*60*(Gearbox!$C$15/Gearbox!$D$15)*(Gearbox!$C$6/Gearbox!$D$6)*Gearbox!$G$5*PI())/1000)*(Gearbox!$C$7/Gearbox!$D$7)</f>
        <v>219.23549153580328</v>
      </c>
      <c r="K22" s="1">
        <f>((A22*60*(Gearbox!$C$17/Gearbox!$D$17)*(Gearbox!$C$6/Gearbox!$D$6)*Gearbox!$G$5*PI())/1000)*(Gearbox!$C$7/Gearbox!$D$7)</f>
        <v>255.77474012510385</v>
      </c>
      <c r="L22" s="1">
        <f>((A22*60*(Gearbox!$C$19/Gearbox!$D$19)*(Gearbox!$C$6/Gearbox!$D$6)*Gearbox!$G$5*PI())/1000)*(Gearbox!$C$7/Gearbox!$D$7)</f>
        <v>292.44661756590824</v>
      </c>
      <c r="M22" s="1">
        <f>((A22*60*(Gearbox!$C$21/Gearbox!$D$21)*(Gearbox!$C$6/Gearbox!$D$6)*Gearbox!$G$5*PI())/1000)*(Gearbox!$C$7/Gearbox!$D$7)</f>
        <v>323.08388226328913</v>
      </c>
      <c r="O22" s="1">
        <f t="shared" si="3"/>
        <v>3145.4738134285226</v>
      </c>
      <c r="P22" s="1">
        <f t="shared" si="4"/>
        <v>2633.0889388428809</v>
      </c>
      <c r="Q22" s="1">
        <f t="shared" si="5"/>
        <v>2228.5745641700069</v>
      </c>
      <c r="R22" s="1">
        <f t="shared" si="6"/>
        <v>1910.2067692885767</v>
      </c>
      <c r="S22" s="1">
        <f t="shared" si="7"/>
        <v>1670.6729045682632</v>
      </c>
      <c r="T22" s="1">
        <f>($E22*1000)/(M22*(1000/3600))</f>
        <v>1512.2470256867898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39F6-7DE0-4B02-BF74-07F8AEE0A745}">
  <dimension ref="B1:I71"/>
  <sheetViews>
    <sheetView zoomScale="55" zoomScaleNormal="55" workbookViewId="0">
      <selection activeCell="F65" sqref="F65"/>
    </sheetView>
  </sheetViews>
  <sheetFormatPr defaultRowHeight="14.4" x14ac:dyDescent="0.3"/>
  <cols>
    <col min="2" max="2" width="36.6640625" bestFit="1" customWidth="1"/>
    <col min="3" max="3" width="27.77734375" bestFit="1" customWidth="1"/>
    <col min="5" max="5" width="40.33203125" bestFit="1" customWidth="1"/>
    <col min="6" max="6" width="15" customWidth="1"/>
    <col min="7" max="7" width="12.44140625" bestFit="1" customWidth="1"/>
    <col min="8" max="8" width="26.77734375" bestFit="1" customWidth="1"/>
    <col min="9" max="9" width="56.88671875" bestFit="1" customWidth="1"/>
  </cols>
  <sheetData>
    <row r="1" spans="2:9" x14ac:dyDescent="0.3">
      <c r="E1" t="s">
        <v>61</v>
      </c>
    </row>
    <row r="2" spans="2:9" x14ac:dyDescent="0.3">
      <c r="B2" t="s">
        <v>26</v>
      </c>
      <c r="C2">
        <v>405273.72</v>
      </c>
      <c r="D2" t="s">
        <v>27</v>
      </c>
      <c r="E2" t="s">
        <v>43</v>
      </c>
      <c r="F2">
        <f>DEGREES(ATAN(1/100))</f>
        <v>0.57293869768348593</v>
      </c>
    </row>
    <row r="3" spans="2:9" x14ac:dyDescent="0.3">
      <c r="C3">
        <f>C2/10^6</f>
        <v>0.40527371999999995</v>
      </c>
      <c r="D3" t="s">
        <v>34</v>
      </c>
      <c r="E3" t="s">
        <v>38</v>
      </c>
      <c r="F3">
        <f>$C$12</f>
        <v>1333.2540983174913</v>
      </c>
    </row>
    <row r="4" spans="2:9" x14ac:dyDescent="0.3">
      <c r="E4" t="s">
        <v>37</v>
      </c>
      <c r="F4">
        <f>$C$13</f>
        <v>39.043800000000005</v>
      </c>
    </row>
    <row r="5" spans="2:9" x14ac:dyDescent="0.3">
      <c r="B5" t="s">
        <v>28</v>
      </c>
      <c r="C5">
        <f>'Road Speed and Driving Force'!M22</f>
        <v>323.08388226328913</v>
      </c>
      <c r="D5" t="s">
        <v>29</v>
      </c>
      <c r="E5" t="s">
        <v>41</v>
      </c>
      <c r="F5">
        <f>$C$9*9.81*SIN(RADIANS(F2))</f>
        <v>19.520923978201026</v>
      </c>
    </row>
    <row r="6" spans="2:9" x14ac:dyDescent="0.3">
      <c r="C6">
        <f>(C5*1000)/3600</f>
        <v>89.745522850913645</v>
      </c>
      <c r="D6" t="s">
        <v>30</v>
      </c>
      <c r="E6" t="s">
        <v>39</v>
      </c>
      <c r="F6">
        <f>F3+F4+F5</f>
        <v>1391.8188222956921</v>
      </c>
    </row>
    <row r="7" spans="2:9" x14ac:dyDescent="0.3">
      <c r="E7" t="s">
        <v>36</v>
      </c>
      <c r="F7">
        <f>'Road Speed and Driving Force'!$T$22</f>
        <v>1512.2470256867898</v>
      </c>
    </row>
    <row r="8" spans="2:9" ht="16.2" x14ac:dyDescent="0.3">
      <c r="B8" t="s">
        <v>32</v>
      </c>
      <c r="C8" t="s">
        <v>33</v>
      </c>
      <c r="E8" t="s">
        <v>60</v>
      </c>
      <c r="H8" s="5" t="s">
        <v>59</v>
      </c>
      <c r="I8" s="5" t="s">
        <v>69</v>
      </c>
    </row>
    <row r="9" spans="2:9" x14ac:dyDescent="0.3">
      <c r="B9" t="s">
        <v>35</v>
      </c>
      <c r="C9">
        <v>199</v>
      </c>
      <c r="H9" s="1">
        <v>1</v>
      </c>
      <c r="I9" s="1">
        <f>F6</f>
        <v>1391.8188222956921</v>
      </c>
    </row>
    <row r="10" spans="2:9" x14ac:dyDescent="0.3">
      <c r="E10" t="s">
        <v>62</v>
      </c>
      <c r="H10" s="1">
        <f>H9+1</f>
        <v>2</v>
      </c>
      <c r="I10" s="1">
        <f>F15</f>
        <v>1411.3338918993386</v>
      </c>
    </row>
    <row r="11" spans="2:9" x14ac:dyDescent="0.3">
      <c r="B11" t="s">
        <v>31</v>
      </c>
      <c r="E11" t="s">
        <v>43</v>
      </c>
      <c r="F11">
        <f>DEGREES(ATAN(2/100))</f>
        <v>1.1457628381751035</v>
      </c>
      <c r="H11" s="1">
        <f t="shared" ref="H11:H16" si="0">H10+1</f>
        <v>3</v>
      </c>
      <c r="I11" s="1">
        <f>F24</f>
        <v>1430.8372615284911</v>
      </c>
    </row>
    <row r="12" spans="2:9" x14ac:dyDescent="0.3">
      <c r="B12" t="s">
        <v>38</v>
      </c>
      <c r="C12">
        <f>0.5*1.167*0.7*C3*C6^2</f>
        <v>1333.2540983174913</v>
      </c>
      <c r="E12" t="s">
        <v>38</v>
      </c>
      <c r="F12">
        <f>$C$12</f>
        <v>1333.2540983174913</v>
      </c>
      <c r="H12" s="1">
        <f t="shared" si="0"/>
        <v>4</v>
      </c>
      <c r="I12" s="1">
        <f>F33</f>
        <v>1450.3231031017749</v>
      </c>
    </row>
    <row r="13" spans="2:9" x14ac:dyDescent="0.3">
      <c r="B13" t="s">
        <v>37</v>
      </c>
      <c r="C13">
        <f>0.02*199*9.81</f>
        <v>39.043800000000005</v>
      </c>
      <c r="E13" t="s">
        <v>37</v>
      </c>
      <c r="F13">
        <f>$C$13</f>
        <v>39.043800000000005</v>
      </c>
      <c r="H13" s="1">
        <f t="shared" si="0"/>
        <v>5</v>
      </c>
      <c r="I13" s="1">
        <f>F42</f>
        <v>1469.7856147391883</v>
      </c>
    </row>
    <row r="14" spans="2:9" x14ac:dyDescent="0.3">
      <c r="B14" t="s">
        <v>39</v>
      </c>
      <c r="C14">
        <f>C12+C13</f>
        <v>1372.2978983174912</v>
      </c>
      <c r="E14" t="s">
        <v>41</v>
      </c>
      <c r="F14">
        <f>$C$9*9.81*SIN(RADIANS(F11))</f>
        <v>39.0359935818474</v>
      </c>
      <c r="H14" s="1">
        <f t="shared" si="0"/>
        <v>6</v>
      </c>
      <c r="I14" s="1">
        <f>F51</f>
        <v>1489.2190293536814</v>
      </c>
    </row>
    <row r="15" spans="2:9" x14ac:dyDescent="0.3">
      <c r="B15" t="s">
        <v>36</v>
      </c>
      <c r="C15">
        <f>'Road Speed and Driving Force'!T22</f>
        <v>1512.2470256867898</v>
      </c>
      <c r="E15" t="s">
        <v>39</v>
      </c>
      <c r="F15">
        <f>F12+F13+F14</f>
        <v>1411.3338918993386</v>
      </c>
      <c r="H15" s="1">
        <f t="shared" si="0"/>
        <v>7</v>
      </c>
      <c r="I15" s="1">
        <f>F60</f>
        <v>1508.6176231219861</v>
      </c>
    </row>
    <row r="16" spans="2:9" x14ac:dyDescent="0.3">
      <c r="B16" t="s">
        <v>40</v>
      </c>
      <c r="E16" t="s">
        <v>36</v>
      </c>
      <c r="F16">
        <f>'Road Speed and Driving Force'!$T$22</f>
        <v>1512.2470256867898</v>
      </c>
      <c r="H16" s="1">
        <f t="shared" si="0"/>
        <v>8</v>
      </c>
      <c r="I16" s="1">
        <f>F69</f>
        <v>1527.9757238059262</v>
      </c>
    </row>
    <row r="17" spans="5:6" x14ac:dyDescent="0.3">
      <c r="E17" t="s">
        <v>60</v>
      </c>
    </row>
    <row r="19" spans="5:6" x14ac:dyDescent="0.3">
      <c r="E19" t="s">
        <v>63</v>
      </c>
    </row>
    <row r="20" spans="5:6" x14ac:dyDescent="0.3">
      <c r="E20" t="s">
        <v>43</v>
      </c>
      <c r="F20">
        <f>DEGREES(ATAN(3/100))</f>
        <v>1.7183580016554572</v>
      </c>
    </row>
    <row r="21" spans="5:6" x14ac:dyDescent="0.3">
      <c r="E21" t="s">
        <v>38</v>
      </c>
      <c r="F21">
        <f>$C$12</f>
        <v>1333.2540983174913</v>
      </c>
    </row>
    <row r="22" spans="5:6" x14ac:dyDescent="0.3">
      <c r="E22" t="s">
        <v>37</v>
      </c>
      <c r="F22">
        <f>$C$13</f>
        <v>39.043800000000005</v>
      </c>
    </row>
    <row r="23" spans="5:6" x14ac:dyDescent="0.3">
      <c r="E23" t="s">
        <v>41</v>
      </c>
      <c r="F23">
        <f>$C$9*9.81*SIN(RADIANS(F20))</f>
        <v>58.53936321099988</v>
      </c>
    </row>
    <row r="24" spans="5:6" x14ac:dyDescent="0.3">
      <c r="E24" t="s">
        <v>39</v>
      </c>
      <c r="F24">
        <f>F21+F22+F23</f>
        <v>1430.8372615284911</v>
      </c>
    </row>
    <row r="25" spans="5:6" x14ac:dyDescent="0.3">
      <c r="E25" t="s">
        <v>36</v>
      </c>
      <c r="F25">
        <f>'Road Speed and Driving Force'!$T$22</f>
        <v>1512.2470256867898</v>
      </c>
    </row>
    <row r="26" spans="5:6" x14ac:dyDescent="0.3">
      <c r="E26" t="s">
        <v>60</v>
      </c>
    </row>
    <row r="28" spans="5:6" x14ac:dyDescent="0.3">
      <c r="E28" t="s">
        <v>64</v>
      </c>
    </row>
    <row r="29" spans="5:6" x14ac:dyDescent="0.3">
      <c r="E29" t="s">
        <v>43</v>
      </c>
      <c r="F29">
        <f>DEGREES(ATAN(4/100))</f>
        <v>2.2906100426385296</v>
      </c>
    </row>
    <row r="30" spans="5:6" x14ac:dyDescent="0.3">
      <c r="E30" t="s">
        <v>38</v>
      </c>
      <c r="F30">
        <f>$C$12</f>
        <v>1333.2540983174913</v>
      </c>
    </row>
    <row r="31" spans="5:6" x14ac:dyDescent="0.3">
      <c r="E31" t="s">
        <v>37</v>
      </c>
      <c r="F31">
        <f>$C$13</f>
        <v>39.043800000000005</v>
      </c>
    </row>
    <row r="32" spans="5:6" x14ac:dyDescent="0.3">
      <c r="E32" t="s">
        <v>41</v>
      </c>
      <c r="F32">
        <f>$C$9*9.81*SIN(RADIANS(F29))</f>
        <v>78.025204784283616</v>
      </c>
    </row>
    <row r="33" spans="5:6" x14ac:dyDescent="0.3">
      <c r="E33" t="s">
        <v>39</v>
      </c>
      <c r="F33">
        <f>F30+F31+F32</f>
        <v>1450.3231031017749</v>
      </c>
    </row>
    <row r="34" spans="5:6" x14ac:dyDescent="0.3">
      <c r="E34" t="s">
        <v>36</v>
      </c>
      <c r="F34">
        <f>'Road Speed and Driving Force'!$T$22</f>
        <v>1512.2470256867898</v>
      </c>
    </row>
    <row r="35" spans="5:6" x14ac:dyDescent="0.3">
      <c r="E35" t="s">
        <v>60</v>
      </c>
    </row>
    <row r="37" spans="5:6" x14ac:dyDescent="0.3">
      <c r="E37" t="s">
        <v>65</v>
      </c>
    </row>
    <row r="38" spans="5:6" x14ac:dyDescent="0.3">
      <c r="E38" t="s">
        <v>43</v>
      </c>
      <c r="F38">
        <f>DEGREES(ATAN(5/100))</f>
        <v>2.8624052261117479</v>
      </c>
    </row>
    <row r="39" spans="5:6" x14ac:dyDescent="0.3">
      <c r="E39" t="s">
        <v>38</v>
      </c>
      <c r="F39">
        <f>$C$12</f>
        <v>1333.2540983174913</v>
      </c>
    </row>
    <row r="40" spans="5:6" x14ac:dyDescent="0.3">
      <c r="E40" t="s">
        <v>37</v>
      </c>
      <c r="F40">
        <f>$C$13</f>
        <v>39.043800000000005</v>
      </c>
    </row>
    <row r="41" spans="5:6" x14ac:dyDescent="0.3">
      <c r="E41" t="s">
        <v>41</v>
      </c>
      <c r="F41">
        <f>$C$9*9.81*SIN(RADIANS(F38))</f>
        <v>97.487716421696987</v>
      </c>
    </row>
    <row r="42" spans="5:6" x14ac:dyDescent="0.3">
      <c r="E42" t="s">
        <v>39</v>
      </c>
      <c r="F42">
        <f>F39+F40+F41</f>
        <v>1469.7856147391883</v>
      </c>
    </row>
    <row r="43" spans="5:6" x14ac:dyDescent="0.3">
      <c r="E43" t="s">
        <v>36</v>
      </c>
      <c r="F43">
        <f>'Road Speed and Driving Force'!$T$22</f>
        <v>1512.2470256867898</v>
      </c>
    </row>
    <row r="44" spans="5:6" x14ac:dyDescent="0.3">
      <c r="E44" t="s">
        <v>60</v>
      </c>
    </row>
    <row r="46" spans="5:6" x14ac:dyDescent="0.3">
      <c r="E46" t="s">
        <v>66</v>
      </c>
    </row>
    <row r="47" spans="5:6" x14ac:dyDescent="0.3">
      <c r="E47" t="s">
        <v>43</v>
      </c>
      <c r="F47">
        <f>DEGREES(ATAN(6/100))</f>
        <v>3.433630362450522</v>
      </c>
    </row>
    <row r="48" spans="5:6" x14ac:dyDescent="0.3">
      <c r="E48" t="s">
        <v>38</v>
      </c>
      <c r="F48">
        <f>$C$12</f>
        <v>1333.2540983174913</v>
      </c>
    </row>
    <row r="49" spans="5:6" x14ac:dyDescent="0.3">
      <c r="E49" t="s">
        <v>37</v>
      </c>
      <c r="F49">
        <f>$C$13</f>
        <v>39.043800000000005</v>
      </c>
    </row>
    <row r="50" spans="5:6" x14ac:dyDescent="0.3">
      <c r="E50" t="s">
        <v>41</v>
      </c>
      <c r="F50">
        <f>$C$9*9.81*SIN(RADIANS(F47))</f>
        <v>116.9211310361903</v>
      </c>
    </row>
    <row r="51" spans="5:6" x14ac:dyDescent="0.3">
      <c r="E51" t="s">
        <v>39</v>
      </c>
      <c r="F51">
        <f>F48+F49+F50</f>
        <v>1489.2190293536814</v>
      </c>
    </row>
    <row r="52" spans="5:6" x14ac:dyDescent="0.3">
      <c r="E52" t="s">
        <v>36</v>
      </c>
      <c r="F52">
        <f>'Road Speed and Driving Force'!$T$22</f>
        <v>1512.2470256867898</v>
      </c>
    </row>
    <row r="53" spans="5:6" x14ac:dyDescent="0.3">
      <c r="E53" t="s">
        <v>60</v>
      </c>
    </row>
    <row r="55" spans="5:6" x14ac:dyDescent="0.3">
      <c r="E55" t="s">
        <v>67</v>
      </c>
    </row>
    <row r="56" spans="5:6" x14ac:dyDescent="0.3">
      <c r="E56" t="s">
        <v>43</v>
      </c>
      <c r="F56">
        <f>DEGREES(ATAN(7/100))</f>
        <v>4.0041729407093882</v>
      </c>
    </row>
    <row r="57" spans="5:6" x14ac:dyDescent="0.3">
      <c r="E57" t="s">
        <v>38</v>
      </c>
      <c r="F57">
        <f>$C$12</f>
        <v>1333.2540983174913</v>
      </c>
    </row>
    <row r="58" spans="5:6" x14ac:dyDescent="0.3">
      <c r="E58" t="s">
        <v>37</v>
      </c>
      <c r="F58">
        <f>$C$13</f>
        <v>39.043800000000005</v>
      </c>
    </row>
    <row r="59" spans="5:6" x14ac:dyDescent="0.3">
      <c r="E59" t="s">
        <v>41</v>
      </c>
      <c r="F59">
        <f>$C$9*9.81*SIN(RADIANS(F56))</f>
        <v>136.31972480449488</v>
      </c>
    </row>
    <row r="60" spans="5:6" x14ac:dyDescent="0.3">
      <c r="E60" t="s">
        <v>39</v>
      </c>
      <c r="F60">
        <f>F57+F58+F59</f>
        <v>1508.6176231219861</v>
      </c>
    </row>
    <row r="61" spans="5:6" x14ac:dyDescent="0.3">
      <c r="E61" t="s">
        <v>36</v>
      </c>
      <c r="F61">
        <f>'Road Speed and Driving Force'!$T$22</f>
        <v>1512.2470256867898</v>
      </c>
    </row>
    <row r="62" spans="5:6" x14ac:dyDescent="0.3">
      <c r="E62" t="s">
        <v>60</v>
      </c>
    </row>
    <row r="64" spans="5:6" x14ac:dyDescent="0.3">
      <c r="E64" t="s">
        <v>68</v>
      </c>
    </row>
    <row r="65" spans="5:6" x14ac:dyDescent="0.3">
      <c r="E65" t="s">
        <v>43</v>
      </c>
      <c r="F65">
        <f>DEGREES(ATAN(8/100))</f>
        <v>4.5739212599008612</v>
      </c>
    </row>
    <row r="66" spans="5:6" x14ac:dyDescent="0.3">
      <c r="E66" t="s">
        <v>38</v>
      </c>
      <c r="F66">
        <f>$C$12</f>
        <v>1333.2540983174913</v>
      </c>
    </row>
    <row r="67" spans="5:6" x14ac:dyDescent="0.3">
      <c r="E67" t="s">
        <v>37</v>
      </c>
      <c r="F67">
        <f>$C$13</f>
        <v>39.043800000000005</v>
      </c>
    </row>
    <row r="68" spans="5:6" x14ac:dyDescent="0.3">
      <c r="E68" t="s">
        <v>41</v>
      </c>
      <c r="F68">
        <f>$C$9*9.81*SIN(RADIANS(F65))</f>
        <v>155.67782548843505</v>
      </c>
    </row>
    <row r="69" spans="5:6" x14ac:dyDescent="0.3">
      <c r="E69" t="s">
        <v>39</v>
      </c>
      <c r="F69">
        <f>F66+F67+F68</f>
        <v>1527.9757238059262</v>
      </c>
    </row>
    <row r="70" spans="5:6" x14ac:dyDescent="0.3">
      <c r="E70" t="s">
        <v>36</v>
      </c>
      <c r="F70">
        <f>'Road Speed and Driving Force'!$T$22</f>
        <v>1512.2470256867898</v>
      </c>
    </row>
    <row r="71" spans="5:6" x14ac:dyDescent="0.3">
      <c r="E71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Gearbox</vt:lpstr>
      <vt:lpstr>Road Speed and Driving Force</vt:lpstr>
      <vt:lpstr>Drag Calculations</vt:lpstr>
      <vt:lpstr>Power Torque Curve</vt:lpstr>
      <vt:lpstr>Shift Point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 Woodhouse</dc:creator>
  <cp:lastModifiedBy>Elliot Woodhouse</cp:lastModifiedBy>
  <dcterms:created xsi:type="dcterms:W3CDTF">2021-12-08T13:44:07Z</dcterms:created>
  <dcterms:modified xsi:type="dcterms:W3CDTF">2021-12-19T23:06:55Z</dcterms:modified>
</cp:coreProperties>
</file>