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312" documentId="8_{644EBCB2-3CB2-4C35-B608-2B2B5BFF2898}" xr6:coauthVersionLast="47" xr6:coauthVersionMax="47" xr10:uidLastSave="{DCB827E9-B1B4-44F1-9BC1-C55D3C4CD7BE}"/>
  <bookViews>
    <workbookView xWindow="-108" yWindow="-108" windowWidth="23256" windowHeight="12456" tabRatio="840" activeTab="1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6" i="61" l="1"/>
  <c r="T15" i="61"/>
  <c r="T14" i="61"/>
  <c r="T13" i="61"/>
  <c r="T12" i="61"/>
  <c r="T11" i="61"/>
  <c r="T10" i="61"/>
  <c r="T9" i="61"/>
  <c r="T8" i="61"/>
  <c r="T7" i="61"/>
  <c r="T6" i="61"/>
  <c r="T5" i="61"/>
  <c r="T4" i="61"/>
  <c r="AD17" i="52"/>
  <c r="AD16" i="52"/>
  <c r="AD15" i="52"/>
  <c r="AD14" i="52"/>
  <c r="AD13" i="52"/>
  <c r="AD12" i="52"/>
  <c r="AD11" i="52"/>
  <c r="AD10" i="52"/>
  <c r="AD9" i="52"/>
  <c r="AD8" i="52"/>
  <c r="AD7" i="52"/>
  <c r="AD6" i="52"/>
  <c r="AD5" i="52"/>
  <c r="AD4" i="52"/>
  <c r="P33" i="46"/>
  <c r="O33" i="46"/>
  <c r="N33" i="46"/>
  <c r="M33" i="46"/>
  <c r="L33" i="46"/>
  <c r="K33" i="46"/>
  <c r="J33" i="46"/>
  <c r="I33" i="46"/>
  <c r="H33" i="46"/>
  <c r="G33" i="46"/>
  <c r="F33" i="46"/>
  <c r="E33" i="46"/>
  <c r="D33" i="46"/>
  <c r="J33" i="44"/>
  <c r="D33" i="44"/>
  <c r="C33" i="46"/>
  <c r="B33" i="46"/>
  <c r="O33" i="44"/>
  <c r="N33" i="44"/>
  <c r="M33" i="44"/>
  <c r="L33" i="44"/>
  <c r="K33" i="44"/>
  <c r="I33" i="44"/>
  <c r="H33" i="44"/>
  <c r="G33" i="44"/>
  <c r="F33" i="44"/>
  <c r="E33" i="44"/>
  <c r="C33" i="44"/>
  <c r="B33" i="44"/>
</calcChain>
</file>

<file path=xl/sharedStrings.xml><?xml version="1.0" encoding="utf-8"?>
<sst xmlns="http://schemas.openxmlformats.org/spreadsheetml/2006/main" count="132" uniqueCount="111">
  <si>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</si>
  <si>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</si>
  <si>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</si>
  <si>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</si>
  <si>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</si>
  <si>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</si>
  <si>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</si>
  <si>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</si>
  <si>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</si>
  <si>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</si>
  <si>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</si>
  <si>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</si>
  <si>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</si>
  <si>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</si>
  <si>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</si>
  <si>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</si>
  <si>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</si>
  <si>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</si>
  <si>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</si>
  <si>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</si>
  <si>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</si>
  <si>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</si>
  <si>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</si>
  <si>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</si>
  <si>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</si>
  <si>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</si>
  <si>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</si>
  <si>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</si>
  <si>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</si>
  <si>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</si>
  <si>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</si>
  <si>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</si>
  <si>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</si>
  <si>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</si>
  <si>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</si>
  <si>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</si>
  <si>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</si>
  <si>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</si>
  <si>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</si>
  <si>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</si>
  <si>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</si>
  <si>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</si>
  <si>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</si>
  <si>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</si>
  <si>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</si>
  <si>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</si>
  <si>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</si>
  <si>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</si>
  <si>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</si>
  <si>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</si>
  <si>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</si>
  <si>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</si>
  <si>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</si>
  <si>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</si>
  <si>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</si>
  <si>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</si>
  <si>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</si>
  <si>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</si>
  <si>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</si>
  <si>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</si>
  <si>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</si>
  <si>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</si>
  <si>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</si>
  <si>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</si>
  <si>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</si>
  <si>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</si>
  <si>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</si>
  <si>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</si>
  <si>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</si>
  <si>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</si>
  <si>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</si>
  <si>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</si>
  <si>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</si>
  <si>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</si>
  <si>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</si>
  <si>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</si>
  <si>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</si>
  <si>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</si>
  <si>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</si>
  <si>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</si>
  <si>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</si>
  <si>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</si>
  <si>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</si>
  <si>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</si>
  <si>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</si>
  <si>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</si>
  <si>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</si>
  <si>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</si>
  <si>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</si>
  <si>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</si>
  <si>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</si>
  <si>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</si>
  <si>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</si>
  <si>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</si>
  <si>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</si>
  <si>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</si>
  <si>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</si>
  <si>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</si>
  <si>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</si>
  <si>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</si>
  <si>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</si>
  <si>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</si>
  <si>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</si>
  <si>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</si>
  <si>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</t>
  </si>
  <si>
    <t xml:space="preserve"> </t>
  </si>
  <si>
    <t>median</t>
  </si>
  <si>
    <t>mode</t>
  </si>
  <si>
    <t>range</t>
  </si>
  <si>
    <t>standard deviation</t>
  </si>
  <si>
    <t>Size of firm (by turnover size band),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</si>
</sst>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46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0" fillId="0" borderId="0" xfId="0" applyNumberFormat="1"/>
    <xf numFmtId="0" fontId="0" fillId="0" borderId="1" xfId="0" applyBorder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3" fontId="12" fillId="35" borderId="0" xfId="0" applyNumberFormat="1" applyFont="1" applyFill="1" applyAlignment="1">
      <alignment horizontal="right"/>
    </xf>
    <xf numFmtId="3" fontId="0" fillId="36" borderId="0" xfId="0" applyNumberFormat="1" applyFill="1"/>
    <xf numFmtId="3" fontId="0" fillId="34" borderId="0" xfId="0" applyNumberFormat="1" applyFill="1"/>
    <xf numFmtId="3" fontId="0" fillId="33" borderId="0" xfId="0" applyNumberFormat="1" applyFill="1"/>
    <xf numFmtId="0" fontId="0" fillId="0" borderId="21" xfId="0" applyFill="1" applyBorder="1"/>
    <xf numFmtId="0" fontId="0" fillId="0" borderId="20" xfId="0" applyFill="1" applyBorder="1"/>
    <xf numFmtId="0" fontId="0" fillId="0" borderId="0" xfId="0" applyFill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</a:t>
            </a:r>
            <a:r>
              <a:rPr lang="en-US" baseline="0"/>
              <a:t> Sector New Work Construction Output in Great Britain (1998 - 2023)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'Public Sector Value'!$O$4</c:f>
              <c:strCache>
                <c:ptCount val="1"/>
                <c:pt idx="0">
                  <c:v>All Public Sector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Value'!$O$5:$O$30</c:f>
              <c:numCache>
                <c:formatCode>#,##0</c:formatCode>
                <c:ptCount val="26"/>
                <c:pt idx="0">
                  <c:v>7003</c:v>
                </c:pt>
                <c:pt idx="1">
                  <c:v>7534</c:v>
                </c:pt>
                <c:pt idx="2">
                  <c:v>7574</c:v>
                </c:pt>
                <c:pt idx="3">
                  <c:v>8458</c:v>
                </c:pt>
                <c:pt idx="4">
                  <c:v>10927</c:v>
                </c:pt>
                <c:pt idx="5">
                  <c:v>12925</c:v>
                </c:pt>
                <c:pt idx="6">
                  <c:v>13991</c:v>
                </c:pt>
                <c:pt idx="7">
                  <c:v>13694</c:v>
                </c:pt>
                <c:pt idx="8">
                  <c:v>13773</c:v>
                </c:pt>
                <c:pt idx="9">
                  <c:v>14888</c:v>
                </c:pt>
                <c:pt idx="10">
                  <c:v>16680</c:v>
                </c:pt>
                <c:pt idx="11">
                  <c:v>19475</c:v>
                </c:pt>
                <c:pt idx="12">
                  <c:v>24270</c:v>
                </c:pt>
                <c:pt idx="13">
                  <c:v>23136</c:v>
                </c:pt>
                <c:pt idx="14">
                  <c:v>18984</c:v>
                </c:pt>
                <c:pt idx="15">
                  <c:v>20154</c:v>
                </c:pt>
                <c:pt idx="16">
                  <c:v>21788</c:v>
                </c:pt>
                <c:pt idx="17">
                  <c:v>22455</c:v>
                </c:pt>
                <c:pt idx="18">
                  <c:v>23562</c:v>
                </c:pt>
                <c:pt idx="19">
                  <c:v>25123</c:v>
                </c:pt>
                <c:pt idx="20">
                  <c:v>26844</c:v>
                </c:pt>
                <c:pt idx="21">
                  <c:v>29092</c:v>
                </c:pt>
                <c:pt idx="22">
                  <c:v>26397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8D-40B7-A422-A8359744CD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5376943"/>
        <c:axId val="1145380303"/>
      </c:barChart>
      <c:catAx>
        <c:axId val="11453769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period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5380303"/>
        <c:crosses val="autoZero"/>
        <c:auto val="1"/>
        <c:lblAlgn val="ctr"/>
        <c:lblOffset val="100"/>
        <c:noMultiLvlLbl val="0"/>
      </c:catAx>
      <c:valAx>
        <c:axId val="1145380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All</a:t>
                </a:r>
                <a:r>
                  <a:rPr lang="en-GB" baseline="0"/>
                  <a:t> Public Sector (£million)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5376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Annual</a:t>
            </a:r>
            <a:r>
              <a:rPr lang="en-US" baseline="0"/>
              <a:t> Trend in Private Sector Construction Output, 1998 - 2023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'Private Sector Value'!$P$4</c:f>
              <c:strCache>
                <c:ptCount val="1"/>
                <c:pt idx="0">
                  <c:v>All Private Sector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Value'!$P$5:$P$30</c:f>
              <c:numCache>
                <c:formatCode>#,##0</c:formatCode>
                <c:ptCount val="26"/>
                <c:pt idx="0">
                  <c:v>32710</c:v>
                </c:pt>
                <c:pt idx="1">
                  <c:v>35629</c:v>
                </c:pt>
                <c:pt idx="2">
                  <c:v>38105</c:v>
                </c:pt>
                <c:pt idx="3">
                  <c:v>40118</c:v>
                </c:pt>
                <c:pt idx="4">
                  <c:v>44030</c:v>
                </c:pt>
                <c:pt idx="5">
                  <c:v>48070</c:v>
                </c:pt>
                <c:pt idx="6">
                  <c:v>54795</c:v>
                </c:pt>
                <c:pt idx="7">
                  <c:v>57810</c:v>
                </c:pt>
                <c:pt idx="8">
                  <c:v>63499</c:v>
                </c:pt>
                <c:pt idx="9">
                  <c:v>68570</c:v>
                </c:pt>
                <c:pt idx="10">
                  <c:v>64989</c:v>
                </c:pt>
                <c:pt idx="11">
                  <c:v>48113</c:v>
                </c:pt>
                <c:pt idx="12">
                  <c:v>50635</c:v>
                </c:pt>
                <c:pt idx="13">
                  <c:v>53424</c:v>
                </c:pt>
                <c:pt idx="14">
                  <c:v>51653</c:v>
                </c:pt>
                <c:pt idx="15">
                  <c:v>53975</c:v>
                </c:pt>
                <c:pt idx="16">
                  <c:v>63147</c:v>
                </c:pt>
                <c:pt idx="17">
                  <c:v>68814</c:v>
                </c:pt>
                <c:pt idx="18">
                  <c:v>75429</c:v>
                </c:pt>
                <c:pt idx="19">
                  <c:v>83933</c:v>
                </c:pt>
                <c:pt idx="20">
                  <c:v>85443</c:v>
                </c:pt>
                <c:pt idx="21">
                  <c:v>90138</c:v>
                </c:pt>
                <c:pt idx="22">
                  <c:v>73931</c:v>
                </c:pt>
                <c:pt idx="23">
                  <c:v>83818</c:v>
                </c:pt>
                <c:pt idx="24">
                  <c:v>98367</c:v>
                </c:pt>
                <c:pt idx="25">
                  <c:v>100418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FF-4856-9B1F-C717218E58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82820336"/>
        <c:axId val="1782829456"/>
      </c:lineChart>
      <c:catAx>
        <c:axId val="1782820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Period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829456"/>
        <c:crosses val="autoZero"/>
        <c:auto val="1"/>
        <c:lblAlgn val="ctr"/>
        <c:lblOffset val="100"/>
        <c:noMultiLvlLbl val="0"/>
      </c:catAx>
      <c:valAx>
        <c:axId val="1782829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All</a:t>
                </a:r>
                <a:r>
                  <a:rPr lang="en-GB" baseline="0"/>
                  <a:t> Private Sector (£million)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820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Number of Construction Firms by Turnover Size Band in Great Britain (2007 - 2023)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Turnover'!$B$16:$R$16</c:f>
              <c:numCache>
                <c:formatCode>#,##0</c:formatCode>
                <c:ptCount val="17"/>
                <c:pt idx="0">
                  <c:v>277280</c:v>
                </c:pt>
                <c:pt idx="1">
                  <c:v>279356</c:v>
                </c:pt>
                <c:pt idx="2">
                  <c:v>264679</c:v>
                </c:pt>
                <c:pt idx="3">
                  <c:v>254270</c:v>
                </c:pt>
                <c:pt idx="4">
                  <c:v>253121</c:v>
                </c:pt>
                <c:pt idx="5">
                  <c:v>247105</c:v>
                </c:pt>
                <c:pt idx="6">
                  <c:v>251747</c:v>
                </c:pt>
                <c:pt idx="7">
                  <c:v>260404</c:v>
                </c:pt>
                <c:pt idx="8">
                  <c:v>273775</c:v>
                </c:pt>
                <c:pt idx="9">
                  <c:v>296093</c:v>
                </c:pt>
                <c:pt idx="10">
                  <c:v>314590</c:v>
                </c:pt>
                <c:pt idx="11">
                  <c:v>325736</c:v>
                </c:pt>
                <c:pt idx="12">
                  <c:v>335731</c:v>
                </c:pt>
                <c:pt idx="13">
                  <c:v>342456</c:v>
                </c:pt>
                <c:pt idx="14">
                  <c:v>353365</c:v>
                </c:pt>
                <c:pt idx="15">
                  <c:v>374332</c:v>
                </c:pt>
                <c:pt idx="16">
                  <c:v>364514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A1-4163-AD83-BD712A1503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4140144"/>
        <c:axId val="314141104"/>
      </c:lineChart>
      <c:catAx>
        <c:axId val="314140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Period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141104"/>
        <c:crosses val="autoZero"/>
        <c:auto val="1"/>
        <c:lblAlgn val="ctr"/>
        <c:lblOffset val="100"/>
        <c:noMultiLvlLbl val="0"/>
      </c:catAx>
      <c:valAx>
        <c:axId val="314141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All</a:t>
                </a:r>
                <a:r>
                  <a:rPr lang="en-GB" baseline="0"/>
                  <a:t> Firms (by turnover size)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140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389963</xdr:colOff>
      <xdr:row>34</xdr:row>
      <xdr:rowOff>134471</xdr:rowOff>
    </xdr:from>
    <xdr:to>
      <xdr:col>11</xdr:col>
      <xdr:colOff>80682</xdr:colOff>
      <xdr:row>61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4FAE57-508A-01ED-C6D6-EA1A7BF82F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128477</xdr:colOff>
      <xdr:row>40</xdr:row>
      <xdr:rowOff>54935</xdr:rowOff>
    </xdr:from>
    <xdr:to>
      <xdr:col>8</xdr:col>
      <xdr:colOff>708837</xdr:colOff>
      <xdr:row>64</xdr:row>
      <xdr:rowOff>8861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C8DB7E2-0B64-E129-3B0E-B946555F76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556260</xdr:colOff>
      <xdr:row>19</xdr:row>
      <xdr:rowOff>95250</xdr:rowOff>
    </xdr:from>
    <xdr:to>
      <xdr:col>6</xdr:col>
      <xdr:colOff>297180</xdr:colOff>
      <xdr:row>37</xdr:row>
      <xdr:rowOff>160020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840B5C9-82CB-F398-CA3A-BADF8291F5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63" headerRowBorderDxfId="61" tableBorderDxfId="62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60"/>
    <tableColumn id="2" xr3:uid="{2CEB802E-2C8B-438B-9945-35DD738C0281}" name="Total public new housing" dataDxfId="59"/>
    <tableColumn id="3" xr3:uid="{3C3BF752-4FFF-484B-B71F-F58604720080}" name="Total public infrastructure" dataDxfId="58"/>
    <tableColumn id="4" xr3:uid="{DEEA3593-9A6C-4595-A7F4-F7A1FF50902E}" name="Public other new work: factories" dataDxfId="57"/>
    <tableColumn id="5" xr3:uid="{701866BA-69BA-48CD-9D0D-81FD69DF739B}" name="Public other new work: warehouses" dataDxfId="56"/>
    <tableColumn id="6" xr3:uid="{50F5A838-140D-46C1-8047-15EFD622290F}" name="Public other new work: oil, steel &amp; coal" dataDxfId="55"/>
    <tableColumn id="7" xr3:uid="{6E0EFBDD-3A47-49CD-BF91-D293A5E27967}" name="Public other new work: schools &amp; colleges" dataDxfId="54"/>
    <tableColumn id="8" xr3:uid="{052798D4-9B72-4634-83FD-B570A0A4EF5E}" name="Public other new work: universities" dataDxfId="53"/>
    <tableColumn id="9" xr3:uid="{571F73C0-8F8D-4744-9CDA-7B688B842FEF}" name="Public other new work: health" dataDxfId="52"/>
    <tableColumn id="10" xr3:uid="{F2EE5416-E865-4168-999D-36C183FDD80C}" name="Public other new work: offices" dataDxfId="51"/>
    <tableColumn id="11" xr3:uid="{A7B4FAA5-F556-43C6-B0B4-B26DEC3A6BC2}" name="Public other new work: entertainment" dataDxfId="50"/>
    <tableColumn id="12" xr3:uid="{29535A53-8586-4C43-85ED-4497C85F3F49}" name="Public other new work: garages &amp; shops" dataDxfId="49"/>
    <tableColumn id="13" xr3:uid="{46E5855B-008E-4046-9A54-C371E654CFE7}" name="Public other new work: agriculture &amp; miscellaneous" dataDxfId="48"/>
    <tableColumn id="14" xr3:uid="{50113204-1E01-42B5-B32F-CB7AFABA9D95}" name="Total other new work" dataDxfId="47"/>
    <tableColumn id="15" xr3:uid="{DA379AB0-7BAB-4EF3-B6D5-77E85678C85D}" name="All Public Sector" dataDxfId="4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36" headerRowBorderDxfId="135" tableBorderDxfId="134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33"/>
    <tableColumn id="2" xr3:uid="{C23D8177-BE6A-461F-BDF0-6062E9A9C563}" name="Total private new housing" dataDxfId="132"/>
    <tableColumn id="3" xr3:uid="{A0112703-164B-4D8F-8127-1F9BC5377D92}" name="Total private Infrastructure" dataDxfId="131"/>
    <tableColumn id="4" xr3:uid="{5C3BDA6B-FFA2-4485-B69E-D43CA1A73A6D}" name="Private industrial: factories" dataDxfId="130"/>
    <tableColumn id="5" xr3:uid="{1A9A4962-83F1-4697-B041-646210503394}" name="Private industrial: warehouses" dataDxfId="129"/>
    <tableColumn id="6" xr3:uid="{B08A9504-9136-4E95-8379-17E65179B983}" name="Private industrial: oil, steel &amp; coal" dataDxfId="128"/>
    <tableColumn id="7" xr3:uid="{F0A3B3E8-2CD4-4411-B00D-94698CE6322C}" name="All private industrial" dataDxfId="127"/>
    <tableColumn id="8" xr3:uid="{184046F4-C3BE-4FCC-ACB7-18CDAFDF611E}" name="Private commercial: schools &amp; universities" dataDxfId="126"/>
    <tableColumn id="9" xr3:uid="{ECA96A0B-B560-45E2-8624-7571F89E8974}" name="Private commercial: health" dataDxfId="125"/>
    <tableColumn id="10" xr3:uid="{4F34749D-2332-4677-9A18-C2E983F4F1AA}" name="Private commercial: offices" dataDxfId="124"/>
    <tableColumn id="11" xr3:uid="{C563F708-AF4F-42F9-B9CC-B21C0F3DCD0F}" name="Private commercial: entertainment" dataDxfId="123"/>
    <tableColumn id="12" xr3:uid="{247D2649-72BC-4671-8FED-3BBD36116AAA}" name="Private commercial: garages" dataDxfId="122"/>
    <tableColumn id="13" xr3:uid="{26D1EE28-82B9-4E14-B03B-F99E6123F7F9}" name="Private commercial: shops" dataDxfId="121"/>
    <tableColumn id="14" xr3:uid="{305BAB87-4138-4069-96F6-BCD89AE70315}" name="Private commercial: agriculture &amp; miscellaneous" dataDxfId="120"/>
    <tableColumn id="15" xr3:uid="{2416E7D6-1E53-4B44-B96F-D447BA7D8C97}" name="All private commercial" dataDxfId="119"/>
    <tableColumn id="16" xr3:uid="{0B15AE04-565B-4968-A2E1-2333D8AF492C}" name="All Private Sector" dataDxfId="118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117" dataDxfId="115" headerRowBorderDxfId="116" tableBorderDxfId="114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113" totalsRowDxfId="27"/>
    <tableColumn id="2" xr3:uid="{B0F2A6A6-3283-4150-BE0B-7C2080238572}" name="1997" dataDxfId="112" totalsRowDxfId="26"/>
    <tableColumn id="3" xr3:uid="{7A412100-EA83-45B6-B94C-0CC26E44A30F}" name="1998" dataDxfId="111" totalsRowDxfId="25"/>
    <tableColumn id="4" xr3:uid="{930012D9-E799-426D-A875-B2326DBD55F4}" name="1999" dataDxfId="110" totalsRowDxfId="24"/>
    <tableColumn id="5" xr3:uid="{360ADF1A-3595-4433-8269-ECF0960327F1}" name="2000" dataDxfId="109" totalsRowDxfId="23"/>
    <tableColumn id="6" xr3:uid="{B8A820A4-B668-44EF-8933-1D96A2FADF03}" name="2001" dataDxfId="108" totalsRowDxfId="22"/>
    <tableColumn id="7" xr3:uid="{11F83E27-4927-45F5-A9CC-43237E2CADF0}" name="2002" dataDxfId="107" totalsRowDxfId="21"/>
    <tableColumn id="8" xr3:uid="{5E4AAD45-DCF0-42E8-851F-4D7FE4C75994}" name="2003" dataDxfId="106" totalsRowDxfId="20"/>
    <tableColumn id="9" xr3:uid="{CC5CDAF9-2908-403E-8524-8E458561A86C}" name="2004" dataDxfId="105" totalsRowDxfId="19"/>
    <tableColumn id="10" xr3:uid="{F8F10E6C-4C24-4987-86B9-2BC4604AA6FF}" name="2005" dataDxfId="104" totalsRowDxfId="18"/>
    <tableColumn id="11" xr3:uid="{634D9AB2-2F7D-42C4-861A-A48218543D52}" name="2006" dataDxfId="103" totalsRowDxfId="17"/>
    <tableColumn id="12" xr3:uid="{7A730D35-593C-410E-9351-5DCF7AEA046F}" name="2007" dataDxfId="102" totalsRowDxfId="16"/>
    <tableColumn id="13" xr3:uid="{E8E41471-48B0-4831-A7E6-07A1E35E2ACC}" name="2008" dataDxfId="101" totalsRowDxfId="15"/>
    <tableColumn id="14" xr3:uid="{6B01846A-0DD0-4E86-A5D2-F829644186A4}" name="2009" dataDxfId="100" totalsRowDxfId="14"/>
    <tableColumn id="15" xr3:uid="{D8AFF6A5-5D5A-4766-8F96-57E79DF3663F}" name="2010" dataDxfId="99" totalsRowDxfId="13"/>
    <tableColumn id="16" xr3:uid="{1D6E8742-788F-4B2E-9697-60AC14F35D18}" name="2011" dataDxfId="98" totalsRowDxfId="12"/>
    <tableColumn id="17" xr3:uid="{69C049AB-9C9F-4ADE-BECC-623E5690EC71}" name="2012" dataDxfId="97" totalsRowDxfId="11"/>
    <tableColumn id="18" xr3:uid="{D43A8FDC-D054-4128-AB18-089395291A62}" name="2013" dataDxfId="96" totalsRowDxfId="10"/>
    <tableColumn id="19" xr3:uid="{6A5E7EBF-7006-4A2D-93DE-FA3490C64C59}" name="2014" dataDxfId="95" totalsRowDxfId="9"/>
    <tableColumn id="20" xr3:uid="{7205CD9A-2C31-4724-97CB-C762076DBBAF}" name="2015" dataDxfId="94" totalsRowDxfId="8"/>
    <tableColumn id="21" xr3:uid="{23F28E5D-774C-402C-AAC0-BD710762A009}" name="2016" dataDxfId="93" totalsRowDxfId="7"/>
    <tableColumn id="22" xr3:uid="{6B0E8B0D-15FB-452A-B17A-DBF1F9144E49}" name="2017" dataDxfId="92" totalsRowDxfId="6"/>
    <tableColumn id="23" xr3:uid="{2A1FDA69-05A8-446B-AAAA-D031F3BBAD05}" name="2018" dataDxfId="91" totalsRowDxfId="5"/>
    <tableColumn id="24" xr3:uid="{3D10BF88-871C-4682-B0C8-E083CE171D1E}" name="2019" dataDxfId="90" totalsRowDxfId="4"/>
    <tableColumn id="25" xr3:uid="{9D538F5B-3878-417F-8425-2A0D3E354E45}" name="2020" dataDxfId="89" totalsRowDxfId="3"/>
    <tableColumn id="26" xr3:uid="{DD9C5EF2-8ED1-4799-8A41-D3913A1F0044}" name="2021" dataDxfId="88" totalsRowDxfId="2"/>
    <tableColumn id="27" xr3:uid="{5B253DE7-CFE8-406E-A7AA-546E3B30390D}" name="2022" dataDxfId="87" totalsRowDxfId="1"/>
    <tableColumn id="28" xr3:uid="{6E9710FE-6516-471A-802B-84FD325849B6}" name="2023" dataDxfId="86" totalsRowDxfId="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85" dataDxfId="83" headerRowBorderDxfId="84" tableBorderDxfId="82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," dataDxfId="81" totalsRowDxfId="45" dataCellStyle="Normal_Structure" totalsRowCellStyle="Normal_Structure"/>
    <tableColumn id="2" xr3:uid="{2B0ED319-BDF4-462D-BA26-AA1BE0AFD462}" name="2007" dataDxfId="80" totalsRowDxfId="44"/>
    <tableColumn id="3" xr3:uid="{77F2849C-56C7-4DA1-AC0C-D55E7D6D694A}" name="2008" dataDxfId="79" totalsRowDxfId="43"/>
    <tableColumn id="4" xr3:uid="{9A1A21B1-FF17-4614-B44E-2AD012742D9C}" name="2009 " dataDxfId="78" totalsRowDxfId="42"/>
    <tableColumn id="5" xr3:uid="{7265F993-4BEA-4DD6-8F1F-7FD26B6D78D5}" name="2010 " dataDxfId="77" totalsRowDxfId="41"/>
    <tableColumn id="6" xr3:uid="{09518861-0455-459C-88E1-24FF001DA0D0}" name="2011 " dataDxfId="76" totalsRowDxfId="40"/>
    <tableColumn id="7" xr3:uid="{B5D524CF-EE6E-42DE-B6E6-1BA234BEBB35}" name="2012 " dataDxfId="75" totalsRowDxfId="39"/>
    <tableColumn id="8" xr3:uid="{74FB05A5-6EDB-43D0-B674-261380B53C98}" name="2013 " dataDxfId="74" totalsRowDxfId="38"/>
    <tableColumn id="9" xr3:uid="{E3D5D211-E5F3-4D89-9A54-45C89C90CA58}" name="2014 " dataDxfId="73" totalsRowDxfId="37"/>
    <tableColumn id="10" xr3:uid="{6659BB5D-89DB-418A-B6EB-1751E9306736}" name="2015 " dataDxfId="72" totalsRowDxfId="36"/>
    <tableColumn id="11" xr3:uid="{BC0F8EB9-8D5F-49CC-8256-4BA0676A88E1}" name="2016 " dataDxfId="71" totalsRowDxfId="35"/>
    <tableColumn id="12" xr3:uid="{D7445CA1-EFDC-436C-A8A1-28D1078DA8A7}" name="2017 " dataDxfId="70" totalsRowDxfId="34"/>
    <tableColumn id="13" xr3:uid="{C60437E4-5FDB-4BB4-B0A2-04D6F0461900}" name="2018 " dataDxfId="69" totalsRowDxfId="33"/>
    <tableColumn id="14" xr3:uid="{FE58B5FE-FCD9-4E27-A1B2-4BD4BB13404D}" name="2019 " dataDxfId="68" totalsRowDxfId="32"/>
    <tableColumn id="15" xr3:uid="{509EE9E5-9F66-4B95-9B38-BE0E47B10AD8}" name="2020 " dataDxfId="67" totalsRowDxfId="31"/>
    <tableColumn id="16" xr3:uid="{0AB424BA-148E-48AB-9FA9-8CDBE379AE70}" name="2021 " dataDxfId="66" totalsRowDxfId="30"/>
    <tableColumn id="17" xr3:uid="{A4AA9ED1-167B-4667-B809-4713DCB65C7D}" name="2022 " dataDxfId="65" totalsRowDxfId="29"/>
    <tableColumn id="18" xr3:uid="{04AAD7D3-88DF-46C7-8FC7-1AC98D7D5527}" name="2023" dataDxfId="64" totalsRowDxfId="2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opLeftCell="A31" zoomScale="85" zoomScaleNormal="85" workbookViewId="0">
      <selection activeCell="C48" sqref="C48"/>
    </sheetView>
  </sheetViews>
  <sheetFormatPr defaultColWidth="8.77734375" defaultRowHeight="14.4"/>
  <cols>
    <col min="1" max="1" width="13" customWidth="1"/>
    <col min="2" max="2" width="12" customWidth="1"/>
    <col min="3" max="3" width="16" customWidth="1"/>
    <col min="4" max="4" width="12.21875" customWidth="1"/>
    <col min="5" max="5" width="12.5546875" customWidth="1"/>
    <col min="6" max="6" width="12.21875" customWidth="1"/>
    <col min="7" max="7" width="12.77734375" customWidth="1"/>
    <col min="8" max="8" width="12.21875" customWidth="1"/>
    <col min="9" max="9" width="11.77734375" customWidth="1"/>
    <col min="10" max="10" width="11.44140625" customWidth="1"/>
    <col min="11" max="11" width="13.44140625" customWidth="1"/>
    <col min="12" max="12" width="12.77734375" customWidth="1"/>
    <col min="13" max="13" width="14.77734375" customWidth="1"/>
    <col min="14" max="14" width="13.77734375" customWidth="1"/>
    <col min="15" max="15" width="16.88671875" customWidth="1"/>
  </cols>
  <sheetData>
    <row r="1" spans="1:17" ht="19.2">
      <c r="A1" s="4" t="s">
        <v>103</v>
      </c>
    </row>
    <row r="2" spans="1:17">
      <c r="A2" s="5" t="s">
        <v>29</v>
      </c>
    </row>
    <row r="3" spans="1:17">
      <c r="A3" s="5"/>
    </row>
    <row r="4" spans="1:17" ht="58.2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99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A32" s="34" t="s">
        <v>104</v>
      </c>
      <c r="F32" s="18"/>
    </row>
    <row r="33" spans="1:15">
      <c r="A33" s="35" t="s">
        <v>106</v>
      </c>
      <c r="B33" s="34">
        <f>AVERAGE(Table1.1[Total public new housing])</f>
        <v>3837.4230769230771</v>
      </c>
      <c r="C33" s="34">
        <f>AVERAGE(Table1.1[Total public infrastructure])</f>
        <v>6697.0384615384619</v>
      </c>
      <c r="D33" s="41">
        <f>MEDIAN(D8,D16,D9,D15,D18,D26,D27,D13,D14,D5,D12,D20,D17,D22,D7,D6,D23,D11,D19,D21,D10,D24,D25,D28,D30,D29)</f>
        <v>88</v>
      </c>
      <c r="E33" s="34">
        <f>AVERAGE(Table1.1[Public other new work: warehouses])</f>
        <v>30.76923076923077</v>
      </c>
      <c r="F33" s="39">
        <f>_xlfn.MODE.SNGL(Table1.1[Public other new work: oil, steel &amp; coal])</f>
        <v>4</v>
      </c>
      <c r="G33" s="38">
        <f>_xlfn.STDEV.S(Table1.1[Public other new work: schools &amp; colleges])</f>
        <v>1527.4180693122421</v>
      </c>
      <c r="H33" s="38">
        <f>_xlfn.STDEV.S(Table1.1[Public other new work: universities])</f>
        <v>431.73925179263188</v>
      </c>
      <c r="I33" s="34">
        <f>AVERAGE(Table1.1[Public other new work: health])</f>
        <v>1625.7307692307693</v>
      </c>
      <c r="J33" s="41">
        <f>MEDIAN(J8,J7,J5,J22,J6,J21,J29,J9,J25,J23,J19,J26,J18,J13,J28,J24,J14,J12,J15,J16,J11,J10,J20,J27,J17,J30)</f>
        <v>818.5</v>
      </c>
      <c r="K33" s="40">
        <f>MAX(Table1.1[Public other new work: entertainment])-MIN(Table1.1[Public other new work: entertainment])</f>
        <v>1201</v>
      </c>
      <c r="L33" s="34">
        <f>AVERAGE(Table1.1[Public other new work: garages &amp; shops])</f>
        <v>207.26923076923077</v>
      </c>
      <c r="M33" s="38">
        <f>_xlfn.STDEV.S(Table1.1[Public other new work: agriculture &amp; miscellaneous])</f>
        <v>357.87907927764564</v>
      </c>
      <c r="N33" s="34">
        <f>AVERAGE(Table1.1[Total other new work])</f>
        <v>9211</v>
      </c>
      <c r="O33" s="34">
        <f>AVERAGE(Table1.1[All Public Sector])</f>
        <v>19745.423076923078</v>
      </c>
    </row>
    <row r="34" spans="1:15">
      <c r="A34" s="36" t="s">
        <v>107</v>
      </c>
      <c r="F34" s="18"/>
    </row>
    <row r="35" spans="1:15">
      <c r="A35" s="37" t="s">
        <v>108</v>
      </c>
      <c r="F35" s="18"/>
    </row>
    <row r="36" spans="1:15">
      <c r="A36" s="38" t="s">
        <v>109</v>
      </c>
      <c r="B36" s="38"/>
      <c r="D36" s="32"/>
      <c r="F36" s="18"/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7"/>
  <sheetViews>
    <sheetView tabSelected="1" topLeftCell="A4" zoomScale="86" workbookViewId="0">
      <selection activeCell="L53" sqref="L53"/>
    </sheetView>
  </sheetViews>
  <sheetFormatPr defaultColWidth="8.77734375" defaultRowHeight="14.4"/>
  <cols>
    <col min="1" max="1" width="13" customWidth="1"/>
    <col min="2" max="2" width="14.77734375" customWidth="1"/>
    <col min="3" max="3" width="14" customWidth="1"/>
    <col min="4" max="4" width="9.77734375" customWidth="1"/>
    <col min="5" max="5" width="11.21875" customWidth="1"/>
    <col min="6" max="6" width="10.77734375" customWidth="1"/>
    <col min="7" max="7" width="11.21875" customWidth="1"/>
    <col min="8" max="8" width="11.5546875" customWidth="1"/>
    <col min="9" max="9" width="11.77734375" customWidth="1"/>
    <col min="10" max="10" width="12.21875" customWidth="1"/>
    <col min="11" max="11" width="13.109375" customWidth="1"/>
    <col min="12" max="12" width="11.21875" customWidth="1"/>
    <col min="13" max="13" width="11.44140625" customWidth="1"/>
    <col min="14" max="14" width="13.77734375" customWidth="1"/>
    <col min="15" max="15" width="10.77734375" customWidth="1"/>
    <col min="16" max="16" width="15.5546875" customWidth="1"/>
  </cols>
  <sheetData>
    <row r="1" spans="1:16" ht="19.2">
      <c r="A1" s="7" t="s">
        <v>102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92</v>
      </c>
      <c r="I4" s="11" t="s">
        <v>93</v>
      </c>
      <c r="J4" s="11" t="s">
        <v>94</v>
      </c>
      <c r="K4" s="11" t="s">
        <v>95</v>
      </c>
      <c r="L4" s="11" t="s">
        <v>96</v>
      </c>
      <c r="M4" s="11" t="s">
        <v>97</v>
      </c>
      <c r="N4" s="12" t="s">
        <v>98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3" spans="1:16">
      <c r="A33" s="34" t="s">
        <v>104</v>
      </c>
      <c r="B33" s="34">
        <f>AVERAGE(Table1.2[Total private new housing])</f>
        <v>23301.807692307691</v>
      </c>
      <c r="C33" s="38">
        <f>_xlfn.STDEV.S(Table1.2[Total private Infrastructure])</f>
        <v>3395.0424211692052</v>
      </c>
      <c r="D33" s="41">
        <f>MEDIAN(D18,D27,D16,D17,D20,D19,D26,D21,D28,D23,D25,D9,D22,D24,D12,D7,D10,D8,D15,D11,D13,D14,D5,D6,D29,D30)</f>
        <v>2678</v>
      </c>
      <c r="E33" s="34">
        <f>AVERAGE(Table1.2[Private industrial: warehouses])</f>
        <v>2281.7307692307691</v>
      </c>
      <c r="F33" s="41">
        <f>MEDIAN(F26,F27,F23,F25,F8,F7,F22,F9,F24,F28,F5,F10,F6,F17,F16,F11,F14,F21,F12,F13,F15,F29,F18,F20,F19,F30)</f>
        <v>151</v>
      </c>
      <c r="G33" s="38">
        <f>_xlfn.STDEV.S(Table1.2[All private industrial])</f>
        <v>1272.6617388522618</v>
      </c>
      <c r="H33" s="40">
        <f>MAX(Table1.2[Private commercial: schools &amp; universities])-MIN(Table1.2[Private commercial: schools &amp; universities])</f>
        <v>5400</v>
      </c>
      <c r="I33" s="34">
        <f>AVERAGE(Table1.2[Private commercial: health])</f>
        <v>1503.0769230769231</v>
      </c>
      <c r="J33" s="41">
        <f>MEDIAN(J5,J19,J6,J17,J18,J20,J7,J21,J16,J10,J11,J27,J9,J12,J8,J22,J28,J29,J26,J13,J25,J23,J30,J24,J15,J14)</f>
        <v>8883.5</v>
      </c>
      <c r="K33" s="40">
        <f>MAX(Table1.2[Private commercial: entertainment])-MIN(Table1.2[Private commercial: entertainment])</f>
        <v>5212</v>
      </c>
      <c r="L33" s="42">
        <f>AVERAGE(Table1.2[Private commercial: garages])</f>
        <v>510.84615384615387</v>
      </c>
      <c r="M33" s="38">
        <f>_xlfn.STDEV.S(Table1.2[Private commercial: shops])</f>
        <v>1498.0525619822349</v>
      </c>
      <c r="N33" s="38">
        <f>_xlfn.STDEV.S(Table1.2[Private commercial: agriculture &amp; miscellaneous])</f>
        <v>779.65359960986223</v>
      </c>
      <c r="O33" s="34">
        <f>AVERAGE(Table1.2[All private commercial])</f>
        <v>25678.807692307691</v>
      </c>
      <c r="P33" s="34">
        <f>AVERAGE(Table1.2[All Private Sector])</f>
        <v>62675.5</v>
      </c>
    </row>
    <row r="34" spans="1:16">
      <c r="A34" s="35" t="s">
        <v>106</v>
      </c>
    </row>
    <row r="35" spans="1:16">
      <c r="A35" s="36" t="s">
        <v>107</v>
      </c>
    </row>
    <row r="36" spans="1:16">
      <c r="A36" s="37" t="s">
        <v>108</v>
      </c>
    </row>
    <row r="37" spans="1:16">
      <c r="A37" s="38" t="s">
        <v>109</v>
      </c>
      <c r="B37" s="3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I29"/>
  <sheetViews>
    <sheetView zoomScale="75" workbookViewId="0">
      <selection activeCell="S29" sqref="S29"/>
    </sheetView>
  </sheetViews>
  <sheetFormatPr defaultColWidth="8.77734375" defaultRowHeight="14.4"/>
  <cols>
    <col min="1" max="1" width="17.44140625" customWidth="1"/>
    <col min="2" max="27" width="8.88671875" customWidth="1"/>
  </cols>
  <sheetData>
    <row r="1" spans="1:35" ht="19.2">
      <c r="A1" s="3" t="s">
        <v>101</v>
      </c>
      <c r="AD1" s="34" t="s">
        <v>104</v>
      </c>
      <c r="AE1" s="35" t="s">
        <v>106</v>
      </c>
      <c r="AF1" s="36" t="s">
        <v>107</v>
      </c>
      <c r="AG1" s="37" t="s">
        <v>108</v>
      </c>
      <c r="AH1" s="38" t="s">
        <v>109</v>
      </c>
      <c r="AI1" s="38"/>
    </row>
    <row r="2" spans="1:35" ht="19.2">
      <c r="A2" s="3"/>
    </row>
    <row r="3" spans="1:35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89</v>
      </c>
    </row>
    <row r="4" spans="1:35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  <c r="AD4" s="34">
        <f>AVERAGE(Table3.1[[#This Row],[1997]:[2023]])</f>
        <v>101101.03703703704</v>
      </c>
    </row>
    <row r="5" spans="1:35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  <c r="AD5" s="34">
        <f>AVERAGE(Table3.1[[#This Row],[1997]:[2023]])</f>
        <v>68227</v>
      </c>
    </row>
    <row r="6" spans="1:35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  <c r="AD6" s="37">
        <f>MAX(Table3.1[[#This Row],[1997]:[2023]])-MIN(Table3.1[[#This Row],[1997]:[2023]])</f>
        <v>25307</v>
      </c>
    </row>
    <row r="7" spans="1:35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  <c r="AD7" s="35">
        <f>MEDIAN(Table3.1[[#This Row],[1997]],Table3.1[[#This Row],[2000]],Table3.1[[#This Row],[1998]],Table3.1[[#This Row],[1999]],Table3.1[[#This Row],[2001]],Table3.1[[#This Row],[2002]],Table3.1[[#This Row],[2003]],Table3.1[[#This Row],[2004]],Table3.1[[#This Row],[2011]],Table3.1[[#This Row],[2013]],Table3.1[[#This Row],[2012]],Table3.1[[#This Row],[2014]],Table3.1[[#This Row],[2005]],Table3.1[[#This Row],[2010]],Table3.1[[#This Row],[2015]],Table3.1[[#This Row],[2006]],Table3.1[[#This Row],[2016]],Table3.1[[#This Row],[2009]],Table3.1[[#This Row],[2017]],Table3.1[[#This Row],[2007]],Table3.1[[#This Row],[2018]],Table3.1[[#This Row],[2019]],Table3.1[[#This Row],[2020]],Table3.1[[#This Row],[2008]],Table3.1[[#This Row],[2021]],Table3.1[[#This Row],[2022]],Table3.1[[#This Row],[2023]])</f>
        <v>11774</v>
      </c>
    </row>
    <row r="8" spans="1:35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  <c r="AD8" s="35">
        <f>MEDIAN(Table3.1[[#This Row],[1997]],Table3.1[[#This Row],[2000]],Table3.1[[#This Row],[1999]],Table3.1[[#This Row],[1998]],Table3.1[[#This Row],[2001]],Table3.1[[#This Row],[2002]],Table3.1[[#This Row],[2011]],Table3.1[[#This Row],[2003]],Table3.1[[#This Row],[2013]],Table3.1[[#This Row],[2014]],Table3.1[[#This Row],[2010]],Table3.1[[#This Row],[2012]],Table3.1[[#This Row],[2004]],Table3.1[[#This Row],[2015]],Table3.1[[#This Row],[2016]],Table3.1[[#This Row],[2017]],Table3.1[[#This Row],[2005]],Table3.1[[#This Row],[2018]],Table3.1[[#This Row],[2009]],Table3.1[[#This Row],[2019]],Table3.1[[#This Row],[2020]],Table3.1[[#This Row],[2021]],Table3.1[[#This Row],[2006]],Table3.1[[#This Row],[2007]],Table3.1[[#This Row],[2022]],Table3.1[[#This Row],[2008]],Table3.1[[#This Row],[2023]])</f>
        <v>6203</v>
      </c>
    </row>
    <row r="9" spans="1:35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  <c r="AD9" s="38">
        <f>_xlfn.STDEV.S(Table3.1[[#This Row],[1997]:[2023]])</f>
        <v>285.13955697441764</v>
      </c>
    </row>
    <row r="10" spans="1:35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  <c r="AD10" s="38">
        <f>_xlfn.STDEV.S(Table3.1[[#This Row],[1997]:[2023]])</f>
        <v>320.12714265489501</v>
      </c>
    </row>
    <row r="11" spans="1:35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  <c r="AD11" s="37">
        <f>MAX(Table3.1[[#This Row],[1997]:[2023]])-MIN(Table3.1[[#This Row],[1997]:[2023]])</f>
        <v>293</v>
      </c>
    </row>
    <row r="12" spans="1:35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  <c r="AD12" s="38">
        <f>_xlfn.STDEV.S(Table3.1[[#This Row],[1997]:[2023]])</f>
        <v>66.389874112061577</v>
      </c>
    </row>
    <row r="13" spans="1:35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  <c r="AD13" s="38">
        <f>_xlfn.STDEV.S(Table3.1[[#This Row],[1997]:[2023]])</f>
        <v>68.921690563997686</v>
      </c>
    </row>
    <row r="14" spans="1:35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  <c r="AD14" s="35">
        <f>MEDIAN(Table3.1[[#This Row],[2000]],Table3.1[[#This Row],[1999]],Table3.1[[#This Row],[1997]],Table3.1[[#This Row],[2002]],Table3.1[[#This Row],[2021]],Table3.1[[#This Row],[2022]],Table3.1[[#This Row],[2023]],Table3.1[[#This Row],[1998]],Table3.1[[#This Row],[2001]],Table3.1[[#This Row],[2003]],Table3.1[[#This Row],[2013]],Table3.1[[#This Row],[2014]],Table3.1[[#This Row],[2015]],Table3.1[[#This Row],[2020]],Table3.1[[#This Row],[2017]],Table3.1[[#This Row],[2010]],Table3.1[[#This Row],[2012]],Table3.1[[#This Row],[2018]],Table3.1[[#This Row],[2016]],Table3.1[[#This Row],[2011]],Table3.1[[#This Row],[2006]],Table3.1[[#This Row],[2005]],Table3.1[[#This Row],[2004]],Table3.1[[#This Row],[2019]],Table3.1[[#This Row],[2009]],Table3.1[[#This Row],[2007]],Table3.1[[#This Row],[2008]])</f>
        <v>143</v>
      </c>
    </row>
    <row r="15" spans="1:35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  <c r="AD15" s="36">
        <f>_xlfn.MODE.SNGL(Table3.1[[#This Row],[1997]:[2023]])</f>
        <v>56</v>
      </c>
    </row>
    <row r="16" spans="1:35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  <c r="AD16" s="36">
        <f>_xlfn.MODE.SNGL(Table3.1[[#This Row],[1997]:[2023]])</f>
        <v>60</v>
      </c>
    </row>
    <row r="17" spans="1:30" ht="25.2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  <c r="AD17" s="34">
        <f>AVERAGE(Table3.1[[#This Row],[1997]:[2023]])</f>
        <v>241904.51851851851</v>
      </c>
    </row>
    <row r="18" spans="1:30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0" spans="1:30">
      <c r="A20" s="43"/>
    </row>
    <row r="21" spans="1:30">
      <c r="A21" s="43"/>
      <c r="C21" s="32"/>
    </row>
    <row r="22" spans="1:30">
      <c r="A22" s="44"/>
    </row>
    <row r="23" spans="1:30">
      <c r="A23" s="43"/>
    </row>
    <row r="24" spans="1:30">
      <c r="A24" s="43"/>
    </row>
    <row r="25" spans="1:30">
      <c r="A25" s="43"/>
    </row>
    <row r="26" spans="1:30">
      <c r="A26" s="43"/>
      <c r="D26" s="33"/>
    </row>
    <row r="27" spans="1:30">
      <c r="A27" s="43"/>
    </row>
    <row r="28" spans="1:30">
      <c r="A28" s="43"/>
    </row>
    <row r="29" spans="1:30">
      <c r="A29" s="45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Y21"/>
  <sheetViews>
    <sheetView topLeftCell="A14" workbookViewId="0">
      <selection activeCell="I34" sqref="I34"/>
    </sheetView>
  </sheetViews>
  <sheetFormatPr defaultRowHeight="14.4"/>
  <cols>
    <col min="1" max="1" width="35.21875" customWidth="1"/>
  </cols>
  <sheetData>
    <row r="1" spans="1:25" ht="19.2">
      <c r="A1" s="7" t="s">
        <v>100</v>
      </c>
      <c r="T1" s="34" t="s">
        <v>104</v>
      </c>
      <c r="U1" s="35" t="s">
        <v>106</v>
      </c>
      <c r="V1" s="36" t="s">
        <v>107</v>
      </c>
      <c r="W1" s="37" t="s">
        <v>108</v>
      </c>
      <c r="X1" s="38" t="s">
        <v>109</v>
      </c>
      <c r="Y1" s="38"/>
    </row>
    <row r="2" spans="1:25" ht="19.2">
      <c r="A2" s="7"/>
    </row>
    <row r="3" spans="1:25" ht="28.2">
      <c r="A3" s="25" t="s">
        <v>110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90</v>
      </c>
      <c r="Q3" s="26" t="s">
        <v>91</v>
      </c>
      <c r="R3" s="26" t="s">
        <v>89</v>
      </c>
    </row>
    <row r="4" spans="1:25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  <c r="T4" s="34">
        <f>AVERAGE(Table15[[#This Row],[2007]:[2023]])</f>
        <v>246081.64705882352</v>
      </c>
    </row>
    <row r="5" spans="1:25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  <c r="T5" s="34">
        <f>AVERAGE(Table15[[#This Row],[2007]:[2023]])</f>
        <v>24842.411764705881</v>
      </c>
    </row>
    <row r="6" spans="1:25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  <c r="T6" s="38">
        <f>_xlfn.STDEV.S(Table15[[#This Row],[2007]:[2023]])</f>
        <v>3575.0819355069621</v>
      </c>
    </row>
    <row r="7" spans="1:25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  <c r="T7" s="35">
        <f>MEDIAN(Table15[[#This Row],[2012 ]],Table15[[#This Row],[2011 ]],Table15[[#This Row],[2010 ]],Table15[[#This Row],[2013 ]],Table15[[#This Row],[2014 ]],Table15[[#This Row],[2015 ]],Table15[[#This Row],[2009 ]],Table15[[#This Row],[2007]],Table15[[#This Row],[2008]],Table15[[#This Row],[2016 ]],Table15[[#This Row],[2022 ]],Table15[[#This Row],[2017 ]],Table15[[#This Row],[2018 ]],Table15[[#This Row],[2020 ]],Table15[[#This Row],[2019 ]],Table15[[#This Row],[2021 ]],Table15[[#This Row],[2023]])</f>
        <v>2744</v>
      </c>
    </row>
    <row r="8" spans="1:25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  <c r="T8" s="38">
        <f>_xlfn.STDEV.S(Table15[[#This Row],[2007]:[2023]])</f>
        <v>284.91842227722168</v>
      </c>
    </row>
    <row r="9" spans="1:25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  <c r="T9" s="37">
        <f>MAX(Table15[[#This Row],[2007]:[2023]])-MIN(Table15[[#This Row],[2007]:[2023]])</f>
        <v>234</v>
      </c>
    </row>
    <row r="10" spans="1:25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  <c r="T10" s="37">
        <f>MAX(Table15[[#This Row],[2007]:[2023]])-MIN(Table15[[#This Row],[2007]:[2023]])</f>
        <v>153</v>
      </c>
    </row>
    <row r="11" spans="1:25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  <c r="T11" s="35">
        <f>MEDIAN(Table15[[#This Row],[2012 ]],Table15[[#This Row],[2013 ]],Table15[[#This Row],[2011 ]],Table15[[#This Row],[2010 ]],Table15[[#This Row],[2014 ]],Table15[[#This Row],[2009 ]],Table15[[#This Row],[2016 ]],Table15[[#This Row],[2007]],Table15[[#This Row],[2008]],Table15[[#This Row],[2015 ]],Table15[[#This Row],[2017 ]],Table15[[#This Row],[2019 ]],Table15[[#This Row],[2020 ]],Table15[[#This Row],[2018 ]],Table15[[#This Row],[2022 ]],Table15[[#This Row],[2021 ]],Table15[[#This Row],[2023]])</f>
        <v>117</v>
      </c>
    </row>
    <row r="12" spans="1:25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  <c r="T12" s="38">
        <f>_xlfn.STDEV.S(Table15[[#This Row],[2007]:[2023]])</f>
        <v>54.051037972293827</v>
      </c>
    </row>
    <row r="13" spans="1:25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  <c r="T13" s="38">
        <f>_xlfn.STDEV.S(Table15[[#This Row],[2007]:[2023]])</f>
        <v>33.571039690220339</v>
      </c>
    </row>
    <row r="14" spans="1:25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  <c r="T14" s="35">
        <f>MEDIAN(Table15[[#This Row],[2007]],Table15[[#This Row],[2015 ]],Table15[[#This Row],[2011 ]],Table15[[#This Row],[2009 ]],Table15[[#This Row],[2010 ]],Table15[[#This Row],[2018 ]],Table15[[#This Row],[2017 ]],Table15[[#This Row],[2016 ]],Table15[[#This Row],[2012 ]],Table15[[#This Row],[2008]],Table15[[#This Row],[2013 ]],Table15[[#This Row],[2014 ]],Table15[[#This Row],[2019 ]],Table15[[#This Row],[2020 ]],Table15[[#This Row],[2021 ]],Table15[[#This Row],[2022 ]],Table15[[#This Row],[2023]])</f>
        <v>20</v>
      </c>
    </row>
    <row r="15" spans="1:25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  <c r="T15" s="35">
        <f>MEDIAN(Table15[[#This Row],[2012 ]],Table15[[#This Row],[2011 ]],Table15[[#This Row],[2013 ]],Table15[[#This Row],[2015 ]],Table15[[#This Row],[2010 ]],Table15[[#This Row],[2014 ]],Table15[[#This Row],[2008]],Table15[[#This Row],[2007]],Table15[[#This Row],[2016 ]],Table15[[#This Row],[2017 ]],Table15[[#This Row],[2009 ]],Table15[[#This Row],[2022 ]],Table15[[#This Row],[2018 ]],Table15[[#This Row],[2019 ]],Table15[[#This Row],[2020 ]],Table15[[#This Row],[2021 ]],Table15[[#This Row],[2023]])</f>
        <v>10</v>
      </c>
    </row>
    <row r="16" spans="1:25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  <c r="T16" s="34">
        <f>AVERAGE(Table15[[#This Row],[2007]:[2023]])</f>
        <v>298150.23529411765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21" spans="1:18">
      <c r="C21" s="32"/>
      <c r="D21" s="32"/>
      <c r="E21" s="32" t="s">
        <v>105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2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2025-11-21T22:28:53Z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