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ral\OneDrive\Desktop\"/>
    </mc:Choice>
  </mc:AlternateContent>
  <xr:revisionPtr revIDLastSave="0" documentId="13_ncr:1_{9E75B184-2EEF-45C1-BD0A-994137CEFD71}" xr6:coauthVersionLast="47" xr6:coauthVersionMax="47" xr10:uidLastSave="{00000000-0000-0000-0000-000000000000}"/>
  <bookViews>
    <workbookView xWindow="-108" yWindow="-108" windowWidth="23256" windowHeight="12576" xr2:uid="{C0C7A05E-63E3-4427-8D24-235937941056}"/>
  </bookViews>
  <sheets>
    <sheet name="Sheet2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2" l="1"/>
  <c r="C30" i="2"/>
  <c r="E19" i="2"/>
  <c r="D19" i="2"/>
  <c r="F18" i="2"/>
  <c r="G18" i="2" s="1"/>
  <c r="H18" i="2" s="1"/>
  <c r="J18" i="2" s="1"/>
  <c r="K18" i="2" s="1"/>
  <c r="L18" i="2" s="1"/>
  <c r="E18" i="2"/>
  <c r="D18" i="2"/>
  <c r="C18" i="2"/>
  <c r="H17" i="2"/>
  <c r="J17" i="2" s="1"/>
  <c r="K17" i="2" s="1"/>
  <c r="L17" i="2" s="1"/>
  <c r="D17" i="2"/>
  <c r="E17" i="2" s="1"/>
  <c r="F17" i="2" s="1"/>
  <c r="G17" i="2" s="1"/>
  <c r="E16" i="2"/>
  <c r="D16" i="2"/>
  <c r="D15" i="2"/>
  <c r="E15" i="2" s="1"/>
  <c r="C15" i="2"/>
  <c r="K14" i="2"/>
  <c r="L14" i="2" s="1"/>
  <c r="J14" i="2"/>
  <c r="N14" i="2" s="1"/>
  <c r="D14" i="2"/>
  <c r="C14" i="2"/>
  <c r="F13" i="2"/>
  <c r="E13" i="2"/>
  <c r="D13" i="2"/>
  <c r="C13" i="2"/>
  <c r="H12" i="2"/>
  <c r="E12" i="2"/>
  <c r="D12" i="2"/>
  <c r="K12" i="2" s="1"/>
  <c r="C12" i="2"/>
  <c r="D11" i="2"/>
  <c r="C11" i="2"/>
  <c r="H10" i="2"/>
  <c r="J10" i="2" s="1"/>
  <c r="G10" i="2"/>
  <c r="N10" i="2" s="1"/>
  <c r="D10" i="2"/>
  <c r="C10" i="2"/>
  <c r="D9" i="2"/>
  <c r="C9" i="2"/>
  <c r="D8" i="2"/>
  <c r="C8" i="2"/>
  <c r="K11" i="2" l="1"/>
  <c r="H11" i="2"/>
  <c r="J11" i="2"/>
  <c r="L11" i="2" s="1"/>
  <c r="N18" i="2"/>
  <c r="N19" i="2"/>
  <c r="F19" i="2"/>
  <c r="G19" i="2" s="1"/>
  <c r="H19" i="2" s="1"/>
  <c r="J19" i="2" s="1"/>
  <c r="K19" i="2" s="1"/>
  <c r="L19" i="2" s="1"/>
  <c r="F9" i="2"/>
  <c r="F15" i="2"/>
  <c r="G15" i="2" s="1"/>
  <c r="H15" i="2" s="1"/>
  <c r="F16" i="2"/>
  <c r="G16" i="2" s="1"/>
  <c r="H16" i="2" s="1"/>
  <c r="J16" i="2" s="1"/>
  <c r="K16" i="2" s="1"/>
  <c r="L16" i="2" s="1"/>
  <c r="N17" i="2"/>
  <c r="G8" i="2"/>
  <c r="E8" i="2"/>
  <c r="F8" i="2"/>
  <c r="F20" i="2" s="1"/>
  <c r="D20" i="2"/>
  <c r="E9" i="2"/>
  <c r="J12" i="2"/>
  <c r="L12" i="2" s="1"/>
  <c r="J13" i="2"/>
  <c r="N16" i="2" l="1"/>
  <c r="K13" i="2"/>
  <c r="N13" i="2" s="1"/>
  <c r="D22" i="2"/>
  <c r="D30" i="2" s="1"/>
  <c r="D29" i="2"/>
  <c r="D23" i="2"/>
  <c r="D31" i="2" s="1"/>
  <c r="D24" i="2"/>
  <c r="F29" i="2"/>
  <c r="F22" i="2"/>
  <c r="F30" i="2" s="1"/>
  <c r="F23" i="2"/>
  <c r="F31" i="2" s="1"/>
  <c r="N11" i="2"/>
  <c r="E20" i="2"/>
  <c r="N9" i="2"/>
  <c r="G20" i="2"/>
  <c r="H8" i="2"/>
  <c r="J15" i="2"/>
  <c r="I15" i="2"/>
  <c r="I20" i="2" s="1"/>
  <c r="N12" i="2"/>
  <c r="I23" i="2" l="1"/>
  <c r="I31" i="2" s="1"/>
  <c r="I29" i="2"/>
  <c r="I22" i="2"/>
  <c r="I30" i="2" s="1"/>
  <c r="J8" i="2"/>
  <c r="H20" i="2"/>
  <c r="F32" i="2"/>
  <c r="D32" i="2"/>
  <c r="K15" i="2"/>
  <c r="L15" i="2" s="1"/>
  <c r="N15" i="2"/>
  <c r="E23" i="2"/>
  <c r="E31" i="2" s="1"/>
  <c r="E29" i="2"/>
  <c r="E22" i="2"/>
  <c r="E30" i="2" s="1"/>
  <c r="G29" i="2"/>
  <c r="G32" i="2" s="1"/>
  <c r="G22" i="2"/>
  <c r="G30" i="2" s="1"/>
  <c r="G23" i="2"/>
  <c r="G31" i="2" s="1"/>
  <c r="F24" i="2"/>
  <c r="I32" i="2" l="1"/>
  <c r="G33" i="2"/>
  <c r="G34" i="2" s="1"/>
  <c r="E24" i="2"/>
  <c r="H22" i="2"/>
  <c r="H30" i="2" s="1"/>
  <c r="H23" i="2"/>
  <c r="H31" i="2" s="1"/>
  <c r="H24" i="2"/>
  <c r="H29" i="2"/>
  <c r="H32" i="2" s="1"/>
  <c r="I24" i="2"/>
  <c r="F33" i="2"/>
  <c r="F34" i="2" s="1"/>
  <c r="M15" i="2"/>
  <c r="M20" i="2" s="1"/>
  <c r="L20" i="2"/>
  <c r="G24" i="2"/>
  <c r="E32" i="2"/>
  <c r="D33" i="2"/>
  <c r="D34" i="2" s="1"/>
  <c r="J20" i="2"/>
  <c r="K8" i="2"/>
  <c r="M23" i="2" l="1"/>
  <c r="M31" i="2" s="1"/>
  <c r="M29" i="2"/>
  <c r="M22" i="2"/>
  <c r="M30" i="2" s="1"/>
  <c r="K20" i="2"/>
  <c r="N8" i="2"/>
  <c r="N20" i="2" s="1"/>
  <c r="E33" i="2"/>
  <c r="E34" i="2"/>
  <c r="J22" i="2"/>
  <c r="J30" i="2" s="1"/>
  <c r="J23" i="2"/>
  <c r="J31" i="2" s="1"/>
  <c r="J29" i="2"/>
  <c r="H33" i="2"/>
  <c r="H34" i="2"/>
  <c r="L22" i="2"/>
  <c r="L30" i="2" s="1"/>
  <c r="L29" i="2"/>
  <c r="L32" i="2" s="1"/>
  <c r="L23" i="2"/>
  <c r="L31" i="2" s="1"/>
  <c r="L24" i="2"/>
  <c r="I33" i="2"/>
  <c r="I34" i="2"/>
  <c r="J32" i="2" l="1"/>
  <c r="L33" i="2"/>
  <c r="L34" i="2" s="1"/>
  <c r="M32" i="2"/>
  <c r="N29" i="2"/>
  <c r="N22" i="2"/>
  <c r="N30" i="2" s="1"/>
  <c r="N23" i="2"/>
  <c r="N31" i="2" s="1"/>
  <c r="M24" i="2"/>
  <c r="J24" i="2"/>
  <c r="K29" i="2"/>
  <c r="K23" i="2"/>
  <c r="K31" i="2" s="1"/>
  <c r="K22" i="2"/>
  <c r="K30" i="2" s="1"/>
  <c r="K24" i="2"/>
  <c r="M33" i="2" l="1"/>
  <c r="M34" i="2"/>
  <c r="K32" i="2"/>
  <c r="N32" i="2"/>
  <c r="N24" i="2"/>
  <c r="J33" i="2"/>
  <c r="J34" i="2" s="1"/>
  <c r="N33" i="2" l="1"/>
  <c r="N34" i="2" s="1"/>
  <c r="K33" i="2"/>
  <c r="K34" i="2"/>
</calcChain>
</file>

<file path=xl/sharedStrings.xml><?xml version="1.0" encoding="utf-8"?>
<sst xmlns="http://schemas.openxmlformats.org/spreadsheetml/2006/main" count="42" uniqueCount="28">
  <si>
    <t xml:space="preserve">Forecast Cash Flow </t>
  </si>
  <si>
    <t xml:space="preserve">*Excludes Maintanence and LLC costing </t>
  </si>
  <si>
    <t>Q1 2025</t>
  </si>
  <si>
    <t>Q2 2025</t>
  </si>
  <si>
    <t>Q3 2025</t>
  </si>
  <si>
    <t>Q4 2025</t>
  </si>
  <si>
    <t>Q1 2026</t>
  </si>
  <si>
    <t>Q2 2026</t>
  </si>
  <si>
    <t>Q3 2026</t>
  </si>
  <si>
    <t xml:space="preserve">Item Description </t>
  </si>
  <si>
    <t xml:space="preserve">Total Amount Due </t>
  </si>
  <si>
    <t xml:space="preserve">Jan-March </t>
  </si>
  <si>
    <t>April-June</t>
  </si>
  <si>
    <t>July-Sept</t>
  </si>
  <si>
    <t>Oct-Dec</t>
  </si>
  <si>
    <t xml:space="preserve">Total </t>
  </si>
  <si>
    <t>PROJECT CONSTRAINTS</t>
  </si>
  <si>
    <t>RISK ALLOWANCE</t>
  </si>
  <si>
    <t>WASTE COST</t>
  </si>
  <si>
    <t>Arts Council Contribution @15%</t>
  </si>
  <si>
    <t>Jayne Pierson Contribution @5%</t>
  </si>
  <si>
    <t>Total Monthly Payments</t>
  </si>
  <si>
    <t xml:space="preserve">Monthly Contributions </t>
  </si>
  <si>
    <t xml:space="preserve">Monthly Estimated Interim Payments </t>
  </si>
  <si>
    <t>Totals</t>
  </si>
  <si>
    <t xml:space="preserve">x4 Monthly Payments </t>
  </si>
  <si>
    <t xml:space="preserve">Clients Contribution Estimated Interim Payments </t>
  </si>
  <si>
    <t xml:space="preserve">Minus 5% Retention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</si>
</sst>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 val="singleAccounting"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44" fontId="0" fillId="0" borderId="0" xfId="1" applyFon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4" fontId="2" fillId="3" borderId="4" xfId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2" borderId="9" xfId="0" applyFill="1" applyBorder="1"/>
    <xf numFmtId="44" fontId="0" fillId="3" borderId="10" xfId="1" applyFont="1" applyFill="1" applyBorder="1"/>
    <xf numFmtId="44" fontId="0" fillId="2" borderId="11" xfId="1" applyFont="1" applyFill="1" applyBorder="1"/>
    <xf numFmtId="44" fontId="0" fillId="2" borderId="12" xfId="1" applyFont="1" applyFill="1" applyBorder="1"/>
    <xf numFmtId="44" fontId="0" fillId="2" borderId="13" xfId="1" applyFont="1" applyFill="1" applyBorder="1"/>
    <xf numFmtId="44" fontId="0" fillId="2" borderId="14" xfId="1" applyFont="1" applyFill="1" applyBorder="1"/>
    <xf numFmtId="44" fontId="0" fillId="2" borderId="15" xfId="1" applyFont="1" applyFill="1" applyBorder="1"/>
    <xf numFmtId="0" fontId="0" fillId="0" borderId="16" xfId="0" applyBorder="1"/>
    <xf numFmtId="44" fontId="0" fillId="3" borderId="17" xfId="0" applyNumberFormat="1" applyFill="1" applyBorder="1"/>
    <xf numFmtId="1" fontId="0" fillId="2" borderId="18" xfId="0" applyNumberFormat="1" applyFill="1" applyBorder="1"/>
    <xf numFmtId="44" fontId="0" fillId="3" borderId="19" xfId="1" applyFont="1" applyFill="1" applyBorder="1"/>
    <xf numFmtId="44" fontId="0" fillId="2" borderId="20" xfId="1" applyFont="1" applyFill="1" applyBorder="1"/>
    <xf numFmtId="44" fontId="0" fillId="2" borderId="21" xfId="1" applyFont="1" applyFill="1" applyBorder="1"/>
    <xf numFmtId="44" fontId="0" fillId="2" borderId="19" xfId="1" applyFont="1" applyFill="1" applyBorder="1"/>
    <xf numFmtId="44" fontId="0" fillId="2" borderId="22" xfId="1" applyFont="1" applyFill="1" applyBorder="1"/>
    <xf numFmtId="44" fontId="0" fillId="2" borderId="23" xfId="1" applyFont="1" applyFill="1" applyBorder="1"/>
    <xf numFmtId="44" fontId="0" fillId="2" borderId="24" xfId="1" applyFont="1" applyFill="1" applyBorder="1"/>
    <xf numFmtId="0" fontId="0" fillId="0" borderId="24" xfId="0" applyBorder="1"/>
    <xf numFmtId="44" fontId="0" fillId="3" borderId="22" xfId="0" applyNumberFormat="1" applyFill="1" applyBorder="1"/>
    <xf numFmtId="0" fontId="0" fillId="2" borderId="18" xfId="0" applyFill="1" applyBorder="1"/>
    <xf numFmtId="44" fontId="0" fillId="3" borderId="25" xfId="1" applyFont="1" applyFill="1" applyBorder="1"/>
    <xf numFmtId="44" fontId="0" fillId="0" borderId="20" xfId="1" applyFont="1" applyBorder="1"/>
    <xf numFmtId="2" fontId="0" fillId="2" borderId="18" xfId="0" applyNumberFormat="1" applyFill="1" applyBorder="1"/>
    <xf numFmtId="2" fontId="0" fillId="2" borderId="26" xfId="0" applyNumberFormat="1" applyFill="1" applyBorder="1"/>
    <xf numFmtId="44" fontId="0" fillId="2" borderId="27" xfId="1" applyFont="1" applyFill="1" applyBorder="1"/>
    <xf numFmtId="44" fontId="0" fillId="2" borderId="28" xfId="1" applyFont="1" applyFill="1" applyBorder="1"/>
    <xf numFmtId="44" fontId="0" fillId="2" borderId="29" xfId="1" applyFont="1" applyFill="1" applyBorder="1"/>
    <xf numFmtId="44" fontId="0" fillId="2" borderId="30" xfId="1" applyFont="1" applyFill="1" applyBorder="1"/>
    <xf numFmtId="0" fontId="0" fillId="0" borderId="31" xfId="0" applyBorder="1"/>
    <xf numFmtId="44" fontId="0" fillId="3" borderId="32" xfId="0" applyNumberFormat="1" applyFill="1" applyBorder="1"/>
    <xf numFmtId="44" fontId="2" fillId="4" borderId="33" xfId="1" applyFont="1" applyFill="1" applyBorder="1"/>
    <xf numFmtId="0" fontId="4" fillId="0" borderId="0" xfId="0" applyFont="1"/>
    <xf numFmtId="44" fontId="0" fillId="0" borderId="0" xfId="1" applyFont="1" applyBorder="1"/>
    <xf numFmtId="0" fontId="0" fillId="2" borderId="34" xfId="0" applyFill="1" applyBorder="1"/>
    <xf numFmtId="44" fontId="0" fillId="3" borderId="35" xfId="1" applyFont="1" applyFill="1" applyBorder="1"/>
    <xf numFmtId="44" fontId="0" fillId="2" borderId="36" xfId="1" applyFont="1" applyFill="1" applyBorder="1"/>
    <xf numFmtId="44" fontId="0" fillId="0" borderId="36" xfId="1" applyFont="1" applyBorder="1"/>
    <xf numFmtId="44" fontId="0" fillId="2" borderId="37" xfId="1" applyFont="1" applyFill="1" applyBorder="1"/>
    <xf numFmtId="0" fontId="0" fillId="2" borderId="38" xfId="0" applyFill="1" applyBorder="1"/>
    <xf numFmtId="44" fontId="0" fillId="3" borderId="39" xfId="1" applyFont="1" applyFill="1" applyBorder="1"/>
    <xf numFmtId="0" fontId="0" fillId="2" borderId="40" xfId="0" applyFill="1" applyBorder="1"/>
    <xf numFmtId="0" fontId="3" fillId="0" borderId="0" xfId="0" applyFont="1" applyAlignment="1">
      <alignment horizontal="left"/>
    </xf>
    <xf numFmtId="44" fontId="0" fillId="2" borderId="41" xfId="1" applyFont="1" applyFill="1" applyBorder="1"/>
    <xf numFmtId="0" fontId="0" fillId="2" borderId="42" xfId="0" applyFill="1" applyBorder="1"/>
    <xf numFmtId="44" fontId="0" fillId="2" borderId="43" xfId="1" applyFont="1" applyFill="1" applyBorder="1"/>
    <xf numFmtId="0" fontId="0" fillId="2" borderId="44" xfId="0" applyFill="1" applyBorder="1"/>
    <xf numFmtId="0" fontId="2" fillId="2" borderId="0" xfId="0" applyFont="1" applyFill="1"/>
    <xf numFmtId="44" fontId="0" fillId="3" borderId="45" xfId="1" applyFont="1" applyFill="1" applyBorder="1" applyAlignment="1">
      <alignment horizontal="center"/>
    </xf>
    <xf numFmtId="44" fontId="5" fillId="3" borderId="46" xfId="1" applyFont="1" applyFill="1" applyBorder="1"/>
    <xf numFmtId="0" fontId="0" fillId="3" borderId="37" xfId="0" applyFill="1" applyBorder="1"/>
    <xf numFmtId="44" fontId="0" fillId="0" borderId="47" xfId="1" applyFont="1" applyBorder="1"/>
    <xf numFmtId="44" fontId="0" fillId="0" borderId="48" xfId="0" applyNumberFormat="1" applyBorder="1"/>
    <xf numFmtId="0" fontId="0" fillId="3" borderId="38" xfId="0" applyFill="1" applyBorder="1"/>
    <xf numFmtId="0" fontId="0" fillId="3" borderId="40" xfId="0" applyFill="1" applyBorder="1"/>
    <xf numFmtId="44" fontId="2" fillId="5" borderId="33" xfId="1" applyFont="1" applyFill="1" applyBorder="1"/>
    <xf numFmtId="9" fontId="0" fillId="0" borderId="0" xfId="0" applyNumberFormat="1"/>
    <xf numFmtId="0" fontId="2" fillId="3" borderId="8" xfId="0" applyFont="1" applyFill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owtsd.sharepoint.com/teams/ACBA6003IntegratedProject2023-24_GRP-AlphaConstruction-SchoolFashionArtDesign/Shared%20Documents/Alpha%20Construction%20-%20School%20Fashion%20Art%20Design/7%20-%20Financial%20Reports-Lynsey/Feasibility%20Estimate/Cost%20Plan-Final.xlsx" TargetMode="External"/><Relationship Id="rId2" Type="http://schemas.microsoft.com/office/2019/04/relationships/externalLinkLongPath" Target="https://uowtsd.sharepoint.com/teams/ACBA6003IntegratedProject2023-24_GRP-AlphaConstruction-SchoolFashionArtDesign/Shared%20Documents/Alpha%20Construction%20-%20School%20Fashion%20Art%20Design/7%20-%20Financial%20Reports-Lynsey/Feasibility%20Estimate/Cost%20Plan-Final.xlsx?3C22E188" TargetMode="External"/><Relationship Id="rId1" Type="http://schemas.openxmlformats.org/officeDocument/2006/relationships/externalLinkPath" Target="file:///\\3C22E188\Cost%20Plan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Front"/>
      <sheetName val="Status"/>
      <sheetName val="Information Used"/>
      <sheetName val="Summary Original"/>
      <sheetName val="NRM1 CP template "/>
      <sheetName val="Forecast"/>
      <sheetName val="Material Costing Comparisons"/>
      <sheetName val="LLC"/>
    </sheetNames>
    <sheetDataSet>
      <sheetData sheetId="0"/>
      <sheetData sheetId="1"/>
      <sheetData sheetId="2"/>
      <sheetData sheetId="3">
        <row r="12">
          <cell r="D12" t="str">
            <v xml:space="preserve">FACILITATING WORKS </v>
          </cell>
          <cell r="E12">
            <v>1861500</v>
          </cell>
        </row>
        <row r="13">
          <cell r="D13" t="str">
            <v>SUBSTRUCTURE</v>
          </cell>
          <cell r="E13">
            <v>964885.69351808366</v>
          </cell>
        </row>
        <row r="14">
          <cell r="D14" t="str">
            <v>SUPERSTRUCTURE</v>
          </cell>
          <cell r="E14">
            <v>2699457</v>
          </cell>
        </row>
        <row r="15">
          <cell r="D15" t="str">
            <v xml:space="preserve">INTENAL FINISHES </v>
          </cell>
          <cell r="E15">
            <v>528711.96</v>
          </cell>
        </row>
        <row r="16">
          <cell r="D16" t="str">
            <v>FITTINGS AND FURNISHINGS</v>
          </cell>
          <cell r="E16">
            <v>980000</v>
          </cell>
        </row>
        <row r="17">
          <cell r="D17" t="str">
            <v>SERVICES</v>
          </cell>
          <cell r="E17">
            <v>2273241.9469696973</v>
          </cell>
        </row>
        <row r="18">
          <cell r="D18" t="str">
            <v>EXTERNAL WORKS</v>
          </cell>
          <cell r="E18">
            <v>418824.28571428568</v>
          </cell>
        </row>
        <row r="19">
          <cell r="D19" t="str">
            <v>MAIN CONTRACTORS PRELIMINARIES</v>
          </cell>
          <cell r="E19">
            <v>3162938.3755156714</v>
          </cell>
        </row>
        <row r="37">
          <cell r="E37">
            <v>355640</v>
          </cell>
        </row>
        <row r="40">
          <cell r="B40" t="str">
            <v>0HP</v>
          </cell>
          <cell r="E40">
            <v>1167194.5063442478</v>
          </cell>
        </row>
        <row r="41">
          <cell r="E41">
            <v>972662.08862020657</v>
          </cell>
        </row>
        <row r="55">
          <cell r="E55">
            <v>2265761.7670507981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FE952-0BDA-44D8-B0DA-BAEFB00683C2}">
  <dimension ref="C3:N34"/>
  <sheetViews>
    <sheetView tabSelected="1" topLeftCell="A6" zoomScale="65" workbookViewId="0">
      <selection activeCell="E40" sqref="E40"/>
    </sheetView>
  </sheetViews>
  <sheetFormatPr defaultRowHeight="14.4" x14ac:dyDescent="0.3"/>
  <cols>
    <col min="3" max="3" width="43.21875" customWidth="1"/>
    <col min="4" max="4" width="16.33203125" style="1" customWidth="1"/>
    <col min="5" max="8" width="20.77734375" customWidth="1"/>
    <col min="9" max="9" width="1.77734375" customWidth="1"/>
    <col min="10" max="12" width="20.77734375" customWidth="1"/>
    <col min="13" max="13" width="20.77734375" hidden="1" customWidth="1"/>
    <col min="14" max="14" width="19.88671875" customWidth="1"/>
  </cols>
  <sheetData>
    <row r="3" spans="3:14" ht="22.8" customHeight="1" x14ac:dyDescent="0.4">
      <c r="C3" s="54" t="s">
        <v>0</v>
      </c>
    </row>
    <row r="4" spans="3:14" x14ac:dyDescent="0.3">
      <c r="C4" s="55" t="s">
        <v>1</v>
      </c>
      <c r="D4" s="56"/>
    </row>
    <row r="5" spans="3:14" ht="15" thickBot="1" x14ac:dyDescent="0.35">
      <c r="C5" s="57"/>
      <c r="D5" s="58"/>
    </row>
    <row r="6" spans="3:14" ht="19.95" customHeight="1" thickBot="1" x14ac:dyDescent="0.35">
      <c r="E6" s="2" t="s">
        <v>2</v>
      </c>
      <c r="F6" s="3" t="s">
        <v>3</v>
      </c>
      <c r="G6" s="3" t="s">
        <v>4</v>
      </c>
      <c r="H6" s="3" t="s">
        <v>5</v>
      </c>
      <c r="I6" s="3"/>
      <c r="J6" s="3" t="s">
        <v>6</v>
      </c>
      <c r="K6" s="3" t="s">
        <v>7</v>
      </c>
      <c r="L6" s="3" t="s">
        <v>8</v>
      </c>
      <c r="M6" s="4" t="s">
        <v>5</v>
      </c>
    </row>
    <row r="7" spans="3:14" ht="16.2" customHeight="1" thickBot="1" x14ac:dyDescent="0.35">
      <c r="C7" s="5" t="s">
        <v>9</v>
      </c>
      <c r="D7" s="6" t="s">
        <v>10</v>
      </c>
      <c r="E7" s="7" t="s">
        <v>11</v>
      </c>
      <c r="F7" s="8" t="s">
        <v>12</v>
      </c>
      <c r="G7" s="8" t="s">
        <v>13</v>
      </c>
      <c r="H7" s="8" t="s">
        <v>14</v>
      </c>
      <c r="I7" s="9"/>
      <c r="J7" s="10" t="s">
        <v>11</v>
      </c>
      <c r="K7" s="8" t="s">
        <v>12</v>
      </c>
      <c r="L7" s="8" t="s">
        <v>13</v>
      </c>
      <c r="M7" s="11" t="s">
        <v>14</v>
      </c>
      <c r="N7" s="12" t="s">
        <v>15</v>
      </c>
    </row>
    <row r="8" spans="3:14" ht="22.05" customHeight="1" x14ac:dyDescent="0.3">
      <c r="C8" s="13" t="str">
        <f>'[1]Summary Original'!D12</f>
        <v xml:space="preserve">FACILITATING WORKS </v>
      </c>
      <c r="D8" s="14">
        <f>'[1]Summary Original'!E12</f>
        <v>1861500</v>
      </c>
      <c r="E8" s="15">
        <f>D8/4</f>
        <v>465375</v>
      </c>
      <c r="F8" s="16">
        <f>D8/4</f>
        <v>465375</v>
      </c>
      <c r="G8" s="16">
        <f>D8/4</f>
        <v>465375</v>
      </c>
      <c r="H8" s="17">
        <f>G8/4</f>
        <v>116343.75</v>
      </c>
      <c r="I8" s="18"/>
      <c r="J8" s="15">
        <f>H8/2</f>
        <v>58171.875</v>
      </c>
      <c r="K8" s="16">
        <f>J8/2</f>
        <v>29085.9375</v>
      </c>
      <c r="L8" s="19">
        <v>261773.44</v>
      </c>
      <c r="M8" s="20"/>
      <c r="N8" s="21">
        <f>E8+F8+G8+H8+J8+K8+L8</f>
        <v>1861500.0024999999</v>
      </c>
    </row>
    <row r="9" spans="3:14" ht="22.05" customHeight="1" x14ac:dyDescent="0.3">
      <c r="C9" s="22" t="str">
        <f>'[1]Summary Original'!D13</f>
        <v>SUBSTRUCTURE</v>
      </c>
      <c r="D9" s="23">
        <f>'[1]Summary Original'!E13</f>
        <v>964885.69351808366</v>
      </c>
      <c r="E9" s="24">
        <f>D9/3</f>
        <v>321628.56450602791</v>
      </c>
      <c r="F9" s="25">
        <f>D9-E9</f>
        <v>643257.1290120557</v>
      </c>
      <c r="G9" s="25">
        <v>0</v>
      </c>
      <c r="H9" s="26">
        <v>0</v>
      </c>
      <c r="I9" s="27"/>
      <c r="J9" s="28">
        <v>0</v>
      </c>
      <c r="K9" s="29">
        <v>0</v>
      </c>
      <c r="L9" s="29">
        <v>0</v>
      </c>
      <c r="M9" s="30"/>
      <c r="N9" s="31">
        <f>E9+F9+G9+H9+J9+K9+L9</f>
        <v>964885.69351808354</v>
      </c>
    </row>
    <row r="10" spans="3:14" ht="22.05" customHeight="1" x14ac:dyDescent="0.3">
      <c r="C10" s="22" t="str">
        <f>'[1]Summary Original'!D14</f>
        <v>SUPERSTRUCTURE</v>
      </c>
      <c r="D10" s="23">
        <f>'[1]Summary Original'!E14</f>
        <v>2699457</v>
      </c>
      <c r="E10" s="24">
        <v>0</v>
      </c>
      <c r="F10" s="25">
        <v>0</v>
      </c>
      <c r="G10" s="25">
        <f>D10/4</f>
        <v>674864.25</v>
      </c>
      <c r="H10" s="26">
        <f>D10/2</f>
        <v>1349728.5</v>
      </c>
      <c r="I10" s="27"/>
      <c r="J10" s="28">
        <f>D10-G10-H10</f>
        <v>674864.25</v>
      </c>
      <c r="K10" s="29">
        <v>0</v>
      </c>
      <c r="L10" s="29">
        <v>0</v>
      </c>
      <c r="M10" s="30"/>
      <c r="N10" s="31">
        <f>E10+F10+G10+H10+J10+K10+L10</f>
        <v>2699457</v>
      </c>
    </row>
    <row r="11" spans="3:14" ht="22.05" customHeight="1" x14ac:dyDescent="0.3">
      <c r="C11" s="22" t="str">
        <f>'[1]Summary Original'!D15</f>
        <v xml:space="preserve">INTENAL FINISHES </v>
      </c>
      <c r="D11" s="23">
        <f>'[1]Summary Original'!E15</f>
        <v>528711.96</v>
      </c>
      <c r="E11" s="24">
        <v>0</v>
      </c>
      <c r="F11" s="25">
        <v>0</v>
      </c>
      <c r="G11" s="25">
        <v>0</v>
      </c>
      <c r="H11" s="26">
        <f>D11/8</f>
        <v>66088.994999999995</v>
      </c>
      <c r="I11" s="27"/>
      <c r="J11" s="28">
        <f>D11/6</f>
        <v>88118.659999999989</v>
      </c>
      <c r="K11" s="29">
        <f>D11/4</f>
        <v>132177.99</v>
      </c>
      <c r="L11" s="29">
        <f>D11-H11-J11-K11</f>
        <v>242326.315</v>
      </c>
      <c r="M11" s="30"/>
      <c r="N11" s="31">
        <f t="shared" ref="N11:N19" si="0">E11+F11+G11+H11+J11+K11+L11</f>
        <v>528711.96</v>
      </c>
    </row>
    <row r="12" spans="3:14" ht="22.05" customHeight="1" x14ac:dyDescent="0.3">
      <c r="C12" s="22" t="str">
        <f>'[1]Summary Original'!D16</f>
        <v>FITTINGS AND FURNISHINGS</v>
      </c>
      <c r="D12" s="23">
        <f>'[1]Summary Original'!E16</f>
        <v>980000</v>
      </c>
      <c r="E12" s="24">
        <f>0</f>
        <v>0</v>
      </c>
      <c r="F12" s="25">
        <v>0</v>
      </c>
      <c r="G12" s="25">
        <v>0</v>
      </c>
      <c r="H12" s="26">
        <f>D12/8</f>
        <v>122500</v>
      </c>
      <c r="I12" s="27"/>
      <c r="J12" s="28">
        <f>D12/6</f>
        <v>163333.33333333334</v>
      </c>
      <c r="K12" s="29">
        <f>D12/2</f>
        <v>490000</v>
      </c>
      <c r="L12" s="29">
        <f>D12-H12-J12-K12</f>
        <v>204166.66666666663</v>
      </c>
      <c r="M12" s="30"/>
      <c r="N12" s="31">
        <f t="shared" si="0"/>
        <v>980000</v>
      </c>
    </row>
    <row r="13" spans="3:14" ht="22.05" customHeight="1" x14ac:dyDescent="0.3">
      <c r="C13" s="22" t="str">
        <f>'[1]Summary Original'!D17</f>
        <v>SERVICES</v>
      </c>
      <c r="D13" s="23">
        <f>'[1]Summary Original'!E17</f>
        <v>2273241.9469696973</v>
      </c>
      <c r="E13" s="24">
        <f>D13/8</f>
        <v>284155.24337121216</v>
      </c>
      <c r="F13" s="25">
        <f>D13/6</f>
        <v>378873.65782828286</v>
      </c>
      <c r="G13" s="25">
        <v>0</v>
      </c>
      <c r="H13" s="26">
        <v>0</v>
      </c>
      <c r="I13" s="27"/>
      <c r="J13" s="28">
        <f>D13/4</f>
        <v>568310.48674242431</v>
      </c>
      <c r="K13" s="29">
        <f>D13-E13-F13-J13</f>
        <v>1041902.559027778</v>
      </c>
      <c r="L13" s="29"/>
      <c r="M13" s="30"/>
      <c r="N13" s="31">
        <f t="shared" si="0"/>
        <v>2273241.9469696973</v>
      </c>
    </row>
    <row r="14" spans="3:14" ht="22.05" customHeight="1" x14ac:dyDescent="0.3">
      <c r="C14" s="22" t="str">
        <f>'[1]Summary Original'!D18</f>
        <v>EXTERNAL WORKS</v>
      </c>
      <c r="D14" s="23">
        <f>'[1]Summary Original'!E18</f>
        <v>418824.28571428568</v>
      </c>
      <c r="E14" s="24"/>
      <c r="F14" s="25">
        <v>0</v>
      </c>
      <c r="G14" s="25">
        <v>0</v>
      </c>
      <c r="H14" s="26">
        <v>0</v>
      </c>
      <c r="I14" s="27"/>
      <c r="J14" s="28">
        <f>D14/2</f>
        <v>209412.14285714284</v>
      </c>
      <c r="K14" s="29">
        <f>D14/6</f>
        <v>69804.047619047618</v>
      </c>
      <c r="L14" s="29">
        <f>D14-J14-K14</f>
        <v>139608.09523809521</v>
      </c>
      <c r="M14" s="30"/>
      <c r="N14" s="31">
        <f t="shared" si="0"/>
        <v>418824.28571428568</v>
      </c>
    </row>
    <row r="15" spans="3:14" ht="22.05" customHeight="1" x14ac:dyDescent="0.3">
      <c r="C15" s="32" t="str">
        <f>'[1]Summary Original'!D19</f>
        <v>MAIN CONTRACTORS PRELIMINARIES</v>
      </c>
      <c r="D15" s="33">
        <f>'[1]Summary Original'!E19</f>
        <v>3162938.3755156714</v>
      </c>
      <c r="E15" s="24">
        <f>D15/7</f>
        <v>451848.33935938164</v>
      </c>
      <c r="F15" s="25">
        <f>E15</f>
        <v>451848.33935938164</v>
      </c>
      <c r="G15" s="25">
        <f>F15</f>
        <v>451848.33935938164</v>
      </c>
      <c r="H15" s="26">
        <f>G15</f>
        <v>451848.33935938164</v>
      </c>
      <c r="I15" s="24">
        <f t="shared" ref="I15:N15" si="1">H15/7</f>
        <v>64549.76276562595</v>
      </c>
      <c r="J15" s="24">
        <f>H15</f>
        <v>451848.33935938164</v>
      </c>
      <c r="K15" s="25">
        <f>J15</f>
        <v>451848.33935938164</v>
      </c>
      <c r="L15" s="25">
        <f>K15</f>
        <v>451848.33935938164</v>
      </c>
      <c r="M15" s="34">
        <f>L15</f>
        <v>451848.33935938164</v>
      </c>
      <c r="N15" s="31">
        <f t="shared" si="0"/>
        <v>3162938.3755156714</v>
      </c>
    </row>
    <row r="16" spans="3:14" ht="22.05" customHeight="1" x14ac:dyDescent="0.3">
      <c r="C16" s="32" t="s">
        <v>16</v>
      </c>
      <c r="D16" s="14">
        <f>'[1]Summary Original'!E37</f>
        <v>355640</v>
      </c>
      <c r="E16" s="24">
        <f t="shared" ref="E16:E19" si="2">D16/7</f>
        <v>50805.714285714283</v>
      </c>
      <c r="F16" s="25">
        <f t="shared" ref="F16:H19" si="3">E16</f>
        <v>50805.714285714283</v>
      </c>
      <c r="G16" s="25">
        <f t="shared" si="3"/>
        <v>50805.714285714283</v>
      </c>
      <c r="H16" s="26">
        <f t="shared" si="3"/>
        <v>50805.714285714283</v>
      </c>
      <c r="I16" s="27"/>
      <c r="J16" s="24">
        <f t="shared" ref="J16:J19" si="4">H16</f>
        <v>50805.714285714283</v>
      </c>
      <c r="K16" s="25">
        <f t="shared" ref="K16:L19" si="5">J16</f>
        <v>50805.714285714283</v>
      </c>
      <c r="L16" s="25">
        <f t="shared" si="5"/>
        <v>50805.714285714283</v>
      </c>
      <c r="M16" s="30"/>
      <c r="N16" s="31">
        <f>E16+F16+G16+H16+J16+K16+L16</f>
        <v>355639.99999999994</v>
      </c>
    </row>
    <row r="17" spans="3:14" ht="22.05" customHeight="1" x14ac:dyDescent="0.3">
      <c r="C17" s="32" t="s">
        <v>17</v>
      </c>
      <c r="D17" s="23">
        <f>'[1]Summary Original'!E55</f>
        <v>2265761.7670507981</v>
      </c>
      <c r="E17" s="24">
        <f t="shared" si="2"/>
        <v>323680.25243582827</v>
      </c>
      <c r="F17" s="25">
        <f t="shared" si="3"/>
        <v>323680.25243582827</v>
      </c>
      <c r="G17" s="25">
        <f t="shared" si="3"/>
        <v>323680.25243582827</v>
      </c>
      <c r="H17" s="26">
        <f t="shared" si="3"/>
        <v>323680.25243582827</v>
      </c>
      <c r="I17" s="27"/>
      <c r="J17" s="24">
        <f t="shared" si="4"/>
        <v>323680.25243582827</v>
      </c>
      <c r="K17" s="25">
        <f t="shared" si="5"/>
        <v>323680.25243582827</v>
      </c>
      <c r="L17" s="25">
        <f t="shared" si="5"/>
        <v>323680.25243582827</v>
      </c>
      <c r="M17" s="30"/>
      <c r="N17" s="31">
        <f t="shared" si="0"/>
        <v>2265761.7670507981</v>
      </c>
    </row>
    <row r="18" spans="3:14" ht="22.05" customHeight="1" x14ac:dyDescent="0.3">
      <c r="C18" s="35" t="str">
        <f>'[1]Summary Original'!B40</f>
        <v>0HP</v>
      </c>
      <c r="D18" s="23">
        <f>'[1]Summary Original'!E40</f>
        <v>1167194.5063442478</v>
      </c>
      <c r="E18" s="24">
        <f t="shared" si="2"/>
        <v>166742.07233489255</v>
      </c>
      <c r="F18" s="25">
        <f t="shared" si="3"/>
        <v>166742.07233489255</v>
      </c>
      <c r="G18" s="25">
        <f t="shared" si="3"/>
        <v>166742.07233489255</v>
      </c>
      <c r="H18" s="26">
        <f t="shared" si="3"/>
        <v>166742.07233489255</v>
      </c>
      <c r="I18" s="27"/>
      <c r="J18" s="24">
        <f t="shared" si="4"/>
        <v>166742.07233489255</v>
      </c>
      <c r="K18" s="25">
        <f t="shared" si="5"/>
        <v>166742.07233489255</v>
      </c>
      <c r="L18" s="25">
        <f t="shared" si="5"/>
        <v>166742.07233489255</v>
      </c>
      <c r="M18" s="30"/>
      <c r="N18" s="31">
        <f t="shared" si="0"/>
        <v>1167194.5063442478</v>
      </c>
    </row>
    <row r="19" spans="3:14" ht="22.05" customHeight="1" thickBot="1" x14ac:dyDescent="0.35">
      <c r="C19" s="36" t="s">
        <v>18</v>
      </c>
      <c r="D19" s="33">
        <f>'[1]Summary Original'!E41</f>
        <v>972662.08862020657</v>
      </c>
      <c r="E19" s="37">
        <f t="shared" si="2"/>
        <v>138951.72694574381</v>
      </c>
      <c r="F19" s="38">
        <f t="shared" si="3"/>
        <v>138951.72694574381</v>
      </c>
      <c r="G19" s="38">
        <f t="shared" si="3"/>
        <v>138951.72694574381</v>
      </c>
      <c r="H19" s="39">
        <f t="shared" si="3"/>
        <v>138951.72694574381</v>
      </c>
      <c r="I19" s="40"/>
      <c r="J19" s="37">
        <f t="shared" si="4"/>
        <v>138951.72694574381</v>
      </c>
      <c r="K19" s="38">
        <f t="shared" si="5"/>
        <v>138951.72694574381</v>
      </c>
      <c r="L19" s="38">
        <f t="shared" si="5"/>
        <v>138951.72694574381</v>
      </c>
      <c r="M19" s="41"/>
      <c r="N19" s="42">
        <f t="shared" si="0"/>
        <v>972662.08862020657</v>
      </c>
    </row>
    <row r="20" spans="3:14" ht="22.05" customHeight="1" thickBot="1" x14ac:dyDescent="0.35">
      <c r="D20" s="43">
        <f>SUM(D8:D19)</f>
        <v>17650817.623732992</v>
      </c>
      <c r="E20" s="43">
        <f t="shared" ref="E20:N20" si="6">SUM(E8:E19)</f>
        <v>2203186.9132388006</v>
      </c>
      <c r="F20" s="43">
        <f t="shared" si="6"/>
        <v>2619533.8922018991</v>
      </c>
      <c r="G20" s="43">
        <f t="shared" si="6"/>
        <v>2272267.3553615608</v>
      </c>
      <c r="H20" s="43">
        <f t="shared" si="6"/>
        <v>2786689.3503615605</v>
      </c>
      <c r="I20" s="43">
        <f t="shared" si="6"/>
        <v>64549.76276562595</v>
      </c>
      <c r="J20" s="43">
        <f t="shared" si="6"/>
        <v>2894238.853294461</v>
      </c>
      <c r="K20" s="43">
        <f t="shared" si="6"/>
        <v>2894998.6395083857</v>
      </c>
      <c r="L20" s="43">
        <f t="shared" si="6"/>
        <v>1979902.6222663226</v>
      </c>
      <c r="M20" s="43">
        <f t="shared" si="6"/>
        <v>451848.33935938164</v>
      </c>
      <c r="N20" s="43">
        <f t="shared" si="6"/>
        <v>17650817.626232993</v>
      </c>
    </row>
    <row r="21" spans="3:14" ht="19.95" customHeight="1" thickTop="1" thickBot="1" x14ac:dyDescent="0.35">
      <c r="C21" s="44" t="s">
        <v>22</v>
      </c>
      <c r="D21" s="45"/>
    </row>
    <row r="22" spans="3:14" ht="19.95" customHeight="1" x14ac:dyDescent="0.3">
      <c r="C22" s="46" t="s">
        <v>19</v>
      </c>
      <c r="D22" s="47">
        <f>D20*0.15</f>
        <v>2647622.6435599485</v>
      </c>
      <c r="E22" s="48">
        <f>E20*0.15</f>
        <v>330478.0369858201</v>
      </c>
      <c r="F22" s="48">
        <f t="shared" ref="F22:N22" si="7">F20*0.15</f>
        <v>392930.08383028483</v>
      </c>
      <c r="G22" s="48">
        <f t="shared" si="7"/>
        <v>340840.1033042341</v>
      </c>
      <c r="H22" s="48">
        <f t="shared" si="7"/>
        <v>418003.40255423408</v>
      </c>
      <c r="I22" s="48">
        <f t="shared" si="7"/>
        <v>9682.4644148438929</v>
      </c>
      <c r="J22" s="48">
        <f t="shared" si="7"/>
        <v>434135.82799416914</v>
      </c>
      <c r="K22" s="48">
        <f t="shared" si="7"/>
        <v>434249.79592625785</v>
      </c>
      <c r="L22" s="48">
        <f t="shared" si="7"/>
        <v>296985.39333994838</v>
      </c>
      <c r="M22" s="49">
        <f t="shared" si="7"/>
        <v>67777.250903907247</v>
      </c>
      <c r="N22" s="50">
        <f t="shared" si="7"/>
        <v>2647622.6439349488</v>
      </c>
    </row>
    <row r="23" spans="3:14" ht="19.95" customHeight="1" x14ac:dyDescent="0.3">
      <c r="C23" s="51" t="s">
        <v>20</v>
      </c>
      <c r="D23" s="52">
        <f>D20*0.05</f>
        <v>882540.88118664967</v>
      </c>
      <c r="E23" s="52">
        <f t="shared" ref="E23:N23" si="8">E20*0.05</f>
        <v>110159.34566194004</v>
      </c>
      <c r="F23" s="52">
        <f t="shared" si="8"/>
        <v>130976.69461009496</v>
      </c>
      <c r="G23" s="52">
        <f t="shared" si="8"/>
        <v>113613.36776807805</v>
      </c>
      <c r="H23" s="52">
        <f t="shared" si="8"/>
        <v>139334.46751807802</v>
      </c>
      <c r="I23" s="52">
        <f t="shared" si="8"/>
        <v>3227.4881382812978</v>
      </c>
      <c r="J23" s="52">
        <f t="shared" si="8"/>
        <v>144711.94266472306</v>
      </c>
      <c r="K23" s="52">
        <f t="shared" si="8"/>
        <v>144749.93197541928</v>
      </c>
      <c r="L23" s="52">
        <f t="shared" si="8"/>
        <v>98995.131113316136</v>
      </c>
      <c r="M23" s="52">
        <f t="shared" si="8"/>
        <v>22592.416967969082</v>
      </c>
      <c r="N23" s="52">
        <f t="shared" si="8"/>
        <v>882540.88131164969</v>
      </c>
    </row>
    <row r="24" spans="3:14" ht="19.95" customHeight="1" thickBot="1" x14ac:dyDescent="0.35">
      <c r="C24" s="53" t="s">
        <v>21</v>
      </c>
      <c r="D24" s="43">
        <f>D20-D22-D23</f>
        <v>14120654.098986395</v>
      </c>
      <c r="E24" s="43">
        <f t="shared" ref="E24:N24" si="9">E20-E22-E23</f>
        <v>1762549.5305910404</v>
      </c>
      <c r="F24" s="43">
        <f t="shared" si="9"/>
        <v>2095627.1137615193</v>
      </c>
      <c r="G24" s="43">
        <f t="shared" si="9"/>
        <v>1817813.8842892486</v>
      </c>
      <c r="H24" s="43">
        <f t="shared" si="9"/>
        <v>2229351.4802892483</v>
      </c>
      <c r="I24" s="43">
        <f t="shared" si="9"/>
        <v>51639.810212500764</v>
      </c>
      <c r="J24" s="43">
        <f t="shared" si="9"/>
        <v>2315391.0826355689</v>
      </c>
      <c r="K24" s="43">
        <f t="shared" si="9"/>
        <v>2315998.9116067085</v>
      </c>
      <c r="L24" s="43">
        <f t="shared" si="9"/>
        <v>1583922.0978130579</v>
      </c>
      <c r="M24" s="43">
        <f t="shared" si="9"/>
        <v>361478.67148750531</v>
      </c>
      <c r="N24" s="43">
        <f t="shared" si="9"/>
        <v>14120654.100986395</v>
      </c>
    </row>
    <row r="25" spans="3:14" ht="19.95" customHeight="1" x14ac:dyDescent="0.3">
      <c r="D25" s="45"/>
    </row>
    <row r="27" spans="3:14" ht="15" thickBot="1" x14ac:dyDescent="0.35"/>
    <row r="28" spans="3:14" ht="19.95" customHeight="1" thickBot="1" x14ac:dyDescent="0.5">
      <c r="C28" s="59" t="s">
        <v>23</v>
      </c>
      <c r="D28" s="60" t="s">
        <v>24</v>
      </c>
      <c r="E28" s="61" t="s">
        <v>25</v>
      </c>
      <c r="F28" s="61" t="s">
        <v>25</v>
      </c>
      <c r="G28" s="61" t="s">
        <v>25</v>
      </c>
      <c r="H28" s="61" t="s">
        <v>25</v>
      </c>
      <c r="I28" s="61" t="s">
        <v>25</v>
      </c>
      <c r="J28" s="61" t="s">
        <v>25</v>
      </c>
      <c r="K28" s="61" t="s">
        <v>25</v>
      </c>
      <c r="L28" s="61" t="s">
        <v>25</v>
      </c>
      <c r="M28" s="61" t="s">
        <v>25</v>
      </c>
      <c r="N28" s="61" t="s">
        <v>25</v>
      </c>
    </row>
    <row r="29" spans="3:14" ht="19.95" customHeight="1" x14ac:dyDescent="0.3">
      <c r="C29" s="62" t="s">
        <v>26</v>
      </c>
      <c r="D29" s="63">
        <f>D20</f>
        <v>17650817.623732992</v>
      </c>
      <c r="E29" s="64">
        <f>E20/4</f>
        <v>550796.72830970015</v>
      </c>
      <c r="F29" s="64">
        <f t="shared" ref="F29:N29" si="10">F20/4</f>
        <v>654883.47305047477</v>
      </c>
      <c r="G29" s="64">
        <f t="shared" si="10"/>
        <v>568066.83884039021</v>
      </c>
      <c r="H29" s="64">
        <f t="shared" si="10"/>
        <v>696672.33759039012</v>
      </c>
      <c r="I29" s="64">
        <f t="shared" si="10"/>
        <v>16137.440691406488</v>
      </c>
      <c r="J29" s="64">
        <f t="shared" si="10"/>
        <v>723559.71332361526</v>
      </c>
      <c r="K29" s="64">
        <f t="shared" si="10"/>
        <v>723749.65987709642</v>
      </c>
      <c r="L29" s="64">
        <f t="shared" si="10"/>
        <v>494975.65556658065</v>
      </c>
      <c r="M29" s="64">
        <f t="shared" si="10"/>
        <v>112962.08483984541</v>
      </c>
      <c r="N29" s="64">
        <f t="shared" si="10"/>
        <v>4412704.4065582482</v>
      </c>
    </row>
    <row r="30" spans="3:14" ht="19.95" customHeight="1" x14ac:dyDescent="0.3">
      <c r="C30" s="65" t="str">
        <f>C22</f>
        <v>Arts Council Contribution @15%</v>
      </c>
      <c r="D30" s="63">
        <f>D22</f>
        <v>2647622.6435599485</v>
      </c>
      <c r="E30" s="64">
        <f>E22/4</f>
        <v>82619.509246455025</v>
      </c>
      <c r="F30" s="64">
        <f t="shared" ref="F30:N31" si="11">F22/4</f>
        <v>98232.520957571207</v>
      </c>
      <c r="G30" s="64">
        <f t="shared" si="11"/>
        <v>85210.025826058525</v>
      </c>
      <c r="H30" s="64">
        <f t="shared" si="11"/>
        <v>104500.85063855852</v>
      </c>
      <c r="I30" s="64">
        <f t="shared" si="11"/>
        <v>2420.6161037109732</v>
      </c>
      <c r="J30" s="64">
        <f t="shared" si="11"/>
        <v>108533.95699854229</v>
      </c>
      <c r="K30" s="64">
        <f t="shared" si="11"/>
        <v>108562.44898156446</v>
      </c>
      <c r="L30" s="64">
        <f t="shared" si="11"/>
        <v>74246.348334987095</v>
      </c>
      <c r="M30" s="64">
        <f t="shared" si="11"/>
        <v>16944.312725976812</v>
      </c>
      <c r="N30" s="64">
        <f t="shared" si="11"/>
        <v>661905.66098373721</v>
      </c>
    </row>
    <row r="31" spans="3:14" ht="19.95" customHeight="1" thickBot="1" x14ac:dyDescent="0.35">
      <c r="C31" s="66" t="str">
        <f>C23</f>
        <v>Jayne Pierson Contribution @5%</v>
      </c>
      <c r="D31" s="63">
        <f>D23</f>
        <v>882540.88118664967</v>
      </c>
      <c r="E31" s="64">
        <f>E23/4</f>
        <v>27539.83641548501</v>
      </c>
      <c r="F31" s="64">
        <f t="shared" si="11"/>
        <v>32744.173652523739</v>
      </c>
      <c r="G31" s="64">
        <f t="shared" si="11"/>
        <v>28403.341942019513</v>
      </c>
      <c r="H31" s="64">
        <f t="shared" si="11"/>
        <v>34833.616879519504</v>
      </c>
      <c r="I31" s="64">
        <f t="shared" si="11"/>
        <v>806.87203457032444</v>
      </c>
      <c r="J31" s="64">
        <f t="shared" si="11"/>
        <v>36177.985666180764</v>
      </c>
      <c r="K31" s="64">
        <f t="shared" si="11"/>
        <v>36187.482993854821</v>
      </c>
      <c r="L31" s="64">
        <f t="shared" si="11"/>
        <v>24748.782778329034</v>
      </c>
      <c r="M31" s="64">
        <f t="shared" si="11"/>
        <v>5648.1042419922705</v>
      </c>
      <c r="N31" s="64">
        <f t="shared" si="11"/>
        <v>220635.22032791242</v>
      </c>
    </row>
    <row r="32" spans="3:14" ht="15" thickBot="1" x14ac:dyDescent="0.35">
      <c r="D32" s="67">
        <f>SUM(D29:D31)</f>
        <v>21180981.148479588</v>
      </c>
      <c r="E32" s="67">
        <f>SUM(E29:E31)</f>
        <v>660956.0739716402</v>
      </c>
      <c r="F32" s="67">
        <f>SUM(F29:F31)</f>
        <v>785860.16766056977</v>
      </c>
      <c r="G32" s="67">
        <f>SUM(G29:G31)</f>
        <v>681680.2066084682</v>
      </c>
      <c r="H32" s="67">
        <f t="shared" ref="H32:N32" si="12">SUM(H29:H31)</f>
        <v>836006.80510846816</v>
      </c>
      <c r="I32" s="67">
        <f t="shared" si="12"/>
        <v>19364.928829687786</v>
      </c>
      <c r="J32" s="67">
        <f t="shared" si="12"/>
        <v>868271.65598833829</v>
      </c>
      <c r="K32" s="67">
        <f t="shared" si="12"/>
        <v>868499.5918525157</v>
      </c>
      <c r="L32" s="67">
        <f t="shared" si="12"/>
        <v>593970.78667989676</v>
      </c>
      <c r="M32" s="67">
        <f t="shared" si="12"/>
        <v>135554.50180781449</v>
      </c>
      <c r="N32" s="67">
        <f t="shared" si="12"/>
        <v>5295245.2878698986</v>
      </c>
    </row>
    <row r="33" spans="3:14" ht="15.6" thickTop="1" thickBot="1" x14ac:dyDescent="0.35">
      <c r="C33" s="68">
        <v>0.05</v>
      </c>
      <c r="D33" s="1">
        <f>D32/100*0.05</f>
        <v>10590.490574239795</v>
      </c>
      <c r="E33" s="1">
        <f t="shared" ref="E33:N33" si="13">E32/100*0.05</f>
        <v>330.47803698582015</v>
      </c>
      <c r="F33" s="1">
        <f t="shared" si="13"/>
        <v>392.9300838302849</v>
      </c>
      <c r="G33" s="1">
        <f t="shared" si="13"/>
        <v>340.84010330423416</v>
      </c>
      <c r="H33" s="1">
        <f t="shared" si="13"/>
        <v>418.00340255423407</v>
      </c>
      <c r="I33" s="1">
        <f t="shared" si="13"/>
        <v>9.6824644148438939</v>
      </c>
      <c r="J33" s="1">
        <f t="shared" si="13"/>
        <v>434.13582799416918</v>
      </c>
      <c r="K33" s="1">
        <f t="shared" si="13"/>
        <v>434.24979592625789</v>
      </c>
      <c r="L33" s="1">
        <f t="shared" si="13"/>
        <v>296.98539333994836</v>
      </c>
      <c r="M33" s="1">
        <f t="shared" si="13"/>
        <v>67.777250903907245</v>
      </c>
      <c r="N33" s="1">
        <f t="shared" si="13"/>
        <v>2647.6226439349493</v>
      </c>
    </row>
    <row r="34" spans="3:14" ht="15" thickBot="1" x14ac:dyDescent="0.35">
      <c r="C34" s="69" t="s">
        <v>27</v>
      </c>
      <c r="D34" s="43">
        <f>D32-D33</f>
        <v>21170390.657905348</v>
      </c>
      <c r="E34" s="43">
        <f t="shared" ref="E34:N34" si="14">E32-E33</f>
        <v>660625.59593465435</v>
      </c>
      <c r="F34" s="43">
        <f t="shared" si="14"/>
        <v>785467.23757673951</v>
      </c>
      <c r="G34" s="43">
        <f t="shared" si="14"/>
        <v>681339.36650516395</v>
      </c>
      <c r="H34" s="43">
        <f t="shared" si="14"/>
        <v>835588.80170591397</v>
      </c>
      <c r="I34" s="43">
        <f t="shared" si="14"/>
        <v>19355.246365272942</v>
      </c>
      <c r="J34" s="43">
        <f t="shared" si="14"/>
        <v>867837.52016034408</v>
      </c>
      <c r="K34" s="43">
        <f t="shared" si="14"/>
        <v>868065.34205658943</v>
      </c>
      <c r="L34" s="43">
        <f t="shared" si="14"/>
        <v>593673.80128655676</v>
      </c>
      <c r="M34" s="43">
        <f t="shared" si="14"/>
        <v>135486.72455691057</v>
      </c>
      <c r="N34" s="43">
        <f t="shared" si="14"/>
        <v>5292597.665225964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2C352B88B9E47AAFAF4D2986FD748" ma:contentTypeVersion="10" ma:contentTypeDescription="Create a new document." ma:contentTypeScope="" ma:versionID="7973107ffd950056219b0c2d59d9a64d">
  <xsd:schema xmlns:xsd="http://www.w3.org/2001/XMLSchema" xmlns:xs="http://www.w3.org/2001/XMLSchema" xmlns:p="http://schemas.microsoft.com/office/2006/metadata/properties" xmlns:ns2="7a2e63ad-1c8f-4e37-b470-8c0a2d2140b8" targetNamespace="http://schemas.microsoft.com/office/2006/metadata/properties" ma:root="true" ma:fieldsID="527cbde9a78e56d4bc411a2000485422" ns2:_="">
    <xsd:import namespace="7a2e63ad-1c8f-4e37-b470-8c0a2d2140b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e63ad-1c8f-4e37-b470-8c0a2d2140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2e63ad-1c8f-4e37-b470-8c0a2d2140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26EC2A-8E8E-4FEE-A095-8CEDB3169E56}"/>
</file>

<file path=customXml/itemProps2.xml><?xml version="1.0" encoding="utf-8"?>
<ds:datastoreItem xmlns:ds="http://schemas.openxmlformats.org/officeDocument/2006/customXml" ds:itemID="{512437F3-B46D-484D-AB2A-7BC436D0BBA3}"/>
</file>

<file path=customXml/itemProps3.xml><?xml version="1.0" encoding="utf-8"?>
<ds:datastoreItem xmlns:ds="http://schemas.openxmlformats.org/officeDocument/2006/customXml" ds:itemID="{FBA7B9B3-CC6D-467C-9A89-D3958DA924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Lynsey Davies (1911295)</dc:creator>
  <cp:lastModifiedBy>Lynsey Davies (1911295)</cp:lastModifiedBy>
  <dcterms:created xsi:type="dcterms:W3CDTF">2024-04-22T18:04:55Z</dcterms:created>
  <dcterms:modified xsi:type="dcterms:W3CDTF">2024-04-23T17:11:08Z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0x0101003762C352B88B9E47AAFAF4D2986FD748</vt:lpwstr>
  </property>
</Properties>
</file>